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1"/>
  </bookViews>
  <sheets>
    <sheet name="дод. 3" sheetId="1" r:id="rId1"/>
    <sheet name="дод. 4" sheetId="2" r:id="rId2"/>
  </sheets>
  <definedNames>
    <definedName name="_xlfn.AGGREGATE" hidden="1">#NAME?</definedName>
    <definedName name="_xlnm.Print_Titles" localSheetId="0">'дод. 3'!$9:$12</definedName>
    <definedName name="_xlnm.Print_Titles" localSheetId="1">'дод. 4'!$9:$12</definedName>
    <definedName name="_xlnm.Print_Area" localSheetId="0">'дод. 3'!$B$1:$P$189</definedName>
    <definedName name="_xlnm.Print_Area" localSheetId="1">'дод. 4'!$B$1:$P$235</definedName>
  </definedNames>
  <calcPr fullCalcOnLoad="1"/>
</workbook>
</file>

<file path=xl/sharedStrings.xml><?xml version="1.0" encoding="utf-8"?>
<sst xmlns="http://schemas.openxmlformats.org/spreadsheetml/2006/main" count="1021" uniqueCount="352">
  <si>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</si>
  <si>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</si>
  <si>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</si>
  <si>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</si>
  <si>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</si>
  <si>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</si>
  <si>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</si>
  <si>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</si>
  <si>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</si>
  <si>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</si>
  <si>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</si>
  <si>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</si>
  <si>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</si>
  <si>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</si>
  <si>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</si>
  <si>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</si>
  <si>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</si>
  <si>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</si>
  <si>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</si>
  <si>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</si>
  <si>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</si>
  <si>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</si>
  <si>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</si>
  <si>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</si>
  <si>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</si>
  <si>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</si>
  <si>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</si>
  <si>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</si>
  <si>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</si>
  <si>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</si>
  <si>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</si>
  <si>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</si>
  <si>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</si>
  <si>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</si>
  <si>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</si>
  <si>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</si>
  <si>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</si>
  <si>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</si>
  <si>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</si>
  <si>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</si>
  <si>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</si>
  <si>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</si>
  <si>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</si>
  <si>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</si>
  <si>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</si>
  <si>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</si>
  <si>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</si>
  <si>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</si>
  <si>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</si>
  <si>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</si>
  <si>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</si>
  <si>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</si>
  <si>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</si>
  <si>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</si>
  <si>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</si>
  <si>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</si>
  <si>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</si>
  <si>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</si>
  <si>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</si>
  <si>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</si>
  <si>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</si>
  <si>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</si>
  <si>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</si>
  <si>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</si>
  <si>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</si>
  <si>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</si>
  <si>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</si>
  <si>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</si>
  <si>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</si>
  <si>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</si>
  <si>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</si>
  <si>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</si>
  <si>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</si>
  <si>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</si>
  <si>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</si>
  <si>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</si>
  <si>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</si>
  <si>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</si>
  <si>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</si>
  <si>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</si>
  <si>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</si>
  <si>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</si>
  <si>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</si>
  <si>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</si>
  <si>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</si>
  <si>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</si>
  <si>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</si>
  <si>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</si>
  <si>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</si>
  <si>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</si>
  <si>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</si>
  <si>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</si>
  <si>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</si>
  <si>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</si>
  <si>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</si>
  <si>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</si>
  <si>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</si>
  <si>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</si>
  <si>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</si>
  <si>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</si>
  <si>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</si>
  <si>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</si>
  <si>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</si>
  <si>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</si>
  <si>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</si>
  <si>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</si>
  <si>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</si>
  <si>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</si>
  <si>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</si>
  <si>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</si>
  <si>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</si>
  <si>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</si>
  <si>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</si>
  <si>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</si>
  <si>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</si>
  <si>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</si>
  <si>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</si>
  <si>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</si>
  <si>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</si>
  <si>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</si>
  <si>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</si>
  <si>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</si>
  <si>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</si>
  <si>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</si>
  <si>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</si>
  <si>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</si>
  <si>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</si>
  <si>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</si>
  <si>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</si>
  <si>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</si>
  <si>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</si>
  <si>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</si>
  <si>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</si>
  <si>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</si>
  <si>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</si>
  <si>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</si>
  <si>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</si>
  <si>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</si>
  <si>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</si>
  <si>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</si>
  <si>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</si>
  <si>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</si>
  <si>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</si>
  <si>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</si>
  <si>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</si>
  <si>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</si>
  <si>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</si>
  <si>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</si>
  <si>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</si>
  <si>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</si>
  <si>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</si>
  <si>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</si>
  <si>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</si>
  <si>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</si>
  <si>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</si>
  <si>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</si>
  <si>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</si>
  <si>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</si>
  <si>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</si>
  <si>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</si>
  <si>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</si>
  <si>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</si>
  <si>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</si>
  <si>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</si>
  <si>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</si>
  <si>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</si>
  <si>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</si>
  <si>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</si>
  <si>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</si>
  <si>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</si>
  <si>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</si>
  <si>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</si>
  <si>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</si>
  <si>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</si>
  <si>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</si>
  <si>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</si>
  <si>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</si>
  <si>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</si>
  <si>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</si>
  <si>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</si>
  <si>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</si>
  <si>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</si>
  <si>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</si>
  <si>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</si>
  <si>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</si>
  <si>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</si>
  <si>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</si>
  <si>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</si>
  <si>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</si>
  <si>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</si>
  <si>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</si>
  <si>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</si>
  <si>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</si>
  <si>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</si>
  <si>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</si>
  <si>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</si>
  <si>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</si>
  <si>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</si>
  <si>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</si>
  <si>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</si>
  <si>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</si>
  <si>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</si>
  <si>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</si>
  <si>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</si>
  <si>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</si>
  <si>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</si>
  <si>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</si>
  <si>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</si>
  <si>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</si>
  <si>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</si>
  <si>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</si>
  <si>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</si>
  <si>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</si>
  <si>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</si>
  <si>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</si>
  <si>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</si>
  <si>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</si>
  <si>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</si>
  <si>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</si>
  <si>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</si>
  <si>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</si>
  <si>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</si>
  <si>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</si>
  <si>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</si>
  <si>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</si>
  <si>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</si>
  <si>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</si>
  <si>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</si>
  <si>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</si>
  <si>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</si>
  <si>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</si>
  <si>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</si>
  <si>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</si>
  <si>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</si>
  <si>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</si>
  <si>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</si>
  <si>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</si>
  <si>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</si>
  <si>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</si>
  <si>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</si>
  <si>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</si>
  <si>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</si>
  <si>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</si>
  <si>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</si>
  <si>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</si>
  <si>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</si>
  <si>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</si>
  <si>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</si>
  <si>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</si>
  <si>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</si>
  <si>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</si>
  <si>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</si>
  <si>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</si>
  <si>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</si>
  <si>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</si>
  <si>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</si>
  <si>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</si>
  <si>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</si>
  <si>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</si>
  <si>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</si>
  <si>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</si>
  <si>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</si>
  <si>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</si>
  <si>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</si>
  <si>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</si>
  <si>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</si>
  <si>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</si>
  <si>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</si>
  <si>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</si>
  <si>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</si>
  <si>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</si>
  <si>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</si>
  <si>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</si>
  <si>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</si>
  <si>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</si>
  <si>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</si>
  <si>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</si>
  <si>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</si>
  <si>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</si>
  <si>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</si>
  <si>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</si>
  <si>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</si>
  <si>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</si>
  <si>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</si>
  <si>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</si>
  <si>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</si>
  <si>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</si>
  <si>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</si>
  <si>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</si>
  <si>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</si>
  <si>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</si>
  <si>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</si>
  <si>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</si>
  <si>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</si>
  <si>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</si>
  <si>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</si>
  <si>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</si>
  <si>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</si>
  <si>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</si>
  <si>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</si>
  <si>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</si>
  <si>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</si>
  <si>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</si>
  <si>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</si>
  <si>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</si>
  <si>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</si>
  <si>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</si>
  <si>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</si>
  <si>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</si>
  <si>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</si>
  <si>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</si>
  <si>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</si>
  <si>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</si>
  <si>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</si>
  <si>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</si>
  <si>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</si>
  <si>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</si>
  <si>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</si>
  <si>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</si>
  <si>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</si>
  <si>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</si>
  <si>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</si>
  <si>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</si>
  <si>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</si>
  <si>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</si>
  <si>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</si>
  <si>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</si>
  <si>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</si>
  <si>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</si>
  <si>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</si>
  <si>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</si>
  <si>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45 Департамент забезпечення ресурсних платежів Сумської міської ради</t>
  </si>
  <si>
    <t>48 Управління архітектури та містобудування Сумської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</si>
  <si>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</si>
  <si>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</si>
  <si>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</si>
  <si>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</si>
  <si>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</si>
  <si>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</si>
  <si>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</si>
  <si>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</si>
  <si>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150201</t>
  </si>
  <si>
    <t>Збереження, розвиток, реконструкція та реставрація пам'яток історії та культури</t>
  </si>
  <si>
    <t xml:space="preserve">                Додаток № 4</t>
  </si>
  <si>
    <t>до  рішення Сумської  міської   ради</t>
  </si>
  <si>
    <t>«Про  внесення   змін  та   доповнень</t>
  </si>
  <si>
    <t>до  міського  бюджету  на  2016  рік»</t>
  </si>
  <si>
    <t>від 25 травня  2016  року  № 805- МР</t>
  </si>
  <si>
    <t>Міський голова</t>
  </si>
  <si>
    <t>О.М. Лисенко</t>
  </si>
  <si>
    <t>Виконавець: Липова С.А.</t>
  </si>
  <si>
    <t xml:space="preserve">                Додаток № 3</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</si>
</sst>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1">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12"/>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10">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0" fillId="0" borderId="0" xfId="0" applyNumberFormat="1" applyFont="1" applyFill="1" applyAlignment="1">
      <alignment horizontal="center" vertical="center" textRotation="180"/>
    </xf>
    <xf numFmtId="49" fontId="40" fillId="0" borderId="0" xfId="0" applyNumberFormat="1" applyFont="1" applyFill="1" applyAlignment="1">
      <alignment vertical="center" textRotation="180"/>
    </xf>
    <xf numFmtId="0" fontId="35" fillId="0" borderId="13" xfId="0" applyFont="1" applyFill="1" applyBorder="1" applyAlignment="1">
      <alignment horizontal="left"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 fontId="0" fillId="0" borderId="0" xfId="0" applyNumberFormat="1" applyFont="1" applyFill="1" applyAlignment="1" applyProtection="1">
      <alignment/>
      <protection/>
    </xf>
    <xf numFmtId="0" fontId="39" fillId="0" borderId="0" xfId="0" applyFont="1" applyFill="1" applyAlignment="1">
      <alignment horizontal="left" vertical="center"/>
    </xf>
    <xf numFmtId="3" fontId="39" fillId="0" borderId="0" xfId="0" applyNumberFormat="1" applyFont="1" applyFill="1" applyBorder="1" applyAlignment="1">
      <alignment vertical="center" wrapText="1"/>
    </xf>
    <xf numFmtId="3" fontId="33" fillId="0" borderId="0" xfId="0" applyNumberFormat="1" applyFont="1" applyFill="1" applyBorder="1" applyAlignment="1">
      <alignment vertical="center" wrapText="1"/>
    </xf>
    <xf numFmtId="49" fontId="40" fillId="0" borderId="0" xfId="0" applyNumberFormat="1" applyFont="1" applyFill="1" applyBorder="1" applyAlignment="1">
      <alignment horizontal="center" vertical="center" textRotation="180"/>
    </xf>
    <xf numFmtId="49" fontId="40" fillId="0" borderId="15" xfId="0" applyNumberFormat="1" applyFont="1" applyFill="1" applyBorder="1" applyAlignment="1">
      <alignment horizontal="center" vertical="center" textRotation="180"/>
    </xf>
    <xf numFmtId="3" fontId="33"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xf numFmtId="0" fontId="39" fillId="0" borderId="0" xfId="0" applyFont="1" applyFill="1" applyAlignment="1">
      <alignment horizontal="left" vertical="center" wrapText="1"/>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49" fontId="40" fillId="0" borderId="0" xfId="0" applyNumberFormat="1" applyFont="1" applyFill="1" applyAlignment="1">
      <alignment horizontal="center" vertical="center" textRotation="180"/>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0" fontId="39" fillId="0" borderId="0" xfId="0" applyFont="1" applyFill="1" applyAlignment="1">
      <alignment horizontal="left" vertical="center"/>
    </xf>
    <xf numFmtId="49" fontId="39" fillId="0" borderId="0"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231"/>
  <sheetViews>
    <sheetView showGridLines="0" showZeros="0" view="pageBreakPreview" zoomScale="70" zoomScaleNormal="70" zoomScaleSheetLayoutView="70" workbookViewId="0" topLeftCell="B179">
      <selection activeCell="F193" sqref="F193"/>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7.16015625" style="80" customWidth="1"/>
    <col min="18" max="18" width="14.16015625" style="57" bestFit="1" customWidth="1"/>
    <col min="19" max="19" width="29.66015625" style="57" bestFit="1" customWidth="1"/>
    <col min="20" max="16384" width="9.16015625" style="57" customWidth="1"/>
  </cols>
  <sheetData>
    <row r="1" spans="12:17" ht="26.25">
      <c r="L1" s="102" t="s">
        <v>351</v>
      </c>
      <c r="M1" s="102"/>
      <c r="N1" s="102"/>
      <c r="O1" s="102"/>
      <c r="P1" s="39"/>
      <c r="Q1" s="101"/>
    </row>
    <row r="2" spans="12:17" ht="26.25">
      <c r="L2" s="87" t="s">
        <v>344</v>
      </c>
      <c r="M2" s="87"/>
      <c r="N2" s="87"/>
      <c r="O2" s="87"/>
      <c r="P2" s="87"/>
      <c r="Q2" s="101"/>
    </row>
    <row r="3" spans="12:17" ht="26.25">
      <c r="L3" s="94" t="s">
        <v>345</v>
      </c>
      <c r="M3" s="94"/>
      <c r="N3" s="94"/>
      <c r="O3" s="94"/>
      <c r="P3" s="94"/>
      <c r="Q3" s="101"/>
    </row>
    <row r="4" spans="12:17" ht="26.25">
      <c r="L4" s="107" t="s">
        <v>346</v>
      </c>
      <c r="M4" s="107"/>
      <c r="N4" s="107"/>
      <c r="O4" s="107"/>
      <c r="P4" s="107"/>
      <c r="Q4" s="101"/>
    </row>
    <row r="5" spans="12:17" ht="26.25" customHeight="1">
      <c r="L5" s="94" t="s">
        <v>347</v>
      </c>
      <c r="M5" s="94"/>
      <c r="N5" s="94"/>
      <c r="O5" s="94"/>
      <c r="P5" s="94"/>
      <c r="Q5" s="101"/>
    </row>
    <row r="6" spans="12:17" ht="36" customHeight="1">
      <c r="L6" s="46"/>
      <c r="M6" s="46"/>
      <c r="N6" s="46"/>
      <c r="O6" s="46"/>
      <c r="P6" s="46"/>
      <c r="Q6" s="101"/>
    </row>
    <row r="7" spans="2:17" ht="45" customHeight="1">
      <c r="B7" s="103" t="s">
        <v>246</v>
      </c>
      <c r="C7" s="103"/>
      <c r="D7" s="103"/>
      <c r="E7" s="103"/>
      <c r="F7" s="103"/>
      <c r="G7" s="103"/>
      <c r="H7" s="103"/>
      <c r="I7" s="103"/>
      <c r="J7" s="103"/>
      <c r="K7" s="103"/>
      <c r="L7" s="103"/>
      <c r="M7" s="103"/>
      <c r="N7" s="103"/>
      <c r="O7" s="103"/>
      <c r="P7" s="103"/>
      <c r="Q7" s="101"/>
    </row>
    <row r="8" spans="2:17" ht="18.75">
      <c r="B8" s="58"/>
      <c r="C8" s="58"/>
      <c r="D8" s="58"/>
      <c r="E8" s="58"/>
      <c r="F8" s="58"/>
      <c r="G8" s="5"/>
      <c r="H8" s="58"/>
      <c r="I8" s="58"/>
      <c r="J8" s="3"/>
      <c r="K8" s="59"/>
      <c r="L8" s="59"/>
      <c r="M8" s="59"/>
      <c r="N8" s="59"/>
      <c r="O8" s="59"/>
      <c r="P8" s="38" t="s">
        <v>14</v>
      </c>
      <c r="Q8" s="101"/>
    </row>
    <row r="9" spans="1:17" s="17" customFormat="1" ht="21.75" customHeight="1">
      <c r="A9" s="15"/>
      <c r="B9" s="98" t="s">
        <v>13</v>
      </c>
      <c r="C9" s="98" t="s">
        <v>10</v>
      </c>
      <c r="D9" s="98" t="s">
        <v>185</v>
      </c>
      <c r="E9" s="95" t="s">
        <v>0</v>
      </c>
      <c r="F9" s="96"/>
      <c r="G9" s="96"/>
      <c r="H9" s="96"/>
      <c r="I9" s="97"/>
      <c r="J9" s="95" t="s">
        <v>1</v>
      </c>
      <c r="K9" s="96"/>
      <c r="L9" s="96"/>
      <c r="M9" s="96"/>
      <c r="N9" s="96"/>
      <c r="O9" s="97"/>
      <c r="P9" s="98" t="s">
        <v>2</v>
      </c>
      <c r="Q9" s="101"/>
    </row>
    <row r="10" spans="1:17" s="17" customFormat="1" ht="16.5" customHeight="1">
      <c r="A10" s="18"/>
      <c r="B10" s="99"/>
      <c r="C10" s="99"/>
      <c r="D10" s="99"/>
      <c r="E10" s="98" t="s">
        <v>3</v>
      </c>
      <c r="F10" s="104" t="s">
        <v>4</v>
      </c>
      <c r="G10" s="95" t="s">
        <v>5</v>
      </c>
      <c r="H10" s="97"/>
      <c r="I10" s="104" t="s">
        <v>6</v>
      </c>
      <c r="J10" s="98" t="s">
        <v>3</v>
      </c>
      <c r="K10" s="104" t="s">
        <v>4</v>
      </c>
      <c r="L10" s="95" t="s">
        <v>5</v>
      </c>
      <c r="M10" s="97"/>
      <c r="N10" s="104" t="s">
        <v>6</v>
      </c>
      <c r="O10" s="16" t="s">
        <v>5</v>
      </c>
      <c r="P10" s="99"/>
      <c r="Q10" s="101"/>
    </row>
    <row r="11" spans="1:17" s="17" customFormat="1" ht="20.25" customHeight="1">
      <c r="A11" s="19"/>
      <c r="B11" s="99"/>
      <c r="C11" s="99"/>
      <c r="D11" s="99"/>
      <c r="E11" s="99"/>
      <c r="F11" s="105"/>
      <c r="G11" s="98" t="s">
        <v>7</v>
      </c>
      <c r="H11" s="98" t="s">
        <v>8</v>
      </c>
      <c r="I11" s="105"/>
      <c r="J11" s="99"/>
      <c r="K11" s="105"/>
      <c r="L11" s="98" t="s">
        <v>7</v>
      </c>
      <c r="M11" s="98" t="s">
        <v>8</v>
      </c>
      <c r="N11" s="105"/>
      <c r="O11" s="98" t="s">
        <v>12</v>
      </c>
      <c r="P11" s="99"/>
      <c r="Q11" s="101"/>
    </row>
    <row r="12" spans="1:17" s="17" customFormat="1" ht="110.25" customHeight="1">
      <c r="A12" s="20"/>
      <c r="B12" s="100"/>
      <c r="C12" s="100"/>
      <c r="D12" s="100"/>
      <c r="E12" s="100"/>
      <c r="F12" s="106"/>
      <c r="G12" s="100"/>
      <c r="H12" s="100"/>
      <c r="I12" s="106"/>
      <c r="J12" s="100"/>
      <c r="K12" s="106"/>
      <c r="L12" s="100"/>
      <c r="M12" s="100"/>
      <c r="N12" s="106"/>
      <c r="O12" s="100"/>
      <c r="P12" s="100"/>
      <c r="Q12" s="101"/>
    </row>
    <row r="13" spans="1:17" s="23" customFormat="1" ht="15">
      <c r="A13" s="21"/>
      <c r="B13" s="61" t="s">
        <v>213</v>
      </c>
      <c r="C13" s="29"/>
      <c r="D13" s="29" t="s">
        <v>214</v>
      </c>
      <c r="E13" s="34">
        <f>E14</f>
        <v>65573515</v>
      </c>
      <c r="F13" s="34">
        <f aca="true" t="shared" si="0" ref="F13:P13">F14</f>
        <v>65573515</v>
      </c>
      <c r="G13" s="34">
        <f t="shared" si="0"/>
        <v>44833145</v>
      </c>
      <c r="H13" s="34">
        <f t="shared" si="0"/>
        <v>2728341</v>
      </c>
      <c r="I13" s="34">
        <f t="shared" si="0"/>
        <v>0</v>
      </c>
      <c r="J13" s="34">
        <f t="shared" si="0"/>
        <v>7849814</v>
      </c>
      <c r="K13" s="34">
        <f t="shared" si="0"/>
        <v>2280164</v>
      </c>
      <c r="L13" s="34">
        <f t="shared" si="0"/>
        <v>1413770</v>
      </c>
      <c r="M13" s="34">
        <f t="shared" si="0"/>
        <v>50946</v>
      </c>
      <c r="N13" s="34">
        <f t="shared" si="0"/>
        <v>5569650</v>
      </c>
      <c r="O13" s="34">
        <f t="shared" si="0"/>
        <v>5469150</v>
      </c>
      <c r="P13" s="34">
        <f t="shared" si="0"/>
        <v>73423329</v>
      </c>
      <c r="Q13" s="101"/>
    </row>
    <row r="14" spans="1:17" s="23" customFormat="1" ht="15">
      <c r="A14" s="21"/>
      <c r="B14" s="24" t="s">
        <v>11</v>
      </c>
      <c r="C14" s="24" t="s">
        <v>9</v>
      </c>
      <c r="D14" s="25" t="s">
        <v>16</v>
      </c>
      <c r="E14" s="33">
        <f>F14+I14</f>
        <v>65573515</v>
      </c>
      <c r="F14" s="33">
        <f>'дод. 4'!F14+'дод. 4'!F47+'дод. 4'!F69++'дод. 4'!F88+'дод. 4'!F153+'дод. 4'!F156+'дод. 4'!F162+'дод. 4'!F183+'дод. 4'!F191+'дод. 4'!F205+'дод. 4'!F218+'дод. 4'!F221+'дод. 4'!F216+'дод. 4'!F210+'дод. 4'!F187</f>
        <v>65573515</v>
      </c>
      <c r="G14" s="33">
        <f>'дод. 4'!G14+'дод. 4'!G47+'дод. 4'!G69++'дод. 4'!G88+'дод. 4'!G153+'дод. 4'!G156+'дод. 4'!G162+'дод. 4'!G183+'дод. 4'!G191+'дод. 4'!G205+'дод. 4'!G218+'дод. 4'!G221+'дод. 4'!G216+'дод. 4'!G210+'дод. 4'!G187</f>
        <v>44833145</v>
      </c>
      <c r="H14" s="33">
        <f>'дод. 4'!H14+'дод. 4'!H47+'дод. 4'!H69++'дод. 4'!H88+'дод. 4'!H153+'дод. 4'!H156+'дод. 4'!H162+'дод. 4'!H183+'дод. 4'!H191+'дод. 4'!H205+'дод. 4'!H218+'дод. 4'!H221+'дод. 4'!H216+'дод. 4'!H210+'дод. 4'!H187</f>
        <v>2728341</v>
      </c>
      <c r="I14" s="33">
        <f>'дод. 4'!I14+'дод. 4'!I47+'дод. 4'!I69++'дод. 4'!I88+'дод. 4'!I153+'дод. 4'!I156+'дод. 4'!I162+'дод. 4'!I183+'дод. 4'!I191+'дод. 4'!I205+'дод. 4'!I218+'дод. 4'!I221+'дод. 4'!I216+'дод. 4'!I210+'дод. 4'!I187</f>
        <v>0</v>
      </c>
      <c r="J14" s="33">
        <f>K14+N14</f>
        <v>7849814</v>
      </c>
      <c r="K14" s="33">
        <f>'дод. 4'!K14+'дод. 4'!K47+'дод. 4'!K69++'дод. 4'!K88+'дод. 4'!K153+'дод. 4'!K156+'дод. 4'!K162+'дод. 4'!K183+'дод. 4'!K191+'дод. 4'!K205+'дод. 4'!K218+'дод. 4'!K221+'дод. 4'!K216+'дод. 4'!K210+'дод. 4'!K187</f>
        <v>2280164</v>
      </c>
      <c r="L14" s="33">
        <f>'дод. 4'!L14+'дод. 4'!L47+'дод. 4'!L69++'дод. 4'!L88+'дод. 4'!L153+'дод. 4'!L156+'дод. 4'!L162+'дод. 4'!L183+'дод. 4'!L191+'дод. 4'!L205+'дод. 4'!L218+'дод. 4'!L221+'дод. 4'!L216+'дод. 4'!L210+'дод. 4'!L187</f>
        <v>1413770</v>
      </c>
      <c r="M14" s="33">
        <f>'дод. 4'!M14+'дод. 4'!M47+'дод. 4'!M69++'дод. 4'!M88+'дод. 4'!M153+'дод. 4'!M156+'дод. 4'!M162+'дод. 4'!M183+'дод. 4'!M191+'дод. 4'!M205+'дод. 4'!M218+'дод. 4'!M221+'дод. 4'!M216+'дод. 4'!M210+'дод. 4'!M187</f>
        <v>50946</v>
      </c>
      <c r="N14" s="33">
        <f>'дод. 4'!N14+'дод. 4'!N47+'дод. 4'!N69++'дод. 4'!N88+'дод. 4'!N153+'дод. 4'!N156+'дод. 4'!N162+'дод. 4'!N183+'дод. 4'!N191+'дод. 4'!N205+'дод. 4'!N218+'дод. 4'!N221+'дод. 4'!N216+'дод. 4'!N210+'дод. 4'!N187</f>
        <v>5569650</v>
      </c>
      <c r="O14" s="33">
        <f>'дод. 4'!O14+'дод. 4'!O47+'дод. 4'!O69++'дод. 4'!O88+'дод. 4'!O153+'дод. 4'!O156+'дод. 4'!O162+'дод. 4'!O183+'дод. 4'!O191+'дод. 4'!O205+'дод. 4'!O218+'дод. 4'!O221+'дод. 4'!O216+'дод. 4'!O210+'дод. 4'!O187</f>
        <v>5469150</v>
      </c>
      <c r="P14" s="33">
        <f>E14+J14</f>
        <v>73423329</v>
      </c>
      <c r="Q14" s="101"/>
    </row>
    <row r="15" spans="1:17" s="67" customFormat="1" ht="15" customHeight="1">
      <c r="A15" s="65"/>
      <c r="B15" s="62" t="s">
        <v>215</v>
      </c>
      <c r="C15" s="63"/>
      <c r="D15" s="63" t="s">
        <v>216</v>
      </c>
      <c r="E15" s="66">
        <f>E17+E18+E20+E22+E24+E26+E27+E28+E29+E30+E31+E32+E33</f>
        <v>427160257.29</v>
      </c>
      <c r="F15" s="66">
        <f aca="true" t="shared" si="1" ref="F15:P15">F17+F18+F20+F22+F24+F26+F27+F28+F29+F30+F31+F32+F33</f>
        <v>427160257.29</v>
      </c>
      <c r="G15" s="66">
        <f t="shared" si="1"/>
        <v>246891874</v>
      </c>
      <c r="H15" s="66">
        <f t="shared" si="1"/>
        <v>59693086</v>
      </c>
      <c r="I15" s="66">
        <f t="shared" si="1"/>
        <v>0</v>
      </c>
      <c r="J15" s="66">
        <f t="shared" si="1"/>
        <v>53294440.45</v>
      </c>
      <c r="K15" s="66">
        <f t="shared" si="1"/>
        <v>36241117</v>
      </c>
      <c r="L15" s="66">
        <f t="shared" si="1"/>
        <v>2470383</v>
      </c>
      <c r="M15" s="66">
        <f t="shared" si="1"/>
        <v>1518188</v>
      </c>
      <c r="N15" s="66">
        <f t="shared" si="1"/>
        <v>17053323.45</v>
      </c>
      <c r="O15" s="66">
        <f t="shared" si="1"/>
        <v>16748323.45</v>
      </c>
      <c r="P15" s="66">
        <f t="shared" si="1"/>
        <v>480454697.74</v>
      </c>
      <c r="Q15" s="101"/>
    </row>
    <row r="16" spans="1:25" s="67" customFormat="1" ht="15">
      <c r="A16" s="65"/>
      <c r="B16" s="62"/>
      <c r="C16" s="63"/>
      <c r="D16" s="37" t="s">
        <v>210</v>
      </c>
      <c r="E16" s="33">
        <f>F16+I16</f>
        <v>194951145.09</v>
      </c>
      <c r="F16" s="50">
        <f aca="true" t="shared" si="2" ref="F16:O16">F19+F21+F23+F25</f>
        <v>194951145.09</v>
      </c>
      <c r="G16" s="50">
        <f t="shared" si="2"/>
        <v>132708061</v>
      </c>
      <c r="H16" s="50">
        <f t="shared" si="2"/>
        <v>28492381</v>
      </c>
      <c r="I16" s="50">
        <f t="shared" si="2"/>
        <v>0</v>
      </c>
      <c r="J16" s="33">
        <f>K16+N16</f>
        <v>0</v>
      </c>
      <c r="K16" s="50">
        <f t="shared" si="2"/>
        <v>0</v>
      </c>
      <c r="L16" s="50">
        <f t="shared" si="2"/>
        <v>0</v>
      </c>
      <c r="M16" s="50">
        <f t="shared" si="2"/>
        <v>0</v>
      </c>
      <c r="N16" s="50">
        <f t="shared" si="2"/>
        <v>0</v>
      </c>
      <c r="O16" s="50">
        <f t="shared" si="2"/>
        <v>0</v>
      </c>
      <c r="P16" s="33">
        <f>E16+J16</f>
        <v>194951145.09</v>
      </c>
      <c r="Q16" s="101"/>
      <c r="Y16" s="67" t="s">
        <v>324</v>
      </c>
    </row>
    <row r="17" spans="1:17" s="23" customFormat="1" ht="15">
      <c r="A17" s="21"/>
      <c r="B17" s="24" t="s">
        <v>59</v>
      </c>
      <c r="C17" s="24" t="s">
        <v>151</v>
      </c>
      <c r="D17" s="25" t="s">
        <v>60</v>
      </c>
      <c r="E17" s="33">
        <f>F17+I17</f>
        <v>112992970</v>
      </c>
      <c r="F17" s="33">
        <f>'дод. 4'!F48</f>
        <v>112992970</v>
      </c>
      <c r="G17" s="33">
        <f>'дод. 4'!G48</f>
        <v>63819890</v>
      </c>
      <c r="H17" s="33">
        <f>'дод. 4'!H48</f>
        <v>19789563</v>
      </c>
      <c r="I17" s="33">
        <f>'дод. 4'!I48</f>
        <v>0</v>
      </c>
      <c r="J17" s="33">
        <f>K17+N17</f>
        <v>15237978</v>
      </c>
      <c r="K17" s="33">
        <f>'дод. 4'!K48</f>
        <v>11284686</v>
      </c>
      <c r="L17" s="33">
        <f>'дод. 4'!L48</f>
        <v>0</v>
      </c>
      <c r="M17" s="33">
        <f>'дод. 4'!M48</f>
        <v>0</v>
      </c>
      <c r="N17" s="33">
        <f>'дод. 4'!N48</f>
        <v>3953292</v>
      </c>
      <c r="O17" s="33">
        <f>'дод. 4'!O48</f>
        <v>3953292</v>
      </c>
      <c r="P17" s="33">
        <f>E17+J17</f>
        <v>128230948</v>
      </c>
      <c r="Q17" s="101"/>
    </row>
    <row r="18" spans="1:17" s="23" customFormat="1" ht="60">
      <c r="A18" s="21"/>
      <c r="B18" s="24" t="s">
        <v>61</v>
      </c>
      <c r="C18" s="24" t="s">
        <v>152</v>
      </c>
      <c r="D18" s="25" t="s">
        <v>62</v>
      </c>
      <c r="E18" s="33">
        <f aca="true" t="shared" si="3" ref="E18:E33">F18+I18</f>
        <v>232906550.54000002</v>
      </c>
      <c r="F18" s="33">
        <f>'дод. 4'!F49</f>
        <v>232906550.54000002</v>
      </c>
      <c r="G18" s="33">
        <f>'дод. 4'!G49</f>
        <v>140528799</v>
      </c>
      <c r="H18" s="33">
        <f>'дод. 4'!H49</f>
        <v>31014749</v>
      </c>
      <c r="I18" s="33">
        <f>'дод. 4'!I49</f>
        <v>0</v>
      </c>
      <c r="J18" s="33">
        <f aca="true" t="shared" si="4" ref="J18:J33">K18+N18</f>
        <v>30354619.45</v>
      </c>
      <c r="K18" s="33">
        <f>'дод. 4'!K49</f>
        <v>18497171</v>
      </c>
      <c r="L18" s="33">
        <f>'дод. 4'!L49</f>
        <v>740455</v>
      </c>
      <c r="M18" s="33">
        <f>'дод. 4'!M49</f>
        <v>47940</v>
      </c>
      <c r="N18" s="33">
        <f>'дод. 4'!N49</f>
        <v>11857448.45</v>
      </c>
      <c r="O18" s="33">
        <f>'дод. 4'!O49</f>
        <v>11857448.45</v>
      </c>
      <c r="P18" s="33">
        <f aca="true" t="shared" si="5" ref="P18:P33">E18+J18</f>
        <v>263261169.99</v>
      </c>
      <c r="Q18" s="101"/>
    </row>
    <row r="19" spans="1:17" s="23" customFormat="1" ht="15">
      <c r="A19" s="21"/>
      <c r="B19" s="24"/>
      <c r="C19" s="24"/>
      <c r="D19" s="37" t="s">
        <v>210</v>
      </c>
      <c r="E19" s="33">
        <f t="shared" si="3"/>
        <v>188621912.34</v>
      </c>
      <c r="F19" s="33">
        <f>'дод. 4'!F50</f>
        <v>188621912.34</v>
      </c>
      <c r="G19" s="33">
        <f>'дод. 4'!G50</f>
        <v>129584283</v>
      </c>
      <c r="H19" s="33">
        <f>'дод. 4'!H50</f>
        <v>28025289</v>
      </c>
      <c r="I19" s="33">
        <f>'дод. 4'!I50</f>
        <v>0</v>
      </c>
      <c r="J19" s="33">
        <f t="shared" si="4"/>
        <v>0</v>
      </c>
      <c r="K19" s="33">
        <f>'дод. 4'!K50</f>
        <v>0</v>
      </c>
      <c r="L19" s="33">
        <f>'дод. 4'!L50</f>
        <v>0</v>
      </c>
      <c r="M19" s="33">
        <f>'дод. 4'!M50</f>
        <v>0</v>
      </c>
      <c r="N19" s="33">
        <f>'дод. 4'!N50</f>
        <v>0</v>
      </c>
      <c r="O19" s="33">
        <f>'дод. 4'!O50</f>
        <v>0</v>
      </c>
      <c r="P19" s="33">
        <f t="shared" si="5"/>
        <v>188621912.34</v>
      </c>
      <c r="Q19" s="101"/>
    </row>
    <row r="20" spans="1:17" s="23" customFormat="1" ht="15">
      <c r="A20" s="21"/>
      <c r="B20" s="24" t="s">
        <v>63</v>
      </c>
      <c r="C20" s="24" t="s">
        <v>152</v>
      </c>
      <c r="D20" s="25" t="s">
        <v>64</v>
      </c>
      <c r="E20" s="33">
        <f t="shared" si="3"/>
        <v>357724</v>
      </c>
      <c r="F20" s="33">
        <f>'дод. 4'!F51</f>
        <v>357724</v>
      </c>
      <c r="G20" s="33">
        <f>'дод. 4'!G51</f>
        <v>292913</v>
      </c>
      <c r="H20" s="33">
        <f>'дод. 4'!H51</f>
        <v>0</v>
      </c>
      <c r="I20" s="33">
        <f>'дод. 4'!I51</f>
        <v>0</v>
      </c>
      <c r="J20" s="33">
        <f t="shared" si="4"/>
        <v>0</v>
      </c>
      <c r="K20" s="33">
        <f>'дод. 4'!K51</f>
        <v>0</v>
      </c>
      <c r="L20" s="33">
        <f>'дод. 4'!L51</f>
        <v>0</v>
      </c>
      <c r="M20" s="33">
        <f>'дод. 4'!M51</f>
        <v>0</v>
      </c>
      <c r="N20" s="33">
        <f>'дод. 4'!N51</f>
        <v>0</v>
      </c>
      <c r="O20" s="33">
        <f>'дод. 4'!O51</f>
        <v>0</v>
      </c>
      <c r="P20" s="33">
        <f t="shared" si="5"/>
        <v>357724</v>
      </c>
      <c r="Q20" s="101"/>
    </row>
    <row r="21" spans="1:17" s="23" customFormat="1" ht="15">
      <c r="A21" s="21"/>
      <c r="B21" s="24"/>
      <c r="C21" s="24"/>
      <c r="D21" s="37" t="s">
        <v>210</v>
      </c>
      <c r="E21" s="33">
        <f t="shared" si="3"/>
        <v>357354</v>
      </c>
      <c r="F21" s="33">
        <f>'дод. 4'!F52</f>
        <v>357354</v>
      </c>
      <c r="G21" s="33">
        <f>'дод. 4'!G52</f>
        <v>292913</v>
      </c>
      <c r="H21" s="33">
        <f>'дод. 4'!H52</f>
        <v>0</v>
      </c>
      <c r="I21" s="33">
        <f>'дод. 4'!I52</f>
        <v>0</v>
      </c>
      <c r="J21" s="33">
        <f t="shared" si="4"/>
        <v>0</v>
      </c>
      <c r="K21" s="33">
        <f>'дод. 4'!K52</f>
        <v>0</v>
      </c>
      <c r="L21" s="33">
        <f>'дод. 4'!L52</f>
        <v>0</v>
      </c>
      <c r="M21" s="33">
        <f>'дод. 4'!M52</f>
        <v>0</v>
      </c>
      <c r="N21" s="33">
        <f>'дод. 4'!N52</f>
        <v>0</v>
      </c>
      <c r="O21" s="33">
        <f>'дод. 4'!O52</f>
        <v>0</v>
      </c>
      <c r="P21" s="33">
        <f t="shared" si="5"/>
        <v>357354</v>
      </c>
      <c r="Q21" s="101"/>
    </row>
    <row r="22" spans="1:17" s="23" customFormat="1" ht="30">
      <c r="A22" s="21"/>
      <c r="B22" s="24" t="s">
        <v>304</v>
      </c>
      <c r="C22" s="24" t="s">
        <v>151</v>
      </c>
      <c r="D22" s="25" t="s">
        <v>305</v>
      </c>
      <c r="E22" s="33">
        <f t="shared" si="3"/>
        <v>1678900</v>
      </c>
      <c r="F22" s="33">
        <f>'дод. 4'!F89</f>
        <v>1678900</v>
      </c>
      <c r="G22" s="33">
        <f>'дод. 4'!G89</f>
        <v>0</v>
      </c>
      <c r="H22" s="33">
        <f>'дод. 4'!H89</f>
        <v>0</v>
      </c>
      <c r="I22" s="33">
        <f>'дод. 4'!I53</f>
        <v>0</v>
      </c>
      <c r="J22" s="33">
        <f t="shared" si="4"/>
        <v>0</v>
      </c>
      <c r="K22" s="33">
        <f>'дод. 4'!K89</f>
        <v>0</v>
      </c>
      <c r="L22" s="33">
        <f>'дод. 4'!L89</f>
        <v>0</v>
      </c>
      <c r="M22" s="33">
        <f>'дод. 4'!M89</f>
        <v>0</v>
      </c>
      <c r="N22" s="33">
        <f>'дод. 4'!N89</f>
        <v>0</v>
      </c>
      <c r="O22" s="33">
        <f>'дод. 4'!O89</f>
        <v>0</v>
      </c>
      <c r="P22" s="33">
        <f t="shared" si="5"/>
        <v>1678900</v>
      </c>
      <c r="Q22" s="101"/>
    </row>
    <row r="23" spans="1:17" s="23" customFormat="1" ht="15">
      <c r="A23" s="21"/>
      <c r="B23" s="24"/>
      <c r="C23" s="24"/>
      <c r="D23" s="25" t="s">
        <v>263</v>
      </c>
      <c r="E23" s="33">
        <f t="shared" si="3"/>
        <v>1678900</v>
      </c>
      <c r="F23" s="33">
        <f>'дод. 4'!F90</f>
        <v>1678900</v>
      </c>
      <c r="G23" s="33">
        <f>'дод. 4'!G90</f>
        <v>0</v>
      </c>
      <c r="H23" s="33">
        <f>'дод. 4'!H90</f>
        <v>0</v>
      </c>
      <c r="I23" s="33">
        <f>'дод. 4'!I54</f>
        <v>0</v>
      </c>
      <c r="J23" s="33">
        <f t="shared" si="4"/>
        <v>0</v>
      </c>
      <c r="K23" s="33">
        <f>'дод. 4'!K90</f>
        <v>0</v>
      </c>
      <c r="L23" s="33">
        <f>'дод. 4'!L90</f>
        <v>0</v>
      </c>
      <c r="M23" s="33">
        <f>'дод. 4'!M90</f>
        <v>0</v>
      </c>
      <c r="N23" s="33">
        <f>'дод. 4'!N90</f>
        <v>0</v>
      </c>
      <c r="O23" s="33">
        <f>'дод. 4'!O90</f>
        <v>0</v>
      </c>
      <c r="P23" s="33">
        <f t="shared" si="5"/>
        <v>1678900</v>
      </c>
      <c r="Q23" s="101"/>
    </row>
    <row r="24" spans="1:17" s="23" customFormat="1" ht="60">
      <c r="A24" s="21"/>
      <c r="B24" s="24" t="s">
        <v>65</v>
      </c>
      <c r="C24" s="24" t="s">
        <v>153</v>
      </c>
      <c r="D24" s="25" t="s">
        <v>66</v>
      </c>
      <c r="E24" s="33">
        <f t="shared" si="3"/>
        <v>4551243.75</v>
      </c>
      <c r="F24" s="33">
        <f>'дод. 4'!F53</f>
        <v>4551243.75</v>
      </c>
      <c r="G24" s="33">
        <f>'дод. 4'!G53</f>
        <v>2830865</v>
      </c>
      <c r="H24" s="33">
        <f>'дод. 4'!H53</f>
        <v>517072</v>
      </c>
      <c r="I24" s="33">
        <f>'дод. 4'!I53</f>
        <v>0</v>
      </c>
      <c r="J24" s="33">
        <f t="shared" si="4"/>
        <v>123583</v>
      </c>
      <c r="K24" s="33">
        <f>'дод. 4'!K53</f>
        <v>0</v>
      </c>
      <c r="L24" s="33">
        <f>'дод. 4'!L53</f>
        <v>0</v>
      </c>
      <c r="M24" s="33">
        <f>'дод. 4'!M53</f>
        <v>0</v>
      </c>
      <c r="N24" s="33">
        <f>'дод. 4'!N53</f>
        <v>123583</v>
      </c>
      <c r="O24" s="33">
        <f>'дод. 4'!O53</f>
        <v>123583</v>
      </c>
      <c r="P24" s="33">
        <f t="shared" si="5"/>
        <v>4674826.75</v>
      </c>
      <c r="Q24" s="101"/>
    </row>
    <row r="25" spans="1:17" s="23" customFormat="1" ht="15">
      <c r="A25" s="21"/>
      <c r="B25" s="24"/>
      <c r="C25" s="24"/>
      <c r="D25" s="37" t="s">
        <v>210</v>
      </c>
      <c r="E25" s="33">
        <f t="shared" si="3"/>
        <v>4292978.75</v>
      </c>
      <c r="F25" s="33">
        <f>'дод. 4'!F54</f>
        <v>4292978.75</v>
      </c>
      <c r="G25" s="33">
        <f>'дод. 4'!G54</f>
        <v>2830865</v>
      </c>
      <c r="H25" s="33">
        <f>'дод. 4'!H54</f>
        <v>467092</v>
      </c>
      <c r="I25" s="33">
        <f>'дод. 4'!I54</f>
        <v>0</v>
      </c>
      <c r="J25" s="33">
        <f t="shared" si="4"/>
        <v>0</v>
      </c>
      <c r="K25" s="33">
        <f>'дод. 4'!K54</f>
        <v>0</v>
      </c>
      <c r="L25" s="33">
        <f>'дод. 4'!L54</f>
        <v>0</v>
      </c>
      <c r="M25" s="33">
        <f>'дод. 4'!M54</f>
        <v>0</v>
      </c>
      <c r="N25" s="33">
        <f>'дод. 4'!N54</f>
        <v>0</v>
      </c>
      <c r="O25" s="33">
        <f>'дод. 4'!O54</f>
        <v>0</v>
      </c>
      <c r="P25" s="33">
        <f t="shared" si="5"/>
        <v>4292978.75</v>
      </c>
      <c r="Q25" s="101"/>
    </row>
    <row r="26" spans="1:17" s="23" customFormat="1" ht="30">
      <c r="A26" s="21"/>
      <c r="B26" s="24" t="s">
        <v>67</v>
      </c>
      <c r="C26" s="24" t="s">
        <v>154</v>
      </c>
      <c r="D26" s="25" t="s">
        <v>68</v>
      </c>
      <c r="E26" s="33">
        <f t="shared" si="3"/>
        <v>12507899</v>
      </c>
      <c r="F26" s="33">
        <f>'дод. 4'!F55</f>
        <v>12507899</v>
      </c>
      <c r="G26" s="33">
        <f>'дод. 4'!G55</f>
        <v>8473152</v>
      </c>
      <c r="H26" s="33">
        <f>'дод. 4'!H55</f>
        <v>1785662</v>
      </c>
      <c r="I26" s="33">
        <f>'дод. 4'!I55</f>
        <v>0</v>
      </c>
      <c r="J26" s="33">
        <f t="shared" si="4"/>
        <v>450000</v>
      </c>
      <c r="K26" s="33">
        <f>'дод. 4'!K55</f>
        <v>0</v>
      </c>
      <c r="L26" s="33">
        <f>'дод. 4'!L55</f>
        <v>0</v>
      </c>
      <c r="M26" s="33">
        <f>'дод. 4'!M55</f>
        <v>0</v>
      </c>
      <c r="N26" s="33">
        <f>'дод. 4'!N55</f>
        <v>450000</v>
      </c>
      <c r="O26" s="33">
        <f>'дод. 4'!O55</f>
        <v>450000</v>
      </c>
      <c r="P26" s="33">
        <f t="shared" si="5"/>
        <v>12957899</v>
      </c>
      <c r="Q26" s="101"/>
    </row>
    <row r="27" spans="1:17" s="23" customFormat="1" ht="15">
      <c r="A27" s="21"/>
      <c r="B27" s="24" t="s">
        <v>314</v>
      </c>
      <c r="C27" s="24" t="s">
        <v>316</v>
      </c>
      <c r="D27" s="25" t="s">
        <v>315</v>
      </c>
      <c r="E27" s="33">
        <f t="shared" si="3"/>
        <v>55886018</v>
      </c>
      <c r="F27" s="33">
        <f>'дод. 4'!F56</f>
        <v>55886018</v>
      </c>
      <c r="G27" s="33">
        <f>'дод. 4'!G56</f>
        <v>26608329</v>
      </c>
      <c r="H27" s="33">
        <f>'дод. 4'!H56</f>
        <v>6083140</v>
      </c>
      <c r="I27" s="33">
        <f>'дод. 4'!I56</f>
        <v>0</v>
      </c>
      <c r="J27" s="33">
        <f t="shared" si="4"/>
        <v>6764260</v>
      </c>
      <c r="K27" s="33">
        <f>'дод. 4'!K56</f>
        <v>6459260</v>
      </c>
      <c r="L27" s="33">
        <f>'дод. 4'!L56</f>
        <v>1729928</v>
      </c>
      <c r="M27" s="33">
        <f>'дод. 4'!M56</f>
        <v>1470248</v>
      </c>
      <c r="N27" s="33">
        <f>'дод. 4'!N56</f>
        <v>305000</v>
      </c>
      <c r="O27" s="33">
        <f>'дод. 4'!O56</f>
        <v>0</v>
      </c>
      <c r="P27" s="33">
        <f t="shared" si="5"/>
        <v>62650278</v>
      </c>
      <c r="Q27" s="101"/>
    </row>
    <row r="28" spans="1:17" s="23" customFormat="1" ht="30">
      <c r="A28" s="21"/>
      <c r="B28" s="24" t="s">
        <v>69</v>
      </c>
      <c r="C28" s="24" t="s">
        <v>155</v>
      </c>
      <c r="D28" s="25" t="s">
        <v>70</v>
      </c>
      <c r="E28" s="33">
        <f t="shared" si="3"/>
        <v>1772574</v>
      </c>
      <c r="F28" s="33">
        <f>'дод. 4'!F57</f>
        <v>1772574</v>
      </c>
      <c r="G28" s="33">
        <f>'дод. 4'!G57</f>
        <v>1350518</v>
      </c>
      <c r="H28" s="33">
        <f>'дод. 4'!H57</f>
        <v>79885</v>
      </c>
      <c r="I28" s="33">
        <f>'дод. 4'!I57</f>
        <v>0</v>
      </c>
      <c r="J28" s="33">
        <f t="shared" si="4"/>
        <v>121000</v>
      </c>
      <c r="K28" s="33">
        <f>'дод. 4'!K57</f>
        <v>0</v>
      </c>
      <c r="L28" s="33">
        <f>'дод. 4'!L57</f>
        <v>0</v>
      </c>
      <c r="M28" s="33">
        <f>'дод. 4'!M57</f>
        <v>0</v>
      </c>
      <c r="N28" s="33">
        <f>'дод. 4'!N57</f>
        <v>121000</v>
      </c>
      <c r="O28" s="33">
        <f>'дод. 4'!O57</f>
        <v>121000</v>
      </c>
      <c r="P28" s="33">
        <f t="shared" si="5"/>
        <v>1893574</v>
      </c>
      <c r="Q28" s="101"/>
    </row>
    <row r="29" spans="1:17" s="23" customFormat="1" ht="30">
      <c r="A29" s="21"/>
      <c r="B29" s="24" t="s">
        <v>71</v>
      </c>
      <c r="C29" s="24" t="s">
        <v>155</v>
      </c>
      <c r="D29" s="25" t="s">
        <v>72</v>
      </c>
      <c r="E29" s="33">
        <f t="shared" si="3"/>
        <v>1645336</v>
      </c>
      <c r="F29" s="33">
        <f>'дод. 4'!F58</f>
        <v>1645336</v>
      </c>
      <c r="G29" s="33">
        <f>'дод. 4'!G58</f>
        <v>1169230</v>
      </c>
      <c r="H29" s="33">
        <f>'дод. 4'!H58</f>
        <v>82225</v>
      </c>
      <c r="I29" s="33">
        <f>'дод. 4'!I58</f>
        <v>0</v>
      </c>
      <c r="J29" s="33">
        <f t="shared" si="4"/>
        <v>93000</v>
      </c>
      <c r="K29" s="33">
        <f>'дод. 4'!K58</f>
        <v>0</v>
      </c>
      <c r="L29" s="33">
        <f>'дод. 4'!L58</f>
        <v>0</v>
      </c>
      <c r="M29" s="33">
        <f>'дод. 4'!M58</f>
        <v>0</v>
      </c>
      <c r="N29" s="33">
        <f>'дод. 4'!N58</f>
        <v>93000</v>
      </c>
      <c r="O29" s="33">
        <f>'дод. 4'!O58</f>
        <v>93000</v>
      </c>
      <c r="P29" s="33">
        <f t="shared" si="5"/>
        <v>1738336</v>
      </c>
      <c r="Q29" s="101"/>
    </row>
    <row r="30" spans="1:17" s="23" customFormat="1" ht="30">
      <c r="A30" s="21"/>
      <c r="B30" s="24" t="s">
        <v>73</v>
      </c>
      <c r="C30" s="24" t="s">
        <v>155</v>
      </c>
      <c r="D30" s="25" t="s">
        <v>74</v>
      </c>
      <c r="E30" s="33">
        <f t="shared" si="3"/>
        <v>162138</v>
      </c>
      <c r="F30" s="33">
        <f>'дод. 4'!F59</f>
        <v>162138</v>
      </c>
      <c r="G30" s="33">
        <f>'дод. 4'!G59</f>
        <v>126390</v>
      </c>
      <c r="H30" s="33">
        <f>'дод. 4'!H59</f>
        <v>5147</v>
      </c>
      <c r="I30" s="33">
        <f>'дод. 4'!I59</f>
        <v>0</v>
      </c>
      <c r="J30" s="33">
        <f t="shared" si="4"/>
        <v>0</v>
      </c>
      <c r="K30" s="33">
        <f>'дод. 4'!K59</f>
        <v>0</v>
      </c>
      <c r="L30" s="33">
        <f>'дод. 4'!L59</f>
        <v>0</v>
      </c>
      <c r="M30" s="33">
        <f>'дод. 4'!M59</f>
        <v>0</v>
      </c>
      <c r="N30" s="33">
        <f>'дод. 4'!N59</f>
        <v>0</v>
      </c>
      <c r="O30" s="33">
        <f>'дод. 4'!O59</f>
        <v>0</v>
      </c>
      <c r="P30" s="33">
        <f t="shared" si="5"/>
        <v>162138</v>
      </c>
      <c r="Q30" s="101"/>
    </row>
    <row r="31" spans="1:17" s="23" customFormat="1" ht="15">
      <c r="A31" s="21"/>
      <c r="B31" s="24" t="s">
        <v>75</v>
      </c>
      <c r="C31" s="24" t="s">
        <v>155</v>
      </c>
      <c r="D31" s="25" t="s">
        <v>76</v>
      </c>
      <c r="E31" s="33">
        <f t="shared" si="3"/>
        <v>2600414</v>
      </c>
      <c r="F31" s="33">
        <f>'дод. 4'!F60</f>
        <v>2600414</v>
      </c>
      <c r="G31" s="33">
        <f>'дод. 4'!G60</f>
        <v>1691788</v>
      </c>
      <c r="H31" s="33">
        <f>'дод. 4'!H60</f>
        <v>335643</v>
      </c>
      <c r="I31" s="33">
        <f>'дод. 4'!I60</f>
        <v>0</v>
      </c>
      <c r="J31" s="33">
        <f t="shared" si="4"/>
        <v>150000</v>
      </c>
      <c r="K31" s="33">
        <f>'дод. 4'!K60</f>
        <v>0</v>
      </c>
      <c r="L31" s="33">
        <f>'дод. 4'!L60</f>
        <v>0</v>
      </c>
      <c r="M31" s="33">
        <f>'дод. 4'!M60</f>
        <v>0</v>
      </c>
      <c r="N31" s="33">
        <f>'дод. 4'!N60</f>
        <v>150000</v>
      </c>
      <c r="O31" s="33">
        <f>'дод. 4'!O60</f>
        <v>150000</v>
      </c>
      <c r="P31" s="33">
        <f t="shared" si="5"/>
        <v>2750414</v>
      </c>
      <c r="Q31" s="101"/>
    </row>
    <row r="32" spans="1:17" s="23" customFormat="1" ht="15">
      <c r="A32" s="21"/>
      <c r="B32" s="24" t="s">
        <v>77</v>
      </c>
      <c r="C32" s="24" t="s">
        <v>155</v>
      </c>
      <c r="D32" s="25" t="s">
        <v>78</v>
      </c>
      <c r="E32" s="33">
        <f t="shared" si="3"/>
        <v>53240</v>
      </c>
      <c r="F32" s="33">
        <f>'дод. 4'!F61</f>
        <v>53240</v>
      </c>
      <c r="G32" s="33">
        <f>'дод. 4'!G61</f>
        <v>0</v>
      </c>
      <c r="H32" s="33">
        <f>'дод. 4'!H61</f>
        <v>0</v>
      </c>
      <c r="I32" s="33">
        <f>'дод. 4'!I61</f>
        <v>0</v>
      </c>
      <c r="J32" s="33">
        <f t="shared" si="4"/>
        <v>0</v>
      </c>
      <c r="K32" s="33">
        <f>'дод. 4'!K61</f>
        <v>0</v>
      </c>
      <c r="L32" s="33">
        <f>'дод. 4'!L61</f>
        <v>0</v>
      </c>
      <c r="M32" s="33">
        <f>'дод. 4'!M61</f>
        <v>0</v>
      </c>
      <c r="N32" s="33">
        <f>'дод. 4'!N61</f>
        <v>0</v>
      </c>
      <c r="O32" s="33">
        <f>'дод. 4'!O61</f>
        <v>0</v>
      </c>
      <c r="P32" s="33">
        <f t="shared" si="5"/>
        <v>53240</v>
      </c>
      <c r="Q32" s="101"/>
    </row>
    <row r="33" spans="1:17" s="23" customFormat="1" ht="62.25" customHeight="1">
      <c r="A33" s="21"/>
      <c r="B33" s="24" t="s">
        <v>79</v>
      </c>
      <c r="C33" s="24" t="s">
        <v>155</v>
      </c>
      <c r="D33" s="25" t="s">
        <v>80</v>
      </c>
      <c r="E33" s="33">
        <f t="shared" si="3"/>
        <v>45250</v>
      </c>
      <c r="F33" s="33">
        <f>'дод. 4'!F62</f>
        <v>45250</v>
      </c>
      <c r="G33" s="33">
        <f>'дод. 4'!G62</f>
        <v>0</v>
      </c>
      <c r="H33" s="33">
        <f>'дод. 4'!H62</f>
        <v>0</v>
      </c>
      <c r="I33" s="33">
        <f>'дод. 4'!I62</f>
        <v>0</v>
      </c>
      <c r="J33" s="33">
        <f t="shared" si="4"/>
        <v>0</v>
      </c>
      <c r="K33" s="33">
        <f>'дод. 4'!K62</f>
        <v>0</v>
      </c>
      <c r="L33" s="33">
        <f>'дод. 4'!L62</f>
        <v>0</v>
      </c>
      <c r="M33" s="33">
        <f>'дод. 4'!M62</f>
        <v>0</v>
      </c>
      <c r="N33" s="33">
        <f>'дод. 4'!N62</f>
        <v>0</v>
      </c>
      <c r="O33" s="33">
        <f>'дод. 4'!O62</f>
        <v>0</v>
      </c>
      <c r="P33" s="33">
        <f t="shared" si="5"/>
        <v>45250</v>
      </c>
      <c r="Q33" s="101"/>
    </row>
    <row r="34" spans="1:17" s="23" customFormat="1" ht="15">
      <c r="A34" s="21"/>
      <c r="B34" s="62" t="s">
        <v>217</v>
      </c>
      <c r="C34" s="63"/>
      <c r="D34" s="63" t="s">
        <v>218</v>
      </c>
      <c r="E34" s="66">
        <f>E36+E38+E40+E42+E44+E46+E48+E50</f>
        <v>223934127.43</v>
      </c>
      <c r="F34" s="66">
        <f>F36+F38+F40+F42+F44+F46+F48+F50</f>
        <v>223934127.43</v>
      </c>
      <c r="G34" s="66">
        <f>G36+G38+G40+G42+G44+G46+G48+G50</f>
        <v>126307359</v>
      </c>
      <c r="H34" s="66">
        <f aca="true" t="shared" si="6" ref="H34:P34">H36+H38+H40+H42+H44+H46+H48+H50</f>
        <v>19115405</v>
      </c>
      <c r="I34" s="66">
        <f t="shared" si="6"/>
        <v>0</v>
      </c>
      <c r="J34" s="66">
        <f t="shared" si="6"/>
        <v>36663878</v>
      </c>
      <c r="K34" s="66">
        <f t="shared" si="6"/>
        <v>11785214</v>
      </c>
      <c r="L34" s="66">
        <f t="shared" si="6"/>
        <v>6366242</v>
      </c>
      <c r="M34" s="66">
        <f t="shared" si="6"/>
        <v>500810</v>
      </c>
      <c r="N34" s="66">
        <f t="shared" si="6"/>
        <v>24878664</v>
      </c>
      <c r="O34" s="66">
        <f t="shared" si="6"/>
        <v>24878664</v>
      </c>
      <c r="P34" s="66">
        <f t="shared" si="6"/>
        <v>260598005.43</v>
      </c>
      <c r="Q34" s="101"/>
    </row>
    <row r="35" spans="1:17" s="23" customFormat="1" ht="15">
      <c r="A35" s="21"/>
      <c r="B35" s="62"/>
      <c r="C35" s="63"/>
      <c r="D35" s="37" t="s">
        <v>210</v>
      </c>
      <c r="E35" s="33">
        <f>F35+I35</f>
        <v>205797569.43</v>
      </c>
      <c r="F35" s="33">
        <f>F37+F39+F41+F43+F45+F47+F49+F51</f>
        <v>205797569.43</v>
      </c>
      <c r="G35" s="33">
        <f>G37+G39+G41+G43+G45+G47+G49+G51</f>
        <v>126307359</v>
      </c>
      <c r="H35" s="33">
        <f>H37+H39+H41+H43+H45+H47+H49+H51</f>
        <v>19115405</v>
      </c>
      <c r="I35" s="33">
        <f>I37+I39+I41+I43+I45+I47+I49+I51</f>
        <v>0</v>
      </c>
      <c r="J35" s="33">
        <f>K35+N35</f>
        <v>0</v>
      </c>
      <c r="K35" s="33">
        <f>K37+K39+K41+K43+K45+K47+K49+K51</f>
        <v>0</v>
      </c>
      <c r="L35" s="33">
        <f>L37+L39+L41+L43+L45+L47+L49+L51</f>
        <v>0</v>
      </c>
      <c r="M35" s="33">
        <f>M37+M39+M41+M43+M45+M47+M49+M51</f>
        <v>0</v>
      </c>
      <c r="N35" s="33">
        <f>N37+N39+N41+N43+N45+N47+N49+N51</f>
        <v>0</v>
      </c>
      <c r="O35" s="33">
        <f>O37+O39+O41+O43+O45+O47+O49+O51</f>
        <v>0</v>
      </c>
      <c r="P35" s="33">
        <f>E35+J35</f>
        <v>205797569.43</v>
      </c>
      <c r="Q35" s="101"/>
    </row>
    <row r="36" spans="1:17" s="23" customFormat="1" ht="15" customHeight="1">
      <c r="A36" s="21"/>
      <c r="B36" s="24" t="s">
        <v>82</v>
      </c>
      <c r="C36" s="24" t="s">
        <v>158</v>
      </c>
      <c r="D36" s="25" t="s">
        <v>83</v>
      </c>
      <c r="E36" s="33">
        <f>F36+I36</f>
        <v>177372858.43</v>
      </c>
      <c r="F36" s="33">
        <f>'дод. 4'!F70+'дод. 4'!F192</f>
        <v>177372858.43</v>
      </c>
      <c r="G36" s="33">
        <f>'дод. 4'!G70+'дод. 4'!G192</f>
        <v>103400916</v>
      </c>
      <c r="H36" s="33">
        <f>'дод. 4'!H70+'дод. 4'!H192</f>
        <v>15447851</v>
      </c>
      <c r="I36" s="33">
        <f>'дод. 4'!I70+'дод. 4'!I192</f>
        <v>0</v>
      </c>
      <c r="J36" s="33">
        <f>K36+N36</f>
        <v>26349782</v>
      </c>
      <c r="K36" s="33">
        <f>'дод. 4'!K70+'дод. 4'!K192</f>
        <v>7844182</v>
      </c>
      <c r="L36" s="33">
        <f>'дод. 4'!L70+'дод. 4'!L192</f>
        <v>4083407</v>
      </c>
      <c r="M36" s="33">
        <f>'дод. 4'!M70+'дод. 4'!M192</f>
        <v>177480</v>
      </c>
      <c r="N36" s="33">
        <f>'дод. 4'!N70+'дод. 4'!N192</f>
        <v>18505600</v>
      </c>
      <c r="O36" s="33">
        <f>'дод. 4'!O70+'дод. 4'!O192</f>
        <v>18505600</v>
      </c>
      <c r="P36" s="33">
        <f>E36+J36</f>
        <v>203722640.43</v>
      </c>
      <c r="Q36" s="91"/>
    </row>
    <row r="37" spans="1:17" s="23" customFormat="1" ht="15">
      <c r="A37" s="21"/>
      <c r="B37" s="24"/>
      <c r="C37" s="24"/>
      <c r="D37" s="37" t="s">
        <v>210</v>
      </c>
      <c r="E37" s="33">
        <f aca="true" t="shared" si="7" ref="E37:E57">F37+I37</f>
        <v>162855627.43</v>
      </c>
      <c r="F37" s="33">
        <f>'дод. 4'!F71</f>
        <v>162855627.43</v>
      </c>
      <c r="G37" s="33">
        <f>'дод. 4'!G71</f>
        <v>103400916</v>
      </c>
      <c r="H37" s="33">
        <f>'дод. 4'!H71</f>
        <v>15447851</v>
      </c>
      <c r="I37" s="33">
        <f>'дод. 4'!I71</f>
        <v>0</v>
      </c>
      <c r="J37" s="33">
        <f aca="true" t="shared" si="8" ref="J37:J50">K37+N37</f>
        <v>0</v>
      </c>
      <c r="K37" s="33">
        <f>'дод. 4'!K71</f>
        <v>0</v>
      </c>
      <c r="L37" s="33">
        <f>'дод. 4'!L71</f>
        <v>0</v>
      </c>
      <c r="M37" s="33">
        <f>'дод. 4'!M71</f>
        <v>0</v>
      </c>
      <c r="N37" s="33">
        <f>'дод. 4'!N71</f>
        <v>0</v>
      </c>
      <c r="O37" s="33">
        <f>'дод. 4'!O71</f>
        <v>0</v>
      </c>
      <c r="P37" s="33">
        <f aca="true" t="shared" si="9" ref="P37:P51">E37+J37</f>
        <v>162855627.43</v>
      </c>
      <c r="Q37" s="91"/>
    </row>
    <row r="38" spans="1:17" s="23" customFormat="1" ht="15">
      <c r="A38" s="21"/>
      <c r="B38" s="30" t="s">
        <v>84</v>
      </c>
      <c r="C38" s="30" t="s">
        <v>159</v>
      </c>
      <c r="D38" s="31" t="s">
        <v>85</v>
      </c>
      <c r="E38" s="33">
        <f t="shared" si="7"/>
        <v>18320764</v>
      </c>
      <c r="F38" s="33">
        <f>'дод. 4'!F72</f>
        <v>18320764</v>
      </c>
      <c r="G38" s="33">
        <f>'дод. 4'!G72</f>
        <v>11745230</v>
      </c>
      <c r="H38" s="33">
        <f>'дод. 4'!H72</f>
        <v>2655803</v>
      </c>
      <c r="I38" s="33">
        <f>'дод. 4'!I72</f>
        <v>0</v>
      </c>
      <c r="J38" s="33">
        <f t="shared" si="8"/>
        <v>2919304</v>
      </c>
      <c r="K38" s="33">
        <f>'дод. 4'!K72</f>
        <v>25240</v>
      </c>
      <c r="L38" s="33">
        <f>'дод. 4'!L72</f>
        <v>9460</v>
      </c>
      <c r="M38" s="33">
        <f>'дод. 4'!M72</f>
        <v>4150</v>
      </c>
      <c r="N38" s="33">
        <f>'дод. 4'!N72</f>
        <v>2894064</v>
      </c>
      <c r="O38" s="33">
        <f>'дод. 4'!O72</f>
        <v>2894064</v>
      </c>
      <c r="P38" s="33">
        <f t="shared" si="9"/>
        <v>21240068</v>
      </c>
      <c r="Q38" s="91"/>
    </row>
    <row r="39" spans="1:17" s="23" customFormat="1" ht="15">
      <c r="A39" s="21"/>
      <c r="B39" s="30"/>
      <c r="C39" s="30"/>
      <c r="D39" s="37" t="s">
        <v>210</v>
      </c>
      <c r="E39" s="33">
        <f t="shared" si="7"/>
        <v>17257714</v>
      </c>
      <c r="F39" s="33">
        <f>'дод. 4'!F73</f>
        <v>17257714</v>
      </c>
      <c r="G39" s="33">
        <f>'дод. 4'!G73</f>
        <v>11745230</v>
      </c>
      <c r="H39" s="33">
        <f>'дод. 4'!H73</f>
        <v>2655803</v>
      </c>
      <c r="I39" s="33">
        <f>'дод. 4'!I73</f>
        <v>0</v>
      </c>
      <c r="J39" s="33">
        <f t="shared" si="8"/>
        <v>0</v>
      </c>
      <c r="K39" s="33">
        <f>'дод. 4'!K73</f>
        <v>0</v>
      </c>
      <c r="L39" s="33">
        <f>'дод. 4'!L73</f>
        <v>0</v>
      </c>
      <c r="M39" s="33">
        <f>'дод. 4'!M73</f>
        <v>0</v>
      </c>
      <c r="N39" s="33">
        <f>'дод. 4'!N73</f>
        <v>0</v>
      </c>
      <c r="O39" s="33">
        <f>'дод. 4'!O73</f>
        <v>0</v>
      </c>
      <c r="P39" s="33">
        <f t="shared" si="9"/>
        <v>17257714</v>
      </c>
      <c r="Q39" s="91"/>
    </row>
    <row r="40" spans="1:17" s="23" customFormat="1" ht="60">
      <c r="A40" s="21"/>
      <c r="B40" s="44" t="s">
        <v>187</v>
      </c>
      <c r="C40" s="44" t="s">
        <v>188</v>
      </c>
      <c r="D40" s="37" t="s">
        <v>189</v>
      </c>
      <c r="E40" s="33">
        <f t="shared" si="7"/>
        <v>1631938</v>
      </c>
      <c r="F40" s="33">
        <f>'дод. 4'!F74</f>
        <v>1631938</v>
      </c>
      <c r="G40" s="33">
        <f>'дод. 4'!G74</f>
        <v>1227889</v>
      </c>
      <c r="H40" s="33">
        <f>'дод. 4'!H74</f>
        <v>76813</v>
      </c>
      <c r="I40" s="33">
        <f>'дод. 4'!I74</f>
        <v>0</v>
      </c>
      <c r="J40" s="33">
        <f t="shared" si="8"/>
        <v>407000</v>
      </c>
      <c r="K40" s="33">
        <f>'дод. 4'!K74</f>
        <v>407000</v>
      </c>
      <c r="L40" s="33">
        <f>'дод. 4'!L74</f>
        <v>98000</v>
      </c>
      <c r="M40" s="33">
        <f>'дод. 4'!M74</f>
        <v>132800</v>
      </c>
      <c r="N40" s="33">
        <f>'дод. 4'!N74</f>
        <v>0</v>
      </c>
      <c r="O40" s="33">
        <f>'дод. 4'!O74</f>
        <v>0</v>
      </c>
      <c r="P40" s="33">
        <f t="shared" si="9"/>
        <v>2038938</v>
      </c>
      <c r="Q40" s="91"/>
    </row>
    <row r="41" spans="1:17" s="23" customFormat="1" ht="15">
      <c r="A41" s="21"/>
      <c r="B41" s="44"/>
      <c r="C41" s="44"/>
      <c r="D41" s="37" t="s">
        <v>210</v>
      </c>
      <c r="E41" s="33">
        <f t="shared" si="7"/>
        <v>1581988</v>
      </c>
      <c r="F41" s="33">
        <f>'дод. 4'!F75</f>
        <v>1581988</v>
      </c>
      <c r="G41" s="33">
        <f>'дод. 4'!G75</f>
        <v>1227889</v>
      </c>
      <c r="H41" s="33">
        <f>'дод. 4'!H75</f>
        <v>76813</v>
      </c>
      <c r="I41" s="33">
        <f>'дод. 4'!I75</f>
        <v>0</v>
      </c>
      <c r="J41" s="33">
        <f t="shared" si="8"/>
        <v>0</v>
      </c>
      <c r="K41" s="33">
        <f>'дод. 4'!K75</f>
        <v>0</v>
      </c>
      <c r="L41" s="33">
        <f>'дод. 4'!L75</f>
        <v>0</v>
      </c>
      <c r="M41" s="33">
        <f>'дод. 4'!M75</f>
        <v>0</v>
      </c>
      <c r="N41" s="33">
        <f>'дод. 4'!N75</f>
        <v>0</v>
      </c>
      <c r="O41" s="33">
        <f>'дод. 4'!O75</f>
        <v>0</v>
      </c>
      <c r="P41" s="33">
        <f t="shared" si="9"/>
        <v>1581988</v>
      </c>
      <c r="Q41" s="91"/>
    </row>
    <row r="42" spans="1:17" s="23" customFormat="1" ht="30">
      <c r="A42" s="21"/>
      <c r="B42" s="24" t="s">
        <v>86</v>
      </c>
      <c r="C42" s="24" t="s">
        <v>160</v>
      </c>
      <c r="D42" s="25" t="s">
        <v>87</v>
      </c>
      <c r="E42" s="33">
        <f t="shared" si="7"/>
        <v>4298380</v>
      </c>
      <c r="F42" s="33">
        <f>'дод. 4'!F76</f>
        <v>4298380</v>
      </c>
      <c r="G42" s="33">
        <f>'дод. 4'!G76</f>
        <v>3017148</v>
      </c>
      <c r="H42" s="33">
        <f>'дод. 4'!H76</f>
        <v>339954</v>
      </c>
      <c r="I42" s="33">
        <f>'дод. 4'!I76</f>
        <v>0</v>
      </c>
      <c r="J42" s="33">
        <f t="shared" si="8"/>
        <v>4353292</v>
      </c>
      <c r="K42" s="33">
        <f>'дод. 4'!K76</f>
        <v>3353292</v>
      </c>
      <c r="L42" s="33">
        <f>'дод. 4'!L76</f>
        <v>2153375</v>
      </c>
      <c r="M42" s="33">
        <f>'дод. 4'!M76</f>
        <v>166719</v>
      </c>
      <c r="N42" s="33">
        <f>'дод. 4'!N76</f>
        <v>1000000</v>
      </c>
      <c r="O42" s="33">
        <f>'дод. 4'!O76</f>
        <v>1000000</v>
      </c>
      <c r="P42" s="33">
        <f t="shared" si="9"/>
        <v>8651672</v>
      </c>
      <c r="Q42" s="91"/>
    </row>
    <row r="43" spans="1:17" s="23" customFormat="1" ht="15">
      <c r="A43" s="21"/>
      <c r="B43" s="24"/>
      <c r="C43" s="24"/>
      <c r="D43" s="37" t="s">
        <v>210</v>
      </c>
      <c r="E43" s="33">
        <f t="shared" si="7"/>
        <v>4103275</v>
      </c>
      <c r="F43" s="33">
        <f>'дод. 4'!F77</f>
        <v>4103275</v>
      </c>
      <c r="G43" s="33">
        <f>'дод. 4'!G77</f>
        <v>3017148</v>
      </c>
      <c r="H43" s="33">
        <f>'дод. 4'!H77</f>
        <v>339954</v>
      </c>
      <c r="I43" s="33">
        <f>'дод. 4'!I77</f>
        <v>0</v>
      </c>
      <c r="J43" s="33">
        <f t="shared" si="8"/>
        <v>0</v>
      </c>
      <c r="K43" s="33">
        <f>'дод. 4'!K77</f>
        <v>0</v>
      </c>
      <c r="L43" s="33">
        <f>'дод. 4'!L77</f>
        <v>0</v>
      </c>
      <c r="M43" s="33">
        <f>'дод. 4'!M77</f>
        <v>0</v>
      </c>
      <c r="N43" s="33">
        <f>'дод. 4'!N77</f>
        <v>0</v>
      </c>
      <c r="O43" s="33">
        <f>'дод. 4'!O77</f>
        <v>0</v>
      </c>
      <c r="P43" s="33">
        <f t="shared" si="9"/>
        <v>4103275</v>
      </c>
      <c r="Q43" s="91"/>
    </row>
    <row r="44" spans="1:17" s="23" customFormat="1" ht="30">
      <c r="A44" s="21"/>
      <c r="B44" s="24" t="s">
        <v>88</v>
      </c>
      <c r="C44" s="24" t="s">
        <v>161</v>
      </c>
      <c r="D44" s="31" t="s">
        <v>89</v>
      </c>
      <c r="E44" s="33">
        <f t="shared" si="7"/>
        <v>9327474</v>
      </c>
      <c r="F44" s="33">
        <f>'дод. 4'!F78</f>
        <v>9327474</v>
      </c>
      <c r="G44" s="33">
        <f>'дод. 4'!G78</f>
        <v>6060985</v>
      </c>
      <c r="H44" s="33">
        <f>'дод. 4'!H78</f>
        <v>564989</v>
      </c>
      <c r="I44" s="33">
        <f>'дод. 4'!I78</f>
        <v>0</v>
      </c>
      <c r="J44" s="33">
        <f t="shared" si="8"/>
        <v>2574500</v>
      </c>
      <c r="K44" s="33">
        <f>'дод. 4'!K78</f>
        <v>155500</v>
      </c>
      <c r="L44" s="33">
        <f>'дод. 4'!L78</f>
        <v>22000</v>
      </c>
      <c r="M44" s="33">
        <f>'дод. 4'!M78</f>
        <v>19661</v>
      </c>
      <c r="N44" s="33">
        <f>'дод. 4'!N78</f>
        <v>2419000</v>
      </c>
      <c r="O44" s="33">
        <f>'дод. 4'!O78</f>
        <v>2419000</v>
      </c>
      <c r="P44" s="33">
        <f t="shared" si="9"/>
        <v>11901974</v>
      </c>
      <c r="Q44" s="91"/>
    </row>
    <row r="45" spans="1:17" s="23" customFormat="1" ht="15">
      <c r="A45" s="21"/>
      <c r="B45" s="24"/>
      <c r="C45" s="24"/>
      <c r="D45" s="37" t="s">
        <v>210</v>
      </c>
      <c r="E45" s="33">
        <f t="shared" si="7"/>
        <v>8308340</v>
      </c>
      <c r="F45" s="33">
        <f>'дод. 4'!F79</f>
        <v>8308340</v>
      </c>
      <c r="G45" s="33">
        <f>'дод. 4'!G79</f>
        <v>6060985</v>
      </c>
      <c r="H45" s="33">
        <f>'дод. 4'!H79</f>
        <v>564989</v>
      </c>
      <c r="I45" s="33">
        <f>'дод. 4'!I79</f>
        <v>0</v>
      </c>
      <c r="J45" s="33">
        <f t="shared" si="8"/>
        <v>0</v>
      </c>
      <c r="K45" s="33">
        <f>'дод. 4'!K79</f>
        <v>0</v>
      </c>
      <c r="L45" s="33">
        <f>'дод. 4'!L79</f>
        <v>0</v>
      </c>
      <c r="M45" s="33">
        <f>'дод. 4'!M79</f>
        <v>0</v>
      </c>
      <c r="N45" s="33">
        <f>'дод. 4'!N79</f>
        <v>0</v>
      </c>
      <c r="O45" s="33">
        <f>'дод. 4'!O79</f>
        <v>0</v>
      </c>
      <c r="P45" s="33">
        <f t="shared" si="9"/>
        <v>8308340</v>
      </c>
      <c r="Q45" s="91"/>
    </row>
    <row r="46" spans="1:17" s="23" customFormat="1" ht="15">
      <c r="A46" s="21"/>
      <c r="B46" s="24" t="s">
        <v>90</v>
      </c>
      <c r="C46" s="24" t="s">
        <v>162</v>
      </c>
      <c r="D46" s="25" t="s">
        <v>91</v>
      </c>
      <c r="E46" s="33">
        <f t="shared" si="7"/>
        <v>1979149</v>
      </c>
      <c r="F46" s="33">
        <f>'дод. 4'!F80</f>
        <v>1979149</v>
      </c>
      <c r="G46" s="33">
        <f>'дод. 4'!G80</f>
        <v>419377</v>
      </c>
      <c r="H46" s="33">
        <f>'дод. 4'!H80</f>
        <v>11415</v>
      </c>
      <c r="I46" s="33">
        <f>'дод. 4'!I80</f>
        <v>0</v>
      </c>
      <c r="J46" s="33">
        <f t="shared" si="8"/>
        <v>20000</v>
      </c>
      <c r="K46" s="33">
        <f>'дод. 4'!K80</f>
        <v>0</v>
      </c>
      <c r="L46" s="33">
        <f>'дод. 4'!L80</f>
        <v>0</v>
      </c>
      <c r="M46" s="33">
        <f>'дод. 4'!M80</f>
        <v>0</v>
      </c>
      <c r="N46" s="33">
        <f>'дод. 4'!N80</f>
        <v>20000</v>
      </c>
      <c r="O46" s="33">
        <f>'дод. 4'!O80</f>
        <v>20000</v>
      </c>
      <c r="P46" s="33">
        <f t="shared" si="9"/>
        <v>1999149</v>
      </c>
      <c r="Q46" s="91"/>
    </row>
    <row r="47" spans="1:17" s="48" customFormat="1" ht="15">
      <c r="A47" s="47"/>
      <c r="B47" s="24"/>
      <c r="C47" s="24"/>
      <c r="D47" s="37" t="s">
        <v>210</v>
      </c>
      <c r="E47" s="33">
        <f t="shared" si="7"/>
        <v>768065</v>
      </c>
      <c r="F47" s="33">
        <f>'дод. 4'!F81</f>
        <v>768065</v>
      </c>
      <c r="G47" s="33">
        <f>'дод. 4'!G81</f>
        <v>419377</v>
      </c>
      <c r="H47" s="33">
        <f>'дод. 4'!H81</f>
        <v>11415</v>
      </c>
      <c r="I47" s="33">
        <f>'дод. 4'!I81</f>
        <v>0</v>
      </c>
      <c r="J47" s="33">
        <f t="shared" si="8"/>
        <v>0</v>
      </c>
      <c r="K47" s="33">
        <f>'дод. 4'!K81</f>
        <v>0</v>
      </c>
      <c r="L47" s="33">
        <f>'дод. 4'!L81</f>
        <v>0</v>
      </c>
      <c r="M47" s="33">
        <f>'дод. 4'!M81</f>
        <v>0</v>
      </c>
      <c r="N47" s="33">
        <f>'дод. 4'!N81</f>
        <v>0</v>
      </c>
      <c r="O47" s="33">
        <f>'дод. 4'!O81</f>
        <v>0</v>
      </c>
      <c r="P47" s="33">
        <f t="shared" si="9"/>
        <v>768065</v>
      </c>
      <c r="Q47" s="91"/>
    </row>
    <row r="48" spans="1:17" s="23" customFormat="1" ht="83.25" customHeight="1">
      <c r="A48" s="21"/>
      <c r="B48" s="30" t="s">
        <v>92</v>
      </c>
      <c r="C48" s="30" t="s">
        <v>162</v>
      </c>
      <c r="D48" s="31" t="s">
        <v>93</v>
      </c>
      <c r="E48" s="33">
        <f t="shared" si="7"/>
        <v>656274</v>
      </c>
      <c r="F48" s="33">
        <f>'дод. 4'!F82</f>
        <v>656274</v>
      </c>
      <c r="G48" s="33">
        <f>'дод. 4'!G82</f>
        <v>435814</v>
      </c>
      <c r="H48" s="33">
        <f>'дод. 4'!H82</f>
        <v>18580</v>
      </c>
      <c r="I48" s="33">
        <f>'дод. 4'!I82</f>
        <v>0</v>
      </c>
      <c r="J48" s="33">
        <f t="shared" si="8"/>
        <v>40000</v>
      </c>
      <c r="K48" s="33">
        <f>'дод. 4'!K82</f>
        <v>0</v>
      </c>
      <c r="L48" s="33">
        <f>'дод. 4'!L82</f>
        <v>0</v>
      </c>
      <c r="M48" s="33">
        <f>'дод. 4'!M82</f>
        <v>0</v>
      </c>
      <c r="N48" s="33">
        <f>'дод. 4'!N82</f>
        <v>40000</v>
      </c>
      <c r="O48" s="33">
        <f>'дод. 4'!O82</f>
        <v>40000</v>
      </c>
      <c r="P48" s="33">
        <f t="shared" si="9"/>
        <v>696274</v>
      </c>
      <c r="Q48" s="91"/>
    </row>
    <row r="49" spans="1:17" s="23" customFormat="1" ht="15">
      <c r="A49" s="21"/>
      <c r="B49" s="30"/>
      <c r="C49" s="30"/>
      <c r="D49" s="37" t="s">
        <v>210</v>
      </c>
      <c r="E49" s="33">
        <f t="shared" si="7"/>
        <v>575270</v>
      </c>
      <c r="F49" s="33">
        <f>'дод. 4'!F83</f>
        <v>575270</v>
      </c>
      <c r="G49" s="33">
        <f>'дод. 4'!G83</f>
        <v>435814</v>
      </c>
      <c r="H49" s="33">
        <f>'дод. 4'!H83</f>
        <v>18580</v>
      </c>
      <c r="I49" s="33">
        <f>'дод. 4'!I83</f>
        <v>0</v>
      </c>
      <c r="J49" s="33">
        <f t="shared" si="8"/>
        <v>0</v>
      </c>
      <c r="K49" s="33">
        <f>'дод. 4'!K83</f>
        <v>0</v>
      </c>
      <c r="L49" s="33">
        <f>'дод. 4'!L83</f>
        <v>0</v>
      </c>
      <c r="M49" s="33">
        <f>'дод. 4'!M83</f>
        <v>0</v>
      </c>
      <c r="N49" s="33">
        <f>'дод. 4'!N83</f>
        <v>0</v>
      </c>
      <c r="O49" s="33">
        <f>'дод. 4'!O83</f>
        <v>0</v>
      </c>
      <c r="P49" s="33">
        <f t="shared" si="9"/>
        <v>575270</v>
      </c>
      <c r="Q49" s="91"/>
    </row>
    <row r="50" spans="1:17" s="23" customFormat="1" ht="51.75" customHeight="1">
      <c r="A50" s="21"/>
      <c r="B50" s="30" t="s">
        <v>253</v>
      </c>
      <c r="C50" s="30" t="s">
        <v>162</v>
      </c>
      <c r="D50" s="25" t="s">
        <v>254</v>
      </c>
      <c r="E50" s="33">
        <f t="shared" si="7"/>
        <v>10347290</v>
      </c>
      <c r="F50" s="33">
        <f>'дод. 4'!F84</f>
        <v>10347290</v>
      </c>
      <c r="G50" s="33">
        <f>'дод. 4'!G84</f>
        <v>0</v>
      </c>
      <c r="H50" s="33">
        <f>'дод. 4'!H84</f>
        <v>0</v>
      </c>
      <c r="I50" s="33">
        <f>'дод. 4'!I84</f>
        <v>0</v>
      </c>
      <c r="J50" s="33">
        <f t="shared" si="8"/>
        <v>0</v>
      </c>
      <c r="K50" s="33">
        <f>'дод. 4'!K84</f>
        <v>0</v>
      </c>
      <c r="L50" s="33">
        <f>'дод. 4'!L84</f>
        <v>0</v>
      </c>
      <c r="M50" s="33">
        <f>'дод. 4'!M84</f>
        <v>0</v>
      </c>
      <c r="N50" s="33">
        <f>'дод. 4'!N84</f>
        <v>0</v>
      </c>
      <c r="O50" s="33">
        <f>'дод. 4'!O84</f>
        <v>0</v>
      </c>
      <c r="P50" s="33">
        <f t="shared" si="9"/>
        <v>10347290</v>
      </c>
      <c r="Q50" s="91"/>
    </row>
    <row r="51" spans="1:17" s="23" customFormat="1" ht="15">
      <c r="A51" s="21"/>
      <c r="B51" s="30"/>
      <c r="C51" s="30"/>
      <c r="D51" s="37" t="s">
        <v>210</v>
      </c>
      <c r="E51" s="33">
        <f t="shared" si="7"/>
        <v>10347290</v>
      </c>
      <c r="F51" s="33">
        <f>'дод. 4'!F85</f>
        <v>10347290</v>
      </c>
      <c r="G51" s="33">
        <f>'дод. 4'!G85</f>
        <v>0</v>
      </c>
      <c r="H51" s="33">
        <f>'дод. 4'!H85</f>
        <v>0</v>
      </c>
      <c r="I51" s="33">
        <f>'дод. 4'!I85</f>
        <v>0</v>
      </c>
      <c r="J51" s="33">
        <f>K51+N51</f>
        <v>0</v>
      </c>
      <c r="K51" s="33">
        <f>'дод. 4'!K85</f>
        <v>0</v>
      </c>
      <c r="L51" s="33">
        <f>'дод. 4'!L85</f>
        <v>0</v>
      </c>
      <c r="M51" s="33">
        <f>'дод. 4'!M85</f>
        <v>0</v>
      </c>
      <c r="N51" s="33">
        <f>'дод. 4'!N85</f>
        <v>0</v>
      </c>
      <c r="O51" s="33">
        <f>'дод. 4'!O85</f>
        <v>0</v>
      </c>
      <c r="P51" s="33">
        <f t="shared" si="9"/>
        <v>10347290</v>
      </c>
      <c r="Q51" s="91"/>
    </row>
    <row r="52" spans="1:17" s="23" customFormat="1" ht="28.5">
      <c r="A52" s="21"/>
      <c r="B52" s="62" t="s">
        <v>219</v>
      </c>
      <c r="C52" s="63"/>
      <c r="D52" s="63" t="s">
        <v>220</v>
      </c>
      <c r="E52" s="66">
        <f>E54+E56+E59+E63+E65+E68+E70+E72+E74+E76+E78+E80+E82+E84+E86+E88+E90+E92+E94+E96+E97+E99+E100+E101+E102+E103+E104+E105+E106+E107+E108+E109+E110+E111+E112+E113+E114+E116+E117+E58+E67+E71</f>
        <v>699353887.07</v>
      </c>
      <c r="F52" s="66">
        <f aca="true" t="shared" si="10" ref="F52:O52">F54+F56+F59+F63+F65+F68+F70+F72+F74+F76+F78+F80+F82+F84+F86+F88+F90+F92+F94+F96+F97+F99+F100+F101+F102+F103+F104+F105+F106+F107+F108+F109+F110+F111+F112+F113+F114+F116+F117+F58+F67+F71</f>
        <v>699353887.07</v>
      </c>
      <c r="G52" s="66">
        <f t="shared" si="10"/>
        <v>6418832.859999999</v>
      </c>
      <c r="H52" s="66">
        <f t="shared" si="10"/>
        <v>414240</v>
      </c>
      <c r="I52" s="66">
        <f t="shared" si="10"/>
        <v>0</v>
      </c>
      <c r="J52" s="66">
        <f t="shared" si="10"/>
        <v>720945</v>
      </c>
      <c r="K52" s="66">
        <f t="shared" si="10"/>
        <v>27800</v>
      </c>
      <c r="L52" s="66">
        <f t="shared" si="10"/>
        <v>18822</v>
      </c>
      <c r="M52" s="66">
        <f t="shared" si="10"/>
        <v>0</v>
      </c>
      <c r="N52" s="66">
        <f t="shared" si="10"/>
        <v>693145</v>
      </c>
      <c r="O52" s="66">
        <f t="shared" si="10"/>
        <v>693145</v>
      </c>
      <c r="P52" s="66">
        <f>P54+P56+P59+P63+P65+P68+P70+P72+P74+P76+P78+P80+P82+P84+P86+P88+P90+P92+P94+P96+P97+P99+P100+P101+P102+P103+P104+P105+P106+P107+P108+P109+P110+P111+P112+P113+P114+P116+P117+P58+P67+P71</f>
        <v>700074832.07</v>
      </c>
      <c r="Q52" s="91"/>
    </row>
    <row r="53" spans="1:17" s="23" customFormat="1" ht="17.25" customHeight="1">
      <c r="A53" s="21"/>
      <c r="B53" s="62"/>
      <c r="C53" s="63"/>
      <c r="D53" s="37" t="s">
        <v>210</v>
      </c>
      <c r="E53" s="33">
        <f t="shared" si="7"/>
        <v>672875830</v>
      </c>
      <c r="F53" s="50">
        <f aca="true" t="shared" si="11" ref="F53:O53">F55+F57+F62+F64+F66+F69+F73+F75+F77+F79+F81+F83+F85+F87+F89+F91+F93+F95+F98+F115</f>
        <v>672875830</v>
      </c>
      <c r="G53" s="50">
        <f t="shared" si="11"/>
        <v>0</v>
      </c>
      <c r="H53" s="50">
        <f t="shared" si="11"/>
        <v>0</v>
      </c>
      <c r="I53" s="50">
        <f t="shared" si="11"/>
        <v>0</v>
      </c>
      <c r="J53" s="33">
        <f aca="true" t="shared" si="12" ref="J53:J58">K53+N53</f>
        <v>0</v>
      </c>
      <c r="K53" s="50">
        <f t="shared" si="11"/>
        <v>0</v>
      </c>
      <c r="L53" s="50">
        <f t="shared" si="11"/>
        <v>0</v>
      </c>
      <c r="M53" s="50">
        <f t="shared" si="11"/>
        <v>0</v>
      </c>
      <c r="N53" s="50">
        <f t="shared" si="11"/>
        <v>0</v>
      </c>
      <c r="O53" s="50">
        <f t="shared" si="11"/>
        <v>0</v>
      </c>
      <c r="P53" s="33">
        <f aca="true" t="shared" si="13" ref="P53:P59">E53+J53</f>
        <v>672875830</v>
      </c>
      <c r="Q53" s="91"/>
    </row>
    <row r="54" spans="1:17" s="23" customFormat="1" ht="243.75" customHeight="1">
      <c r="A54" s="21"/>
      <c r="B54" s="24" t="s">
        <v>286</v>
      </c>
      <c r="C54" s="24" t="s">
        <v>163</v>
      </c>
      <c r="D54" s="25" t="s">
        <v>287</v>
      </c>
      <c r="E54" s="33">
        <f t="shared" si="7"/>
        <v>35619200</v>
      </c>
      <c r="F54" s="33">
        <f>'дод. 4'!F91</f>
        <v>35619200</v>
      </c>
      <c r="G54" s="33">
        <f>'дод. 4'!G91</f>
        <v>0</v>
      </c>
      <c r="H54" s="33">
        <f>'дод. 4'!H91</f>
        <v>0</v>
      </c>
      <c r="I54" s="33">
        <f>'дод. 4'!I91</f>
        <v>0</v>
      </c>
      <c r="J54" s="33">
        <f t="shared" si="12"/>
        <v>0</v>
      </c>
      <c r="K54" s="33">
        <f>'дод. 4'!K91</f>
        <v>0</v>
      </c>
      <c r="L54" s="33">
        <f>'дод. 4'!L91</f>
        <v>0</v>
      </c>
      <c r="M54" s="33">
        <f>'дод. 4'!M91</f>
        <v>0</v>
      </c>
      <c r="N54" s="33">
        <f>'дод. 4'!N91</f>
        <v>0</v>
      </c>
      <c r="O54" s="33">
        <f>'дод. 4'!O91</f>
        <v>0</v>
      </c>
      <c r="P54" s="33">
        <f t="shared" si="13"/>
        <v>35619200</v>
      </c>
      <c r="Q54" s="91"/>
    </row>
    <row r="55" spans="1:17" s="23" customFormat="1" ht="15">
      <c r="A55" s="21"/>
      <c r="B55" s="24"/>
      <c r="C55" s="24"/>
      <c r="D55" s="25" t="s">
        <v>263</v>
      </c>
      <c r="E55" s="33">
        <f t="shared" si="7"/>
        <v>35619200</v>
      </c>
      <c r="F55" s="33">
        <f>'дод. 4'!F92</f>
        <v>35619200</v>
      </c>
      <c r="G55" s="33">
        <f>'дод. 4'!G92</f>
        <v>0</v>
      </c>
      <c r="H55" s="33">
        <f>'дод. 4'!H92</f>
        <v>0</v>
      </c>
      <c r="I55" s="33">
        <f>'дод. 4'!I92</f>
        <v>0</v>
      </c>
      <c r="J55" s="33">
        <f t="shared" si="12"/>
        <v>0</v>
      </c>
      <c r="K55" s="33">
        <f>'дод. 4'!K92</f>
        <v>0</v>
      </c>
      <c r="L55" s="33">
        <f>'дод. 4'!L92</f>
        <v>0</v>
      </c>
      <c r="M55" s="33">
        <f>'дод. 4'!M92</f>
        <v>0</v>
      </c>
      <c r="N55" s="33">
        <f>'дод. 4'!N92</f>
        <v>0</v>
      </c>
      <c r="O55" s="33">
        <f>'дод. 4'!O92</f>
        <v>0</v>
      </c>
      <c r="P55" s="33">
        <f t="shared" si="13"/>
        <v>35619200</v>
      </c>
      <c r="Q55" s="91"/>
    </row>
    <row r="56" spans="1:17" s="23" customFormat="1" ht="207.75" customHeight="1">
      <c r="A56" s="21"/>
      <c r="B56" s="24" t="s">
        <v>288</v>
      </c>
      <c r="C56" s="24" t="s">
        <v>163</v>
      </c>
      <c r="D56" s="25" t="s">
        <v>289</v>
      </c>
      <c r="E56" s="33">
        <f t="shared" si="7"/>
        <v>22188.3</v>
      </c>
      <c r="F56" s="33">
        <f>'дод. 4'!F93</f>
        <v>22188.3</v>
      </c>
      <c r="G56" s="33">
        <f>'дод. 4'!G93</f>
        <v>0</v>
      </c>
      <c r="H56" s="33">
        <f>'дод. 4'!H93</f>
        <v>0</v>
      </c>
      <c r="I56" s="33">
        <f>'дод. 4'!I93</f>
        <v>0</v>
      </c>
      <c r="J56" s="33">
        <f t="shared" si="12"/>
        <v>0</v>
      </c>
      <c r="K56" s="33">
        <f>'дод. 4'!K93</f>
        <v>0</v>
      </c>
      <c r="L56" s="33">
        <f>'дод. 4'!L93</f>
        <v>0</v>
      </c>
      <c r="M56" s="33">
        <f>'дод. 4'!M93</f>
        <v>0</v>
      </c>
      <c r="N56" s="33">
        <f>'дод. 4'!N93</f>
        <v>0</v>
      </c>
      <c r="O56" s="33">
        <f>'дод. 4'!O93</f>
        <v>0</v>
      </c>
      <c r="P56" s="33">
        <f t="shared" si="13"/>
        <v>22188.3</v>
      </c>
      <c r="Q56" s="91"/>
    </row>
    <row r="57" spans="1:17" s="23" customFormat="1" ht="15">
      <c r="A57" s="21"/>
      <c r="B57" s="24"/>
      <c r="C57" s="24"/>
      <c r="D57" s="25" t="s">
        <v>263</v>
      </c>
      <c r="E57" s="33">
        <f t="shared" si="7"/>
        <v>22188.3</v>
      </c>
      <c r="F57" s="33">
        <f>'дод. 4'!F94</f>
        <v>22188.3</v>
      </c>
      <c r="G57" s="33">
        <f>'дод. 4'!G94</f>
        <v>0</v>
      </c>
      <c r="H57" s="33">
        <f>'дод. 4'!H94</f>
        <v>0</v>
      </c>
      <c r="I57" s="33">
        <f>'дод. 4'!I94</f>
        <v>0</v>
      </c>
      <c r="J57" s="33">
        <f t="shared" si="12"/>
        <v>0</v>
      </c>
      <c r="K57" s="33">
        <f>'дод. 4'!K94</f>
        <v>0</v>
      </c>
      <c r="L57" s="33">
        <f>'дод. 4'!L94</f>
        <v>0</v>
      </c>
      <c r="M57" s="33">
        <f>'дод. 4'!M94</f>
        <v>0</v>
      </c>
      <c r="N57" s="33">
        <f>'дод. 4'!N94</f>
        <v>0</v>
      </c>
      <c r="O57" s="33">
        <f>'дод. 4'!O94</f>
        <v>0</v>
      </c>
      <c r="P57" s="33">
        <f t="shared" si="13"/>
        <v>22188.3</v>
      </c>
      <c r="Q57" s="91"/>
    </row>
    <row r="58" spans="1:17" s="23" customFormat="1" ht="207.75" customHeight="1">
      <c r="A58" s="21"/>
      <c r="B58" s="68" t="s">
        <v>333</v>
      </c>
      <c r="C58" s="68" t="s">
        <v>163</v>
      </c>
      <c r="D58" s="82" t="s">
        <v>334</v>
      </c>
      <c r="E58" s="33">
        <f>F58+I58</f>
        <v>269119</v>
      </c>
      <c r="F58" s="33">
        <f>'дод. 4'!F95</f>
        <v>269119</v>
      </c>
      <c r="G58" s="33">
        <f>'дод. 4'!G95</f>
        <v>0</v>
      </c>
      <c r="H58" s="33">
        <f>'дод. 4'!H95</f>
        <v>0</v>
      </c>
      <c r="I58" s="33">
        <f>'дод. 4'!I95</f>
        <v>0</v>
      </c>
      <c r="J58" s="33">
        <f t="shared" si="12"/>
        <v>0</v>
      </c>
      <c r="K58" s="33">
        <f>'дод. 4'!K95</f>
        <v>0</v>
      </c>
      <c r="L58" s="33">
        <f>'дод. 4'!L95</f>
        <v>0</v>
      </c>
      <c r="M58" s="33">
        <f>'дод. 4'!M95</f>
        <v>0</v>
      </c>
      <c r="N58" s="33">
        <f>'дод. 4'!N95</f>
        <v>0</v>
      </c>
      <c r="O58" s="33">
        <f>'дод. 4'!O95</f>
        <v>0</v>
      </c>
      <c r="P58" s="33">
        <f>E58+J58</f>
        <v>269119</v>
      </c>
      <c r="Q58" s="91"/>
    </row>
    <row r="59" spans="1:17" s="23" customFormat="1" ht="258" customHeight="1">
      <c r="A59" s="21"/>
      <c r="B59" s="68" t="s">
        <v>290</v>
      </c>
      <c r="C59" s="68" t="s">
        <v>163</v>
      </c>
      <c r="D59" s="71" t="s">
        <v>291</v>
      </c>
      <c r="E59" s="77">
        <f>F59+I59</f>
        <v>5469100</v>
      </c>
      <c r="F59" s="77">
        <f>'дод. 4'!F96</f>
        <v>5469100</v>
      </c>
      <c r="G59" s="77">
        <f>'дод. 4'!G96</f>
        <v>0</v>
      </c>
      <c r="H59" s="77">
        <f>'дод. 4'!H96</f>
        <v>0</v>
      </c>
      <c r="I59" s="77">
        <f>'дод. 4'!I96</f>
        <v>0</v>
      </c>
      <c r="J59" s="77">
        <f>K59+O59</f>
        <v>0</v>
      </c>
      <c r="K59" s="77">
        <f>'дод. 4'!K96</f>
        <v>0</v>
      </c>
      <c r="L59" s="77">
        <f>'дод. 4'!L96</f>
        <v>0</v>
      </c>
      <c r="M59" s="77">
        <f>'дод. 4'!M96</f>
        <v>0</v>
      </c>
      <c r="N59" s="77">
        <f>'дод. 4'!N96</f>
        <v>0</v>
      </c>
      <c r="O59" s="77">
        <f>'дод. 4'!O96</f>
        <v>0</v>
      </c>
      <c r="P59" s="77">
        <f t="shared" si="13"/>
        <v>5469100</v>
      </c>
      <c r="Q59" s="91"/>
    </row>
    <row r="60" spans="1:17" s="23" customFormat="1" ht="157.5" customHeight="1">
      <c r="A60" s="21"/>
      <c r="B60" s="69"/>
      <c r="C60" s="69"/>
      <c r="D60" s="72" t="s">
        <v>292</v>
      </c>
      <c r="E60" s="78"/>
      <c r="F60" s="78"/>
      <c r="G60" s="78"/>
      <c r="H60" s="78"/>
      <c r="I60" s="78"/>
      <c r="J60" s="78"/>
      <c r="K60" s="78"/>
      <c r="L60" s="78"/>
      <c r="M60" s="78"/>
      <c r="N60" s="78"/>
      <c r="O60" s="78"/>
      <c r="P60" s="78"/>
      <c r="Q60" s="91"/>
    </row>
    <row r="61" spans="1:17" s="23" customFormat="1" ht="254.25" customHeight="1">
      <c r="A61" s="21"/>
      <c r="B61" s="70"/>
      <c r="C61" s="70"/>
      <c r="D61" s="73" t="s">
        <v>293</v>
      </c>
      <c r="E61" s="79"/>
      <c r="F61" s="79"/>
      <c r="G61" s="79"/>
      <c r="H61" s="79"/>
      <c r="I61" s="79"/>
      <c r="J61" s="79"/>
      <c r="K61" s="79"/>
      <c r="L61" s="79"/>
      <c r="M61" s="79"/>
      <c r="N61" s="79"/>
      <c r="O61" s="79"/>
      <c r="P61" s="79"/>
      <c r="Q61" s="91"/>
    </row>
    <row r="62" spans="1:17" s="23" customFormat="1" ht="15">
      <c r="A62" s="21"/>
      <c r="B62" s="24"/>
      <c r="C62" s="24"/>
      <c r="D62" s="25" t="s">
        <v>263</v>
      </c>
      <c r="E62" s="50">
        <f>F62+I62</f>
        <v>5469100</v>
      </c>
      <c r="F62" s="50">
        <f>'дод. 4'!F99</f>
        <v>5469100</v>
      </c>
      <c r="G62" s="50">
        <f>'дод. 4'!G99</f>
        <v>0</v>
      </c>
      <c r="H62" s="50">
        <f>'дод. 4'!H99</f>
        <v>0</v>
      </c>
      <c r="I62" s="50">
        <f>'дод. 4'!I99</f>
        <v>0</v>
      </c>
      <c r="J62" s="50">
        <f>K62+N62</f>
        <v>0</v>
      </c>
      <c r="K62" s="50">
        <f>'дод. 4'!K99</f>
        <v>0</v>
      </c>
      <c r="L62" s="50">
        <f>'дод. 4'!L99</f>
        <v>0</v>
      </c>
      <c r="M62" s="50">
        <f>'дод. 4'!M99</f>
        <v>0</v>
      </c>
      <c r="N62" s="50">
        <f>'дод. 4'!N99</f>
        <v>0</v>
      </c>
      <c r="O62" s="50">
        <f>'дод. 4'!O99</f>
        <v>0</v>
      </c>
      <c r="P62" s="50">
        <f>E62+J62</f>
        <v>5469100</v>
      </c>
      <c r="Q62" s="91"/>
    </row>
    <row r="63" spans="1:17" s="23" customFormat="1" ht="105">
      <c r="A63" s="21"/>
      <c r="B63" s="24" t="s">
        <v>294</v>
      </c>
      <c r="C63" s="24" t="s">
        <v>164</v>
      </c>
      <c r="D63" s="25" t="s">
        <v>295</v>
      </c>
      <c r="E63" s="50">
        <f>F63+I63</f>
        <v>4278400</v>
      </c>
      <c r="F63" s="50">
        <f>'дод. 4'!F100</f>
        <v>4278400</v>
      </c>
      <c r="G63" s="50">
        <f>'дод. 4'!G100</f>
        <v>0</v>
      </c>
      <c r="H63" s="50">
        <f>'дод. 4'!H100</f>
        <v>0</v>
      </c>
      <c r="I63" s="50">
        <f>'дод. 4'!I100</f>
        <v>0</v>
      </c>
      <c r="J63" s="50">
        <f>K63+N63</f>
        <v>0</v>
      </c>
      <c r="K63" s="50">
        <f>'дод. 4'!K100</f>
        <v>0</v>
      </c>
      <c r="L63" s="50">
        <f>'дод. 4'!L100</f>
        <v>0</v>
      </c>
      <c r="M63" s="50">
        <f>'дод. 4'!M100</f>
        <v>0</v>
      </c>
      <c r="N63" s="50">
        <f>'дод. 4'!N100</f>
        <v>0</v>
      </c>
      <c r="O63" s="50">
        <f>'дод. 4'!O100</f>
        <v>0</v>
      </c>
      <c r="P63" s="50">
        <f aca="true" t="shared" si="14" ref="P63:P117">E63+J63</f>
        <v>4278400</v>
      </c>
      <c r="Q63" s="91"/>
    </row>
    <row r="64" spans="1:17" s="23" customFormat="1" ht="15">
      <c r="A64" s="21"/>
      <c r="B64" s="24"/>
      <c r="C64" s="24"/>
      <c r="D64" s="25" t="s">
        <v>263</v>
      </c>
      <c r="E64" s="50">
        <f aca="true" t="shared" si="15" ref="E64:E117">F64+I64</f>
        <v>4278400</v>
      </c>
      <c r="F64" s="50">
        <f>'дод. 4'!F101</f>
        <v>4278400</v>
      </c>
      <c r="G64" s="50">
        <f>'дод. 4'!G101</f>
        <v>0</v>
      </c>
      <c r="H64" s="50">
        <f>'дод. 4'!H101</f>
        <v>0</v>
      </c>
      <c r="I64" s="50">
        <f>'дод. 4'!I101</f>
        <v>0</v>
      </c>
      <c r="J64" s="50">
        <f aca="true" t="shared" si="16" ref="J64:J117">K64+N64</f>
        <v>0</v>
      </c>
      <c r="K64" s="50">
        <f>'дод. 4'!K101</f>
        <v>0</v>
      </c>
      <c r="L64" s="50">
        <f>'дод. 4'!L101</f>
        <v>0</v>
      </c>
      <c r="M64" s="50">
        <f>'дод. 4'!M101</f>
        <v>0</v>
      </c>
      <c r="N64" s="50">
        <f>'дод. 4'!N101</f>
        <v>0</v>
      </c>
      <c r="O64" s="50">
        <f>'дод. 4'!O101</f>
        <v>0</v>
      </c>
      <c r="P64" s="50">
        <f t="shared" si="14"/>
        <v>4278400</v>
      </c>
      <c r="Q64" s="91"/>
    </row>
    <row r="65" spans="1:17" s="23" customFormat="1" ht="105">
      <c r="A65" s="21"/>
      <c r="B65" s="24" t="s">
        <v>296</v>
      </c>
      <c r="C65" s="24" t="s">
        <v>164</v>
      </c>
      <c r="D65" s="25" t="s">
        <v>297</v>
      </c>
      <c r="E65" s="50">
        <f t="shared" si="15"/>
        <v>788</v>
      </c>
      <c r="F65" s="50">
        <f>'дод. 4'!F102</f>
        <v>788</v>
      </c>
      <c r="G65" s="50">
        <f>'дод. 4'!G102</f>
        <v>0</v>
      </c>
      <c r="H65" s="50">
        <f>'дод. 4'!H102</f>
        <v>0</v>
      </c>
      <c r="I65" s="50">
        <f>'дод. 4'!I102</f>
        <v>0</v>
      </c>
      <c r="J65" s="50">
        <f t="shared" si="16"/>
        <v>0</v>
      </c>
      <c r="K65" s="50">
        <f>'дод. 4'!K102</f>
        <v>0</v>
      </c>
      <c r="L65" s="50">
        <f>'дод. 4'!L102</f>
        <v>0</v>
      </c>
      <c r="M65" s="50">
        <f>'дод. 4'!M102</f>
        <v>0</v>
      </c>
      <c r="N65" s="50">
        <f>'дод. 4'!N102</f>
        <v>0</v>
      </c>
      <c r="O65" s="50">
        <f>'дод. 4'!O102</f>
        <v>0</v>
      </c>
      <c r="P65" s="50">
        <f t="shared" si="14"/>
        <v>788</v>
      </c>
      <c r="Q65" s="91"/>
    </row>
    <row r="66" spans="1:17" s="23" customFormat="1" ht="15">
      <c r="A66" s="21"/>
      <c r="B66" s="24"/>
      <c r="C66" s="24"/>
      <c r="D66" s="25" t="s">
        <v>263</v>
      </c>
      <c r="E66" s="50">
        <f t="shared" si="15"/>
        <v>788</v>
      </c>
      <c r="F66" s="50">
        <f>'дод. 4'!F103</f>
        <v>788</v>
      </c>
      <c r="G66" s="50">
        <f>'дод. 4'!G103</f>
        <v>0</v>
      </c>
      <c r="H66" s="50">
        <f>'дод. 4'!H103</f>
        <v>0</v>
      </c>
      <c r="I66" s="50">
        <f>'дод. 4'!I103</f>
        <v>0</v>
      </c>
      <c r="J66" s="50">
        <f t="shared" si="16"/>
        <v>0</v>
      </c>
      <c r="K66" s="50">
        <f>'дод. 4'!K103</f>
        <v>0</v>
      </c>
      <c r="L66" s="50">
        <f>'дод. 4'!L103</f>
        <v>0</v>
      </c>
      <c r="M66" s="50">
        <f>'дод. 4'!M103</f>
        <v>0</v>
      </c>
      <c r="N66" s="50">
        <f>'дод. 4'!N103</f>
        <v>0</v>
      </c>
      <c r="O66" s="50">
        <f>'дод. 4'!O103</f>
        <v>0</v>
      </c>
      <c r="P66" s="50">
        <f t="shared" si="14"/>
        <v>788</v>
      </c>
      <c r="Q66" s="91"/>
    </row>
    <row r="67" spans="1:17" s="23" customFormat="1" ht="90">
      <c r="A67" s="21"/>
      <c r="B67" s="24" t="s">
        <v>335</v>
      </c>
      <c r="C67" s="24" t="s">
        <v>164</v>
      </c>
      <c r="D67" s="25" t="s">
        <v>336</v>
      </c>
      <c r="E67" s="50">
        <f>F67+I67</f>
        <v>70400</v>
      </c>
      <c r="F67" s="50">
        <f>'дод. 4'!F104</f>
        <v>70400</v>
      </c>
      <c r="G67" s="50">
        <f>'дод. 4'!G104</f>
        <v>0</v>
      </c>
      <c r="H67" s="50">
        <f>'дод. 4'!H104</f>
        <v>0</v>
      </c>
      <c r="I67" s="50">
        <f>'дод. 4'!I104</f>
        <v>0</v>
      </c>
      <c r="J67" s="50">
        <f>K67+N67</f>
        <v>0</v>
      </c>
      <c r="K67" s="50">
        <f>'дод. 4'!K104</f>
        <v>0</v>
      </c>
      <c r="L67" s="50">
        <f>'дод. 4'!L104</f>
        <v>0</v>
      </c>
      <c r="M67" s="50">
        <f>'дод. 4'!M104</f>
        <v>0</v>
      </c>
      <c r="N67" s="50">
        <f>'дод. 4'!N104</f>
        <v>0</v>
      </c>
      <c r="O67" s="50">
        <f>'дод. 4'!O104</f>
        <v>0</v>
      </c>
      <c r="P67" s="50">
        <f>E67+J67</f>
        <v>70400</v>
      </c>
      <c r="Q67" s="91"/>
    </row>
    <row r="68" spans="1:17" s="23" customFormat="1" ht="197.25" customHeight="1">
      <c r="A68" s="21"/>
      <c r="B68" s="24" t="s">
        <v>298</v>
      </c>
      <c r="C68" s="24" t="s">
        <v>164</v>
      </c>
      <c r="D68" s="25" t="s">
        <v>299</v>
      </c>
      <c r="E68" s="50">
        <f t="shared" si="15"/>
        <v>110300</v>
      </c>
      <c r="F68" s="50">
        <f>'дод. 4'!F105</f>
        <v>110300</v>
      </c>
      <c r="G68" s="50">
        <f>'дод. 4'!G105</f>
        <v>0</v>
      </c>
      <c r="H68" s="50">
        <f>'дод. 4'!H105</f>
        <v>0</v>
      </c>
      <c r="I68" s="50">
        <f>'дод. 4'!I105</f>
        <v>0</v>
      </c>
      <c r="J68" s="50">
        <f t="shared" si="16"/>
        <v>0</v>
      </c>
      <c r="K68" s="50">
        <f>'дод. 4'!K105</f>
        <v>0</v>
      </c>
      <c r="L68" s="50">
        <f>'дод. 4'!L105</f>
        <v>0</v>
      </c>
      <c r="M68" s="50">
        <f>'дод. 4'!M105</f>
        <v>0</v>
      </c>
      <c r="N68" s="50">
        <f>'дод. 4'!N105</f>
        <v>0</v>
      </c>
      <c r="O68" s="50">
        <f>'дод. 4'!O105</f>
        <v>0</v>
      </c>
      <c r="P68" s="50">
        <f t="shared" si="14"/>
        <v>110300</v>
      </c>
      <c r="Q68" s="91"/>
    </row>
    <row r="69" spans="1:17" s="23" customFormat="1" ht="15">
      <c r="A69" s="21"/>
      <c r="B69" s="24"/>
      <c r="C69" s="24"/>
      <c r="D69" s="25" t="s">
        <v>263</v>
      </c>
      <c r="E69" s="50">
        <f t="shared" si="15"/>
        <v>110300</v>
      </c>
      <c r="F69" s="50">
        <f>'дод. 4'!F106</f>
        <v>110300</v>
      </c>
      <c r="G69" s="50">
        <f>'дод. 4'!G106</f>
        <v>0</v>
      </c>
      <c r="H69" s="50">
        <f>'дод. 4'!H106</f>
        <v>0</v>
      </c>
      <c r="I69" s="50">
        <f>'дод. 4'!I106</f>
        <v>0</v>
      </c>
      <c r="J69" s="50">
        <f t="shared" si="16"/>
        <v>0</v>
      </c>
      <c r="K69" s="50">
        <f>'дод. 4'!K106</f>
        <v>0</v>
      </c>
      <c r="L69" s="50">
        <f>'дод. 4'!L106</f>
        <v>0</v>
      </c>
      <c r="M69" s="50">
        <f>'дод. 4'!M106</f>
        <v>0</v>
      </c>
      <c r="N69" s="50">
        <f>'дод. 4'!N106</f>
        <v>0</v>
      </c>
      <c r="O69" s="50">
        <f>'дод. 4'!O106</f>
        <v>0</v>
      </c>
      <c r="P69" s="50">
        <f t="shared" si="14"/>
        <v>110300</v>
      </c>
      <c r="Q69" s="91"/>
    </row>
    <row r="70" spans="1:17" s="23" customFormat="1" ht="45">
      <c r="A70" s="21"/>
      <c r="B70" s="24" t="s">
        <v>205</v>
      </c>
      <c r="C70" s="24" t="s">
        <v>164</v>
      </c>
      <c r="D70" s="25" t="s">
        <v>206</v>
      </c>
      <c r="E70" s="50">
        <f t="shared" si="15"/>
        <v>882700</v>
      </c>
      <c r="F70" s="50">
        <f>'дод. 4'!F107</f>
        <v>882700</v>
      </c>
      <c r="G70" s="50">
        <f>'дод. 4'!G107</f>
        <v>0</v>
      </c>
      <c r="H70" s="50">
        <f>'дод. 4'!H107</f>
        <v>0</v>
      </c>
      <c r="I70" s="50">
        <f>'дод. 4'!I107</f>
        <v>0</v>
      </c>
      <c r="J70" s="50">
        <f t="shared" si="16"/>
        <v>0</v>
      </c>
      <c r="K70" s="50">
        <f>'дод. 4'!K107</f>
        <v>0</v>
      </c>
      <c r="L70" s="50">
        <f>'дод. 4'!L107</f>
        <v>0</v>
      </c>
      <c r="M70" s="50">
        <f>'дод. 4'!M107</f>
        <v>0</v>
      </c>
      <c r="N70" s="50">
        <f>'дод. 4'!N107</f>
        <v>0</v>
      </c>
      <c r="O70" s="50">
        <f>'дод. 4'!O107</f>
        <v>0</v>
      </c>
      <c r="P70" s="50">
        <f t="shared" si="14"/>
        <v>882700</v>
      </c>
      <c r="Q70" s="91"/>
    </row>
    <row r="71" spans="1:17" s="23" customFormat="1" ht="30">
      <c r="A71" s="21"/>
      <c r="B71" s="24" t="s">
        <v>337</v>
      </c>
      <c r="C71" s="24" t="s">
        <v>164</v>
      </c>
      <c r="D71" s="25" t="s">
        <v>338</v>
      </c>
      <c r="E71" s="50">
        <f>F71+I71</f>
        <v>1394632</v>
      </c>
      <c r="F71" s="50">
        <f>'дод. 4'!F108</f>
        <v>1394632</v>
      </c>
      <c r="G71" s="50">
        <f>'дод. 4'!G108</f>
        <v>0</v>
      </c>
      <c r="H71" s="50">
        <f>'дод. 4'!H108</f>
        <v>0</v>
      </c>
      <c r="I71" s="50">
        <f>'дод. 4'!I108</f>
        <v>0</v>
      </c>
      <c r="J71" s="50">
        <f>K71+N71</f>
        <v>0</v>
      </c>
      <c r="K71" s="50">
        <f>'дод. 4'!K108</f>
        <v>0</v>
      </c>
      <c r="L71" s="50">
        <f>'дод. 4'!L108</f>
        <v>0</v>
      </c>
      <c r="M71" s="50">
        <f>'дод. 4'!M108</f>
        <v>0</v>
      </c>
      <c r="N71" s="50">
        <f>'дод. 4'!N108</f>
        <v>0</v>
      </c>
      <c r="O71" s="50">
        <f>'дод. 4'!O108</f>
        <v>0</v>
      </c>
      <c r="P71" s="50">
        <f>E71+J71</f>
        <v>1394632</v>
      </c>
      <c r="Q71" s="91"/>
    </row>
    <row r="72" spans="1:17" s="23" customFormat="1" ht="150">
      <c r="A72" s="21"/>
      <c r="B72" s="24" t="s">
        <v>300</v>
      </c>
      <c r="C72" s="24" t="s">
        <v>164</v>
      </c>
      <c r="D72" s="25" t="s">
        <v>301</v>
      </c>
      <c r="E72" s="50">
        <f t="shared" si="15"/>
        <v>2195200</v>
      </c>
      <c r="F72" s="50">
        <f>'дод. 4'!F109</f>
        <v>2195200</v>
      </c>
      <c r="G72" s="50">
        <f>'дод. 4'!G109</f>
        <v>0</v>
      </c>
      <c r="H72" s="50">
        <f>'дод. 4'!H109</f>
        <v>0</v>
      </c>
      <c r="I72" s="50">
        <f>'дод. 4'!I109</f>
        <v>0</v>
      </c>
      <c r="J72" s="50">
        <f t="shared" si="16"/>
        <v>0</v>
      </c>
      <c r="K72" s="50">
        <f>'дод. 4'!K109</f>
        <v>0</v>
      </c>
      <c r="L72" s="50">
        <f>'дод. 4'!L109</f>
        <v>0</v>
      </c>
      <c r="M72" s="50">
        <f>'дод. 4'!M109</f>
        <v>0</v>
      </c>
      <c r="N72" s="50">
        <f>'дод. 4'!N109</f>
        <v>0</v>
      </c>
      <c r="O72" s="50">
        <f>'дод. 4'!O109</f>
        <v>0</v>
      </c>
      <c r="P72" s="50">
        <f t="shared" si="14"/>
        <v>2195200</v>
      </c>
      <c r="Q72" s="91"/>
    </row>
    <row r="73" spans="1:17" s="23" customFormat="1" ht="15">
      <c r="A73" s="21"/>
      <c r="B73" s="24"/>
      <c r="C73" s="24"/>
      <c r="D73" s="25" t="s">
        <v>263</v>
      </c>
      <c r="E73" s="50">
        <f t="shared" si="15"/>
        <v>2195200</v>
      </c>
      <c r="F73" s="50">
        <f>'дод. 4'!F110</f>
        <v>2195200</v>
      </c>
      <c r="G73" s="50">
        <f>'дод. 4'!G110</f>
        <v>0</v>
      </c>
      <c r="H73" s="50">
        <f>'дод. 4'!H110</f>
        <v>0</v>
      </c>
      <c r="I73" s="50">
        <f>'дод. 4'!I110</f>
        <v>0</v>
      </c>
      <c r="J73" s="50">
        <f t="shared" si="16"/>
        <v>0</v>
      </c>
      <c r="K73" s="50">
        <f>'дод. 4'!K110</f>
        <v>0</v>
      </c>
      <c r="L73" s="50">
        <f>'дод. 4'!L110</f>
        <v>0</v>
      </c>
      <c r="M73" s="50">
        <f>'дод. 4'!M110</f>
        <v>0</v>
      </c>
      <c r="N73" s="50">
        <f>'дод. 4'!N110</f>
        <v>0</v>
      </c>
      <c r="O73" s="50">
        <f>'дод. 4'!O110</f>
        <v>0</v>
      </c>
      <c r="P73" s="50">
        <f t="shared" si="14"/>
        <v>2195200</v>
      </c>
      <c r="Q73" s="91"/>
    </row>
    <row r="74" spans="1:17" s="23" customFormat="1" ht="150">
      <c r="A74" s="21"/>
      <c r="B74" s="27" t="s">
        <v>302</v>
      </c>
      <c r="C74" s="27" t="s">
        <v>164</v>
      </c>
      <c r="D74" s="25" t="s">
        <v>303</v>
      </c>
      <c r="E74" s="50">
        <f t="shared" si="15"/>
        <v>7515.26</v>
      </c>
      <c r="F74" s="50">
        <f>'дод. 4'!F111</f>
        <v>7515.26</v>
      </c>
      <c r="G74" s="50">
        <f>'дод. 4'!G111</f>
        <v>0</v>
      </c>
      <c r="H74" s="50">
        <f>'дод. 4'!H111</f>
        <v>0</v>
      </c>
      <c r="I74" s="50">
        <f>'дод. 4'!I111</f>
        <v>0</v>
      </c>
      <c r="J74" s="50">
        <f t="shared" si="16"/>
        <v>0</v>
      </c>
      <c r="K74" s="50">
        <f>'дод. 4'!K111</f>
        <v>0</v>
      </c>
      <c r="L74" s="50">
        <f>'дод. 4'!L111</f>
        <v>0</v>
      </c>
      <c r="M74" s="50">
        <f>'дод. 4'!M111</f>
        <v>0</v>
      </c>
      <c r="N74" s="50">
        <f>'дод. 4'!N111</f>
        <v>0</v>
      </c>
      <c r="O74" s="50">
        <f>'дод. 4'!O111</f>
        <v>0</v>
      </c>
      <c r="P74" s="50">
        <f t="shared" si="14"/>
        <v>7515.26</v>
      </c>
      <c r="Q74" s="91"/>
    </row>
    <row r="75" spans="1:17" s="23" customFormat="1" ht="15">
      <c r="A75" s="21"/>
      <c r="B75" s="27"/>
      <c r="C75" s="27"/>
      <c r="D75" s="25" t="s">
        <v>263</v>
      </c>
      <c r="E75" s="50">
        <f t="shared" si="15"/>
        <v>7515.26</v>
      </c>
      <c r="F75" s="50">
        <f>'дод. 4'!F112</f>
        <v>7515.26</v>
      </c>
      <c r="G75" s="50">
        <f>'дод. 4'!G112</f>
        <v>0</v>
      </c>
      <c r="H75" s="50">
        <f>'дод. 4'!H112</f>
        <v>0</v>
      </c>
      <c r="I75" s="50">
        <f>'дод. 4'!I112</f>
        <v>0</v>
      </c>
      <c r="J75" s="50">
        <f t="shared" si="16"/>
        <v>0</v>
      </c>
      <c r="K75" s="50">
        <f>'дод. 4'!K112</f>
        <v>0</v>
      </c>
      <c r="L75" s="50">
        <f>'дод. 4'!L112</f>
        <v>0</v>
      </c>
      <c r="M75" s="50">
        <f>'дод. 4'!M112</f>
        <v>0</v>
      </c>
      <c r="N75" s="50">
        <f>'дод. 4'!N112</f>
        <v>0</v>
      </c>
      <c r="O75" s="50">
        <f>'дод. 4'!O112</f>
        <v>0</v>
      </c>
      <c r="P75" s="50">
        <f t="shared" si="14"/>
        <v>7515.26</v>
      </c>
      <c r="Q75" s="91"/>
    </row>
    <row r="76" spans="1:17" s="23" customFormat="1" ht="30">
      <c r="A76" s="21"/>
      <c r="B76" s="24" t="s">
        <v>264</v>
      </c>
      <c r="C76" s="24" t="s">
        <v>139</v>
      </c>
      <c r="D76" s="25" t="s">
        <v>265</v>
      </c>
      <c r="E76" s="50">
        <f t="shared" si="15"/>
        <v>2957400</v>
      </c>
      <c r="F76" s="50">
        <f>'дод. 4'!F113</f>
        <v>2957400</v>
      </c>
      <c r="G76" s="50">
        <f>'дод. 4'!G113</f>
        <v>0</v>
      </c>
      <c r="H76" s="50">
        <f>'дод. 4'!H113</f>
        <v>0</v>
      </c>
      <c r="I76" s="50">
        <f>'дод. 4'!I113</f>
        <v>0</v>
      </c>
      <c r="J76" s="50">
        <f t="shared" si="16"/>
        <v>0</v>
      </c>
      <c r="K76" s="50">
        <f>'дод. 4'!K113</f>
        <v>0</v>
      </c>
      <c r="L76" s="50">
        <f>'дод. 4'!L113</f>
        <v>0</v>
      </c>
      <c r="M76" s="50">
        <f>'дод. 4'!M113</f>
        <v>0</v>
      </c>
      <c r="N76" s="50">
        <f>'дод. 4'!N113</f>
        <v>0</v>
      </c>
      <c r="O76" s="50">
        <f>'дод. 4'!O113</f>
        <v>0</v>
      </c>
      <c r="P76" s="50">
        <f t="shared" si="14"/>
        <v>2957400</v>
      </c>
      <c r="Q76" s="91"/>
    </row>
    <row r="77" spans="1:17" s="23" customFormat="1" ht="15">
      <c r="A77" s="21"/>
      <c r="B77" s="24"/>
      <c r="C77" s="24"/>
      <c r="D77" s="25" t="s">
        <v>263</v>
      </c>
      <c r="E77" s="50">
        <f t="shared" si="15"/>
        <v>2957400</v>
      </c>
      <c r="F77" s="50">
        <f>'дод. 4'!F114</f>
        <v>2957400</v>
      </c>
      <c r="G77" s="50">
        <f>'дод. 4'!G114</f>
        <v>0</v>
      </c>
      <c r="H77" s="50">
        <f>'дод. 4'!H114</f>
        <v>0</v>
      </c>
      <c r="I77" s="50">
        <f>'дод. 4'!I114</f>
        <v>0</v>
      </c>
      <c r="J77" s="50">
        <f t="shared" si="16"/>
        <v>0</v>
      </c>
      <c r="K77" s="50">
        <f>'дод. 4'!K114</f>
        <v>0</v>
      </c>
      <c r="L77" s="50">
        <f>'дод. 4'!L114</f>
        <v>0</v>
      </c>
      <c r="M77" s="50">
        <f>'дод. 4'!M114</f>
        <v>0</v>
      </c>
      <c r="N77" s="50">
        <f>'дод. 4'!N114</f>
        <v>0</v>
      </c>
      <c r="O77" s="50">
        <f>'дод. 4'!O114</f>
        <v>0</v>
      </c>
      <c r="P77" s="50">
        <f t="shared" si="14"/>
        <v>2957400</v>
      </c>
      <c r="Q77" s="91"/>
    </row>
    <row r="78" spans="1:17" s="23" customFormat="1" ht="30">
      <c r="A78" s="21"/>
      <c r="B78" s="24" t="s">
        <v>266</v>
      </c>
      <c r="C78" s="24" t="s">
        <v>139</v>
      </c>
      <c r="D78" s="25" t="s">
        <v>267</v>
      </c>
      <c r="E78" s="50">
        <f t="shared" si="15"/>
        <v>2340000</v>
      </c>
      <c r="F78" s="50">
        <f>'дод. 4'!F115</f>
        <v>2340000</v>
      </c>
      <c r="G78" s="50">
        <f>'дод. 4'!G115</f>
        <v>0</v>
      </c>
      <c r="H78" s="50">
        <f>'дод. 4'!H115</f>
        <v>0</v>
      </c>
      <c r="I78" s="50">
        <f>'дод. 4'!I115</f>
        <v>0</v>
      </c>
      <c r="J78" s="50">
        <f t="shared" si="16"/>
        <v>0</v>
      </c>
      <c r="K78" s="50">
        <f>'дод. 4'!K115</f>
        <v>0</v>
      </c>
      <c r="L78" s="50">
        <f>'дод. 4'!L115</f>
        <v>0</v>
      </c>
      <c r="M78" s="50">
        <f>'дод. 4'!M115</f>
        <v>0</v>
      </c>
      <c r="N78" s="50">
        <f>'дод. 4'!N115</f>
        <v>0</v>
      </c>
      <c r="O78" s="50">
        <f>'дод. 4'!O115</f>
        <v>0</v>
      </c>
      <c r="P78" s="50">
        <f t="shared" si="14"/>
        <v>2340000</v>
      </c>
      <c r="Q78" s="91"/>
    </row>
    <row r="79" spans="1:17" s="23" customFormat="1" ht="15">
      <c r="A79" s="21"/>
      <c r="B79" s="24"/>
      <c r="C79" s="24"/>
      <c r="D79" s="25" t="s">
        <v>263</v>
      </c>
      <c r="E79" s="50">
        <f t="shared" si="15"/>
        <v>2340000</v>
      </c>
      <c r="F79" s="50">
        <f>'дод. 4'!F116</f>
        <v>2340000</v>
      </c>
      <c r="G79" s="50">
        <f>'дод. 4'!G116</f>
        <v>0</v>
      </c>
      <c r="H79" s="50">
        <f>'дод. 4'!H116</f>
        <v>0</v>
      </c>
      <c r="I79" s="50">
        <f>'дод. 4'!I116</f>
        <v>0</v>
      </c>
      <c r="J79" s="50">
        <f t="shared" si="16"/>
        <v>0</v>
      </c>
      <c r="K79" s="50">
        <f>'дод. 4'!K116</f>
        <v>0</v>
      </c>
      <c r="L79" s="50">
        <f>'дод. 4'!L116</f>
        <v>0</v>
      </c>
      <c r="M79" s="50">
        <f>'дод. 4'!M116</f>
        <v>0</v>
      </c>
      <c r="N79" s="50">
        <f>'дод. 4'!N116</f>
        <v>0</v>
      </c>
      <c r="O79" s="50">
        <f>'дод. 4'!O116</f>
        <v>0</v>
      </c>
      <c r="P79" s="50">
        <f t="shared" si="14"/>
        <v>2340000</v>
      </c>
      <c r="Q79" s="91"/>
    </row>
    <row r="80" spans="1:17" s="23" customFormat="1" ht="15">
      <c r="A80" s="21"/>
      <c r="B80" s="24" t="s">
        <v>268</v>
      </c>
      <c r="C80" s="24" t="s">
        <v>139</v>
      </c>
      <c r="D80" s="25" t="s">
        <v>269</v>
      </c>
      <c r="E80" s="50">
        <f t="shared" si="15"/>
        <v>132914300</v>
      </c>
      <c r="F80" s="50">
        <f>'дод. 4'!F117</f>
        <v>132914300</v>
      </c>
      <c r="G80" s="50">
        <f>'дод. 4'!G117</f>
        <v>0</v>
      </c>
      <c r="H80" s="50">
        <f>'дод. 4'!H117</f>
        <v>0</v>
      </c>
      <c r="I80" s="50">
        <f>'дод. 4'!I117</f>
        <v>0</v>
      </c>
      <c r="J80" s="50">
        <f t="shared" si="16"/>
        <v>0</v>
      </c>
      <c r="K80" s="50">
        <f>'дод. 4'!K117</f>
        <v>0</v>
      </c>
      <c r="L80" s="50">
        <f>'дод. 4'!L117</f>
        <v>0</v>
      </c>
      <c r="M80" s="50">
        <f>'дод. 4'!M117</f>
        <v>0</v>
      </c>
      <c r="N80" s="50">
        <f>'дод. 4'!N117</f>
        <v>0</v>
      </c>
      <c r="O80" s="50">
        <f>'дод. 4'!O117</f>
        <v>0</v>
      </c>
      <c r="P80" s="50">
        <f t="shared" si="14"/>
        <v>132914300</v>
      </c>
      <c r="Q80" s="91"/>
    </row>
    <row r="81" spans="1:17" s="23" customFormat="1" ht="15">
      <c r="A81" s="21"/>
      <c r="B81" s="24"/>
      <c r="C81" s="24"/>
      <c r="D81" s="25" t="s">
        <v>263</v>
      </c>
      <c r="E81" s="50">
        <f t="shared" si="15"/>
        <v>132914300</v>
      </c>
      <c r="F81" s="50">
        <f>'дод. 4'!F118</f>
        <v>132914300</v>
      </c>
      <c r="G81" s="50">
        <f>'дод. 4'!G118</f>
        <v>0</v>
      </c>
      <c r="H81" s="50">
        <f>'дод. 4'!H118</f>
        <v>0</v>
      </c>
      <c r="I81" s="50">
        <f>'дод. 4'!I118</f>
        <v>0</v>
      </c>
      <c r="J81" s="50">
        <f t="shared" si="16"/>
        <v>0</v>
      </c>
      <c r="K81" s="50">
        <f>'дод. 4'!K118</f>
        <v>0</v>
      </c>
      <c r="L81" s="50">
        <f>'дод. 4'!L118</f>
        <v>0</v>
      </c>
      <c r="M81" s="50">
        <f>'дод. 4'!M118</f>
        <v>0</v>
      </c>
      <c r="N81" s="50">
        <f>'дод. 4'!N118</f>
        <v>0</v>
      </c>
      <c r="O81" s="50">
        <f>'дод. 4'!O118</f>
        <v>0</v>
      </c>
      <c r="P81" s="50">
        <f t="shared" si="14"/>
        <v>132914300</v>
      </c>
      <c r="Q81" s="91"/>
    </row>
    <row r="82" spans="1:17" s="23" customFormat="1" ht="30">
      <c r="A82" s="21"/>
      <c r="B82" s="24" t="s">
        <v>270</v>
      </c>
      <c r="C82" s="24" t="s">
        <v>139</v>
      </c>
      <c r="D82" s="25" t="s">
        <v>271</v>
      </c>
      <c r="E82" s="50">
        <f t="shared" si="15"/>
        <v>4769000</v>
      </c>
      <c r="F82" s="50">
        <f>'дод. 4'!F119</f>
        <v>4769000</v>
      </c>
      <c r="G82" s="50">
        <f>'дод. 4'!G119</f>
        <v>0</v>
      </c>
      <c r="H82" s="50">
        <f>'дод. 4'!H119</f>
        <v>0</v>
      </c>
      <c r="I82" s="50">
        <f>'дод. 4'!I119</f>
        <v>0</v>
      </c>
      <c r="J82" s="50">
        <f t="shared" si="16"/>
        <v>0</v>
      </c>
      <c r="K82" s="50">
        <f>'дод. 4'!K119</f>
        <v>0</v>
      </c>
      <c r="L82" s="50">
        <f>'дод. 4'!L119</f>
        <v>0</v>
      </c>
      <c r="M82" s="50">
        <f>'дод. 4'!M119</f>
        <v>0</v>
      </c>
      <c r="N82" s="50">
        <f>'дод. 4'!N119</f>
        <v>0</v>
      </c>
      <c r="O82" s="50">
        <f>'дод. 4'!O119</f>
        <v>0</v>
      </c>
      <c r="P82" s="50">
        <f t="shared" si="14"/>
        <v>4769000</v>
      </c>
      <c r="Q82" s="91"/>
    </row>
    <row r="83" spans="1:17" s="23" customFormat="1" ht="15">
      <c r="A83" s="21"/>
      <c r="B83" s="24"/>
      <c r="C83" s="24"/>
      <c r="D83" s="25" t="s">
        <v>263</v>
      </c>
      <c r="E83" s="50">
        <f t="shared" si="15"/>
        <v>4769000</v>
      </c>
      <c r="F83" s="50">
        <f>'дод. 4'!F120</f>
        <v>4769000</v>
      </c>
      <c r="G83" s="50">
        <f>'дод. 4'!G120</f>
        <v>0</v>
      </c>
      <c r="H83" s="50">
        <f>'дод. 4'!H120</f>
        <v>0</v>
      </c>
      <c r="I83" s="50">
        <f>'дод. 4'!I120</f>
        <v>0</v>
      </c>
      <c r="J83" s="50">
        <f t="shared" si="16"/>
        <v>0</v>
      </c>
      <c r="K83" s="50">
        <f>'дод. 4'!K120</f>
        <v>0</v>
      </c>
      <c r="L83" s="50">
        <f>'дод. 4'!L120</f>
        <v>0</v>
      </c>
      <c r="M83" s="50">
        <f>'дод. 4'!M120</f>
        <v>0</v>
      </c>
      <c r="N83" s="50">
        <f>'дод. 4'!N120</f>
        <v>0</v>
      </c>
      <c r="O83" s="50">
        <f>'дод. 4'!O120</f>
        <v>0</v>
      </c>
      <c r="P83" s="50">
        <f t="shared" si="14"/>
        <v>4769000</v>
      </c>
      <c r="Q83" s="91"/>
    </row>
    <row r="84" spans="1:17" s="23" customFormat="1" ht="15">
      <c r="A84" s="21"/>
      <c r="B84" s="24" t="s">
        <v>272</v>
      </c>
      <c r="C84" s="24" t="s">
        <v>139</v>
      </c>
      <c r="D84" s="25" t="s">
        <v>273</v>
      </c>
      <c r="E84" s="50">
        <f t="shared" si="15"/>
        <v>22750500</v>
      </c>
      <c r="F84" s="50">
        <f>'дод. 4'!F121</f>
        <v>22750500</v>
      </c>
      <c r="G84" s="50">
        <f>'дод. 4'!G121</f>
        <v>0</v>
      </c>
      <c r="H84" s="50">
        <f>'дод. 4'!H121</f>
        <v>0</v>
      </c>
      <c r="I84" s="50">
        <f>'дод. 4'!I121</f>
        <v>0</v>
      </c>
      <c r="J84" s="50">
        <f t="shared" si="16"/>
        <v>0</v>
      </c>
      <c r="K84" s="50">
        <f>'дод. 4'!K121</f>
        <v>0</v>
      </c>
      <c r="L84" s="50">
        <f>'дод. 4'!L121</f>
        <v>0</v>
      </c>
      <c r="M84" s="50">
        <f>'дод. 4'!M121</f>
        <v>0</v>
      </c>
      <c r="N84" s="50">
        <f>'дод. 4'!N121</f>
        <v>0</v>
      </c>
      <c r="O84" s="50">
        <f>'дод. 4'!O121</f>
        <v>0</v>
      </c>
      <c r="P84" s="50">
        <f t="shared" si="14"/>
        <v>22750500</v>
      </c>
      <c r="Q84" s="91"/>
    </row>
    <row r="85" spans="1:17" s="23" customFormat="1" ht="15">
      <c r="A85" s="21"/>
      <c r="B85" s="24"/>
      <c r="C85" s="24"/>
      <c r="D85" s="25" t="s">
        <v>263</v>
      </c>
      <c r="E85" s="50">
        <f t="shared" si="15"/>
        <v>22750500</v>
      </c>
      <c r="F85" s="50">
        <f>'дод. 4'!F122</f>
        <v>22750500</v>
      </c>
      <c r="G85" s="50">
        <f>'дод. 4'!G122</f>
        <v>0</v>
      </c>
      <c r="H85" s="50">
        <f>'дод. 4'!H122</f>
        <v>0</v>
      </c>
      <c r="I85" s="50">
        <f>'дод. 4'!I122</f>
        <v>0</v>
      </c>
      <c r="J85" s="50">
        <f t="shared" si="16"/>
        <v>0</v>
      </c>
      <c r="K85" s="50">
        <f>'дод. 4'!K122</f>
        <v>0</v>
      </c>
      <c r="L85" s="50">
        <f>'дод. 4'!L122</f>
        <v>0</v>
      </c>
      <c r="M85" s="50">
        <f>'дод. 4'!M122</f>
        <v>0</v>
      </c>
      <c r="N85" s="50">
        <f>'дод. 4'!N122</f>
        <v>0</v>
      </c>
      <c r="O85" s="50">
        <f>'дод. 4'!O122</f>
        <v>0</v>
      </c>
      <c r="P85" s="50">
        <f t="shared" si="14"/>
        <v>22750500</v>
      </c>
      <c r="Q85" s="91"/>
    </row>
    <row r="86" spans="1:17" s="23" customFormat="1" ht="15">
      <c r="A86" s="21"/>
      <c r="B86" s="24" t="s">
        <v>274</v>
      </c>
      <c r="C86" s="24" t="s">
        <v>139</v>
      </c>
      <c r="D86" s="25" t="s">
        <v>275</v>
      </c>
      <c r="E86" s="50">
        <f t="shared" si="15"/>
        <v>2174200</v>
      </c>
      <c r="F86" s="50">
        <f>'дод. 4'!F123</f>
        <v>2174200</v>
      </c>
      <c r="G86" s="50">
        <f>'дод. 4'!G123</f>
        <v>0</v>
      </c>
      <c r="H86" s="50">
        <f>'дод. 4'!H123</f>
        <v>0</v>
      </c>
      <c r="I86" s="50">
        <f>'дод. 4'!I123</f>
        <v>0</v>
      </c>
      <c r="J86" s="50">
        <f t="shared" si="16"/>
        <v>0</v>
      </c>
      <c r="K86" s="50">
        <f>'дод. 4'!K123</f>
        <v>0</v>
      </c>
      <c r="L86" s="50">
        <f>'дод. 4'!L123</f>
        <v>0</v>
      </c>
      <c r="M86" s="50">
        <f>'дод. 4'!M123</f>
        <v>0</v>
      </c>
      <c r="N86" s="50">
        <f>'дод. 4'!N123</f>
        <v>0</v>
      </c>
      <c r="O86" s="50">
        <f>'дод. 4'!O123</f>
        <v>0</v>
      </c>
      <c r="P86" s="50">
        <f t="shared" si="14"/>
        <v>2174200</v>
      </c>
      <c r="Q86" s="91"/>
    </row>
    <row r="87" spans="1:17" s="23" customFormat="1" ht="15">
      <c r="A87" s="21"/>
      <c r="B87" s="24"/>
      <c r="C87" s="24"/>
      <c r="D87" s="25" t="s">
        <v>263</v>
      </c>
      <c r="E87" s="50">
        <f t="shared" si="15"/>
        <v>2174200</v>
      </c>
      <c r="F87" s="50">
        <f>'дод. 4'!F124</f>
        <v>2174200</v>
      </c>
      <c r="G87" s="50">
        <f>'дод. 4'!G124</f>
        <v>0</v>
      </c>
      <c r="H87" s="50">
        <f>'дод. 4'!H124</f>
        <v>0</v>
      </c>
      <c r="I87" s="50">
        <f>'дод. 4'!I124</f>
        <v>0</v>
      </c>
      <c r="J87" s="50">
        <f t="shared" si="16"/>
        <v>0</v>
      </c>
      <c r="K87" s="50">
        <f>'дод. 4'!K124</f>
        <v>0</v>
      </c>
      <c r="L87" s="50">
        <f>'дод. 4'!L124</f>
        <v>0</v>
      </c>
      <c r="M87" s="50">
        <f>'дод. 4'!M124</f>
        <v>0</v>
      </c>
      <c r="N87" s="50">
        <f>'дод. 4'!N124</f>
        <v>0</v>
      </c>
      <c r="O87" s="50">
        <f>'дод. 4'!O124</f>
        <v>0</v>
      </c>
      <c r="P87" s="50">
        <f t="shared" si="14"/>
        <v>2174200</v>
      </c>
      <c r="Q87" s="91"/>
    </row>
    <row r="88" spans="1:17" s="23" customFormat="1" ht="15">
      <c r="A88" s="21"/>
      <c r="B88" s="24" t="s">
        <v>276</v>
      </c>
      <c r="C88" s="24" t="s">
        <v>139</v>
      </c>
      <c r="D88" s="25" t="s">
        <v>277</v>
      </c>
      <c r="E88" s="50">
        <f t="shared" si="15"/>
        <v>312200</v>
      </c>
      <c r="F88" s="50">
        <f>'дод. 4'!F125</f>
        <v>312200</v>
      </c>
      <c r="G88" s="50">
        <f>'дод. 4'!G125</f>
        <v>0</v>
      </c>
      <c r="H88" s="50">
        <f>'дод. 4'!H125</f>
        <v>0</v>
      </c>
      <c r="I88" s="50">
        <f>'дод. 4'!I125</f>
        <v>0</v>
      </c>
      <c r="J88" s="50">
        <f t="shared" si="16"/>
        <v>0</v>
      </c>
      <c r="K88" s="50">
        <f>'дод. 4'!K125</f>
        <v>0</v>
      </c>
      <c r="L88" s="50">
        <f>'дод. 4'!L125</f>
        <v>0</v>
      </c>
      <c r="M88" s="50">
        <f>'дод. 4'!M125</f>
        <v>0</v>
      </c>
      <c r="N88" s="50">
        <f>'дод. 4'!N125</f>
        <v>0</v>
      </c>
      <c r="O88" s="50">
        <f>'дод. 4'!O125</f>
        <v>0</v>
      </c>
      <c r="P88" s="50">
        <f t="shared" si="14"/>
        <v>312200</v>
      </c>
      <c r="Q88" s="91"/>
    </row>
    <row r="89" spans="1:17" s="23" customFormat="1" ht="15">
      <c r="A89" s="21"/>
      <c r="B89" s="24"/>
      <c r="C89" s="24"/>
      <c r="D89" s="25" t="s">
        <v>263</v>
      </c>
      <c r="E89" s="50">
        <f t="shared" si="15"/>
        <v>312200</v>
      </c>
      <c r="F89" s="50">
        <f>'дод. 4'!F126</f>
        <v>312200</v>
      </c>
      <c r="G89" s="50">
        <f>'дод. 4'!G126</f>
        <v>0</v>
      </c>
      <c r="H89" s="50">
        <f>'дод. 4'!H126</f>
        <v>0</v>
      </c>
      <c r="I89" s="50">
        <f>'дод. 4'!I126</f>
        <v>0</v>
      </c>
      <c r="J89" s="50">
        <f t="shared" si="16"/>
        <v>0</v>
      </c>
      <c r="K89" s="50">
        <f>'дод. 4'!K126</f>
        <v>0</v>
      </c>
      <c r="L89" s="50">
        <f>'дод. 4'!L126</f>
        <v>0</v>
      </c>
      <c r="M89" s="50">
        <f>'дод. 4'!M126</f>
        <v>0</v>
      </c>
      <c r="N89" s="50">
        <f>'дод. 4'!N126</f>
        <v>0</v>
      </c>
      <c r="O89" s="50">
        <f>'дод. 4'!O126</f>
        <v>0</v>
      </c>
      <c r="P89" s="50">
        <f t="shared" si="14"/>
        <v>312200</v>
      </c>
      <c r="Q89" s="91"/>
    </row>
    <row r="90" spans="1:17" s="23" customFormat="1" ht="30">
      <c r="A90" s="21"/>
      <c r="B90" s="24" t="s">
        <v>278</v>
      </c>
      <c r="C90" s="24" t="s">
        <v>139</v>
      </c>
      <c r="D90" s="25" t="s">
        <v>279</v>
      </c>
      <c r="E90" s="50">
        <f t="shared" si="15"/>
        <v>41101000</v>
      </c>
      <c r="F90" s="50">
        <f>'дод. 4'!F127</f>
        <v>41101000</v>
      </c>
      <c r="G90" s="50">
        <f>'дод. 4'!G127</f>
        <v>0</v>
      </c>
      <c r="H90" s="50">
        <f>'дод. 4'!H127</f>
        <v>0</v>
      </c>
      <c r="I90" s="50">
        <f>'дод. 4'!I127</f>
        <v>0</v>
      </c>
      <c r="J90" s="50">
        <f t="shared" si="16"/>
        <v>0</v>
      </c>
      <c r="K90" s="50">
        <f>'дод. 4'!K127</f>
        <v>0</v>
      </c>
      <c r="L90" s="50">
        <f>'дод. 4'!L127</f>
        <v>0</v>
      </c>
      <c r="M90" s="50">
        <f>'дод. 4'!M127</f>
        <v>0</v>
      </c>
      <c r="N90" s="50">
        <f>'дод. 4'!N127</f>
        <v>0</v>
      </c>
      <c r="O90" s="50">
        <f>'дод. 4'!O127</f>
        <v>0</v>
      </c>
      <c r="P90" s="50">
        <f t="shared" si="14"/>
        <v>41101000</v>
      </c>
      <c r="Q90" s="91"/>
    </row>
    <row r="91" spans="1:17" s="23" customFormat="1" ht="15">
      <c r="A91" s="21"/>
      <c r="B91" s="24"/>
      <c r="C91" s="24"/>
      <c r="D91" s="25" t="s">
        <v>263</v>
      </c>
      <c r="E91" s="50">
        <f t="shared" si="15"/>
        <v>41101000</v>
      </c>
      <c r="F91" s="50">
        <f>'дод. 4'!F128</f>
        <v>41101000</v>
      </c>
      <c r="G91" s="50">
        <f>'дод. 4'!G128</f>
        <v>0</v>
      </c>
      <c r="H91" s="50">
        <f>'дод. 4'!H128</f>
        <v>0</v>
      </c>
      <c r="I91" s="50">
        <f>'дод. 4'!I128</f>
        <v>0</v>
      </c>
      <c r="J91" s="50">
        <f t="shared" si="16"/>
        <v>0</v>
      </c>
      <c r="K91" s="50">
        <f>'дод. 4'!K128</f>
        <v>0</v>
      </c>
      <c r="L91" s="50">
        <f>'дод. 4'!L128</f>
        <v>0</v>
      </c>
      <c r="M91" s="50">
        <f>'дод. 4'!M128</f>
        <v>0</v>
      </c>
      <c r="N91" s="50">
        <f>'дод. 4'!N128</f>
        <v>0</v>
      </c>
      <c r="O91" s="50">
        <f>'дод. 4'!O128</f>
        <v>0</v>
      </c>
      <c r="P91" s="50">
        <f t="shared" si="14"/>
        <v>41101000</v>
      </c>
      <c r="Q91" s="91"/>
    </row>
    <row r="92" spans="1:17" s="23" customFormat="1" ht="45">
      <c r="A92" s="21"/>
      <c r="B92" s="24" t="s">
        <v>282</v>
      </c>
      <c r="C92" s="24" t="s">
        <v>165</v>
      </c>
      <c r="D92" s="25" t="s">
        <v>283</v>
      </c>
      <c r="E92" s="50">
        <f t="shared" si="15"/>
        <v>365245700</v>
      </c>
      <c r="F92" s="50">
        <f>'дод. 4'!F129</f>
        <v>365245700</v>
      </c>
      <c r="G92" s="50">
        <f>'дод. 4'!G129</f>
        <v>0</v>
      </c>
      <c r="H92" s="50">
        <f>'дод. 4'!H129</f>
        <v>0</v>
      </c>
      <c r="I92" s="50">
        <f>'дод. 4'!I129</f>
        <v>0</v>
      </c>
      <c r="J92" s="50">
        <f t="shared" si="16"/>
        <v>0</v>
      </c>
      <c r="K92" s="50">
        <f>'дод. 4'!K129</f>
        <v>0</v>
      </c>
      <c r="L92" s="50">
        <f>'дод. 4'!L129</f>
        <v>0</v>
      </c>
      <c r="M92" s="50">
        <f>'дод. 4'!M129</f>
        <v>0</v>
      </c>
      <c r="N92" s="50">
        <f>'дод. 4'!N129</f>
        <v>0</v>
      </c>
      <c r="O92" s="50">
        <f>'дод. 4'!O129</f>
        <v>0</v>
      </c>
      <c r="P92" s="50">
        <f t="shared" si="14"/>
        <v>365245700</v>
      </c>
      <c r="Q92" s="91"/>
    </row>
    <row r="93" spans="1:17" s="23" customFormat="1" ht="15">
      <c r="A93" s="21"/>
      <c r="B93" s="24"/>
      <c r="C93" s="24"/>
      <c r="D93" s="25" t="s">
        <v>263</v>
      </c>
      <c r="E93" s="50">
        <f t="shared" si="15"/>
        <v>365245700</v>
      </c>
      <c r="F93" s="50">
        <f>'дод. 4'!F130</f>
        <v>365245700</v>
      </c>
      <c r="G93" s="50">
        <f>'дод. 4'!G130</f>
        <v>0</v>
      </c>
      <c r="H93" s="50">
        <f>'дод. 4'!H130</f>
        <v>0</v>
      </c>
      <c r="I93" s="50">
        <f>'дод. 4'!I130</f>
        <v>0</v>
      </c>
      <c r="J93" s="50">
        <f t="shared" si="16"/>
        <v>0</v>
      </c>
      <c r="K93" s="50">
        <f>'дод. 4'!K130</f>
        <v>0</v>
      </c>
      <c r="L93" s="50">
        <f>'дод. 4'!L130</f>
        <v>0</v>
      </c>
      <c r="M93" s="50">
        <f>'дод. 4'!M130</f>
        <v>0</v>
      </c>
      <c r="N93" s="50">
        <f>'дод. 4'!N130</f>
        <v>0</v>
      </c>
      <c r="O93" s="50">
        <f>'дод. 4'!O130</f>
        <v>0</v>
      </c>
      <c r="P93" s="50">
        <f t="shared" si="14"/>
        <v>365245700</v>
      </c>
      <c r="Q93" s="91"/>
    </row>
    <row r="94" spans="1:17" s="23" customFormat="1" ht="60">
      <c r="A94" s="21"/>
      <c r="B94" s="24" t="s">
        <v>284</v>
      </c>
      <c r="C94" s="24" t="s">
        <v>165</v>
      </c>
      <c r="D94" s="25" t="s">
        <v>285</v>
      </c>
      <c r="E94" s="50">
        <f t="shared" si="15"/>
        <v>134338.44</v>
      </c>
      <c r="F94" s="50">
        <f>'дод. 4'!F131</f>
        <v>134338.44</v>
      </c>
      <c r="G94" s="50">
        <f>'дод. 4'!G131</f>
        <v>0</v>
      </c>
      <c r="H94" s="50">
        <f>'дод. 4'!H131</f>
        <v>0</v>
      </c>
      <c r="I94" s="50">
        <f>'дод. 4'!I131</f>
        <v>0</v>
      </c>
      <c r="J94" s="50">
        <f t="shared" si="16"/>
        <v>0</v>
      </c>
      <c r="K94" s="50">
        <f>'дод. 4'!K131</f>
        <v>0</v>
      </c>
      <c r="L94" s="50">
        <f>'дод. 4'!L131</f>
        <v>0</v>
      </c>
      <c r="M94" s="50">
        <f>'дод. 4'!M131</f>
        <v>0</v>
      </c>
      <c r="N94" s="50">
        <f>'дод. 4'!N131</f>
        <v>0</v>
      </c>
      <c r="O94" s="50">
        <f>'дод. 4'!O131</f>
        <v>0</v>
      </c>
      <c r="P94" s="50">
        <f t="shared" si="14"/>
        <v>134338.44</v>
      </c>
      <c r="Q94" s="91"/>
    </row>
    <row r="95" spans="1:17" s="23" customFormat="1" ht="15">
      <c r="A95" s="21"/>
      <c r="B95" s="24"/>
      <c r="C95" s="24"/>
      <c r="D95" s="25" t="s">
        <v>263</v>
      </c>
      <c r="E95" s="50">
        <f t="shared" si="15"/>
        <v>134338.44</v>
      </c>
      <c r="F95" s="50">
        <f>'дод. 4'!F132</f>
        <v>134338.44</v>
      </c>
      <c r="G95" s="50">
        <f>'дод. 4'!G132</f>
        <v>0</v>
      </c>
      <c r="H95" s="50">
        <f>'дод. 4'!H132</f>
        <v>0</v>
      </c>
      <c r="I95" s="50">
        <f>'дод. 4'!I132</f>
        <v>0</v>
      </c>
      <c r="J95" s="50">
        <f t="shared" si="16"/>
        <v>0</v>
      </c>
      <c r="K95" s="50">
        <f>'дод. 4'!K132</f>
        <v>0</v>
      </c>
      <c r="L95" s="50">
        <f>'дод. 4'!L132</f>
        <v>0</v>
      </c>
      <c r="M95" s="50">
        <f>'дод. 4'!M132</f>
        <v>0</v>
      </c>
      <c r="N95" s="50">
        <f>'дод. 4'!N132</f>
        <v>0</v>
      </c>
      <c r="O95" s="50">
        <f>'дод. 4'!O132</f>
        <v>0</v>
      </c>
      <c r="P95" s="50">
        <f t="shared" si="14"/>
        <v>134338.44</v>
      </c>
      <c r="Q95" s="91"/>
    </row>
    <row r="96" spans="1:17" s="23" customFormat="1" ht="30">
      <c r="A96" s="21"/>
      <c r="B96" s="24" t="s">
        <v>17</v>
      </c>
      <c r="C96" s="24" t="s">
        <v>138</v>
      </c>
      <c r="D96" s="25" t="s">
        <v>18</v>
      </c>
      <c r="E96" s="50">
        <f t="shared" si="15"/>
        <v>4006100</v>
      </c>
      <c r="F96" s="50">
        <f>'дод. 4'!F133+'дод. 4'!F15</f>
        <v>4006100</v>
      </c>
      <c r="G96" s="50">
        <f>'дод. 4'!G133+'дод. 4'!G15</f>
        <v>0</v>
      </c>
      <c r="H96" s="50">
        <f>'дод. 4'!H133+'дод. 4'!H15</f>
        <v>0</v>
      </c>
      <c r="I96" s="50">
        <f>'дод. 4'!I133+'дод. 4'!I15</f>
        <v>0</v>
      </c>
      <c r="J96" s="50">
        <f t="shared" si="16"/>
        <v>0</v>
      </c>
      <c r="K96" s="50">
        <f>'дод. 4'!K133+'дод. 4'!K15</f>
        <v>0</v>
      </c>
      <c r="L96" s="50">
        <f>'дод. 4'!L133+'дод. 4'!L15</f>
        <v>0</v>
      </c>
      <c r="M96" s="50">
        <f>'дод. 4'!M133+'дод. 4'!M15</f>
        <v>0</v>
      </c>
      <c r="N96" s="50">
        <f>'дод. 4'!N133+'дод. 4'!N15</f>
        <v>0</v>
      </c>
      <c r="O96" s="50">
        <f>'дод. 4'!O133+'дод. 4'!O15</f>
        <v>0</v>
      </c>
      <c r="P96" s="50">
        <f t="shared" si="14"/>
        <v>4006100</v>
      </c>
      <c r="Q96" s="91"/>
    </row>
    <row r="97" spans="1:17" s="23" customFormat="1" ht="30">
      <c r="A97" s="21"/>
      <c r="B97" s="24" t="s">
        <v>280</v>
      </c>
      <c r="C97" s="24" t="s">
        <v>166</v>
      </c>
      <c r="D97" s="25" t="s">
        <v>281</v>
      </c>
      <c r="E97" s="50">
        <f t="shared" si="15"/>
        <v>7229000</v>
      </c>
      <c r="F97" s="50">
        <f>'дод. 4'!F134</f>
        <v>7229000</v>
      </c>
      <c r="G97" s="50"/>
      <c r="H97" s="50"/>
      <c r="I97" s="50"/>
      <c r="J97" s="50">
        <f t="shared" si="16"/>
        <v>0</v>
      </c>
      <c r="K97" s="50"/>
      <c r="L97" s="50"/>
      <c r="M97" s="50"/>
      <c r="N97" s="50"/>
      <c r="O97" s="50"/>
      <c r="P97" s="50">
        <f t="shared" si="14"/>
        <v>7229000</v>
      </c>
      <c r="Q97" s="91"/>
    </row>
    <row r="98" spans="1:17" s="23" customFormat="1" ht="15">
      <c r="A98" s="21"/>
      <c r="B98" s="24"/>
      <c r="C98" s="24"/>
      <c r="D98" s="25" t="s">
        <v>263</v>
      </c>
      <c r="E98" s="50">
        <f t="shared" si="15"/>
        <v>7229000</v>
      </c>
      <c r="F98" s="50">
        <f>'дод. 4'!F135</f>
        <v>7229000</v>
      </c>
      <c r="G98" s="50"/>
      <c r="H98" s="50"/>
      <c r="I98" s="50"/>
      <c r="J98" s="50">
        <f t="shared" si="16"/>
        <v>0</v>
      </c>
      <c r="K98" s="50"/>
      <c r="L98" s="50"/>
      <c r="M98" s="50"/>
      <c r="N98" s="50"/>
      <c r="O98" s="50"/>
      <c r="P98" s="50">
        <f t="shared" si="14"/>
        <v>7229000</v>
      </c>
      <c r="Q98" s="91"/>
    </row>
    <row r="99" spans="1:17" s="23" customFormat="1" ht="30">
      <c r="A99" s="21"/>
      <c r="B99" s="24" t="s">
        <v>95</v>
      </c>
      <c r="C99" s="24" t="s">
        <v>163</v>
      </c>
      <c r="D99" s="25" t="s">
        <v>96</v>
      </c>
      <c r="E99" s="50">
        <f t="shared" si="15"/>
        <v>1486404</v>
      </c>
      <c r="F99" s="50">
        <f>'дод. 4'!F136</f>
        <v>1486404</v>
      </c>
      <c r="G99" s="50">
        <f>'дод. 4'!G136</f>
        <v>0</v>
      </c>
      <c r="H99" s="50">
        <f>'дод. 4'!H136</f>
        <v>0</v>
      </c>
      <c r="I99" s="50">
        <f>'дод. 4'!I136</f>
        <v>0</v>
      </c>
      <c r="J99" s="50">
        <f t="shared" si="16"/>
        <v>0</v>
      </c>
      <c r="K99" s="50">
        <f>'дод. 4'!K136</f>
        <v>0</v>
      </c>
      <c r="L99" s="50">
        <f>'дод. 4'!L136</f>
        <v>0</v>
      </c>
      <c r="M99" s="50">
        <f>'дод. 4'!M136</f>
        <v>0</v>
      </c>
      <c r="N99" s="50">
        <f>'дод. 4'!N136</f>
        <v>0</v>
      </c>
      <c r="O99" s="50">
        <f>'дод. 4'!O136</f>
        <v>0</v>
      </c>
      <c r="P99" s="50">
        <f t="shared" si="14"/>
        <v>1486404</v>
      </c>
      <c r="Q99" s="91"/>
    </row>
    <row r="100" spans="1:17" s="23" customFormat="1" ht="30">
      <c r="A100" s="21"/>
      <c r="B100" s="24" t="s">
        <v>255</v>
      </c>
      <c r="C100" s="24" t="s">
        <v>163</v>
      </c>
      <c r="D100" s="25" t="s">
        <v>256</v>
      </c>
      <c r="E100" s="50">
        <f t="shared" si="15"/>
        <v>181400</v>
      </c>
      <c r="F100" s="33">
        <f>'дод. 4'!F137</f>
        <v>181400</v>
      </c>
      <c r="G100" s="33">
        <f>'дод. 4'!G137</f>
        <v>0</v>
      </c>
      <c r="H100" s="33">
        <f>'дод. 4'!H137</f>
        <v>0</v>
      </c>
      <c r="I100" s="33">
        <f>'дод. 4'!I137</f>
        <v>0</v>
      </c>
      <c r="J100" s="50">
        <f t="shared" si="16"/>
        <v>0</v>
      </c>
      <c r="K100" s="33">
        <f>'дод. 4'!K137</f>
        <v>0</v>
      </c>
      <c r="L100" s="33">
        <f>'дод. 4'!L137</f>
        <v>0</v>
      </c>
      <c r="M100" s="33">
        <f>'дод. 4'!M137</f>
        <v>0</v>
      </c>
      <c r="N100" s="33">
        <f>'дод. 4'!N137</f>
        <v>0</v>
      </c>
      <c r="O100" s="33">
        <f>'дод. 4'!O137</f>
        <v>0</v>
      </c>
      <c r="P100" s="50">
        <f t="shared" si="14"/>
        <v>181400</v>
      </c>
      <c r="Q100" s="91"/>
    </row>
    <row r="101" spans="1:17" s="23" customFormat="1" ht="30">
      <c r="A101" s="21"/>
      <c r="B101" s="24" t="s">
        <v>207</v>
      </c>
      <c r="C101" s="24" t="s">
        <v>208</v>
      </c>
      <c r="D101" s="25" t="s">
        <v>209</v>
      </c>
      <c r="E101" s="50">
        <f t="shared" si="15"/>
        <v>724903.0700000001</v>
      </c>
      <c r="F101" s="33">
        <f>'дод. 4'!F138+'дод. 4'!F163</f>
        <v>724903.0700000001</v>
      </c>
      <c r="G101" s="33">
        <f>'дод. 4'!G138+'дод. 4'!G163</f>
        <v>307212.86</v>
      </c>
      <c r="H101" s="33">
        <f>'дод. 4'!H138+'дод. 4'!H163</f>
        <v>0</v>
      </c>
      <c r="I101" s="33">
        <f>'дод. 4'!I138+'дод. 4'!I163</f>
        <v>0</v>
      </c>
      <c r="J101" s="50">
        <f t="shared" si="16"/>
        <v>0</v>
      </c>
      <c r="K101" s="33">
        <f>'дод. 4'!K138+'дод. 4'!K163</f>
        <v>0</v>
      </c>
      <c r="L101" s="33">
        <f>'дод. 4'!L138+'дод. 4'!L163</f>
        <v>0</v>
      </c>
      <c r="M101" s="33">
        <f>'дод. 4'!M138+'дод. 4'!M163</f>
        <v>0</v>
      </c>
      <c r="N101" s="33">
        <f>'дод. 4'!N138+'дод. 4'!N163</f>
        <v>0</v>
      </c>
      <c r="O101" s="33">
        <f>'дод. 4'!O138+'дод. 4'!O163</f>
        <v>0</v>
      </c>
      <c r="P101" s="50">
        <f t="shared" si="14"/>
        <v>724903.0700000001</v>
      </c>
      <c r="Q101" s="91"/>
    </row>
    <row r="102" spans="1:17" s="23" customFormat="1" ht="15">
      <c r="A102" s="21"/>
      <c r="B102" s="24" t="s">
        <v>109</v>
      </c>
      <c r="C102" s="24" t="s">
        <v>139</v>
      </c>
      <c r="D102" s="25" t="s">
        <v>110</v>
      </c>
      <c r="E102" s="50">
        <f t="shared" si="15"/>
        <v>50000</v>
      </c>
      <c r="F102" s="33">
        <f>'дод. 4'!F154</f>
        <v>50000</v>
      </c>
      <c r="G102" s="33">
        <f>'дод. 4'!G154</f>
        <v>0</v>
      </c>
      <c r="H102" s="33">
        <f>'дод. 4'!H154</f>
        <v>0</v>
      </c>
      <c r="I102" s="33">
        <f>'дод. 4'!I154</f>
        <v>0</v>
      </c>
      <c r="J102" s="50">
        <f t="shared" si="16"/>
        <v>0</v>
      </c>
      <c r="K102" s="33">
        <f>'дод. 4'!K154</f>
        <v>0</v>
      </c>
      <c r="L102" s="33">
        <f>'дод. 4'!L154</f>
        <v>0</v>
      </c>
      <c r="M102" s="33">
        <f>'дод. 4'!M154</f>
        <v>0</v>
      </c>
      <c r="N102" s="33">
        <f>'дод. 4'!N154</f>
        <v>0</v>
      </c>
      <c r="O102" s="33">
        <f>'дод. 4'!O154</f>
        <v>0</v>
      </c>
      <c r="P102" s="50">
        <f t="shared" si="14"/>
        <v>50000</v>
      </c>
      <c r="Q102" s="91"/>
    </row>
    <row r="103" spans="1:17" s="23" customFormat="1" ht="30">
      <c r="A103" s="21"/>
      <c r="B103" s="24" t="s">
        <v>19</v>
      </c>
      <c r="C103" s="24" t="s">
        <v>139</v>
      </c>
      <c r="D103" s="25" t="s">
        <v>20</v>
      </c>
      <c r="E103" s="50">
        <f t="shared" si="15"/>
        <v>692000</v>
      </c>
      <c r="F103" s="33">
        <f>'дод. 4'!F16</f>
        <v>692000</v>
      </c>
      <c r="G103" s="33">
        <f>'дод. 4'!G16</f>
        <v>492950</v>
      </c>
      <c r="H103" s="33">
        <f>'дод. 4'!H16</f>
        <v>55897</v>
      </c>
      <c r="I103" s="33">
        <f>'дод. 4'!I16</f>
        <v>0</v>
      </c>
      <c r="J103" s="50">
        <f t="shared" si="16"/>
        <v>0</v>
      </c>
      <c r="K103" s="33">
        <f>'дод. 4'!K16</f>
        <v>0</v>
      </c>
      <c r="L103" s="33">
        <f>'дод. 4'!L16</f>
        <v>0</v>
      </c>
      <c r="M103" s="33">
        <f>'дод. 4'!M16</f>
        <v>0</v>
      </c>
      <c r="N103" s="33">
        <f>'дод. 4'!N16</f>
        <v>0</v>
      </c>
      <c r="O103" s="33">
        <f>'дод. 4'!O16</f>
        <v>0</v>
      </c>
      <c r="P103" s="50">
        <f t="shared" si="14"/>
        <v>692000</v>
      </c>
      <c r="Q103" s="91"/>
    </row>
    <row r="104" spans="1:17" s="23" customFormat="1" ht="30">
      <c r="A104" s="21"/>
      <c r="B104" s="24" t="s">
        <v>21</v>
      </c>
      <c r="C104" s="24" t="s">
        <v>139</v>
      </c>
      <c r="D104" s="25" t="s">
        <v>22</v>
      </c>
      <c r="E104" s="50">
        <f t="shared" si="15"/>
        <v>40000</v>
      </c>
      <c r="F104" s="33">
        <f>'дод. 4'!F17</f>
        <v>40000</v>
      </c>
      <c r="G104" s="33">
        <f>'дод. 4'!G17</f>
        <v>0</v>
      </c>
      <c r="H104" s="33">
        <f>'дод. 4'!H17</f>
        <v>0</v>
      </c>
      <c r="I104" s="33">
        <f>'дод. 4'!I17</f>
        <v>0</v>
      </c>
      <c r="J104" s="50">
        <f t="shared" si="16"/>
        <v>0</v>
      </c>
      <c r="K104" s="33">
        <f>'дод. 4'!K17</f>
        <v>0</v>
      </c>
      <c r="L104" s="33">
        <f>'дод. 4'!L17</f>
        <v>0</v>
      </c>
      <c r="M104" s="33">
        <f>'дод. 4'!M17</f>
        <v>0</v>
      </c>
      <c r="N104" s="33">
        <f>'дод. 4'!N17</f>
        <v>0</v>
      </c>
      <c r="O104" s="33">
        <f>'дод. 4'!O17</f>
        <v>0</v>
      </c>
      <c r="P104" s="50">
        <f t="shared" si="14"/>
        <v>40000</v>
      </c>
      <c r="Q104" s="91"/>
    </row>
    <row r="105" spans="1:17" s="23" customFormat="1" ht="30">
      <c r="A105" s="21"/>
      <c r="B105" s="24" t="s">
        <v>23</v>
      </c>
      <c r="C105" s="24" t="s">
        <v>139</v>
      </c>
      <c r="D105" s="25" t="s">
        <v>24</v>
      </c>
      <c r="E105" s="50">
        <f t="shared" si="15"/>
        <v>605000</v>
      </c>
      <c r="F105" s="33">
        <f>'дод. 4'!F18</f>
        <v>605000</v>
      </c>
      <c r="G105" s="33">
        <f>'дод. 4'!G18</f>
        <v>0</v>
      </c>
      <c r="H105" s="33">
        <f>'дод. 4'!H18</f>
        <v>0</v>
      </c>
      <c r="I105" s="33">
        <f>'дод. 4'!I18</f>
        <v>0</v>
      </c>
      <c r="J105" s="50">
        <f t="shared" si="16"/>
        <v>0</v>
      </c>
      <c r="K105" s="33">
        <f>'дод. 4'!K18</f>
        <v>0</v>
      </c>
      <c r="L105" s="33">
        <f>'дод. 4'!L18</f>
        <v>0</v>
      </c>
      <c r="M105" s="33">
        <f>'дод. 4'!M18</f>
        <v>0</v>
      </c>
      <c r="N105" s="33">
        <f>'дод. 4'!N18</f>
        <v>0</v>
      </c>
      <c r="O105" s="33">
        <f>'дод. 4'!O18</f>
        <v>0</v>
      </c>
      <c r="P105" s="50">
        <f t="shared" si="14"/>
        <v>605000</v>
      </c>
      <c r="Q105" s="91"/>
    </row>
    <row r="106" spans="1:17" s="23" customFormat="1" ht="15">
      <c r="A106" s="21"/>
      <c r="B106" s="24" t="s">
        <v>25</v>
      </c>
      <c r="C106" s="24" t="s">
        <v>139</v>
      </c>
      <c r="D106" s="25" t="s">
        <v>26</v>
      </c>
      <c r="E106" s="50">
        <f t="shared" si="15"/>
        <v>509900</v>
      </c>
      <c r="F106" s="33">
        <f>'дод. 4'!F19</f>
        <v>509900</v>
      </c>
      <c r="G106" s="33">
        <f>'дод. 4'!G19</f>
        <v>337300</v>
      </c>
      <c r="H106" s="33">
        <f>'дод. 4'!H19</f>
        <v>72433</v>
      </c>
      <c r="I106" s="33">
        <f>'дод. 4'!I19</f>
        <v>0</v>
      </c>
      <c r="J106" s="50">
        <f t="shared" si="16"/>
        <v>9645</v>
      </c>
      <c r="K106" s="33">
        <f>'дод. 4'!K19</f>
        <v>0</v>
      </c>
      <c r="L106" s="33">
        <f>'дод. 4'!L19</f>
        <v>0</v>
      </c>
      <c r="M106" s="33">
        <f>'дод. 4'!M19</f>
        <v>0</v>
      </c>
      <c r="N106" s="33">
        <f>'дод. 4'!N19</f>
        <v>9645</v>
      </c>
      <c r="O106" s="33">
        <f>'дод. 4'!O19</f>
        <v>9645</v>
      </c>
      <c r="P106" s="50">
        <f t="shared" si="14"/>
        <v>519545</v>
      </c>
      <c r="Q106" s="91"/>
    </row>
    <row r="107" spans="1:17" s="23" customFormat="1" ht="75">
      <c r="A107" s="21"/>
      <c r="B107" s="24" t="s">
        <v>27</v>
      </c>
      <c r="C107" s="24" t="s">
        <v>139</v>
      </c>
      <c r="D107" s="26" t="s">
        <v>28</v>
      </c>
      <c r="E107" s="50">
        <f t="shared" si="15"/>
        <v>3216868</v>
      </c>
      <c r="F107" s="33">
        <f>'дод. 4'!F20+'дод. 4'!F63</f>
        <v>3216868</v>
      </c>
      <c r="G107" s="33">
        <f>'дод. 4'!G20+'дод. 4'!G63</f>
        <v>0</v>
      </c>
      <c r="H107" s="33">
        <f>'дод. 4'!H20+'дод. 4'!H63</f>
        <v>0</v>
      </c>
      <c r="I107" s="33">
        <f>'дод. 4'!I20+'дод. 4'!I63</f>
        <v>0</v>
      </c>
      <c r="J107" s="50">
        <f t="shared" si="16"/>
        <v>0</v>
      </c>
      <c r="K107" s="33">
        <f>'дод. 4'!K20+'дод. 4'!K63</f>
        <v>0</v>
      </c>
      <c r="L107" s="33">
        <f>'дод. 4'!L20+'дод. 4'!L63</f>
        <v>0</v>
      </c>
      <c r="M107" s="33">
        <f>'дод. 4'!M20+'дод. 4'!M63</f>
        <v>0</v>
      </c>
      <c r="N107" s="33">
        <f>'дод. 4'!N20+'дод. 4'!N63</f>
        <v>0</v>
      </c>
      <c r="O107" s="33">
        <f>'дод. 4'!O20+'дод. 4'!O63</f>
        <v>0</v>
      </c>
      <c r="P107" s="50">
        <f t="shared" si="14"/>
        <v>3216868</v>
      </c>
      <c r="Q107" s="91"/>
    </row>
    <row r="108" spans="1:17" s="23" customFormat="1" ht="45">
      <c r="A108" s="21"/>
      <c r="B108" s="24" t="s">
        <v>97</v>
      </c>
      <c r="C108" s="24" t="s">
        <v>167</v>
      </c>
      <c r="D108" s="25" t="s">
        <v>98</v>
      </c>
      <c r="E108" s="50">
        <f t="shared" si="15"/>
        <v>5914458</v>
      </c>
      <c r="F108" s="33">
        <f>'дод. 4'!F139</f>
        <v>5914458</v>
      </c>
      <c r="G108" s="33">
        <f>'дод. 4'!G139</f>
        <v>4387170</v>
      </c>
      <c r="H108" s="33">
        <f>'дод. 4'!H139</f>
        <v>156566</v>
      </c>
      <c r="I108" s="33">
        <f>'дод. 4'!I139</f>
        <v>0</v>
      </c>
      <c r="J108" s="50">
        <f t="shared" si="16"/>
        <v>467800</v>
      </c>
      <c r="K108" s="33">
        <f>'дод. 4'!K139</f>
        <v>27800</v>
      </c>
      <c r="L108" s="33">
        <f>'дод. 4'!L139</f>
        <v>18822</v>
      </c>
      <c r="M108" s="33">
        <f>'дод. 4'!M139</f>
        <v>0</v>
      </c>
      <c r="N108" s="33">
        <f>'дод. 4'!N139</f>
        <v>440000</v>
      </c>
      <c r="O108" s="33">
        <f>'дод. 4'!O139</f>
        <v>440000</v>
      </c>
      <c r="P108" s="50">
        <f t="shared" si="14"/>
        <v>6382258</v>
      </c>
      <c r="Q108" s="91"/>
    </row>
    <row r="109" spans="1:17" s="23" customFormat="1" ht="90">
      <c r="A109" s="21"/>
      <c r="B109" s="24" t="s">
        <v>99</v>
      </c>
      <c r="C109" s="24" t="s">
        <v>166</v>
      </c>
      <c r="D109" s="25" t="s">
        <v>100</v>
      </c>
      <c r="E109" s="50">
        <f t="shared" si="15"/>
        <v>1397200</v>
      </c>
      <c r="F109" s="33">
        <f>'дод. 4'!F140</f>
        <v>1397200</v>
      </c>
      <c r="G109" s="33">
        <f>'дод. 4'!G140</f>
        <v>0</v>
      </c>
      <c r="H109" s="33">
        <f>'дод. 4'!H140</f>
        <v>0</v>
      </c>
      <c r="I109" s="33">
        <f>'дод. 4'!I140</f>
        <v>0</v>
      </c>
      <c r="J109" s="50">
        <f t="shared" si="16"/>
        <v>0</v>
      </c>
      <c r="K109" s="33">
        <f>'дод. 4'!K140</f>
        <v>0</v>
      </c>
      <c r="L109" s="33">
        <f>'дод. 4'!L140</f>
        <v>0</v>
      </c>
      <c r="M109" s="33">
        <f>'дод. 4'!M140</f>
        <v>0</v>
      </c>
      <c r="N109" s="33">
        <f>'дод. 4'!N140</f>
        <v>0</v>
      </c>
      <c r="O109" s="33">
        <f>'дод. 4'!O140</f>
        <v>0</v>
      </c>
      <c r="P109" s="50">
        <f t="shared" si="14"/>
        <v>1397200</v>
      </c>
      <c r="Q109" s="91"/>
    </row>
    <row r="110" spans="1:17" s="23" customFormat="1" ht="90">
      <c r="A110" s="21"/>
      <c r="B110" s="24" t="s">
        <v>101</v>
      </c>
      <c r="C110" s="24" t="s">
        <v>165</v>
      </c>
      <c r="D110" s="25" t="s">
        <v>102</v>
      </c>
      <c r="E110" s="50">
        <f t="shared" si="15"/>
        <v>2482439</v>
      </c>
      <c r="F110" s="33">
        <f>'дод. 4'!F141</f>
        <v>2482439</v>
      </c>
      <c r="G110" s="33">
        <f>'дод. 4'!G141</f>
        <v>0</v>
      </c>
      <c r="H110" s="33">
        <f>'дод. 4'!H141</f>
        <v>0</v>
      </c>
      <c r="I110" s="33">
        <f>'дод. 4'!I141</f>
        <v>0</v>
      </c>
      <c r="J110" s="50">
        <f t="shared" si="16"/>
        <v>0</v>
      </c>
      <c r="K110" s="33">
        <f>'дод. 4'!K141</f>
        <v>0</v>
      </c>
      <c r="L110" s="33">
        <f>'дод. 4'!L141</f>
        <v>0</v>
      </c>
      <c r="M110" s="33">
        <f>'дод. 4'!M141</f>
        <v>0</v>
      </c>
      <c r="N110" s="33">
        <f>'дод. 4'!N141</f>
        <v>0</v>
      </c>
      <c r="O110" s="33">
        <f>'дод. 4'!O141</f>
        <v>0</v>
      </c>
      <c r="P110" s="50">
        <f t="shared" si="14"/>
        <v>2482439</v>
      </c>
      <c r="Q110" s="91"/>
    </row>
    <row r="111" spans="1:17" s="23" customFormat="1" ht="30">
      <c r="A111" s="21"/>
      <c r="B111" s="24" t="s">
        <v>103</v>
      </c>
      <c r="C111" s="24" t="s">
        <v>163</v>
      </c>
      <c r="D111" s="25" t="s">
        <v>104</v>
      </c>
      <c r="E111" s="50">
        <f t="shared" si="15"/>
        <v>798900</v>
      </c>
      <c r="F111" s="33">
        <f>'дод. 4'!F142</f>
        <v>798900</v>
      </c>
      <c r="G111" s="33">
        <f>'дод. 4'!G142</f>
        <v>0</v>
      </c>
      <c r="H111" s="33">
        <f>'дод. 4'!H142</f>
        <v>0</v>
      </c>
      <c r="I111" s="33">
        <f>'дод. 4'!I142</f>
        <v>0</v>
      </c>
      <c r="J111" s="50">
        <f t="shared" si="16"/>
        <v>0</v>
      </c>
      <c r="K111" s="33">
        <f>'дод. 4'!K142</f>
        <v>0</v>
      </c>
      <c r="L111" s="33">
        <f>'дод. 4'!L142</f>
        <v>0</v>
      </c>
      <c r="M111" s="33">
        <f>'дод. 4'!M142</f>
        <v>0</v>
      </c>
      <c r="N111" s="33">
        <f>'дод. 4'!N142</f>
        <v>0</v>
      </c>
      <c r="O111" s="33">
        <f>'дод. 4'!O142</f>
        <v>0</v>
      </c>
      <c r="P111" s="50">
        <f t="shared" si="14"/>
        <v>798900</v>
      </c>
      <c r="Q111" s="91"/>
    </row>
    <row r="112" spans="1:17" s="23" customFormat="1" ht="30">
      <c r="A112" s="21"/>
      <c r="B112" s="24" t="s">
        <v>251</v>
      </c>
      <c r="C112" s="24" t="s">
        <v>138</v>
      </c>
      <c r="D112" s="25" t="s">
        <v>252</v>
      </c>
      <c r="E112" s="50">
        <f t="shared" si="15"/>
        <v>111717</v>
      </c>
      <c r="F112" s="33">
        <f>'дод. 4'!F143</f>
        <v>111717</v>
      </c>
      <c r="G112" s="33">
        <f>'дод. 4'!G143</f>
        <v>0</v>
      </c>
      <c r="H112" s="33">
        <f>'дод. 4'!H143</f>
        <v>0</v>
      </c>
      <c r="I112" s="33">
        <f>'дод. 4'!I143</f>
        <v>0</v>
      </c>
      <c r="J112" s="50">
        <f t="shared" si="16"/>
        <v>0</v>
      </c>
      <c r="K112" s="33">
        <f>'дод. 4'!K143</f>
        <v>0</v>
      </c>
      <c r="L112" s="33">
        <f>'дод. 4'!L143</f>
        <v>0</v>
      </c>
      <c r="M112" s="33">
        <f>'дод. 4'!M143</f>
        <v>0</v>
      </c>
      <c r="N112" s="33">
        <f>'дод. 4'!N143</f>
        <v>0</v>
      </c>
      <c r="O112" s="33">
        <f>'дод. 4'!O143</f>
        <v>0</v>
      </c>
      <c r="P112" s="50">
        <f t="shared" si="14"/>
        <v>111717</v>
      </c>
      <c r="Q112" s="91"/>
    </row>
    <row r="113" spans="1:17" s="23" customFormat="1" ht="15">
      <c r="A113" s="21"/>
      <c r="B113" s="24" t="s">
        <v>105</v>
      </c>
      <c r="C113" s="24" t="s">
        <v>138</v>
      </c>
      <c r="D113" s="25" t="s">
        <v>106</v>
      </c>
      <c r="E113" s="50">
        <f t="shared" si="15"/>
        <v>1476842</v>
      </c>
      <c r="F113" s="33">
        <f>'дод. 4'!F144</f>
        <v>1476842</v>
      </c>
      <c r="G113" s="33">
        <f>'дод. 4'!G144</f>
        <v>894200</v>
      </c>
      <c r="H113" s="33">
        <f>'дод. 4'!H144</f>
        <v>129344</v>
      </c>
      <c r="I113" s="33">
        <f>'дод. 4'!I144</f>
        <v>0</v>
      </c>
      <c r="J113" s="50">
        <f t="shared" si="16"/>
        <v>243500</v>
      </c>
      <c r="K113" s="33">
        <f>'дод. 4'!K144</f>
        <v>0</v>
      </c>
      <c r="L113" s="33">
        <f>'дод. 4'!L144</f>
        <v>0</v>
      </c>
      <c r="M113" s="33">
        <f>'дод. 4'!M144</f>
        <v>0</v>
      </c>
      <c r="N113" s="33">
        <f>'дод. 4'!N144</f>
        <v>243500</v>
      </c>
      <c r="O113" s="33">
        <f>'дод. 4'!O144</f>
        <v>243500</v>
      </c>
      <c r="P113" s="50">
        <f t="shared" si="14"/>
        <v>1720342</v>
      </c>
      <c r="Q113" s="91"/>
    </row>
    <row r="114" spans="1:17" s="23" customFormat="1" ht="30">
      <c r="A114" s="21"/>
      <c r="B114" s="24" t="s">
        <v>261</v>
      </c>
      <c r="C114" s="24" t="s">
        <v>166</v>
      </c>
      <c r="D114" s="25" t="s">
        <v>262</v>
      </c>
      <c r="E114" s="50">
        <f t="shared" si="15"/>
        <v>43245500</v>
      </c>
      <c r="F114" s="33">
        <f>'дод. 4'!F145</f>
        <v>43245500</v>
      </c>
      <c r="G114" s="33">
        <f>'дод. 4'!G145</f>
        <v>0</v>
      </c>
      <c r="H114" s="33">
        <f>'дод. 4'!H145</f>
        <v>0</v>
      </c>
      <c r="I114" s="33">
        <f>'дод. 4'!I145</f>
        <v>0</v>
      </c>
      <c r="J114" s="50">
        <f t="shared" si="16"/>
        <v>0</v>
      </c>
      <c r="K114" s="33">
        <f>'дод. 4'!K145</f>
        <v>0</v>
      </c>
      <c r="L114" s="33">
        <f>'дод. 4'!L145</f>
        <v>0</v>
      </c>
      <c r="M114" s="33">
        <f>'дод. 4'!M145</f>
        <v>0</v>
      </c>
      <c r="N114" s="33">
        <f>'дод. 4'!N145</f>
        <v>0</v>
      </c>
      <c r="O114" s="33">
        <f>'дод. 4'!O145</f>
        <v>0</v>
      </c>
      <c r="P114" s="50">
        <f t="shared" si="14"/>
        <v>43245500</v>
      </c>
      <c r="Q114" s="91"/>
    </row>
    <row r="115" spans="1:17" s="23" customFormat="1" ht="15">
      <c r="A115" s="21"/>
      <c r="B115" s="24"/>
      <c r="C115" s="24"/>
      <c r="D115" s="25" t="s">
        <v>263</v>
      </c>
      <c r="E115" s="50">
        <f t="shared" si="15"/>
        <v>43245500</v>
      </c>
      <c r="F115" s="33">
        <f>'дод. 4'!F146</f>
        <v>43245500</v>
      </c>
      <c r="G115" s="33">
        <f>'дод. 4'!G146</f>
        <v>0</v>
      </c>
      <c r="H115" s="33">
        <f>'дод. 4'!H146</f>
        <v>0</v>
      </c>
      <c r="I115" s="33">
        <f>'дод. 4'!I146</f>
        <v>0</v>
      </c>
      <c r="J115" s="50">
        <f t="shared" si="16"/>
        <v>0</v>
      </c>
      <c r="K115" s="33">
        <f>'дод. 4'!K146</f>
        <v>0</v>
      </c>
      <c r="L115" s="33">
        <f>'дод. 4'!L146</f>
        <v>0</v>
      </c>
      <c r="M115" s="33">
        <f>'дод. 4'!M146</f>
        <v>0</v>
      </c>
      <c r="N115" s="33">
        <f>'дод. 4'!N146</f>
        <v>0</v>
      </c>
      <c r="O115" s="33">
        <f>'дод. 4'!O146</f>
        <v>0</v>
      </c>
      <c r="P115" s="50">
        <f t="shared" si="14"/>
        <v>43245500</v>
      </c>
      <c r="Q115" s="91"/>
    </row>
    <row r="116" spans="1:17" s="23" customFormat="1" ht="60">
      <c r="A116" s="21"/>
      <c r="B116" s="24" t="s">
        <v>257</v>
      </c>
      <c r="C116" s="24" t="s">
        <v>166</v>
      </c>
      <c r="D116" s="25" t="s">
        <v>258</v>
      </c>
      <c r="E116" s="50">
        <f t="shared" si="15"/>
        <v>162275</v>
      </c>
      <c r="F116" s="33">
        <f>'дод. 4'!F147</f>
        <v>162275</v>
      </c>
      <c r="G116" s="33">
        <f>'дод. 4'!G147</f>
        <v>0</v>
      </c>
      <c r="H116" s="33">
        <f>'дод. 4'!H147</f>
        <v>0</v>
      </c>
      <c r="I116" s="33">
        <f>'дод. 4'!I147</f>
        <v>0</v>
      </c>
      <c r="J116" s="50">
        <f t="shared" si="16"/>
        <v>0</v>
      </c>
      <c r="K116" s="33">
        <f>'дод. 4'!K147</f>
        <v>0</v>
      </c>
      <c r="L116" s="33">
        <f>'дод. 4'!L147</f>
        <v>0</v>
      </c>
      <c r="M116" s="33">
        <f>'дод. 4'!M147</f>
        <v>0</v>
      </c>
      <c r="N116" s="33">
        <f>'дод. 4'!N147</f>
        <v>0</v>
      </c>
      <c r="O116" s="33">
        <f>'дод. 4'!O147</f>
        <v>0</v>
      </c>
      <c r="P116" s="50">
        <f t="shared" si="14"/>
        <v>162275</v>
      </c>
      <c r="Q116" s="91"/>
    </row>
    <row r="117" spans="1:17" s="23" customFormat="1" ht="30">
      <c r="A117" s="21"/>
      <c r="B117" s="24" t="s">
        <v>259</v>
      </c>
      <c r="C117" s="24" t="s">
        <v>166</v>
      </c>
      <c r="D117" s="25" t="s">
        <v>260</v>
      </c>
      <c r="E117" s="50">
        <f t="shared" si="15"/>
        <v>4800</v>
      </c>
      <c r="F117" s="33">
        <f>'дод. 4'!F148</f>
        <v>4800</v>
      </c>
      <c r="G117" s="33">
        <f>'дод. 4'!G148</f>
        <v>0</v>
      </c>
      <c r="H117" s="33">
        <f>'дод. 4'!H148</f>
        <v>0</v>
      </c>
      <c r="I117" s="33">
        <f>'дод. 4'!I148</f>
        <v>0</v>
      </c>
      <c r="J117" s="50">
        <f t="shared" si="16"/>
        <v>0</v>
      </c>
      <c r="K117" s="33">
        <f>'дод. 4'!K148</f>
        <v>0</v>
      </c>
      <c r="L117" s="33">
        <f>'дод. 4'!L148</f>
        <v>0</v>
      </c>
      <c r="M117" s="33">
        <f>'дод. 4'!M148</f>
        <v>0</v>
      </c>
      <c r="N117" s="33">
        <f>'дод. 4'!N148</f>
        <v>0</v>
      </c>
      <c r="O117" s="33">
        <f>'дод. 4'!O148</f>
        <v>0</v>
      </c>
      <c r="P117" s="50">
        <f t="shared" si="14"/>
        <v>4800</v>
      </c>
      <c r="Q117" s="91"/>
    </row>
    <row r="118" spans="1:17" s="23" customFormat="1" ht="15">
      <c r="A118" s="21"/>
      <c r="B118" s="62" t="s">
        <v>221</v>
      </c>
      <c r="C118" s="63"/>
      <c r="D118" s="63" t="s">
        <v>222</v>
      </c>
      <c r="E118" s="66">
        <f>E119+E120+E121+E122+E123+E124+E125</f>
        <v>91978063.38999999</v>
      </c>
      <c r="F118" s="66">
        <f aca="true" t="shared" si="17" ref="F118:P118">F119+F120+F121+F122+F123+F124+F125</f>
        <v>71525147.21</v>
      </c>
      <c r="G118" s="66">
        <f t="shared" si="17"/>
        <v>0</v>
      </c>
      <c r="H118" s="66">
        <f t="shared" si="17"/>
        <v>7268679.79</v>
      </c>
      <c r="I118" s="66">
        <f t="shared" si="17"/>
        <v>20452916.18</v>
      </c>
      <c r="J118" s="66">
        <f t="shared" si="17"/>
        <v>155639341.34</v>
      </c>
      <c r="K118" s="66">
        <f t="shared" si="17"/>
        <v>0</v>
      </c>
      <c r="L118" s="66">
        <f t="shared" si="17"/>
        <v>0</v>
      </c>
      <c r="M118" s="66">
        <f t="shared" si="17"/>
        <v>0</v>
      </c>
      <c r="N118" s="66">
        <f t="shared" si="17"/>
        <v>155639341.34</v>
      </c>
      <c r="O118" s="66">
        <f t="shared" si="17"/>
        <v>155639341.34</v>
      </c>
      <c r="P118" s="66">
        <f t="shared" si="17"/>
        <v>247617404.72999996</v>
      </c>
      <c r="Q118" s="91"/>
    </row>
    <row r="119" spans="1:17" s="23" customFormat="1" ht="15">
      <c r="A119" s="21"/>
      <c r="B119" s="24" t="s">
        <v>249</v>
      </c>
      <c r="C119" s="24" t="s">
        <v>173</v>
      </c>
      <c r="D119" s="25" t="s">
        <v>250</v>
      </c>
      <c r="E119" s="33">
        <f aca="true" t="shared" si="18" ref="E119:E125">F119+I119</f>
        <v>1680000</v>
      </c>
      <c r="F119" s="33">
        <f>'дод. 4'!F164</f>
        <v>1680000</v>
      </c>
      <c r="G119" s="33">
        <f>'дод. 4'!G164</f>
        <v>0</v>
      </c>
      <c r="H119" s="33">
        <f>'дод. 4'!H164</f>
        <v>0</v>
      </c>
      <c r="I119" s="33">
        <f>'дод. 4'!I164</f>
        <v>0</v>
      </c>
      <c r="J119" s="33">
        <f aca="true" t="shared" si="19" ref="J119:J125">K119+N119</f>
        <v>0</v>
      </c>
      <c r="K119" s="33">
        <f>'дод. 4'!K164</f>
        <v>0</v>
      </c>
      <c r="L119" s="33">
        <f>'дод. 4'!L164</f>
        <v>0</v>
      </c>
      <c r="M119" s="33">
        <f>'дод. 4'!M164</f>
        <v>0</v>
      </c>
      <c r="N119" s="33">
        <f>'дод. 4'!N164</f>
        <v>0</v>
      </c>
      <c r="O119" s="33">
        <f>'дод. 4'!O164</f>
        <v>0</v>
      </c>
      <c r="P119" s="33">
        <f aca="true" t="shared" si="20" ref="P119:P125">E119+J119</f>
        <v>1680000</v>
      </c>
      <c r="Q119" s="91"/>
    </row>
    <row r="120" spans="1:17" s="23" customFormat="1" ht="30">
      <c r="A120" s="21"/>
      <c r="B120" s="24" t="s">
        <v>117</v>
      </c>
      <c r="C120" s="24" t="s">
        <v>173</v>
      </c>
      <c r="D120" s="25" t="s">
        <v>118</v>
      </c>
      <c r="E120" s="33">
        <f t="shared" si="18"/>
        <v>195000</v>
      </c>
      <c r="F120" s="33">
        <f>'дод. 4'!F165</f>
        <v>195000</v>
      </c>
      <c r="G120" s="33">
        <f>'дод. 4'!G165</f>
        <v>0</v>
      </c>
      <c r="H120" s="33">
        <f>'дод. 4'!H165</f>
        <v>0</v>
      </c>
      <c r="I120" s="33">
        <f>'дод. 4'!I165</f>
        <v>0</v>
      </c>
      <c r="J120" s="33">
        <f t="shared" si="19"/>
        <v>52814931.14</v>
      </c>
      <c r="K120" s="33">
        <f>'дод. 4'!K165</f>
        <v>0</v>
      </c>
      <c r="L120" s="33">
        <f>'дод. 4'!L165</f>
        <v>0</v>
      </c>
      <c r="M120" s="33">
        <f>'дод. 4'!M165</f>
        <v>0</v>
      </c>
      <c r="N120" s="33">
        <f>'дод. 4'!N165</f>
        <v>52814931.14</v>
      </c>
      <c r="O120" s="33">
        <f>'дод. 4'!O165</f>
        <v>52814931.14</v>
      </c>
      <c r="P120" s="33">
        <f t="shared" si="20"/>
        <v>53009931.14</v>
      </c>
      <c r="Q120" s="91"/>
    </row>
    <row r="121" spans="1:17" s="23" customFormat="1" ht="45">
      <c r="A121" s="21"/>
      <c r="B121" s="24" t="s">
        <v>119</v>
      </c>
      <c r="C121" s="24" t="s">
        <v>173</v>
      </c>
      <c r="D121" s="25" t="s">
        <v>120</v>
      </c>
      <c r="E121" s="33">
        <f t="shared" si="18"/>
        <v>0</v>
      </c>
      <c r="F121" s="33">
        <f>'дод. 4'!F166</f>
        <v>0</v>
      </c>
      <c r="G121" s="33">
        <f>'дод. 4'!G166</f>
        <v>0</v>
      </c>
      <c r="H121" s="33">
        <f>'дод. 4'!H166</f>
        <v>0</v>
      </c>
      <c r="I121" s="33">
        <f>'дод. 4'!I166</f>
        <v>0</v>
      </c>
      <c r="J121" s="33">
        <f t="shared" si="19"/>
        <v>6000000</v>
      </c>
      <c r="K121" s="33">
        <f>'дод. 4'!K166</f>
        <v>0</v>
      </c>
      <c r="L121" s="33">
        <f>'дод. 4'!L166</f>
        <v>0</v>
      </c>
      <c r="M121" s="33">
        <f>'дод. 4'!M166</f>
        <v>0</v>
      </c>
      <c r="N121" s="33">
        <f>'дод. 4'!N166</f>
        <v>6000000</v>
      </c>
      <c r="O121" s="33">
        <f>'дод. 4'!O166</f>
        <v>6000000</v>
      </c>
      <c r="P121" s="33">
        <f t="shared" si="20"/>
        <v>6000000</v>
      </c>
      <c r="Q121" s="91"/>
    </row>
    <row r="122" spans="1:17" s="23" customFormat="1" ht="15">
      <c r="A122" s="21"/>
      <c r="B122" s="24" t="s">
        <v>121</v>
      </c>
      <c r="C122" s="24" t="s">
        <v>140</v>
      </c>
      <c r="D122" s="25" t="s">
        <v>122</v>
      </c>
      <c r="E122" s="33">
        <f t="shared" si="18"/>
        <v>2445103</v>
      </c>
      <c r="F122" s="33">
        <f>'дод. 4'!F167</f>
        <v>0</v>
      </c>
      <c r="G122" s="33">
        <f>'дод. 4'!G167</f>
        <v>0</v>
      </c>
      <c r="H122" s="33">
        <f>'дод. 4'!H167</f>
        <v>0</v>
      </c>
      <c r="I122" s="33">
        <f>'дод. 4'!I167</f>
        <v>2445103</v>
      </c>
      <c r="J122" s="33">
        <f t="shared" si="19"/>
        <v>4094734</v>
      </c>
      <c r="K122" s="33">
        <f>'дод. 4'!K167</f>
        <v>0</v>
      </c>
      <c r="L122" s="33">
        <f>'дод. 4'!L167</f>
        <v>0</v>
      </c>
      <c r="M122" s="33">
        <f>'дод. 4'!M167</f>
        <v>0</v>
      </c>
      <c r="N122" s="33">
        <f>'дод. 4'!N167</f>
        <v>4094734</v>
      </c>
      <c r="O122" s="33">
        <f>'дод. 4'!O167</f>
        <v>4094734</v>
      </c>
      <c r="P122" s="33">
        <f t="shared" si="20"/>
        <v>6539837</v>
      </c>
      <c r="Q122" s="91"/>
    </row>
    <row r="123" spans="1:17" s="23" customFormat="1" ht="15">
      <c r="A123" s="21"/>
      <c r="B123" s="24" t="s">
        <v>29</v>
      </c>
      <c r="C123" s="24" t="s">
        <v>140</v>
      </c>
      <c r="D123" s="25" t="s">
        <v>30</v>
      </c>
      <c r="E123" s="33">
        <f t="shared" si="18"/>
        <v>87557960.38999999</v>
      </c>
      <c r="F123" s="33">
        <f>'дод. 4'!F168+'дод. 4'!F21+'дод. 4'!F193</f>
        <v>69650147.21</v>
      </c>
      <c r="G123" s="33">
        <f>'дод. 4'!G168+'дод. 4'!G21+'дод. 4'!G193</f>
        <v>0</v>
      </c>
      <c r="H123" s="33">
        <f>'дод. 4'!H168+'дод. 4'!H21+'дод. 4'!H193</f>
        <v>7268679.79</v>
      </c>
      <c r="I123" s="33">
        <f>'дод. 4'!I168+'дод. 4'!I21+'дод. 4'!I193</f>
        <v>17907813.18</v>
      </c>
      <c r="J123" s="33">
        <f t="shared" si="19"/>
        <v>91883738.2</v>
      </c>
      <c r="K123" s="33">
        <f>'дод. 4'!K168+'дод. 4'!K21+'дод. 4'!K193</f>
        <v>0</v>
      </c>
      <c r="L123" s="33">
        <f>'дод. 4'!L168+'дод. 4'!L21+'дод. 4'!L193</f>
        <v>0</v>
      </c>
      <c r="M123" s="33">
        <f>'дод. 4'!M168+'дод. 4'!M21+'дод. 4'!M193</f>
        <v>0</v>
      </c>
      <c r="N123" s="33">
        <f>'дод. 4'!N168+'дод. 4'!N21+'дод. 4'!N193</f>
        <v>91883738.2</v>
      </c>
      <c r="O123" s="33">
        <f>'дод. 4'!O168+'дод. 4'!O21+'дод. 4'!O193</f>
        <v>91883738.2</v>
      </c>
      <c r="P123" s="33">
        <f t="shared" si="20"/>
        <v>179441698.58999997</v>
      </c>
      <c r="Q123" s="91"/>
    </row>
    <row r="124" spans="1:17" s="23" customFormat="1" ht="45">
      <c r="A124" s="21"/>
      <c r="B124" s="24" t="s">
        <v>312</v>
      </c>
      <c r="C124" s="24" t="s">
        <v>140</v>
      </c>
      <c r="D124" s="25" t="s">
        <v>313</v>
      </c>
      <c r="E124" s="33">
        <f t="shared" si="18"/>
        <v>0</v>
      </c>
      <c r="F124" s="33">
        <f>'дод. 4'!F169</f>
        <v>0</v>
      </c>
      <c r="G124" s="33">
        <f>'дод. 4'!G169</f>
        <v>0</v>
      </c>
      <c r="H124" s="33">
        <f>'дод. 4'!H169</f>
        <v>0</v>
      </c>
      <c r="I124" s="33">
        <f>'дод. 4'!I169</f>
        <v>0</v>
      </c>
      <c r="J124" s="33">
        <f t="shared" si="19"/>
        <v>845938</v>
      </c>
      <c r="K124" s="33">
        <f>'дод. 4'!K169</f>
        <v>0</v>
      </c>
      <c r="L124" s="33">
        <f>'дод. 4'!L169</f>
        <v>0</v>
      </c>
      <c r="M124" s="33">
        <f>'дод. 4'!M169</f>
        <v>0</v>
      </c>
      <c r="N124" s="33">
        <f>'дод. 4'!N169</f>
        <v>845938</v>
      </c>
      <c r="O124" s="33">
        <f>'дод. 4'!O169</f>
        <v>845938</v>
      </c>
      <c r="P124" s="33">
        <f t="shared" si="20"/>
        <v>845938</v>
      </c>
      <c r="Q124" s="91"/>
    </row>
    <row r="125" spans="1:17" s="23" customFormat="1" ht="60">
      <c r="A125" s="21"/>
      <c r="B125" s="24" t="s">
        <v>326</v>
      </c>
      <c r="C125" s="24" t="s">
        <v>140</v>
      </c>
      <c r="D125" s="25" t="s">
        <v>327</v>
      </c>
      <c r="E125" s="33">
        <f t="shared" si="18"/>
        <v>100000</v>
      </c>
      <c r="F125" s="33">
        <f>'дод. 4'!F170</f>
        <v>0</v>
      </c>
      <c r="G125" s="33">
        <f>'дод. 4'!G170</f>
        <v>0</v>
      </c>
      <c r="H125" s="33">
        <f>'дод. 4'!H170</f>
        <v>0</v>
      </c>
      <c r="I125" s="33">
        <f>'дод. 4'!I170</f>
        <v>100000</v>
      </c>
      <c r="J125" s="33">
        <f t="shared" si="19"/>
        <v>0</v>
      </c>
      <c r="K125" s="33">
        <f>'дод. 4'!K170</f>
        <v>0</v>
      </c>
      <c r="L125" s="33">
        <f>'дод. 4'!L170</f>
        <v>0</v>
      </c>
      <c r="M125" s="33">
        <f>'дод. 4'!M170</f>
        <v>0</v>
      </c>
      <c r="N125" s="33">
        <f>'дод. 4'!N170</f>
        <v>0</v>
      </c>
      <c r="O125" s="33">
        <f>'дод. 4'!O170</f>
        <v>0</v>
      </c>
      <c r="P125" s="33">
        <f t="shared" si="20"/>
        <v>100000</v>
      </c>
      <c r="Q125" s="91"/>
    </row>
    <row r="126" spans="1:17" s="23" customFormat="1" ht="15">
      <c r="A126" s="21"/>
      <c r="B126" s="62" t="s">
        <v>223</v>
      </c>
      <c r="C126" s="63"/>
      <c r="D126" s="63" t="s">
        <v>224</v>
      </c>
      <c r="E126" s="66">
        <f>E127+E128+E129+E130</f>
        <v>30935326</v>
      </c>
      <c r="F126" s="66">
        <f aca="true" t="shared" si="21" ref="F126:P126">F127+F128+F129+F130</f>
        <v>30935326</v>
      </c>
      <c r="G126" s="66">
        <f t="shared" si="21"/>
        <v>21670640</v>
      </c>
      <c r="H126" s="66">
        <f t="shared" si="21"/>
        <v>1855080</v>
      </c>
      <c r="I126" s="66">
        <f t="shared" si="21"/>
        <v>0</v>
      </c>
      <c r="J126" s="66">
        <f t="shared" si="21"/>
        <v>2581679</v>
      </c>
      <c r="K126" s="66">
        <f t="shared" si="21"/>
        <v>1320320</v>
      </c>
      <c r="L126" s="66">
        <f t="shared" si="21"/>
        <v>953732</v>
      </c>
      <c r="M126" s="66">
        <f t="shared" si="21"/>
        <v>0</v>
      </c>
      <c r="N126" s="66">
        <f t="shared" si="21"/>
        <v>1261359</v>
      </c>
      <c r="O126" s="66">
        <f t="shared" si="21"/>
        <v>1256759</v>
      </c>
      <c r="P126" s="66">
        <f t="shared" si="21"/>
        <v>33517005</v>
      </c>
      <c r="Q126" s="91"/>
    </row>
    <row r="127" spans="1:17" s="23" customFormat="1" ht="30">
      <c r="A127" s="21"/>
      <c r="B127" s="24" t="s">
        <v>111</v>
      </c>
      <c r="C127" s="24" t="s">
        <v>170</v>
      </c>
      <c r="D127" s="25" t="s">
        <v>112</v>
      </c>
      <c r="E127" s="33">
        <f>F127+I127</f>
        <v>1030000</v>
      </c>
      <c r="F127" s="33">
        <f>'дод. 4'!F157</f>
        <v>1030000</v>
      </c>
      <c r="G127" s="33">
        <f>'дод. 4'!G157</f>
        <v>0</v>
      </c>
      <c r="H127" s="33">
        <f>'дод. 4'!H157</f>
        <v>0</v>
      </c>
      <c r="I127" s="33">
        <f>'дод. 4'!I157</f>
        <v>0</v>
      </c>
      <c r="J127" s="33">
        <f>K127+N127</f>
        <v>0</v>
      </c>
      <c r="K127" s="33">
        <f>'дод. 4'!K157</f>
        <v>0</v>
      </c>
      <c r="L127" s="33">
        <f>'дод. 4'!L157</f>
        <v>0</v>
      </c>
      <c r="M127" s="33">
        <f>'дод. 4'!M157</f>
        <v>0</v>
      </c>
      <c r="N127" s="33">
        <f>'дод. 4'!N157</f>
        <v>0</v>
      </c>
      <c r="O127" s="33">
        <f>'дод. 4'!O157</f>
        <v>0</v>
      </c>
      <c r="P127" s="33">
        <f>E127+J127</f>
        <v>1030000</v>
      </c>
      <c r="Q127" s="91"/>
    </row>
    <row r="128" spans="1:17" s="23" customFormat="1" ht="15">
      <c r="A128" s="21"/>
      <c r="B128" s="24" t="s">
        <v>113</v>
      </c>
      <c r="C128" s="24" t="s">
        <v>171</v>
      </c>
      <c r="D128" s="25" t="s">
        <v>114</v>
      </c>
      <c r="E128" s="33">
        <f>F128+I128</f>
        <v>10466931</v>
      </c>
      <c r="F128" s="33">
        <f>'дод. 4'!F158</f>
        <v>10466931</v>
      </c>
      <c r="G128" s="33">
        <f>'дод. 4'!G158</f>
        <v>7077480</v>
      </c>
      <c r="H128" s="33">
        <f>'дод. 4'!H158</f>
        <v>1039633</v>
      </c>
      <c r="I128" s="33">
        <f>'дод. 4'!I158</f>
        <v>0</v>
      </c>
      <c r="J128" s="33">
        <f>K128+N128</f>
        <v>700500</v>
      </c>
      <c r="K128" s="33">
        <f>'дод. 4'!K158</f>
        <v>21000</v>
      </c>
      <c r="L128" s="33">
        <f>'дод. 4'!L158</f>
        <v>5000</v>
      </c>
      <c r="M128" s="33">
        <f>'дод. 4'!M158</f>
        <v>0</v>
      </c>
      <c r="N128" s="33">
        <f>'дод. 4'!N158</f>
        <v>679500</v>
      </c>
      <c r="O128" s="33">
        <f>'дод. 4'!O158</f>
        <v>679500</v>
      </c>
      <c r="P128" s="33">
        <f>E128+J128</f>
        <v>11167431</v>
      </c>
      <c r="Q128" s="91"/>
    </row>
    <row r="129" spans="1:17" s="48" customFormat="1" ht="15">
      <c r="A129" s="47"/>
      <c r="B129" s="24" t="s">
        <v>115</v>
      </c>
      <c r="C129" s="24" t="s">
        <v>154</v>
      </c>
      <c r="D129" s="25" t="s">
        <v>116</v>
      </c>
      <c r="E129" s="33">
        <f>F129+I129</f>
        <v>16950076</v>
      </c>
      <c r="F129" s="33">
        <f>'дод. 4'!F159</f>
        <v>16950076</v>
      </c>
      <c r="G129" s="33">
        <f>'дод. 4'!G159</f>
        <v>13068040</v>
      </c>
      <c r="H129" s="33">
        <f>'дод. 4'!H159</f>
        <v>702306</v>
      </c>
      <c r="I129" s="33">
        <f>'дод. 4'!I159</f>
        <v>0</v>
      </c>
      <c r="J129" s="33">
        <f>K129+N129</f>
        <v>1741420</v>
      </c>
      <c r="K129" s="33">
        <f>'дод. 4'!K159</f>
        <v>1299320</v>
      </c>
      <c r="L129" s="33">
        <f>'дод. 4'!L159</f>
        <v>948732</v>
      </c>
      <c r="M129" s="33">
        <f>'дод. 4'!M159</f>
        <v>0</v>
      </c>
      <c r="N129" s="33">
        <f>'дод. 4'!N159</f>
        <v>442100</v>
      </c>
      <c r="O129" s="33">
        <f>'дод. 4'!O159</f>
        <v>437500</v>
      </c>
      <c r="P129" s="33">
        <f>E129+J129</f>
        <v>18691496</v>
      </c>
      <c r="Q129" s="91"/>
    </row>
    <row r="130" spans="1:17" s="23" customFormat="1" ht="15">
      <c r="A130" s="21"/>
      <c r="B130" s="24" t="s">
        <v>31</v>
      </c>
      <c r="C130" s="24" t="s">
        <v>141</v>
      </c>
      <c r="D130" s="25" t="s">
        <v>32</v>
      </c>
      <c r="E130" s="33">
        <f>F130+I130</f>
        <v>2488319</v>
      </c>
      <c r="F130" s="33">
        <f>'дод. 4'!F160+'дод. 4'!F22</f>
        <v>2488319</v>
      </c>
      <c r="G130" s="33">
        <f>'дод. 4'!G160+'дод. 4'!G22</f>
        <v>1525120</v>
      </c>
      <c r="H130" s="33">
        <f>'дод. 4'!H160+'дод. 4'!H22</f>
        <v>113141</v>
      </c>
      <c r="I130" s="33">
        <f>'дод. 4'!I160+'дод. 4'!I22</f>
        <v>0</v>
      </c>
      <c r="J130" s="33">
        <f>K130+N130</f>
        <v>139759</v>
      </c>
      <c r="K130" s="33">
        <f>'дод. 4'!K160+'дод. 4'!K22</f>
        <v>0</v>
      </c>
      <c r="L130" s="33">
        <f>'дод. 4'!L160+'дод. 4'!L22</f>
        <v>0</v>
      </c>
      <c r="M130" s="33">
        <f>'дод. 4'!M160+'дод. 4'!M22</f>
        <v>0</v>
      </c>
      <c r="N130" s="33">
        <f>'дод. 4'!N160+'дод. 4'!N22</f>
        <v>139759</v>
      </c>
      <c r="O130" s="33">
        <f>'дод. 4'!O160+'дод. 4'!O22</f>
        <v>139759</v>
      </c>
      <c r="P130" s="33">
        <f>E130+J130</f>
        <v>2628078</v>
      </c>
      <c r="Q130" s="91"/>
    </row>
    <row r="131" spans="1:17" s="23" customFormat="1" ht="15">
      <c r="A131" s="21"/>
      <c r="B131" s="62" t="s">
        <v>225</v>
      </c>
      <c r="C131" s="63"/>
      <c r="D131" s="63" t="s">
        <v>226</v>
      </c>
      <c r="E131" s="66">
        <f>E132</f>
        <v>90300</v>
      </c>
      <c r="F131" s="66">
        <f aca="true" t="shared" si="22" ref="F131:P131">F132</f>
        <v>90300</v>
      </c>
      <c r="G131" s="66">
        <f t="shared" si="22"/>
        <v>0</v>
      </c>
      <c r="H131" s="66">
        <f t="shared" si="22"/>
        <v>0</v>
      </c>
      <c r="I131" s="66">
        <f t="shared" si="22"/>
        <v>0</v>
      </c>
      <c r="J131" s="66">
        <f t="shared" si="22"/>
        <v>0</v>
      </c>
      <c r="K131" s="66">
        <f t="shared" si="22"/>
        <v>0</v>
      </c>
      <c r="L131" s="66">
        <f t="shared" si="22"/>
        <v>0</v>
      </c>
      <c r="M131" s="66">
        <f t="shared" si="22"/>
        <v>0</v>
      </c>
      <c r="N131" s="66">
        <f t="shared" si="22"/>
        <v>0</v>
      </c>
      <c r="O131" s="66">
        <f t="shared" si="22"/>
        <v>0</v>
      </c>
      <c r="P131" s="66">
        <f t="shared" si="22"/>
        <v>90300</v>
      </c>
      <c r="Q131" s="91"/>
    </row>
    <row r="132" spans="1:17" s="23" customFormat="1" ht="15">
      <c r="A132" s="21"/>
      <c r="B132" s="24" t="s">
        <v>190</v>
      </c>
      <c r="C132" s="24" t="s">
        <v>192</v>
      </c>
      <c r="D132" s="25" t="s">
        <v>191</v>
      </c>
      <c r="E132" s="33">
        <f>F132+I132</f>
        <v>90300</v>
      </c>
      <c r="F132" s="33">
        <f>'дод. 4'!F23</f>
        <v>90300</v>
      </c>
      <c r="G132" s="33">
        <f>'дод. 4'!G23</f>
        <v>0</v>
      </c>
      <c r="H132" s="33">
        <f>'дод. 4'!H23</f>
        <v>0</v>
      </c>
      <c r="I132" s="33">
        <f>'дод. 4'!I23</f>
        <v>0</v>
      </c>
      <c r="J132" s="33">
        <f>K132+N132</f>
        <v>0</v>
      </c>
      <c r="K132" s="33">
        <f>'дод. 4'!K23</f>
        <v>0</v>
      </c>
      <c r="L132" s="33">
        <f>'дод. 4'!L23</f>
        <v>0</v>
      </c>
      <c r="M132" s="33">
        <f>'дод. 4'!M23</f>
        <v>0</v>
      </c>
      <c r="N132" s="33">
        <f>'дод. 4'!N23</f>
        <v>0</v>
      </c>
      <c r="O132" s="33">
        <f>'дод. 4'!O23</f>
        <v>0</v>
      </c>
      <c r="P132" s="33">
        <f>E132+J132</f>
        <v>90300</v>
      </c>
      <c r="Q132" s="91"/>
    </row>
    <row r="133" spans="1:17" s="23" customFormat="1" ht="15">
      <c r="A133" s="21"/>
      <c r="B133" s="62" t="s">
        <v>227</v>
      </c>
      <c r="C133" s="63"/>
      <c r="D133" s="63" t="s">
        <v>228</v>
      </c>
      <c r="E133" s="66">
        <f>E134+E135+E136+E137+E138+E139</f>
        <v>17016200</v>
      </c>
      <c r="F133" s="66">
        <f aca="true" t="shared" si="23" ref="F133:P133">F134+F135+F136+F137+F138+F139</f>
        <v>17016200</v>
      </c>
      <c r="G133" s="66">
        <f t="shared" si="23"/>
        <v>6280345</v>
      </c>
      <c r="H133" s="66">
        <f t="shared" si="23"/>
        <v>976907</v>
      </c>
      <c r="I133" s="66">
        <f t="shared" si="23"/>
        <v>0</v>
      </c>
      <c r="J133" s="66">
        <f t="shared" si="23"/>
        <v>1039714</v>
      </c>
      <c r="K133" s="66">
        <f t="shared" si="23"/>
        <v>317714</v>
      </c>
      <c r="L133" s="66">
        <f t="shared" si="23"/>
        <v>144491</v>
      </c>
      <c r="M133" s="66">
        <f t="shared" si="23"/>
        <v>97628</v>
      </c>
      <c r="N133" s="66">
        <f t="shared" si="23"/>
        <v>722000</v>
      </c>
      <c r="O133" s="66">
        <f t="shared" si="23"/>
        <v>722000</v>
      </c>
      <c r="P133" s="66">
        <f t="shared" si="23"/>
        <v>18055914</v>
      </c>
      <c r="Q133" s="91"/>
    </row>
    <row r="134" spans="1:17" s="23" customFormat="1" ht="30">
      <c r="A134" s="21"/>
      <c r="B134" s="24" t="s">
        <v>33</v>
      </c>
      <c r="C134" s="24" t="s">
        <v>142</v>
      </c>
      <c r="D134" s="25" t="s">
        <v>34</v>
      </c>
      <c r="E134" s="33">
        <f aca="true" t="shared" si="24" ref="E134:E139">F134+I134</f>
        <v>500000</v>
      </c>
      <c r="F134" s="33">
        <f>'дод. 4'!F24</f>
        <v>500000</v>
      </c>
      <c r="G134" s="33">
        <f>'дод. 4'!G24</f>
        <v>0</v>
      </c>
      <c r="H134" s="33">
        <f>'дод. 4'!H24</f>
        <v>0</v>
      </c>
      <c r="I134" s="33">
        <f>'дод. 4'!I24</f>
        <v>0</v>
      </c>
      <c r="J134" s="33">
        <f aca="true" t="shared" si="25" ref="J134:J139">K134+N134</f>
        <v>0</v>
      </c>
      <c r="K134" s="33">
        <f>'дод. 4'!K24</f>
        <v>0</v>
      </c>
      <c r="L134" s="33">
        <f>'дод. 4'!L24</f>
        <v>0</v>
      </c>
      <c r="M134" s="33">
        <f>'дод. 4'!M24</f>
        <v>0</v>
      </c>
      <c r="N134" s="33">
        <f>'дод. 4'!N24</f>
        <v>0</v>
      </c>
      <c r="O134" s="33">
        <f>'дод. 4'!O24</f>
        <v>0</v>
      </c>
      <c r="P134" s="33">
        <f aca="true" t="shared" si="26" ref="P134:P139">E134+J134</f>
        <v>500000</v>
      </c>
      <c r="Q134" s="91"/>
    </row>
    <row r="135" spans="1:17" s="23" customFormat="1" ht="45">
      <c r="A135" s="21"/>
      <c r="B135" s="24" t="s">
        <v>35</v>
      </c>
      <c r="C135" s="24" t="s">
        <v>142</v>
      </c>
      <c r="D135" s="25" t="s">
        <v>36</v>
      </c>
      <c r="E135" s="33">
        <f t="shared" si="24"/>
        <v>523780</v>
      </c>
      <c r="F135" s="33">
        <f>'дод. 4'!F25</f>
        <v>523780</v>
      </c>
      <c r="G135" s="33">
        <f>'дод. 4'!G25</f>
        <v>0</v>
      </c>
      <c r="H135" s="33">
        <f>'дод. 4'!H25</f>
        <v>0</v>
      </c>
      <c r="I135" s="33">
        <f>'дод. 4'!I25</f>
        <v>0</v>
      </c>
      <c r="J135" s="33">
        <f t="shared" si="25"/>
        <v>0</v>
      </c>
      <c r="K135" s="33">
        <f>'дод. 4'!K25</f>
        <v>0</v>
      </c>
      <c r="L135" s="33">
        <f>'дод. 4'!L25</f>
        <v>0</v>
      </c>
      <c r="M135" s="33">
        <f>'дод. 4'!M25</f>
        <v>0</v>
      </c>
      <c r="N135" s="33">
        <f>'дод. 4'!N25</f>
        <v>0</v>
      </c>
      <c r="O135" s="33">
        <f>'дод. 4'!O25</f>
        <v>0</v>
      </c>
      <c r="P135" s="33">
        <f t="shared" si="26"/>
        <v>523780</v>
      </c>
      <c r="Q135" s="91"/>
    </row>
    <row r="136" spans="1:17" s="23" customFormat="1" ht="45">
      <c r="A136" s="21"/>
      <c r="B136" s="24" t="s">
        <v>37</v>
      </c>
      <c r="C136" s="24" t="s">
        <v>142</v>
      </c>
      <c r="D136" s="25" t="s">
        <v>38</v>
      </c>
      <c r="E136" s="33">
        <f t="shared" si="24"/>
        <v>7747195</v>
      </c>
      <c r="F136" s="33">
        <f>'дод. 4'!F26+'дод. 4'!F64</f>
        <v>7747195</v>
      </c>
      <c r="G136" s="33">
        <f>'дод. 4'!G26+'дод. 4'!G64</f>
        <v>5350039</v>
      </c>
      <c r="H136" s="33">
        <f>'дод. 4'!H26+'дод. 4'!H64</f>
        <v>592617</v>
      </c>
      <c r="I136" s="33">
        <f>'дод. 4'!I26+'дод. 4'!I64</f>
        <v>0</v>
      </c>
      <c r="J136" s="33">
        <f t="shared" si="25"/>
        <v>210000</v>
      </c>
      <c r="K136" s="33">
        <f>'дод. 4'!K26+'дод. 4'!K64</f>
        <v>0</v>
      </c>
      <c r="L136" s="33">
        <f>'дод. 4'!L26+'дод. 4'!L64</f>
        <v>0</v>
      </c>
      <c r="M136" s="33">
        <f>'дод. 4'!M26+'дод. 4'!M64</f>
        <v>0</v>
      </c>
      <c r="N136" s="33">
        <f>'дод. 4'!N26+'дод. 4'!N64</f>
        <v>210000</v>
      </c>
      <c r="O136" s="33">
        <f>'дод. 4'!O26+'дод. 4'!O64</f>
        <v>210000</v>
      </c>
      <c r="P136" s="33">
        <f t="shared" si="26"/>
        <v>7957195</v>
      </c>
      <c r="Q136" s="91"/>
    </row>
    <row r="137" spans="1:17" s="23" customFormat="1" ht="15">
      <c r="A137" s="21"/>
      <c r="B137" s="24" t="s">
        <v>39</v>
      </c>
      <c r="C137" s="24" t="s">
        <v>142</v>
      </c>
      <c r="D137" s="25" t="s">
        <v>26</v>
      </c>
      <c r="E137" s="33">
        <f t="shared" si="24"/>
        <v>2367168</v>
      </c>
      <c r="F137" s="33">
        <f>'дод. 4'!F27</f>
        <v>2367168</v>
      </c>
      <c r="G137" s="33">
        <f>'дод. 4'!G27</f>
        <v>0</v>
      </c>
      <c r="H137" s="33">
        <f>'дод. 4'!H27</f>
        <v>0</v>
      </c>
      <c r="I137" s="33">
        <f>'дод. 4'!I27</f>
        <v>0</v>
      </c>
      <c r="J137" s="33">
        <f t="shared" si="25"/>
        <v>0</v>
      </c>
      <c r="K137" s="33">
        <f>'дод. 4'!K27</f>
        <v>0</v>
      </c>
      <c r="L137" s="33">
        <f>'дод. 4'!L27</f>
        <v>0</v>
      </c>
      <c r="M137" s="33">
        <f>'дод. 4'!M27</f>
        <v>0</v>
      </c>
      <c r="N137" s="33">
        <f>'дод. 4'!N27</f>
        <v>0</v>
      </c>
      <c r="O137" s="33">
        <f>'дод. 4'!O27</f>
        <v>0</v>
      </c>
      <c r="P137" s="33">
        <f t="shared" si="26"/>
        <v>2367168</v>
      </c>
      <c r="Q137" s="91"/>
    </row>
    <row r="138" spans="1:17" s="23" customFormat="1" ht="30">
      <c r="A138" s="21"/>
      <c r="B138" s="24" t="s">
        <v>40</v>
      </c>
      <c r="C138" s="24" t="s">
        <v>142</v>
      </c>
      <c r="D138" s="25" t="s">
        <v>41</v>
      </c>
      <c r="E138" s="33">
        <f t="shared" si="24"/>
        <v>1718839</v>
      </c>
      <c r="F138" s="33">
        <f>'дод. 4'!F28</f>
        <v>1718839</v>
      </c>
      <c r="G138" s="33">
        <f>'дод. 4'!G28</f>
        <v>930306</v>
      </c>
      <c r="H138" s="33">
        <f>'дод. 4'!H28</f>
        <v>384290</v>
      </c>
      <c r="I138" s="33">
        <f>'дод. 4'!I28</f>
        <v>0</v>
      </c>
      <c r="J138" s="33">
        <f t="shared" si="25"/>
        <v>817714</v>
      </c>
      <c r="K138" s="33">
        <f>'дод. 4'!K28</f>
        <v>317714</v>
      </c>
      <c r="L138" s="33">
        <f>'дод. 4'!L28</f>
        <v>144491</v>
      </c>
      <c r="M138" s="33">
        <f>'дод. 4'!M28</f>
        <v>97628</v>
      </c>
      <c r="N138" s="33">
        <f>'дод. 4'!N28</f>
        <v>500000</v>
      </c>
      <c r="O138" s="33">
        <f>'дод. 4'!O28</f>
        <v>500000</v>
      </c>
      <c r="P138" s="33">
        <f t="shared" si="26"/>
        <v>2536553</v>
      </c>
      <c r="Q138" s="91"/>
    </row>
    <row r="139" spans="1:17" s="23" customFormat="1" ht="75">
      <c r="A139" s="21"/>
      <c r="B139" s="24" t="s">
        <v>42</v>
      </c>
      <c r="C139" s="24" t="s">
        <v>142</v>
      </c>
      <c r="D139" s="25" t="s">
        <v>43</v>
      </c>
      <c r="E139" s="33">
        <f t="shared" si="24"/>
        <v>4159218</v>
      </c>
      <c r="F139" s="33">
        <f>'дод. 4'!F29</f>
        <v>4159218</v>
      </c>
      <c r="G139" s="33">
        <f>'дод. 4'!G29</f>
        <v>0</v>
      </c>
      <c r="H139" s="33">
        <f>'дод. 4'!H29</f>
        <v>0</v>
      </c>
      <c r="I139" s="33">
        <f>'дод. 4'!I29</f>
        <v>0</v>
      </c>
      <c r="J139" s="33">
        <f t="shared" si="25"/>
        <v>12000</v>
      </c>
      <c r="K139" s="33">
        <f>'дод. 4'!K29</f>
        <v>0</v>
      </c>
      <c r="L139" s="33">
        <f>'дод. 4'!L29</f>
        <v>0</v>
      </c>
      <c r="M139" s="33">
        <f>'дод. 4'!M29</f>
        <v>0</v>
      </c>
      <c r="N139" s="33">
        <f>'дод. 4'!N29</f>
        <v>12000</v>
      </c>
      <c r="O139" s="33">
        <f>'дод. 4'!O29</f>
        <v>12000</v>
      </c>
      <c r="P139" s="33">
        <f t="shared" si="26"/>
        <v>4171218</v>
      </c>
      <c r="Q139" s="91"/>
    </row>
    <row r="140" spans="1:17" s="23" customFormat="1" ht="15">
      <c r="A140" s="21"/>
      <c r="B140" s="62" t="s">
        <v>229</v>
      </c>
      <c r="C140" s="63"/>
      <c r="D140" s="63" t="s">
        <v>230</v>
      </c>
      <c r="E140" s="66">
        <f>E141+E142+E143</f>
        <v>764000</v>
      </c>
      <c r="F140" s="66">
        <f aca="true" t="shared" si="27" ref="F140:P140">F141+F142+F143</f>
        <v>99000</v>
      </c>
      <c r="G140" s="66">
        <f t="shared" si="27"/>
        <v>0</v>
      </c>
      <c r="H140" s="66">
        <f t="shared" si="27"/>
        <v>0</v>
      </c>
      <c r="I140" s="66">
        <f t="shared" si="27"/>
        <v>665000</v>
      </c>
      <c r="J140" s="66">
        <f t="shared" si="27"/>
        <v>141145084.94</v>
      </c>
      <c r="K140" s="66">
        <f t="shared" si="27"/>
        <v>0</v>
      </c>
      <c r="L140" s="66">
        <f t="shared" si="27"/>
        <v>0</v>
      </c>
      <c r="M140" s="66">
        <f t="shared" si="27"/>
        <v>0</v>
      </c>
      <c r="N140" s="66">
        <f t="shared" si="27"/>
        <v>141145084.94</v>
      </c>
      <c r="O140" s="66">
        <f t="shared" si="27"/>
        <v>141145084.94</v>
      </c>
      <c r="P140" s="66">
        <f t="shared" si="27"/>
        <v>141909084.94</v>
      </c>
      <c r="Q140" s="91"/>
    </row>
    <row r="141" spans="1:17" s="23" customFormat="1" ht="14.25" customHeight="1">
      <c r="A141" s="21"/>
      <c r="B141" s="24" t="s">
        <v>129</v>
      </c>
      <c r="C141" s="24" t="s">
        <v>145</v>
      </c>
      <c r="D141" s="25" t="s">
        <v>130</v>
      </c>
      <c r="E141" s="33">
        <f>F141+I141</f>
        <v>0</v>
      </c>
      <c r="F141" s="33">
        <f>'дод. 4'!F194</f>
        <v>0</v>
      </c>
      <c r="G141" s="33">
        <f>'дод. 4'!G194</f>
        <v>0</v>
      </c>
      <c r="H141" s="33">
        <f>'дод. 4'!H194</f>
        <v>0</v>
      </c>
      <c r="I141" s="33">
        <f>'дод. 4'!I194</f>
        <v>0</v>
      </c>
      <c r="J141" s="33">
        <f>K141+N141</f>
        <v>140945084.94</v>
      </c>
      <c r="K141" s="33">
        <f>'дод. 4'!K194</f>
        <v>0</v>
      </c>
      <c r="L141" s="33">
        <f>'дод. 4'!L194</f>
        <v>0</v>
      </c>
      <c r="M141" s="33">
        <f>'дод. 4'!M194</f>
        <v>0</v>
      </c>
      <c r="N141" s="33">
        <f>'дод. 4'!N194</f>
        <v>140945084.94</v>
      </c>
      <c r="O141" s="33">
        <f>'дод. 4'!O194</f>
        <v>140945084.94</v>
      </c>
      <c r="P141" s="33">
        <f>E141+J141</f>
        <v>140945084.94</v>
      </c>
      <c r="Q141" s="91"/>
    </row>
    <row r="142" spans="1:17" s="23" customFormat="1" ht="30" customHeight="1">
      <c r="A142" s="21"/>
      <c r="B142" s="24" t="s">
        <v>341</v>
      </c>
      <c r="C142" s="24" t="s">
        <v>141</v>
      </c>
      <c r="D142" s="25" t="s">
        <v>342</v>
      </c>
      <c r="E142" s="33">
        <f>F142+I142</f>
        <v>0</v>
      </c>
      <c r="F142" s="33">
        <f>'дод. 4'!F195</f>
        <v>0</v>
      </c>
      <c r="G142" s="33">
        <f>'дод. 4'!G195</f>
        <v>0</v>
      </c>
      <c r="H142" s="33">
        <f>'дод. 4'!H195</f>
        <v>0</v>
      </c>
      <c r="I142" s="33">
        <f>'дод. 4'!I195</f>
        <v>0</v>
      </c>
      <c r="J142" s="33">
        <f>K142+N142</f>
        <v>200000</v>
      </c>
      <c r="K142" s="33">
        <f>'дод. 4'!K195</f>
        <v>0</v>
      </c>
      <c r="L142" s="33">
        <f>'дод. 4'!L195</f>
        <v>0</v>
      </c>
      <c r="M142" s="33">
        <f>'дод. 4'!M195</f>
        <v>0</v>
      </c>
      <c r="N142" s="33">
        <f>'дод. 4'!N195</f>
        <v>200000</v>
      </c>
      <c r="O142" s="33">
        <f>'дод. 4'!O195</f>
        <v>200000</v>
      </c>
      <c r="P142" s="33">
        <f>E142+J142</f>
        <v>200000</v>
      </c>
      <c r="Q142" s="91"/>
    </row>
    <row r="143" spans="1:17" s="23" customFormat="1" ht="30">
      <c r="A143" s="21"/>
      <c r="B143" s="24" t="s">
        <v>193</v>
      </c>
      <c r="C143" s="24" t="s">
        <v>195</v>
      </c>
      <c r="D143" s="25" t="s">
        <v>194</v>
      </c>
      <c r="E143" s="33">
        <f>F143+I143</f>
        <v>764000</v>
      </c>
      <c r="F143" s="33">
        <f>'дод. 4'!F171+'дод. 4'!F30+'дод. 4'!F196</f>
        <v>99000</v>
      </c>
      <c r="G143" s="33">
        <f>'дод. 4'!G171+'дод. 4'!G30+'дод. 4'!G196</f>
        <v>0</v>
      </c>
      <c r="H143" s="33">
        <f>'дод. 4'!H171+'дод. 4'!H30+'дод. 4'!H196</f>
        <v>0</v>
      </c>
      <c r="I143" s="33">
        <f>'дод. 4'!I171+'дод. 4'!I30+'дод. 4'!I196</f>
        <v>665000</v>
      </c>
      <c r="J143" s="33">
        <f>K143+N143</f>
        <v>0</v>
      </c>
      <c r="K143" s="33">
        <f>'дод. 4'!K171+'дод. 4'!K30+'дод. 4'!K196</f>
        <v>0</v>
      </c>
      <c r="L143" s="33">
        <f>'дод. 4'!L171+'дод. 4'!L30+'дод. 4'!L196</f>
        <v>0</v>
      </c>
      <c r="M143" s="33">
        <f>'дод. 4'!M171+'дод. 4'!M30+'дод. 4'!M196</f>
        <v>0</v>
      </c>
      <c r="N143" s="33">
        <f>'дод. 4'!N171+'дод. 4'!N30+'дод. 4'!N196</f>
        <v>0</v>
      </c>
      <c r="O143" s="33">
        <f>'дод. 4'!O171+'дод. 4'!O30+'дод. 4'!O196</f>
        <v>0</v>
      </c>
      <c r="P143" s="33">
        <f>E143+J143</f>
        <v>764000</v>
      </c>
      <c r="Q143" s="91"/>
    </row>
    <row r="144" spans="1:17" s="23" customFormat="1" ht="28.5">
      <c r="A144" s="21"/>
      <c r="B144" s="62" t="s">
        <v>231</v>
      </c>
      <c r="C144" s="63"/>
      <c r="D144" s="63" t="s">
        <v>232</v>
      </c>
      <c r="E144" s="66">
        <f>E145</f>
        <v>1736351</v>
      </c>
      <c r="F144" s="66">
        <f aca="true" t="shared" si="28" ref="F144:P144">F145</f>
        <v>1725500</v>
      </c>
      <c r="G144" s="66">
        <f t="shared" si="28"/>
        <v>0</v>
      </c>
      <c r="H144" s="66">
        <f t="shared" si="28"/>
        <v>0</v>
      </c>
      <c r="I144" s="66">
        <f t="shared" si="28"/>
        <v>10851</v>
      </c>
      <c r="J144" s="66">
        <f t="shared" si="28"/>
        <v>148000</v>
      </c>
      <c r="K144" s="66">
        <f t="shared" si="28"/>
        <v>0</v>
      </c>
      <c r="L144" s="66">
        <f t="shared" si="28"/>
        <v>0</v>
      </c>
      <c r="M144" s="66">
        <f t="shared" si="28"/>
        <v>0</v>
      </c>
      <c r="N144" s="66">
        <f t="shared" si="28"/>
        <v>148000</v>
      </c>
      <c r="O144" s="66">
        <f t="shared" si="28"/>
        <v>148000</v>
      </c>
      <c r="P144" s="66">
        <f t="shared" si="28"/>
        <v>1884351</v>
      </c>
      <c r="Q144" s="91"/>
    </row>
    <row r="145" spans="1:17" s="23" customFormat="1" ht="15">
      <c r="A145" s="21"/>
      <c r="B145" s="24" t="s">
        <v>123</v>
      </c>
      <c r="C145" s="24" t="s">
        <v>174</v>
      </c>
      <c r="D145" s="25" t="s">
        <v>124</v>
      </c>
      <c r="E145" s="33">
        <f>F145+I145</f>
        <v>1736351</v>
      </c>
      <c r="F145" s="33">
        <f>'дод. 4'!F184+'дод. 4'!F206+'дод. 4'!F172+'дод. 4'!F197+'дод. 4'!F188</f>
        <v>1725500</v>
      </c>
      <c r="G145" s="33">
        <f>'дод. 4'!G184+'дод. 4'!G206+'дод. 4'!G172+'дод. 4'!G197+'дод. 4'!G188</f>
        <v>0</v>
      </c>
      <c r="H145" s="33">
        <f>'дод. 4'!H184+'дод. 4'!H206+'дод. 4'!H172+'дод. 4'!H197+'дод. 4'!H188</f>
        <v>0</v>
      </c>
      <c r="I145" s="33">
        <f>'дод. 4'!I184+'дод. 4'!I206+'дод. 4'!I172+'дод. 4'!I197+'дод. 4'!I188</f>
        <v>10851</v>
      </c>
      <c r="J145" s="33">
        <f>K145+N145</f>
        <v>148000</v>
      </c>
      <c r="K145" s="33">
        <f>'дод. 4'!K184+'дод. 4'!K206+'дод. 4'!K172+'дод. 4'!K197+'дод. 4'!K188</f>
        <v>0</v>
      </c>
      <c r="L145" s="33">
        <f>'дод. 4'!L184+'дод. 4'!L206+'дод. 4'!L172+'дод. 4'!L197+'дод. 4'!L188</f>
        <v>0</v>
      </c>
      <c r="M145" s="33">
        <f>'дод. 4'!M184+'дод. 4'!M206+'дод. 4'!M172+'дод. 4'!M197+'дод. 4'!M188</f>
        <v>0</v>
      </c>
      <c r="N145" s="33">
        <f>'дод. 4'!N184+'дод. 4'!N206+'дод. 4'!N172+'дод. 4'!N197+'дод. 4'!N188</f>
        <v>148000</v>
      </c>
      <c r="O145" s="33">
        <f>'дод. 4'!O184+'дод. 4'!O206+'дод. 4'!O172+'дод. 4'!O197+'дод. 4'!O188</f>
        <v>148000</v>
      </c>
      <c r="P145" s="33">
        <f>E145+J145</f>
        <v>1884351</v>
      </c>
      <c r="Q145" s="91"/>
    </row>
    <row r="146" spans="1:18" s="23" customFormat="1" ht="42.75">
      <c r="A146" s="21"/>
      <c r="B146" s="62" t="s">
        <v>233</v>
      </c>
      <c r="C146" s="63"/>
      <c r="D146" s="63" t="s">
        <v>234</v>
      </c>
      <c r="E146" s="66">
        <f>E147+E149+E150+E151+E152+E148</f>
        <v>31078740</v>
      </c>
      <c r="F146" s="66">
        <f>F147+F149+F150+F151+F152+F148</f>
        <v>12729900</v>
      </c>
      <c r="G146" s="66">
        <f aca="true" t="shared" si="29" ref="G146:P146">G147+G149+G150+G151+G152+G148</f>
        <v>0</v>
      </c>
      <c r="H146" s="66">
        <f t="shared" si="29"/>
        <v>0</v>
      </c>
      <c r="I146" s="66">
        <f t="shared" si="29"/>
        <v>18348840</v>
      </c>
      <c r="J146" s="66">
        <f t="shared" si="29"/>
        <v>0</v>
      </c>
      <c r="K146" s="66">
        <f t="shared" si="29"/>
        <v>0</v>
      </c>
      <c r="L146" s="66">
        <f t="shared" si="29"/>
        <v>0</v>
      </c>
      <c r="M146" s="66">
        <f t="shared" si="29"/>
        <v>0</v>
      </c>
      <c r="N146" s="66">
        <f t="shared" si="29"/>
        <v>0</v>
      </c>
      <c r="O146" s="66">
        <f t="shared" si="29"/>
        <v>0</v>
      </c>
      <c r="P146" s="66">
        <f t="shared" si="29"/>
        <v>31078740</v>
      </c>
      <c r="Q146" s="91"/>
      <c r="R146" s="45"/>
    </row>
    <row r="147" spans="1:17" s="23" customFormat="1" ht="30">
      <c r="A147" s="21"/>
      <c r="B147" s="24" t="s">
        <v>197</v>
      </c>
      <c r="C147" s="24" t="s">
        <v>200</v>
      </c>
      <c r="D147" s="25" t="s">
        <v>199</v>
      </c>
      <c r="E147" s="33">
        <f aca="true" t="shared" si="30" ref="E147:E152">F147+I147</f>
        <v>1642000</v>
      </c>
      <c r="F147" s="33">
        <f>'дод. 4'!F31</f>
        <v>0</v>
      </c>
      <c r="G147" s="33">
        <f>'дод. 4'!G31</f>
        <v>0</v>
      </c>
      <c r="H147" s="33">
        <f>'дод. 4'!H31</f>
        <v>0</v>
      </c>
      <c r="I147" s="33">
        <f>'дод. 4'!I31</f>
        <v>1642000</v>
      </c>
      <c r="J147" s="33">
        <f aca="true" t="shared" si="31" ref="J147:J152">K147+N147</f>
        <v>0</v>
      </c>
      <c r="K147" s="33">
        <f>'дод. 4'!K31</f>
        <v>0</v>
      </c>
      <c r="L147" s="33">
        <f>'дод. 4'!L31</f>
        <v>0</v>
      </c>
      <c r="M147" s="33">
        <f>'дод. 4'!M31</f>
        <v>0</v>
      </c>
      <c r="N147" s="33">
        <f>'дод. 4'!N31</f>
        <v>0</v>
      </c>
      <c r="O147" s="33">
        <f>'дод. 4'!O31</f>
        <v>0</v>
      </c>
      <c r="P147" s="33">
        <f aca="true" t="shared" si="32" ref="P147:P152">E147+J147</f>
        <v>1642000</v>
      </c>
      <c r="Q147" s="91"/>
    </row>
    <row r="148" spans="1:17" s="23" customFormat="1" ht="45">
      <c r="A148" s="21"/>
      <c r="B148" s="24" t="s">
        <v>339</v>
      </c>
      <c r="C148" s="24" t="s">
        <v>164</v>
      </c>
      <c r="D148" s="25" t="s">
        <v>340</v>
      </c>
      <c r="E148" s="33">
        <f t="shared" si="30"/>
        <v>3009742</v>
      </c>
      <c r="F148" s="33">
        <f>'дод. 4'!F149</f>
        <v>3009742</v>
      </c>
      <c r="G148" s="33">
        <f>'дод. 4'!G149</f>
        <v>0</v>
      </c>
      <c r="H148" s="33">
        <f>'дод. 4'!H149</f>
        <v>0</v>
      </c>
      <c r="I148" s="33">
        <f>'дод. 4'!I149</f>
        <v>0</v>
      </c>
      <c r="J148" s="33">
        <f t="shared" si="31"/>
        <v>0</v>
      </c>
      <c r="K148" s="33">
        <f>'дод. 4'!K149</f>
        <v>0</v>
      </c>
      <c r="L148" s="33">
        <f>'дод. 4'!L149</f>
        <v>0</v>
      </c>
      <c r="M148" s="33">
        <f>'дод. 4'!M149</f>
        <v>0</v>
      </c>
      <c r="N148" s="33">
        <f>'дод. 4'!N149</f>
        <v>0</v>
      </c>
      <c r="O148" s="33">
        <f>'дод. 4'!O149</f>
        <v>0</v>
      </c>
      <c r="P148" s="33">
        <f t="shared" si="32"/>
        <v>3009742</v>
      </c>
      <c r="Q148" s="91"/>
    </row>
    <row r="149" spans="1:17" s="23" customFormat="1" ht="30">
      <c r="A149" s="21"/>
      <c r="B149" s="24" t="s">
        <v>317</v>
      </c>
      <c r="C149" s="24" t="s">
        <v>200</v>
      </c>
      <c r="D149" s="25" t="s">
        <v>318</v>
      </c>
      <c r="E149" s="33">
        <f t="shared" si="30"/>
        <v>2447500</v>
      </c>
      <c r="F149" s="33">
        <f>'дод. 4'!F32</f>
        <v>0</v>
      </c>
      <c r="G149" s="33">
        <f>'дод. 4'!G32</f>
        <v>0</v>
      </c>
      <c r="H149" s="33">
        <f>'дод. 4'!H32</f>
        <v>0</v>
      </c>
      <c r="I149" s="33">
        <f>'дод. 4'!I32</f>
        <v>2447500</v>
      </c>
      <c r="J149" s="33">
        <f t="shared" si="31"/>
        <v>0</v>
      </c>
      <c r="K149" s="33">
        <f>'дод. 4'!K32</f>
        <v>0</v>
      </c>
      <c r="L149" s="33">
        <f>'дод. 4'!L32</f>
        <v>0</v>
      </c>
      <c r="M149" s="33">
        <f>'дод. 4'!M32</f>
        <v>0</v>
      </c>
      <c r="N149" s="33">
        <f>'дод. 4'!N32</f>
        <v>0</v>
      </c>
      <c r="O149" s="33">
        <f>'дод. 4'!O32</f>
        <v>0</v>
      </c>
      <c r="P149" s="33">
        <f t="shared" si="32"/>
        <v>2447500</v>
      </c>
      <c r="Q149" s="91"/>
    </row>
    <row r="150" spans="1:17" s="23" customFormat="1" ht="30">
      <c r="A150" s="21"/>
      <c r="B150" s="24" t="s">
        <v>198</v>
      </c>
      <c r="C150" s="24" t="s">
        <v>202</v>
      </c>
      <c r="D150" s="25" t="s">
        <v>201</v>
      </c>
      <c r="E150" s="33">
        <f t="shared" si="30"/>
        <v>3607600</v>
      </c>
      <c r="F150" s="33">
        <f>'дод. 4'!F33</f>
        <v>0</v>
      </c>
      <c r="G150" s="33">
        <f>'дод. 4'!G33</f>
        <v>0</v>
      </c>
      <c r="H150" s="33">
        <f>'дод. 4'!H33</f>
        <v>0</v>
      </c>
      <c r="I150" s="33">
        <f>'дод. 4'!I33</f>
        <v>3607600</v>
      </c>
      <c r="J150" s="33">
        <f t="shared" si="31"/>
        <v>0</v>
      </c>
      <c r="K150" s="33">
        <f>'дод. 4'!K33</f>
        <v>0</v>
      </c>
      <c r="L150" s="33">
        <f>'дод. 4'!L33</f>
        <v>0</v>
      </c>
      <c r="M150" s="33">
        <f>'дод. 4'!M33</f>
        <v>0</v>
      </c>
      <c r="N150" s="33">
        <f>'дод. 4'!N33</f>
        <v>0</v>
      </c>
      <c r="O150" s="33">
        <f>'дод. 4'!O33</f>
        <v>0</v>
      </c>
      <c r="P150" s="33">
        <f t="shared" si="32"/>
        <v>3607600</v>
      </c>
      <c r="Q150" s="91"/>
    </row>
    <row r="151" spans="1:17" s="23" customFormat="1" ht="45">
      <c r="A151" s="21"/>
      <c r="B151" s="24" t="s">
        <v>107</v>
      </c>
      <c r="C151" s="24" t="s">
        <v>164</v>
      </c>
      <c r="D151" s="25" t="s">
        <v>108</v>
      </c>
      <c r="E151" s="33">
        <f t="shared" si="30"/>
        <v>9720158</v>
      </c>
      <c r="F151" s="33">
        <f>'дод. 4'!F34+'дод. 4'!F150</f>
        <v>9720158</v>
      </c>
      <c r="G151" s="33">
        <f>'дод. 4'!G34+'дод. 4'!G150</f>
        <v>0</v>
      </c>
      <c r="H151" s="33">
        <f>'дод. 4'!H34+'дод. 4'!H150</f>
        <v>0</v>
      </c>
      <c r="I151" s="33">
        <f>'дод. 4'!I34+'дод. 4'!I150</f>
        <v>0</v>
      </c>
      <c r="J151" s="33">
        <f t="shared" si="31"/>
        <v>0</v>
      </c>
      <c r="K151" s="33">
        <f>'дод. 4'!K34+'дод. 4'!K150</f>
        <v>0</v>
      </c>
      <c r="L151" s="33">
        <f>'дод. 4'!L34+'дод. 4'!L150</f>
        <v>0</v>
      </c>
      <c r="M151" s="33">
        <f>'дод. 4'!M34+'дод. 4'!M150</f>
        <v>0</v>
      </c>
      <c r="N151" s="33">
        <f>'дод. 4'!N34+'дод. 4'!N150</f>
        <v>0</v>
      </c>
      <c r="O151" s="33">
        <f>'дод. 4'!O34+'дод. 4'!O150</f>
        <v>0</v>
      </c>
      <c r="P151" s="33">
        <f t="shared" si="32"/>
        <v>9720158</v>
      </c>
      <c r="Q151" s="91"/>
    </row>
    <row r="152" spans="1:17" s="23" customFormat="1" ht="15">
      <c r="A152" s="21"/>
      <c r="B152" s="24" t="s">
        <v>44</v>
      </c>
      <c r="C152" s="24" t="s">
        <v>143</v>
      </c>
      <c r="D152" s="25" t="s">
        <v>45</v>
      </c>
      <c r="E152" s="33">
        <f t="shared" si="30"/>
        <v>10651740</v>
      </c>
      <c r="F152" s="33">
        <f>'дод. 4'!F35</f>
        <v>0</v>
      </c>
      <c r="G152" s="33">
        <f>'дод. 4'!G35</f>
        <v>0</v>
      </c>
      <c r="H152" s="33">
        <f>'дод. 4'!H35</f>
        <v>0</v>
      </c>
      <c r="I152" s="33">
        <f>'дод. 4'!I35</f>
        <v>10651740</v>
      </c>
      <c r="J152" s="33">
        <f t="shared" si="31"/>
        <v>0</v>
      </c>
      <c r="K152" s="33">
        <f>'дод. 4'!K35</f>
        <v>0</v>
      </c>
      <c r="L152" s="33">
        <f>'дод. 4'!L35</f>
        <v>0</v>
      </c>
      <c r="M152" s="33">
        <f>'дод. 4'!M35</f>
        <v>0</v>
      </c>
      <c r="N152" s="33">
        <f>'дод. 4'!N35</f>
        <v>0</v>
      </c>
      <c r="O152" s="33">
        <f>'дод. 4'!O35</f>
        <v>0</v>
      </c>
      <c r="P152" s="33">
        <f t="shared" si="32"/>
        <v>10651740</v>
      </c>
      <c r="Q152" s="91"/>
    </row>
    <row r="153" spans="1:17" s="23" customFormat="1" ht="28.5">
      <c r="A153" s="21"/>
      <c r="B153" s="62" t="s">
        <v>235</v>
      </c>
      <c r="C153" s="63"/>
      <c r="D153" s="63" t="s">
        <v>236</v>
      </c>
      <c r="E153" s="66">
        <f>E154+E155+E156+E157</f>
        <v>1952300</v>
      </c>
      <c r="F153" s="66">
        <f aca="true" t="shared" si="33" ref="F153:P153">F154+F155+F156+F157</f>
        <v>1922300</v>
      </c>
      <c r="G153" s="66">
        <f t="shared" si="33"/>
        <v>0</v>
      </c>
      <c r="H153" s="66">
        <f t="shared" si="33"/>
        <v>0</v>
      </c>
      <c r="I153" s="66">
        <f t="shared" si="33"/>
        <v>30000</v>
      </c>
      <c r="J153" s="66">
        <f t="shared" si="33"/>
        <v>83238509</v>
      </c>
      <c r="K153" s="66">
        <f t="shared" si="33"/>
        <v>0</v>
      </c>
      <c r="L153" s="66">
        <f t="shared" si="33"/>
        <v>0</v>
      </c>
      <c r="M153" s="66">
        <f t="shared" si="33"/>
        <v>0</v>
      </c>
      <c r="N153" s="66">
        <f t="shared" si="33"/>
        <v>83238509</v>
      </c>
      <c r="O153" s="66">
        <f t="shared" si="33"/>
        <v>83238509</v>
      </c>
      <c r="P153" s="66">
        <f t="shared" si="33"/>
        <v>85190809</v>
      </c>
      <c r="Q153" s="91"/>
    </row>
    <row r="154" spans="1:17" s="23" customFormat="1" ht="15">
      <c r="A154" s="21"/>
      <c r="B154" s="24" t="s">
        <v>125</v>
      </c>
      <c r="C154" s="24" t="s">
        <v>175</v>
      </c>
      <c r="D154" s="25" t="s">
        <v>126</v>
      </c>
      <c r="E154" s="33">
        <f>F154+I154</f>
        <v>1030000</v>
      </c>
      <c r="F154" s="33">
        <f>'дод. 4'!F173</f>
        <v>1000000</v>
      </c>
      <c r="G154" s="33">
        <f>'дод. 4'!G173</f>
        <v>0</v>
      </c>
      <c r="H154" s="33">
        <f>'дод. 4'!H173</f>
        <v>0</v>
      </c>
      <c r="I154" s="33">
        <f>'дод. 4'!I173</f>
        <v>30000</v>
      </c>
      <c r="J154" s="33">
        <f>K154+N154</f>
        <v>0</v>
      </c>
      <c r="K154" s="33">
        <f>'дод. 4'!K173</f>
        <v>0</v>
      </c>
      <c r="L154" s="33">
        <f>'дод. 4'!L173</f>
        <v>0</v>
      </c>
      <c r="M154" s="33">
        <f>'дод. 4'!M173</f>
        <v>0</v>
      </c>
      <c r="N154" s="33">
        <f>'дод. 4'!N173</f>
        <v>0</v>
      </c>
      <c r="O154" s="33">
        <f>'дод. 4'!O173</f>
        <v>0</v>
      </c>
      <c r="P154" s="33">
        <f>E154+J154</f>
        <v>1030000</v>
      </c>
      <c r="Q154" s="91"/>
    </row>
    <row r="155" spans="1:17" s="23" customFormat="1" ht="30">
      <c r="A155" s="21"/>
      <c r="B155" s="24" t="s">
        <v>46</v>
      </c>
      <c r="C155" s="24" t="s">
        <v>144</v>
      </c>
      <c r="D155" s="25" t="s">
        <v>47</v>
      </c>
      <c r="E155" s="33">
        <f>F155+I155</f>
        <v>85000</v>
      </c>
      <c r="F155" s="33">
        <f>'дод. 4'!F36</f>
        <v>85000</v>
      </c>
      <c r="G155" s="33">
        <f>'дод. 4'!G36</f>
        <v>0</v>
      </c>
      <c r="H155" s="33">
        <f>'дод. 4'!H36</f>
        <v>0</v>
      </c>
      <c r="I155" s="33">
        <f>'дод. 4'!I36</f>
        <v>0</v>
      </c>
      <c r="J155" s="33">
        <f>K155+N155</f>
        <v>0</v>
      </c>
      <c r="K155" s="33">
        <f>'дод. 4'!K36</f>
        <v>0</v>
      </c>
      <c r="L155" s="33">
        <f>'дод. 4'!L36</f>
        <v>0</v>
      </c>
      <c r="M155" s="33">
        <f>'дод. 4'!M36</f>
        <v>0</v>
      </c>
      <c r="N155" s="33">
        <f>'дод. 4'!N36</f>
        <v>0</v>
      </c>
      <c r="O155" s="33">
        <f>'дод. 4'!O36</f>
        <v>0</v>
      </c>
      <c r="P155" s="33">
        <f>E155+J155</f>
        <v>85000</v>
      </c>
      <c r="Q155" s="91"/>
    </row>
    <row r="156" spans="1:17" s="23" customFormat="1" ht="60">
      <c r="A156" s="21"/>
      <c r="B156" s="24" t="s">
        <v>48</v>
      </c>
      <c r="C156" s="24" t="s">
        <v>145</v>
      </c>
      <c r="D156" s="25" t="s">
        <v>49</v>
      </c>
      <c r="E156" s="33">
        <f>F156+I156</f>
        <v>0</v>
      </c>
      <c r="F156" s="33">
        <f>'дод. 4'!F37+'дод. 4'!F174+'дод. 4'!F198+'дод. 4'!F211</f>
        <v>0</v>
      </c>
      <c r="G156" s="33">
        <f>'дод. 4'!G37+'дод. 4'!G174+'дод. 4'!G198+'дод. 4'!G211</f>
        <v>0</v>
      </c>
      <c r="H156" s="33">
        <f>'дод. 4'!H37+'дод. 4'!H174+'дод. 4'!H198+'дод. 4'!H211</f>
        <v>0</v>
      </c>
      <c r="I156" s="33">
        <f>'дод. 4'!I37+'дод. 4'!I174+'дод. 4'!I198+'дод. 4'!I211</f>
        <v>0</v>
      </c>
      <c r="J156" s="33">
        <f>K156+N156</f>
        <v>83238509</v>
      </c>
      <c r="K156" s="33">
        <f>'дод. 4'!K37+'дод. 4'!K174+'дод. 4'!K198+'дод. 4'!K211</f>
        <v>0</v>
      </c>
      <c r="L156" s="33">
        <f>'дод. 4'!L37+'дод. 4'!L174+'дод. 4'!L198+'дод. 4'!L211</f>
        <v>0</v>
      </c>
      <c r="M156" s="33">
        <f>'дод. 4'!M37+'дод. 4'!M174+'дод. 4'!M198+'дод. 4'!M211</f>
        <v>0</v>
      </c>
      <c r="N156" s="33">
        <f>'дод. 4'!N37+'дод. 4'!N174+'дод. 4'!N198+'дод. 4'!N211</f>
        <v>83238509</v>
      </c>
      <c r="O156" s="33">
        <f>'дод. 4'!O37+'дод. 4'!O174+'дод. 4'!O198+'дод. 4'!O211</f>
        <v>83238509</v>
      </c>
      <c r="P156" s="33">
        <f>E156+J156</f>
        <v>83238509</v>
      </c>
      <c r="Q156" s="91"/>
    </row>
    <row r="157" spans="1:17" s="23" customFormat="1" ht="30">
      <c r="A157" s="21"/>
      <c r="B157" s="24" t="s">
        <v>50</v>
      </c>
      <c r="C157" s="24" t="s">
        <v>144</v>
      </c>
      <c r="D157" s="25" t="s">
        <v>51</v>
      </c>
      <c r="E157" s="33">
        <f>F157+I157</f>
        <v>837300</v>
      </c>
      <c r="F157" s="33">
        <f>'дод. 4'!F38</f>
        <v>837300</v>
      </c>
      <c r="G157" s="33">
        <f>'дод. 4'!G38</f>
        <v>0</v>
      </c>
      <c r="H157" s="33">
        <f>'дод. 4'!H38</f>
        <v>0</v>
      </c>
      <c r="I157" s="33">
        <f>'дод. 4'!I38</f>
        <v>0</v>
      </c>
      <c r="J157" s="33">
        <f>K157+N157</f>
        <v>0</v>
      </c>
      <c r="K157" s="33">
        <f>'дод. 4'!K38</f>
        <v>0</v>
      </c>
      <c r="L157" s="33">
        <f>'дод. 4'!L38</f>
        <v>0</v>
      </c>
      <c r="M157" s="33">
        <f>'дод. 4'!M38</f>
        <v>0</v>
      </c>
      <c r="N157" s="33">
        <f>'дод. 4'!N38</f>
        <v>0</v>
      </c>
      <c r="O157" s="33">
        <f>'дод. 4'!O38</f>
        <v>0</v>
      </c>
      <c r="P157" s="33">
        <f>E157+J157</f>
        <v>837300</v>
      </c>
      <c r="Q157" s="91"/>
    </row>
    <row r="158" spans="1:17" s="23" customFormat="1" ht="28.5">
      <c r="A158" s="21"/>
      <c r="B158" s="64" t="s">
        <v>244</v>
      </c>
      <c r="C158" s="64"/>
      <c r="D158" s="63" t="s">
        <v>245</v>
      </c>
      <c r="E158" s="66">
        <f>E159</f>
        <v>158800</v>
      </c>
      <c r="F158" s="66">
        <f aca="true" t="shared" si="34" ref="F158:P158">F159</f>
        <v>158800</v>
      </c>
      <c r="G158" s="66">
        <f t="shared" si="34"/>
        <v>0</v>
      </c>
      <c r="H158" s="66">
        <f t="shared" si="34"/>
        <v>0</v>
      </c>
      <c r="I158" s="66">
        <f t="shared" si="34"/>
        <v>0</v>
      </c>
      <c r="J158" s="66">
        <f t="shared" si="34"/>
        <v>0</v>
      </c>
      <c r="K158" s="66">
        <f t="shared" si="34"/>
        <v>0</v>
      </c>
      <c r="L158" s="66">
        <f t="shared" si="34"/>
        <v>0</v>
      </c>
      <c r="M158" s="66">
        <f t="shared" si="34"/>
        <v>0</v>
      </c>
      <c r="N158" s="66">
        <f t="shared" si="34"/>
        <v>0</v>
      </c>
      <c r="O158" s="66">
        <f t="shared" si="34"/>
        <v>0</v>
      </c>
      <c r="P158" s="66">
        <f t="shared" si="34"/>
        <v>158800</v>
      </c>
      <c r="Q158" s="91"/>
    </row>
    <row r="159" spans="1:17" s="23" customFormat="1" ht="15" customHeight="1">
      <c r="A159" s="21"/>
      <c r="B159" s="24" t="s">
        <v>196</v>
      </c>
      <c r="C159" s="24" t="s">
        <v>156</v>
      </c>
      <c r="D159" s="25" t="s">
        <v>81</v>
      </c>
      <c r="E159" s="33">
        <f>F159+I159</f>
        <v>158800</v>
      </c>
      <c r="F159" s="33">
        <f>'дод. 4'!F175</f>
        <v>158800</v>
      </c>
      <c r="G159" s="33">
        <f>'дод. 4'!G175</f>
        <v>0</v>
      </c>
      <c r="H159" s="33">
        <f>'дод. 4'!H175</f>
        <v>0</v>
      </c>
      <c r="I159" s="33">
        <f>'дод. 4'!I175</f>
        <v>0</v>
      </c>
      <c r="J159" s="33">
        <f>K159+N159</f>
        <v>0</v>
      </c>
      <c r="K159" s="33">
        <f>'дод. 4'!K175</f>
        <v>0</v>
      </c>
      <c r="L159" s="33">
        <f>'дод. 4'!L175</f>
        <v>0</v>
      </c>
      <c r="M159" s="33">
        <f>'дод. 4'!M175</f>
        <v>0</v>
      </c>
      <c r="N159" s="33">
        <f>'дод. 4'!N175</f>
        <v>0</v>
      </c>
      <c r="O159" s="33">
        <f>'дод. 4'!O175</f>
        <v>0</v>
      </c>
      <c r="P159" s="33">
        <f>E159+J159</f>
        <v>158800</v>
      </c>
      <c r="Q159" s="91"/>
    </row>
    <row r="160" spans="1:17" s="23" customFormat="1" ht="42.75">
      <c r="A160" s="21"/>
      <c r="B160" s="62" t="s">
        <v>237</v>
      </c>
      <c r="C160" s="63"/>
      <c r="D160" s="63" t="s">
        <v>238</v>
      </c>
      <c r="E160" s="66">
        <f>E161+E162</f>
        <v>1059826</v>
      </c>
      <c r="F160" s="66">
        <f aca="true" t="shared" si="35" ref="F160:P160">F161+F162</f>
        <v>1059826</v>
      </c>
      <c r="G160" s="66">
        <f t="shared" si="35"/>
        <v>638100</v>
      </c>
      <c r="H160" s="66">
        <f t="shared" si="35"/>
        <v>50677</v>
      </c>
      <c r="I160" s="66">
        <f t="shared" si="35"/>
        <v>0</v>
      </c>
      <c r="J160" s="66">
        <f t="shared" si="35"/>
        <v>348574</v>
      </c>
      <c r="K160" s="66">
        <f t="shared" si="35"/>
        <v>4700</v>
      </c>
      <c r="L160" s="66">
        <f t="shared" si="35"/>
        <v>0</v>
      </c>
      <c r="M160" s="66">
        <f t="shared" si="35"/>
        <v>720</v>
      </c>
      <c r="N160" s="66">
        <f t="shared" si="35"/>
        <v>343874</v>
      </c>
      <c r="O160" s="66">
        <f t="shared" si="35"/>
        <v>343874</v>
      </c>
      <c r="P160" s="66">
        <f t="shared" si="35"/>
        <v>1408400</v>
      </c>
      <c r="Q160" s="91"/>
    </row>
    <row r="161" spans="1:17" s="23" customFormat="1" ht="45">
      <c r="A161" s="21"/>
      <c r="B161" s="24" t="s">
        <v>52</v>
      </c>
      <c r="C161" s="24" t="s">
        <v>146</v>
      </c>
      <c r="D161" s="25" t="s">
        <v>53</v>
      </c>
      <c r="E161" s="33">
        <f>F161+I161</f>
        <v>162726</v>
      </c>
      <c r="F161" s="33">
        <f>'дод. 4'!F39</f>
        <v>162726</v>
      </c>
      <c r="G161" s="33">
        <f>'дод. 4'!G39</f>
        <v>0</v>
      </c>
      <c r="H161" s="33">
        <f>'дод. 4'!H39</f>
        <v>4300</v>
      </c>
      <c r="I161" s="33">
        <f>'дод. 4'!I39</f>
        <v>0</v>
      </c>
      <c r="J161" s="33">
        <f>K161+N161</f>
        <v>343874</v>
      </c>
      <c r="K161" s="33">
        <f>'дод. 4'!K39</f>
        <v>0</v>
      </c>
      <c r="L161" s="33">
        <f>'дод. 4'!L39</f>
        <v>0</v>
      </c>
      <c r="M161" s="33">
        <f>'дод. 4'!M39</f>
        <v>0</v>
      </c>
      <c r="N161" s="33">
        <f>'дод. 4'!N39</f>
        <v>343874</v>
      </c>
      <c r="O161" s="33">
        <f>'дод. 4'!O39</f>
        <v>343874</v>
      </c>
      <c r="P161" s="33">
        <f>E161+J161</f>
        <v>506600</v>
      </c>
      <c r="Q161" s="91"/>
    </row>
    <row r="162" spans="1:17" s="23" customFormat="1" ht="15">
      <c r="A162" s="21"/>
      <c r="B162" s="27" t="s">
        <v>54</v>
      </c>
      <c r="C162" s="27" t="s">
        <v>147</v>
      </c>
      <c r="D162" s="25" t="s">
        <v>55</v>
      </c>
      <c r="E162" s="33">
        <f>F162+I162</f>
        <v>897100</v>
      </c>
      <c r="F162" s="33">
        <f>'дод. 4'!F40</f>
        <v>897100</v>
      </c>
      <c r="G162" s="33">
        <f>'дод. 4'!G40</f>
        <v>638100</v>
      </c>
      <c r="H162" s="33">
        <f>'дод. 4'!H40</f>
        <v>46377</v>
      </c>
      <c r="I162" s="33">
        <f>'дод. 4'!I40</f>
        <v>0</v>
      </c>
      <c r="J162" s="33">
        <f>K162+N162</f>
        <v>4700</v>
      </c>
      <c r="K162" s="33">
        <f>'дод. 4'!K40</f>
        <v>4700</v>
      </c>
      <c r="L162" s="33">
        <f>'дод. 4'!L40</f>
        <v>0</v>
      </c>
      <c r="M162" s="33">
        <f>'дод. 4'!M40</f>
        <v>720</v>
      </c>
      <c r="N162" s="33">
        <f>'дод. 4'!N40</f>
        <v>0</v>
      </c>
      <c r="O162" s="33">
        <f>'дод. 4'!O40</f>
        <v>0</v>
      </c>
      <c r="P162" s="33">
        <f>E162+J162</f>
        <v>901800</v>
      </c>
      <c r="Q162" s="91"/>
    </row>
    <row r="163" spans="1:17" s="23" customFormat="1" ht="15">
      <c r="A163" s="21"/>
      <c r="B163" s="64" t="s">
        <v>203</v>
      </c>
      <c r="C163" s="64"/>
      <c r="D163" s="63" t="s">
        <v>204</v>
      </c>
      <c r="E163" s="66">
        <f>E164</f>
        <v>130883.85</v>
      </c>
      <c r="F163" s="66">
        <f aca="true" t="shared" si="36" ref="F163:P163">F164</f>
        <v>130883.85</v>
      </c>
      <c r="G163" s="66">
        <f t="shared" si="36"/>
        <v>0</v>
      </c>
      <c r="H163" s="66">
        <f t="shared" si="36"/>
        <v>0</v>
      </c>
      <c r="I163" s="66">
        <f t="shared" si="36"/>
        <v>0</v>
      </c>
      <c r="J163" s="66">
        <f t="shared" si="36"/>
        <v>0</v>
      </c>
      <c r="K163" s="66">
        <f t="shared" si="36"/>
        <v>0</v>
      </c>
      <c r="L163" s="66">
        <f t="shared" si="36"/>
        <v>0</v>
      </c>
      <c r="M163" s="66">
        <f t="shared" si="36"/>
        <v>0</v>
      </c>
      <c r="N163" s="66">
        <f t="shared" si="36"/>
        <v>0</v>
      </c>
      <c r="O163" s="66">
        <f t="shared" si="36"/>
        <v>0</v>
      </c>
      <c r="P163" s="66">
        <f t="shared" si="36"/>
        <v>130883.85</v>
      </c>
      <c r="Q163" s="91"/>
    </row>
    <row r="164" spans="1:17" s="23" customFormat="1" ht="15">
      <c r="A164" s="21"/>
      <c r="B164" s="24" t="s">
        <v>203</v>
      </c>
      <c r="C164" s="24" t="s">
        <v>211</v>
      </c>
      <c r="D164" s="25" t="s">
        <v>204</v>
      </c>
      <c r="E164" s="33">
        <f>F164+I164</f>
        <v>130883.85</v>
      </c>
      <c r="F164" s="33">
        <f>'дод. 4'!F222</f>
        <v>130883.85</v>
      </c>
      <c r="G164" s="33">
        <f>'дод. 4'!G222</f>
        <v>0</v>
      </c>
      <c r="H164" s="33">
        <f>'дод. 4'!H222</f>
        <v>0</v>
      </c>
      <c r="I164" s="33">
        <f>'дод. 4'!I222</f>
        <v>0</v>
      </c>
      <c r="J164" s="33">
        <f>K164+N164</f>
        <v>0</v>
      </c>
      <c r="K164" s="33">
        <f>'дод. 4'!K222</f>
        <v>0</v>
      </c>
      <c r="L164" s="33">
        <f>'дод. 4'!L222</f>
        <v>0</v>
      </c>
      <c r="M164" s="33">
        <f>'дод. 4'!M222</f>
        <v>0</v>
      </c>
      <c r="N164" s="33">
        <f>'дод. 4'!N222</f>
        <v>0</v>
      </c>
      <c r="O164" s="33">
        <f>'дод. 4'!O222</f>
        <v>0</v>
      </c>
      <c r="P164" s="33">
        <f>E164+J164</f>
        <v>130883.85</v>
      </c>
      <c r="Q164" s="91"/>
    </row>
    <row r="165" spans="1:17" s="23" customFormat="1" ht="15">
      <c r="A165" s="21"/>
      <c r="B165" s="62" t="s">
        <v>239</v>
      </c>
      <c r="C165" s="63"/>
      <c r="D165" s="63" t="s">
        <v>240</v>
      </c>
      <c r="E165" s="66">
        <f>E166+E167+E169+E170+E171+E168</f>
        <v>0</v>
      </c>
      <c r="F165" s="66">
        <f aca="true" t="shared" si="37" ref="F165:P165">F166+F167+F169+F170+F171+F168</f>
        <v>0</v>
      </c>
      <c r="G165" s="66">
        <f t="shared" si="37"/>
        <v>0</v>
      </c>
      <c r="H165" s="66">
        <f t="shared" si="37"/>
        <v>0</v>
      </c>
      <c r="I165" s="66">
        <f t="shared" si="37"/>
        <v>0</v>
      </c>
      <c r="J165" s="66">
        <f t="shared" si="37"/>
        <v>9500040.79</v>
      </c>
      <c r="K165" s="66">
        <f t="shared" si="37"/>
        <v>1830743.47</v>
      </c>
      <c r="L165" s="66">
        <f t="shared" si="37"/>
        <v>0</v>
      </c>
      <c r="M165" s="66">
        <f t="shared" si="37"/>
        <v>0</v>
      </c>
      <c r="N165" s="66">
        <f>N166+N167+N169+N170+N171+N168</f>
        <v>7669297.32</v>
      </c>
      <c r="O165" s="66">
        <f t="shared" si="37"/>
        <v>0</v>
      </c>
      <c r="P165" s="66">
        <f t="shared" si="37"/>
        <v>9500040.79</v>
      </c>
      <c r="Q165" s="91"/>
    </row>
    <row r="166" spans="1:17" s="23" customFormat="1" ht="30">
      <c r="A166" s="21"/>
      <c r="B166" s="24" t="s">
        <v>127</v>
      </c>
      <c r="C166" s="24" t="s">
        <v>176</v>
      </c>
      <c r="D166" s="25" t="s">
        <v>128</v>
      </c>
      <c r="E166" s="33">
        <f aca="true" t="shared" si="38" ref="E166:E171">F166+I166</f>
        <v>0</v>
      </c>
      <c r="F166" s="33">
        <f>'дод. 4'!F176+'дод. 4'!F199</f>
        <v>0</v>
      </c>
      <c r="G166" s="33">
        <f>'дод. 4'!G176+'дод. 4'!G199</f>
        <v>0</v>
      </c>
      <c r="H166" s="33">
        <f>'дод. 4'!H176+'дод. 4'!H199</f>
        <v>0</v>
      </c>
      <c r="I166" s="33">
        <f>'дод. 4'!I176+'дод. 4'!I199</f>
        <v>0</v>
      </c>
      <c r="J166" s="33">
        <f aca="true" t="shared" si="39" ref="J166:J171">K166+N166</f>
        <v>5806738</v>
      </c>
      <c r="K166" s="33">
        <f>'дод. 4'!K176+'дод. 4'!K199</f>
        <v>470000</v>
      </c>
      <c r="L166" s="33">
        <f>'дод. 4'!L176+'дод. 4'!L199</f>
        <v>0</v>
      </c>
      <c r="M166" s="33">
        <f>'дод. 4'!M176+'дод. 4'!M199</f>
        <v>0</v>
      </c>
      <c r="N166" s="33">
        <f>'дод. 4'!N176+'дод. 4'!N199</f>
        <v>5336738</v>
      </c>
      <c r="O166" s="33">
        <f>'дод. 4'!O176+'дод. 4'!O199</f>
        <v>0</v>
      </c>
      <c r="P166" s="33">
        <f aca="true" t="shared" si="40" ref="P166:P171">E166+J166</f>
        <v>5806738</v>
      </c>
      <c r="Q166" s="91"/>
    </row>
    <row r="167" spans="1:17" s="23" customFormat="1" ht="15">
      <c r="A167" s="21"/>
      <c r="B167" s="24" t="s">
        <v>306</v>
      </c>
      <c r="C167" s="24" t="s">
        <v>307</v>
      </c>
      <c r="D167" s="25" t="s">
        <v>308</v>
      </c>
      <c r="E167" s="33">
        <f t="shared" si="38"/>
        <v>0</v>
      </c>
      <c r="F167" s="33">
        <f>'дод. 4'!F177</f>
        <v>0</v>
      </c>
      <c r="G167" s="33">
        <f>'дод. 4'!G177</f>
        <v>0</v>
      </c>
      <c r="H167" s="33">
        <f>'дод. 4'!H177</f>
        <v>0</v>
      </c>
      <c r="I167" s="33">
        <f>'дод. 4'!I177</f>
        <v>0</v>
      </c>
      <c r="J167" s="33">
        <f t="shared" si="39"/>
        <v>250000</v>
      </c>
      <c r="K167" s="33">
        <f>'дод. 4'!K177</f>
        <v>250000</v>
      </c>
      <c r="L167" s="33">
        <f>'дод. 4'!L177</f>
        <v>0</v>
      </c>
      <c r="M167" s="33">
        <f>'дод. 4'!M177</f>
        <v>0</v>
      </c>
      <c r="N167" s="33">
        <f>'дод. 4'!N177</f>
        <v>0</v>
      </c>
      <c r="O167" s="33">
        <f>'дод. 4'!O177</f>
        <v>0</v>
      </c>
      <c r="P167" s="33">
        <f t="shared" si="40"/>
        <v>250000</v>
      </c>
      <c r="Q167" s="91"/>
    </row>
    <row r="168" spans="1:17" s="23" customFormat="1" ht="30">
      <c r="A168" s="21"/>
      <c r="B168" s="24" t="s">
        <v>321</v>
      </c>
      <c r="C168" s="24" t="s">
        <v>323</v>
      </c>
      <c r="D168" s="25" t="s">
        <v>322</v>
      </c>
      <c r="E168" s="33">
        <f t="shared" si="38"/>
        <v>0</v>
      </c>
      <c r="F168" s="33">
        <f>'дод. 4'!F200</f>
        <v>0</v>
      </c>
      <c r="G168" s="33">
        <f>'дод. 4'!G200</f>
        <v>0</v>
      </c>
      <c r="H168" s="33">
        <f>'дод. 4'!H200</f>
        <v>0</v>
      </c>
      <c r="I168" s="33">
        <f>'дод. 4'!I200</f>
        <v>0</v>
      </c>
      <c r="J168" s="33">
        <f t="shared" si="39"/>
        <v>1340330</v>
      </c>
      <c r="K168" s="33">
        <f>'дод. 4'!K200</f>
        <v>0</v>
      </c>
      <c r="L168" s="33">
        <f>'дод. 4'!L200</f>
        <v>0</v>
      </c>
      <c r="M168" s="33">
        <f>'дод. 4'!M200</f>
        <v>0</v>
      </c>
      <c r="N168" s="33">
        <f>'дод. 4'!N200</f>
        <v>1340330</v>
      </c>
      <c r="O168" s="33">
        <f>'дод. 4'!O200</f>
        <v>0</v>
      </c>
      <c r="P168" s="33">
        <f t="shared" si="40"/>
        <v>1340330</v>
      </c>
      <c r="Q168" s="91"/>
    </row>
    <row r="169" spans="1:17" s="23" customFormat="1" ht="30">
      <c r="A169" s="21"/>
      <c r="B169" s="24" t="s">
        <v>309</v>
      </c>
      <c r="C169" s="24" t="s">
        <v>148</v>
      </c>
      <c r="D169" s="25" t="s">
        <v>310</v>
      </c>
      <c r="E169" s="33">
        <f t="shared" si="38"/>
        <v>0</v>
      </c>
      <c r="F169" s="33">
        <f>'дод. 4'!F41+'дод. 4'!F65+'дод. 4'!F223</f>
        <v>0</v>
      </c>
      <c r="G169" s="33">
        <f>'дод. 4'!G41+'дод. 4'!G65+'дод. 4'!G223</f>
        <v>0</v>
      </c>
      <c r="H169" s="33">
        <f>'дод. 4'!H41+'дод. 4'!H65+'дод. 4'!H223</f>
        <v>0</v>
      </c>
      <c r="I169" s="33">
        <f>'дод. 4'!I41+'дод. 4'!I65+'дод. 4'!I223</f>
        <v>0</v>
      </c>
      <c r="J169" s="33">
        <f t="shared" si="39"/>
        <v>118600</v>
      </c>
      <c r="K169" s="33">
        <f>'дод. 4'!K41+'дод. 4'!K65+'дод. 4'!K223</f>
        <v>88600</v>
      </c>
      <c r="L169" s="33">
        <f>'дод. 4'!L41+'дод. 4'!L65+'дод. 4'!L223</f>
        <v>0</v>
      </c>
      <c r="M169" s="33">
        <f>'дод. 4'!M41+'дод. 4'!M65+'дод. 4'!M223</f>
        <v>0</v>
      </c>
      <c r="N169" s="33">
        <f>'дод. 4'!N41+'дод. 4'!N65+'дод. 4'!N223</f>
        <v>30000</v>
      </c>
      <c r="O169" s="33">
        <f>'дод. 4'!O41+'дод. 4'!O65+'дод. 4'!O223</f>
        <v>0</v>
      </c>
      <c r="P169" s="33">
        <f t="shared" si="40"/>
        <v>118600</v>
      </c>
      <c r="Q169" s="91"/>
    </row>
    <row r="170" spans="1:17" s="23" customFormat="1" ht="15">
      <c r="A170" s="21"/>
      <c r="B170" s="24" t="s">
        <v>311</v>
      </c>
      <c r="C170" s="24" t="s">
        <v>156</v>
      </c>
      <c r="D170" s="25" t="s">
        <v>81</v>
      </c>
      <c r="E170" s="33">
        <f t="shared" si="38"/>
        <v>0</v>
      </c>
      <c r="F170" s="33">
        <f>'дод. 4'!F178+'дод. 4'!F66+'дод. 4'!F201</f>
        <v>0</v>
      </c>
      <c r="G170" s="33">
        <f>'дод. 4'!G178+'дод. 4'!G66+'дод. 4'!G201</f>
        <v>0</v>
      </c>
      <c r="H170" s="33">
        <f>'дод. 4'!H178+'дод. 4'!H66+'дод. 4'!H201</f>
        <v>0</v>
      </c>
      <c r="I170" s="33">
        <f>'дод. 4'!I178+'дод. 4'!I66+'дод. 4'!I201</f>
        <v>0</v>
      </c>
      <c r="J170" s="33">
        <f t="shared" si="39"/>
        <v>901200</v>
      </c>
      <c r="K170" s="33">
        <f>'дод. 4'!K178+'дод. 4'!K66+'дод. 4'!K201</f>
        <v>411200</v>
      </c>
      <c r="L170" s="33">
        <f>'дод. 4'!L178+'дод. 4'!L66+'дод. 4'!L201</f>
        <v>0</v>
      </c>
      <c r="M170" s="33">
        <f>'дод. 4'!M178+'дод. 4'!M66+'дод. 4'!M201</f>
        <v>0</v>
      </c>
      <c r="N170" s="33">
        <f>'дод. 4'!N178+'дод. 4'!N66+'дод. 4'!N201</f>
        <v>490000</v>
      </c>
      <c r="O170" s="33">
        <f>'дод. 4'!O178+'дод. 4'!O66+'дод. 4'!O201</f>
        <v>0</v>
      </c>
      <c r="P170" s="33">
        <f t="shared" si="40"/>
        <v>901200</v>
      </c>
      <c r="Q170" s="91"/>
    </row>
    <row r="171" spans="1:17" s="23" customFormat="1" ht="60">
      <c r="A171" s="21"/>
      <c r="B171" s="24" t="s">
        <v>56</v>
      </c>
      <c r="C171" s="24" t="s">
        <v>149</v>
      </c>
      <c r="D171" s="25" t="s">
        <v>57</v>
      </c>
      <c r="E171" s="33">
        <f t="shared" si="38"/>
        <v>0</v>
      </c>
      <c r="F171" s="33">
        <f>'дод. 4'!F42+'дод. 4'!F179+'дод. 4'!F207+'дод. 4'!F212</f>
        <v>0</v>
      </c>
      <c r="G171" s="33">
        <f>'дод. 4'!G42+'дод. 4'!G179+'дод. 4'!G207+'дод. 4'!G212</f>
        <v>0</v>
      </c>
      <c r="H171" s="33">
        <f>'дод. 4'!H42+'дод. 4'!H179+'дод. 4'!H207+'дод. 4'!H212</f>
        <v>0</v>
      </c>
      <c r="I171" s="33">
        <f>'дод. 4'!I42+'дод. 4'!I179+'дод. 4'!I207+'дод. 4'!I212</f>
        <v>0</v>
      </c>
      <c r="J171" s="33">
        <f t="shared" si="39"/>
        <v>1083172.79</v>
      </c>
      <c r="K171" s="33">
        <f>'дод. 4'!K42+'дод. 4'!K179+'дод. 4'!K207+'дод. 4'!K212</f>
        <v>610943.47</v>
      </c>
      <c r="L171" s="33">
        <f>'дод. 4'!L42+'дод. 4'!L179+'дод. 4'!L207+'дод. 4'!L212</f>
        <v>0</v>
      </c>
      <c r="M171" s="33">
        <f>'дод. 4'!M42+'дод. 4'!M179+'дод. 4'!M207+'дод. 4'!M212</f>
        <v>0</v>
      </c>
      <c r="N171" s="33">
        <f>'дод. 4'!N42+'дод. 4'!N179+'дод. 4'!N207+'дод. 4'!N212</f>
        <v>472229.32</v>
      </c>
      <c r="O171" s="33">
        <f>'дод. 4'!O42+'дод. 4'!O179+'дод. 4'!O207+'дод. 4'!O212</f>
        <v>0</v>
      </c>
      <c r="P171" s="33">
        <f t="shared" si="40"/>
        <v>1083172.79</v>
      </c>
      <c r="Q171" s="90"/>
    </row>
    <row r="172" spans="1:17" s="23" customFormat="1" ht="28.5">
      <c r="A172" s="21"/>
      <c r="B172" s="62" t="s">
        <v>241</v>
      </c>
      <c r="C172" s="63"/>
      <c r="D172" s="63" t="s">
        <v>242</v>
      </c>
      <c r="E172" s="66">
        <f>E173+E174+E175</f>
        <v>16326699.15</v>
      </c>
      <c r="F172" s="66">
        <f aca="true" t="shared" si="41" ref="F172:P172">F173+F174+F175</f>
        <v>5200451</v>
      </c>
      <c r="G172" s="66">
        <f t="shared" si="41"/>
        <v>0</v>
      </c>
      <c r="H172" s="66">
        <f t="shared" si="41"/>
        <v>268820</v>
      </c>
      <c r="I172" s="66">
        <f t="shared" si="41"/>
        <v>0</v>
      </c>
      <c r="J172" s="66">
        <f t="shared" si="41"/>
        <v>150027.53</v>
      </c>
      <c r="K172" s="66">
        <f t="shared" si="41"/>
        <v>36027.53</v>
      </c>
      <c r="L172" s="66">
        <f t="shared" si="41"/>
        <v>0</v>
      </c>
      <c r="M172" s="66">
        <f t="shared" si="41"/>
        <v>0</v>
      </c>
      <c r="N172" s="66">
        <f t="shared" si="41"/>
        <v>114000</v>
      </c>
      <c r="O172" s="66">
        <f t="shared" si="41"/>
        <v>114000</v>
      </c>
      <c r="P172" s="66">
        <f t="shared" si="41"/>
        <v>16476726.68</v>
      </c>
      <c r="Q172" s="90"/>
    </row>
    <row r="173" spans="1:17" s="23" customFormat="1" ht="15">
      <c r="A173" s="21"/>
      <c r="B173" s="24" t="s">
        <v>133</v>
      </c>
      <c r="C173" s="24" t="s">
        <v>149</v>
      </c>
      <c r="D173" s="25" t="s">
        <v>134</v>
      </c>
      <c r="E173" s="33">
        <f>'дод. 4'!E225</f>
        <v>11126248.15</v>
      </c>
      <c r="F173" s="33">
        <f>'дод. 4'!F225</f>
        <v>0</v>
      </c>
      <c r="G173" s="33">
        <f>'дод. 4'!G225</f>
        <v>0</v>
      </c>
      <c r="H173" s="33">
        <f>'дод. 4'!H225</f>
        <v>0</v>
      </c>
      <c r="I173" s="33">
        <f>'дод. 4'!I225</f>
        <v>0</v>
      </c>
      <c r="J173" s="33">
        <f>K173+N173</f>
        <v>0</v>
      </c>
      <c r="K173" s="33">
        <f>'дод. 4'!K225</f>
        <v>0</v>
      </c>
      <c r="L173" s="33">
        <f>'дод. 4'!L225</f>
        <v>0</v>
      </c>
      <c r="M173" s="33">
        <f>'дод. 4'!M225</f>
        <v>0</v>
      </c>
      <c r="N173" s="33">
        <f>'дод. 4'!N225</f>
        <v>0</v>
      </c>
      <c r="O173" s="33">
        <f>'дод. 4'!O225</f>
        <v>0</v>
      </c>
      <c r="P173" s="33">
        <f>E173+J173</f>
        <v>11126248.15</v>
      </c>
      <c r="Q173" s="90"/>
    </row>
    <row r="174" spans="1:17" s="23" customFormat="1" ht="15">
      <c r="A174" s="21"/>
      <c r="B174" s="24" t="s">
        <v>58</v>
      </c>
      <c r="C174" s="24" t="s">
        <v>149</v>
      </c>
      <c r="D174" s="25" t="s">
        <v>26</v>
      </c>
      <c r="E174" s="33">
        <f>F174+I174</f>
        <v>5115546</v>
      </c>
      <c r="F174" s="33">
        <f>'дод. 4'!F44+'дод. 4'!F181+'дод. 4'!F185+'дод. 4'!F202+'дод. 4'!F208+'дод. 4'!F219+'дод. 4'!F189+'дод. 4'!F213</f>
        <v>5115546</v>
      </c>
      <c r="G174" s="33">
        <f>'дод. 4'!G44+'дод. 4'!G181+'дод. 4'!G185+'дод. 4'!G202+'дод. 4'!G208+'дод. 4'!G219+'дод. 4'!G189+'дод. 4'!G213</f>
        <v>0</v>
      </c>
      <c r="H174" s="33">
        <f>'дод. 4'!H44+'дод. 4'!H181+'дод. 4'!H185+'дод. 4'!H202+'дод. 4'!H208+'дод. 4'!H219+'дод. 4'!H189+'дод. 4'!H213</f>
        <v>268820</v>
      </c>
      <c r="I174" s="33">
        <f>'дод. 4'!I44+'дод. 4'!I181+'дод. 4'!I185+'дод. 4'!I202+'дод. 4'!I208+'дод. 4'!I219+'дод. 4'!I189+'дод. 4'!I213</f>
        <v>0</v>
      </c>
      <c r="J174" s="33">
        <f>K174+N174</f>
        <v>114000</v>
      </c>
      <c r="K174" s="33">
        <f>'дод. 4'!K44+'дод. 4'!K181+'дод. 4'!K185+'дод. 4'!K202+'дод. 4'!K208+'дод. 4'!K219+'дод. 4'!K189+'дод. 4'!K213</f>
        <v>0</v>
      </c>
      <c r="L174" s="33">
        <f>'дод. 4'!L44+'дод. 4'!L181+'дод. 4'!L185+'дод. 4'!L202+'дод. 4'!L208+'дод. 4'!L219+'дод. 4'!L189+'дод. 4'!L213</f>
        <v>0</v>
      </c>
      <c r="M174" s="33">
        <f>'дод. 4'!M44+'дод. 4'!M181+'дод. 4'!M185+'дод. 4'!M202+'дод. 4'!M208+'дод. 4'!M219+'дод. 4'!M189+'дод. 4'!M213</f>
        <v>0</v>
      </c>
      <c r="N174" s="33">
        <f>'дод. 4'!N44+'дод. 4'!N181+'дод. 4'!N185+'дод. 4'!N202+'дод. 4'!N208+'дод. 4'!N219+'дод. 4'!N189+'дод. 4'!N213</f>
        <v>114000</v>
      </c>
      <c r="O174" s="33">
        <f>'дод. 4'!O44+'дод. 4'!O181+'дод. 4'!O185+'дод. 4'!O202+'дод. 4'!O208+'дод. 4'!O219+'дод. 4'!O189+'дод. 4'!O213</f>
        <v>114000</v>
      </c>
      <c r="P174" s="33">
        <f>E174+J174</f>
        <v>5229546</v>
      </c>
      <c r="Q174" s="90"/>
    </row>
    <row r="175" spans="1:17" s="23" customFormat="1" ht="75">
      <c r="A175" s="21"/>
      <c r="B175" s="27" t="s">
        <v>131</v>
      </c>
      <c r="C175" s="27" t="s">
        <v>165</v>
      </c>
      <c r="D175" s="25" t="s">
        <v>132</v>
      </c>
      <c r="E175" s="33">
        <f>F175+I175</f>
        <v>84905</v>
      </c>
      <c r="F175" s="33">
        <f>'дод. 4'!F203</f>
        <v>84905</v>
      </c>
      <c r="G175" s="33">
        <f>'дод. 4'!G203</f>
        <v>0</v>
      </c>
      <c r="H175" s="33">
        <f>'дод. 4'!H203</f>
        <v>0</v>
      </c>
      <c r="I175" s="33">
        <f>'дод. 4'!I203</f>
        <v>0</v>
      </c>
      <c r="J175" s="33">
        <f>K175+N175</f>
        <v>36027.53</v>
      </c>
      <c r="K175" s="33">
        <f>'дод. 4'!K203</f>
        <v>36027.53</v>
      </c>
      <c r="L175" s="33">
        <f>'дод. 4'!L203</f>
        <v>0</v>
      </c>
      <c r="M175" s="33">
        <f>'дод. 4'!M203</f>
        <v>0</v>
      </c>
      <c r="N175" s="33">
        <f>'дод. 4'!N203</f>
        <v>0</v>
      </c>
      <c r="O175" s="33">
        <f>'дод. 4'!O203</f>
        <v>0</v>
      </c>
      <c r="P175" s="33">
        <f>E175+J175</f>
        <v>120932.53</v>
      </c>
      <c r="Q175" s="90"/>
    </row>
    <row r="176" spans="1:17" s="23" customFormat="1" ht="25.5" customHeight="1">
      <c r="A176" s="21"/>
      <c r="B176" s="24"/>
      <c r="C176" s="24"/>
      <c r="D176" s="63" t="s">
        <v>2</v>
      </c>
      <c r="E176" s="66">
        <f>E13+E15+E34+E52+E118+E126+E131+E133+E140+E144+E146+E153+E158+E160+E163+E165+E172</f>
        <v>1609249276.1799998</v>
      </c>
      <c r="F176" s="66">
        <f aca="true" t="shared" si="42" ref="F176:P176">F13+F15+F34+F52+F118+F126+F131+F133+F140+F144+F146+F153+F158+F160+F163+F165+F172</f>
        <v>1558615420.85</v>
      </c>
      <c r="G176" s="66">
        <f t="shared" si="42"/>
        <v>453040295.86</v>
      </c>
      <c r="H176" s="66">
        <f t="shared" si="42"/>
        <v>92371235.79</v>
      </c>
      <c r="I176" s="66">
        <f t="shared" si="42"/>
        <v>39507607.18</v>
      </c>
      <c r="J176" s="66">
        <f t="shared" si="42"/>
        <v>492320048.05</v>
      </c>
      <c r="K176" s="66">
        <f t="shared" si="42"/>
        <v>53843800</v>
      </c>
      <c r="L176" s="66">
        <f t="shared" si="42"/>
        <v>11367440</v>
      </c>
      <c r="M176" s="66">
        <f t="shared" si="42"/>
        <v>2168292</v>
      </c>
      <c r="N176" s="66">
        <f t="shared" si="42"/>
        <v>438476248.05</v>
      </c>
      <c r="O176" s="66">
        <f t="shared" si="42"/>
        <v>430396850.73</v>
      </c>
      <c r="P176" s="66">
        <f t="shared" si="42"/>
        <v>2101569324.2300003</v>
      </c>
      <c r="Q176" s="90"/>
    </row>
    <row r="177" spans="1:17" s="23" customFormat="1" ht="36.75" customHeight="1">
      <c r="A177" s="21"/>
      <c r="B177" s="24"/>
      <c r="C177" s="24"/>
      <c r="D177" s="63" t="s">
        <v>212</v>
      </c>
      <c r="E177" s="66">
        <f>E16+E35+E53</f>
        <v>1073624544.52</v>
      </c>
      <c r="F177" s="66">
        <f aca="true" t="shared" si="43" ref="F177:P177">F16+F35+F53</f>
        <v>1073624544.52</v>
      </c>
      <c r="G177" s="66">
        <f t="shared" si="43"/>
        <v>259015420</v>
      </c>
      <c r="H177" s="66">
        <f t="shared" si="43"/>
        <v>47607786</v>
      </c>
      <c r="I177" s="66">
        <f t="shared" si="43"/>
        <v>0</v>
      </c>
      <c r="J177" s="66">
        <f t="shared" si="43"/>
        <v>0</v>
      </c>
      <c r="K177" s="66">
        <f t="shared" si="43"/>
        <v>0</v>
      </c>
      <c r="L177" s="66">
        <f t="shared" si="43"/>
        <v>0</v>
      </c>
      <c r="M177" s="66">
        <f t="shared" si="43"/>
        <v>0</v>
      </c>
      <c r="N177" s="66">
        <f t="shared" si="43"/>
        <v>0</v>
      </c>
      <c r="O177" s="66">
        <f t="shared" si="43"/>
        <v>0</v>
      </c>
      <c r="P177" s="66">
        <f t="shared" si="43"/>
        <v>1073624544.52</v>
      </c>
      <c r="Q177" s="90"/>
    </row>
    <row r="178" spans="1:17" s="23" customFormat="1" ht="27.75" customHeight="1">
      <c r="A178" s="21"/>
      <c r="B178" s="24"/>
      <c r="C178" s="24"/>
      <c r="D178" s="63" t="s">
        <v>243</v>
      </c>
      <c r="E178" s="66">
        <f>E179+E180+E182+E181</f>
        <v>59451913</v>
      </c>
      <c r="F178" s="66">
        <f aca="true" t="shared" si="44" ref="F178:P178">F179+F180+F182+F181</f>
        <v>59451913</v>
      </c>
      <c r="G178" s="66">
        <f t="shared" si="44"/>
        <v>0</v>
      </c>
      <c r="H178" s="66">
        <f t="shared" si="44"/>
        <v>0</v>
      </c>
      <c r="I178" s="66">
        <f t="shared" si="44"/>
        <v>0</v>
      </c>
      <c r="J178" s="66">
        <f t="shared" si="44"/>
        <v>1550000</v>
      </c>
      <c r="K178" s="66">
        <f t="shared" si="44"/>
        <v>0</v>
      </c>
      <c r="L178" s="66">
        <f t="shared" si="44"/>
        <v>0</v>
      </c>
      <c r="M178" s="66">
        <f t="shared" si="44"/>
        <v>0</v>
      </c>
      <c r="N178" s="66">
        <f t="shared" si="44"/>
        <v>1550000</v>
      </c>
      <c r="O178" s="66">
        <f t="shared" si="44"/>
        <v>1550000</v>
      </c>
      <c r="P178" s="66">
        <f t="shared" si="44"/>
        <v>61001913</v>
      </c>
      <c r="Q178" s="90"/>
    </row>
    <row r="179" spans="1:17" s="23" customFormat="1" ht="20.25" customHeight="1">
      <c r="A179" s="21"/>
      <c r="B179" s="24" t="s">
        <v>182</v>
      </c>
      <c r="C179" s="24" t="s">
        <v>180</v>
      </c>
      <c r="D179" s="25" t="s">
        <v>183</v>
      </c>
      <c r="E179" s="33">
        <f>F179+I179</f>
        <v>56401300</v>
      </c>
      <c r="F179" s="33">
        <f>'дод. 4'!F226</f>
        <v>56401300</v>
      </c>
      <c r="G179" s="33">
        <f>'дод. 4'!G226</f>
        <v>0</v>
      </c>
      <c r="H179" s="33">
        <f>'дод. 4'!H226</f>
        <v>0</v>
      </c>
      <c r="I179" s="33">
        <f>'дод. 4'!I226</f>
        <v>0</v>
      </c>
      <c r="J179" s="33">
        <f>K179+N179</f>
        <v>0</v>
      </c>
      <c r="K179" s="33">
        <f>'дод. 4'!K226</f>
        <v>0</v>
      </c>
      <c r="L179" s="33">
        <f>'дод. 4'!L226</f>
        <v>0</v>
      </c>
      <c r="M179" s="33">
        <f>'дод. 4'!M226</f>
        <v>0</v>
      </c>
      <c r="N179" s="33">
        <f>'дод. 4'!N226</f>
        <v>0</v>
      </c>
      <c r="O179" s="33">
        <f>'дод. 4'!O226</f>
        <v>0</v>
      </c>
      <c r="P179" s="33">
        <f>E179+J179</f>
        <v>56401300</v>
      </c>
      <c r="Q179" s="90"/>
    </row>
    <row r="180" spans="1:17" s="23" customFormat="1" ht="25.5" customHeight="1">
      <c r="A180" s="21"/>
      <c r="B180" s="24" t="s">
        <v>184</v>
      </c>
      <c r="C180" s="24" t="s">
        <v>180</v>
      </c>
      <c r="D180" s="25" t="s">
        <v>186</v>
      </c>
      <c r="E180" s="33">
        <f>F180+I180</f>
        <v>141957</v>
      </c>
      <c r="F180" s="33">
        <f>'дод. 4'!F227</f>
        <v>141957</v>
      </c>
      <c r="G180" s="33">
        <f>'дод. 4'!G227</f>
        <v>0</v>
      </c>
      <c r="H180" s="33">
        <f>'дод. 4'!H227</f>
        <v>0</v>
      </c>
      <c r="I180" s="33">
        <f>'дод. 4'!I227</f>
        <v>0</v>
      </c>
      <c r="J180" s="33">
        <f>K180+N180</f>
        <v>0</v>
      </c>
      <c r="K180" s="33">
        <f>'дод. 4'!K227</f>
        <v>0</v>
      </c>
      <c r="L180" s="33">
        <f>'дод. 4'!L227</f>
        <v>0</v>
      </c>
      <c r="M180" s="33">
        <f>'дод. 4'!M227</f>
        <v>0</v>
      </c>
      <c r="N180" s="33">
        <f>'дод. 4'!N227</f>
        <v>0</v>
      </c>
      <c r="O180" s="33">
        <f>'дод. 4'!O227</f>
        <v>0</v>
      </c>
      <c r="P180" s="33">
        <f>E180+J180</f>
        <v>141957</v>
      </c>
      <c r="Q180" s="90"/>
    </row>
    <row r="181" spans="1:17" s="23" customFormat="1" ht="75" customHeight="1">
      <c r="A181" s="21"/>
      <c r="B181" s="24" t="s">
        <v>319</v>
      </c>
      <c r="C181" s="24" t="s">
        <v>180</v>
      </c>
      <c r="D181" s="25" t="s">
        <v>320</v>
      </c>
      <c r="E181" s="33">
        <f>F181+I181</f>
        <v>320000</v>
      </c>
      <c r="F181" s="33">
        <f>'дод. 4'!F43</f>
        <v>320000</v>
      </c>
      <c r="G181" s="33">
        <f>'дод. 4'!G43</f>
        <v>0</v>
      </c>
      <c r="H181" s="33">
        <f>'дод. 4'!H43</f>
        <v>0</v>
      </c>
      <c r="I181" s="33">
        <f>'дод. 4'!I43</f>
        <v>0</v>
      </c>
      <c r="J181" s="33">
        <f>K181+N181</f>
        <v>0</v>
      </c>
      <c r="K181" s="33">
        <f>'дод. 4'!K43</f>
        <v>0</v>
      </c>
      <c r="L181" s="33">
        <f>'дод. 4'!L43</f>
        <v>0</v>
      </c>
      <c r="M181" s="33">
        <f>'дод. 4'!M43</f>
        <v>0</v>
      </c>
      <c r="N181" s="33">
        <f>'дод. 4'!N43</f>
        <v>0</v>
      </c>
      <c r="O181" s="33">
        <f>'дод. 4'!O43</f>
        <v>0</v>
      </c>
      <c r="P181" s="33">
        <f>E181+J181</f>
        <v>320000</v>
      </c>
      <c r="Q181" s="90"/>
    </row>
    <row r="182" spans="1:17" s="23" customFormat="1" ht="15" customHeight="1">
      <c r="A182" s="21"/>
      <c r="B182" s="24" t="s">
        <v>135</v>
      </c>
      <c r="C182" s="24" t="s">
        <v>180</v>
      </c>
      <c r="D182" s="32" t="s">
        <v>136</v>
      </c>
      <c r="E182" s="33">
        <f>F182+I182</f>
        <v>2588656</v>
      </c>
      <c r="F182" s="33">
        <f>'дод. 4'!F228+'дод. 4'!F180+'дод. 4'!F214+'дод. 4'!F151</f>
        <v>2588656</v>
      </c>
      <c r="G182" s="33">
        <f>'дод. 4'!G228+'дод. 4'!G180+'дод. 4'!G214+'дод. 4'!G151</f>
        <v>0</v>
      </c>
      <c r="H182" s="33">
        <f>'дод. 4'!H228+'дод. 4'!H180+'дод. 4'!H214+'дод. 4'!H151</f>
        <v>0</v>
      </c>
      <c r="I182" s="33">
        <f>'дод. 4'!I228+'дод. 4'!I180+'дод. 4'!I214+'дод. 4'!I151</f>
        <v>0</v>
      </c>
      <c r="J182" s="33">
        <f>K182+N182</f>
        <v>1550000</v>
      </c>
      <c r="K182" s="33">
        <f>'дод. 4'!K228+'дод. 4'!K180+'дод. 4'!K214+'дод. 4'!K151</f>
        <v>0</v>
      </c>
      <c r="L182" s="33">
        <f>'дод. 4'!L228+'дод. 4'!L180+'дод. 4'!L214+'дод. 4'!L151</f>
        <v>0</v>
      </c>
      <c r="M182" s="33">
        <f>'дод. 4'!M228+'дод. 4'!M180+'дод. 4'!M214+'дод. 4'!M151</f>
        <v>0</v>
      </c>
      <c r="N182" s="33">
        <f>'дод. 4'!N228+'дод. 4'!N180+'дод. 4'!N214+'дод. 4'!N151</f>
        <v>1550000</v>
      </c>
      <c r="O182" s="33">
        <f>'дод. 4'!O228+'дод. 4'!O180+'дод. 4'!O214+'дод. 4'!O151</f>
        <v>1550000</v>
      </c>
      <c r="P182" s="33">
        <f>E182+J182</f>
        <v>4138656</v>
      </c>
      <c r="Q182" s="90"/>
    </row>
    <row r="183" spans="1:17" s="23" customFormat="1" ht="29.25" customHeight="1">
      <c r="A183" s="21"/>
      <c r="B183" s="28"/>
      <c r="C183" s="28"/>
      <c r="D183" s="29" t="s">
        <v>137</v>
      </c>
      <c r="E183" s="34">
        <f>E176+E178</f>
        <v>1668701189.1799998</v>
      </c>
      <c r="F183" s="34">
        <f aca="true" t="shared" si="45" ref="F183:P183">F176+F178</f>
        <v>1618067333.85</v>
      </c>
      <c r="G183" s="34">
        <f t="shared" si="45"/>
        <v>453040295.86</v>
      </c>
      <c r="H183" s="34">
        <f t="shared" si="45"/>
        <v>92371235.79</v>
      </c>
      <c r="I183" s="34">
        <f t="shared" si="45"/>
        <v>39507607.18</v>
      </c>
      <c r="J183" s="34">
        <f t="shared" si="45"/>
        <v>493870048.05</v>
      </c>
      <c r="K183" s="34">
        <f t="shared" si="45"/>
        <v>53843800</v>
      </c>
      <c r="L183" s="34">
        <f t="shared" si="45"/>
        <v>11367440</v>
      </c>
      <c r="M183" s="34">
        <f t="shared" si="45"/>
        <v>2168292</v>
      </c>
      <c r="N183" s="34">
        <f t="shared" si="45"/>
        <v>440026248.05</v>
      </c>
      <c r="O183" s="34">
        <f t="shared" si="45"/>
        <v>431946850.73</v>
      </c>
      <c r="P183" s="34">
        <f t="shared" si="45"/>
        <v>2162571237.2300005</v>
      </c>
      <c r="Q183" s="90"/>
    </row>
    <row r="184" spans="1:17" s="23" customFormat="1" ht="36.75" customHeight="1">
      <c r="A184" s="21"/>
      <c r="B184" s="28"/>
      <c r="C184" s="28"/>
      <c r="D184" s="29" t="s">
        <v>212</v>
      </c>
      <c r="E184" s="34">
        <f>E177</f>
        <v>1073624544.52</v>
      </c>
      <c r="F184" s="34">
        <f aca="true" t="shared" si="46" ref="F184:P184">F177</f>
        <v>1073624544.52</v>
      </c>
      <c r="G184" s="34">
        <f t="shared" si="46"/>
        <v>259015420</v>
      </c>
      <c r="H184" s="34">
        <f t="shared" si="46"/>
        <v>47607786</v>
      </c>
      <c r="I184" s="34">
        <f t="shared" si="46"/>
        <v>0</v>
      </c>
      <c r="J184" s="34">
        <f t="shared" si="46"/>
        <v>0</v>
      </c>
      <c r="K184" s="34">
        <f t="shared" si="46"/>
        <v>0</v>
      </c>
      <c r="L184" s="34">
        <f t="shared" si="46"/>
        <v>0</v>
      </c>
      <c r="M184" s="34">
        <f t="shared" si="46"/>
        <v>0</v>
      </c>
      <c r="N184" s="34">
        <f t="shared" si="46"/>
        <v>0</v>
      </c>
      <c r="O184" s="34">
        <f t="shared" si="46"/>
        <v>0</v>
      </c>
      <c r="P184" s="34">
        <f t="shared" si="46"/>
        <v>1073624544.52</v>
      </c>
      <c r="Q184" s="90"/>
    </row>
    <row r="185" spans="5:17" ht="15" customHeight="1">
      <c r="E185" s="60"/>
      <c r="F185" s="60"/>
      <c r="G185" s="60"/>
      <c r="H185" s="60"/>
      <c r="I185" s="60"/>
      <c r="J185" s="60"/>
      <c r="K185" s="60"/>
      <c r="L185" s="60"/>
      <c r="M185" s="60"/>
      <c r="N185" s="60"/>
      <c r="O185" s="60"/>
      <c r="P185" s="60"/>
      <c r="Q185" s="90"/>
    </row>
    <row r="186" spans="5:17" ht="62.25" customHeight="1">
      <c r="E186" s="60"/>
      <c r="F186" s="60"/>
      <c r="G186" s="60"/>
      <c r="H186" s="60"/>
      <c r="I186" s="60"/>
      <c r="J186" s="60"/>
      <c r="K186" s="60"/>
      <c r="L186" s="60"/>
      <c r="M186" s="60"/>
      <c r="N186" s="60"/>
      <c r="O186" s="60"/>
      <c r="P186" s="60"/>
      <c r="Q186" s="90"/>
    </row>
    <row r="187" spans="1:19" s="43" customFormat="1" ht="24" customHeight="1">
      <c r="A187" s="40"/>
      <c r="B187" s="108" t="s">
        <v>348</v>
      </c>
      <c r="C187" s="108"/>
      <c r="D187" s="108"/>
      <c r="E187" s="88"/>
      <c r="F187" s="41"/>
      <c r="G187" s="41"/>
      <c r="H187" s="41"/>
      <c r="I187" s="41"/>
      <c r="J187" s="41"/>
      <c r="K187" s="41"/>
      <c r="L187" s="41"/>
      <c r="M187" s="93" t="s">
        <v>349</v>
      </c>
      <c r="N187" s="93"/>
      <c r="O187" s="93"/>
      <c r="P187" s="42"/>
      <c r="Q187" s="90"/>
      <c r="S187" s="55"/>
    </row>
    <row r="188" spans="1:19" s="10" customFormat="1" ht="19.5" customHeight="1">
      <c r="A188" s="8"/>
      <c r="B188" s="109"/>
      <c r="C188" s="109"/>
      <c r="D188" s="89"/>
      <c r="E188" s="9"/>
      <c r="F188" s="9"/>
      <c r="G188" s="9"/>
      <c r="H188" s="9"/>
      <c r="I188" s="9"/>
      <c r="J188" s="9"/>
      <c r="K188" s="9"/>
      <c r="L188" s="92"/>
      <c r="M188" s="92"/>
      <c r="N188" s="92"/>
      <c r="O188" s="92"/>
      <c r="P188" s="8"/>
      <c r="Q188" s="90"/>
      <c r="S188" s="56"/>
    </row>
    <row r="189" spans="1:19" s="10" customFormat="1" ht="23.25">
      <c r="A189" s="8"/>
      <c r="B189" s="10" t="s">
        <v>350</v>
      </c>
      <c r="C189" s="11"/>
      <c r="D189" s="11"/>
      <c r="E189" s="11"/>
      <c r="F189" s="11"/>
      <c r="G189" s="11"/>
      <c r="H189" s="11"/>
      <c r="I189" s="11"/>
      <c r="J189" s="11"/>
      <c r="K189" s="11"/>
      <c r="L189" s="11"/>
      <c r="M189" s="11"/>
      <c r="N189" s="8"/>
      <c r="O189" s="8"/>
      <c r="P189" s="8"/>
      <c r="Q189" s="90"/>
      <c r="S189" s="56"/>
    </row>
    <row r="190" spans="1:20" s="52" customFormat="1" ht="26.25">
      <c r="A190" s="51"/>
      <c r="D190" s="53"/>
      <c r="E190" s="54"/>
      <c r="F190" s="54"/>
      <c r="G190" s="54"/>
      <c r="H190" s="54"/>
      <c r="I190" s="54"/>
      <c r="J190" s="54"/>
      <c r="K190" s="54"/>
      <c r="L190" s="54"/>
      <c r="M190" s="54"/>
      <c r="N190" s="54"/>
      <c r="O190" s="54"/>
      <c r="P190" s="54"/>
      <c r="Q190" s="90"/>
      <c r="R190" s="54"/>
      <c r="S190" s="55"/>
      <c r="T190" s="54"/>
    </row>
    <row r="191" spans="1:19" s="7" customFormat="1" ht="26.25">
      <c r="A191" s="6"/>
      <c r="B191" s="14"/>
      <c r="C191" s="8"/>
      <c r="D191" s="8"/>
      <c r="E191" s="8"/>
      <c r="F191" s="8"/>
      <c r="G191" s="8"/>
      <c r="H191" s="8"/>
      <c r="I191" s="8"/>
      <c r="J191" s="8"/>
      <c r="K191" s="8"/>
      <c r="L191" s="8"/>
      <c r="M191" s="8"/>
      <c r="N191" s="8"/>
      <c r="O191" s="8"/>
      <c r="P191" s="6"/>
      <c r="Q191" s="81"/>
      <c r="S191" s="55"/>
    </row>
    <row r="192" spans="17:19" ht="26.25">
      <c r="Q192" s="81"/>
      <c r="S192" s="55"/>
    </row>
    <row r="193" spans="17:19" ht="26.25">
      <c r="Q193" s="81"/>
      <c r="S193" s="55"/>
    </row>
    <row r="194" spans="17:19" ht="26.25">
      <c r="Q194" s="81"/>
      <c r="S194" s="55"/>
    </row>
    <row r="195" ht="15" customHeight="1">
      <c r="Q195" s="81"/>
    </row>
    <row r="196" ht="15" customHeight="1">
      <c r="Q196" s="81"/>
    </row>
    <row r="197" ht="15" customHeight="1">
      <c r="Q197" s="81"/>
    </row>
    <row r="198" ht="15" customHeight="1">
      <c r="Q198" s="81"/>
    </row>
    <row r="199" ht="15" customHeight="1">
      <c r="Q199" s="81"/>
    </row>
    <row r="200" ht="15" customHeight="1">
      <c r="Q200" s="81"/>
    </row>
    <row r="201" ht="15" customHeight="1">
      <c r="Q201" s="81"/>
    </row>
    <row r="202" ht="15" customHeight="1">
      <c r="Q202" s="81"/>
    </row>
    <row r="203" ht="15" customHeight="1">
      <c r="Q203" s="81"/>
    </row>
    <row r="204" ht="15" customHeight="1">
      <c r="Q204" s="81"/>
    </row>
    <row r="205" ht="15" customHeight="1">
      <c r="Q205" s="81"/>
    </row>
    <row r="206" ht="15" customHeight="1">
      <c r="Q206" s="81"/>
    </row>
    <row r="207" ht="15" customHeight="1">
      <c r="Q207" s="81"/>
    </row>
    <row r="208" ht="15" customHeight="1">
      <c r="Q208" s="81"/>
    </row>
    <row r="209" ht="15" customHeight="1">
      <c r="Q209" s="81"/>
    </row>
    <row r="210" ht="15" customHeight="1">
      <c r="Q210" s="81"/>
    </row>
    <row r="211" ht="15" customHeight="1">
      <c r="Q211" s="81"/>
    </row>
    <row r="212" ht="15" customHeight="1">
      <c r="Q212" s="81"/>
    </row>
    <row r="213" ht="15" customHeight="1">
      <c r="Q213" s="81"/>
    </row>
    <row r="214" ht="15" customHeight="1">
      <c r="Q214" s="81"/>
    </row>
    <row r="215" ht="15" customHeight="1">
      <c r="Q215" s="81"/>
    </row>
    <row r="216" ht="15" customHeight="1">
      <c r="Q216" s="81"/>
    </row>
    <row r="217" ht="15" customHeight="1">
      <c r="Q217" s="81"/>
    </row>
    <row r="218" ht="15" customHeight="1">
      <c r="Q218" s="81"/>
    </row>
    <row r="219" ht="15" customHeight="1">
      <c r="Q219" s="81"/>
    </row>
    <row r="220" ht="15" customHeight="1">
      <c r="Q220" s="81"/>
    </row>
    <row r="221" ht="15" customHeight="1">
      <c r="Q221" s="81"/>
    </row>
    <row r="222" ht="15" customHeight="1">
      <c r="Q222" s="81"/>
    </row>
    <row r="223" ht="15" customHeight="1">
      <c r="Q223" s="81"/>
    </row>
    <row r="224" ht="15" customHeight="1">
      <c r="Q224" s="81"/>
    </row>
    <row r="225" ht="15" customHeight="1">
      <c r="Q225" s="81"/>
    </row>
    <row r="226" ht="15" customHeight="1">
      <c r="Q226" s="81"/>
    </row>
    <row r="227" ht="15" customHeight="1">
      <c r="Q227" s="81"/>
    </row>
    <row r="228" ht="15" customHeight="1">
      <c r="Q228" s="81"/>
    </row>
    <row r="229" ht="15" customHeight="1">
      <c r="Q229" s="81"/>
    </row>
    <row r="230" ht="15" customHeight="1">
      <c r="Q230" s="81"/>
    </row>
    <row r="231" ht="15" customHeight="1">
      <c r="Q231" s="81"/>
    </row>
  </sheetData>
  <sheetProtection/>
  <mergeCells count="38">
    <mergeCell ref="L3:P3"/>
    <mergeCell ref="L4:P4"/>
    <mergeCell ref="B187:D187"/>
    <mergeCell ref="B188:C188"/>
    <mergeCell ref="B9:B12"/>
    <mergeCell ref="C9:C12"/>
    <mergeCell ref="E9:I9"/>
    <mergeCell ref="F10:F12"/>
    <mergeCell ref="G11:G12"/>
    <mergeCell ref="H11:H12"/>
    <mergeCell ref="L1:O1"/>
    <mergeCell ref="B7:P7"/>
    <mergeCell ref="N10:N12"/>
    <mergeCell ref="G10:H10"/>
    <mergeCell ref="D9:D12"/>
    <mergeCell ref="E10:E12"/>
    <mergeCell ref="K10:K12"/>
    <mergeCell ref="I10:I12"/>
    <mergeCell ref="O11:O12"/>
    <mergeCell ref="J10:J12"/>
    <mergeCell ref="Q67:Q74"/>
    <mergeCell ref="Q75:Q104"/>
    <mergeCell ref="Q1:Q35"/>
    <mergeCell ref="Q36:Q55"/>
    <mergeCell ref="Q56:Q59"/>
    <mergeCell ref="Q60:Q66"/>
    <mergeCell ref="L188:O188"/>
    <mergeCell ref="M187:O187"/>
    <mergeCell ref="L5:P5"/>
    <mergeCell ref="J9:O9"/>
    <mergeCell ref="P9:P12"/>
    <mergeCell ref="L10:M10"/>
    <mergeCell ref="M11:M12"/>
    <mergeCell ref="L11:L12"/>
    <mergeCell ref="Q171:Q190"/>
    <mergeCell ref="Q105:Q122"/>
    <mergeCell ref="Q123:Q146"/>
    <mergeCell ref="Q147:Q170"/>
  </mergeCells>
  <printOptions horizontalCentered="1"/>
  <pageMargins left="0.1968503937007874" right="0.1968503937007874" top="1.0236220472440944" bottom="0.4330708661417323" header="0.35433070866141736" footer="0.2362204724409449"/>
  <pageSetup fitToHeight="19" horizontalDpi="600" verticalDpi="600" orientation="landscape" paperSize="9" scale="56" r:id="rId1"/>
  <headerFooter alignWithMargins="0">
    <oddFooter>&amp;RСторінка &amp;P</oddFooter>
  </headerFooter>
  <rowBreaks count="3" manualBreakCount="3">
    <brk id="32" min="1" max="15" man="1"/>
    <brk id="53" min="1" max="15" man="1"/>
    <brk id="182" min="1" max="15" man="1"/>
  </rowBreaks>
</worksheet>
</file>

<file path=xl/worksheets/sheet2.xml><?xml version="1.0" encoding="utf-8"?>
<worksheet xmlns="http://schemas.openxmlformats.org/spreadsheetml/2006/main" xmlns:r="http://schemas.openxmlformats.org/officeDocument/2006/relationships">
  <sheetPr codeName="Лист2"/>
  <dimension ref="A1:T242"/>
  <sheetViews>
    <sheetView showGridLines="0" showZeros="0" tabSelected="1" view="pageBreakPreview" zoomScaleNormal="70" zoomScaleSheetLayoutView="100" zoomScalePageLayoutView="0" workbookViewId="0" topLeftCell="B9">
      <pane xSplit="3" ySplit="4" topLeftCell="E223" activePane="bottomRight" state="frozen"/>
      <selection pane="topLeft" activeCell="B9" sqref="B9"/>
      <selection pane="topRight" activeCell="E9" sqref="E9"/>
      <selection pane="bottomLeft" activeCell="B13" sqref="B13"/>
      <selection pane="bottomRight" activeCell="E232" sqref="E232"/>
    </sheetView>
  </sheetViews>
  <sheetFormatPr defaultColWidth="9.16015625" defaultRowHeight="12.75"/>
  <cols>
    <col min="1" max="1" width="3.83203125" style="84" hidden="1" customWidth="1"/>
    <col min="2" max="3" width="11.66015625" style="84" customWidth="1"/>
    <col min="4" max="4" width="46" style="84" customWidth="1"/>
    <col min="5" max="5" width="19.33203125" style="84" customWidth="1"/>
    <col min="6" max="6" width="19.5" style="84" customWidth="1"/>
    <col min="7" max="7" width="20" style="84" customWidth="1"/>
    <col min="8" max="8" width="16.83203125" style="84" customWidth="1"/>
    <col min="9" max="9" width="17" style="84" customWidth="1"/>
    <col min="10" max="11" width="18" style="84" customWidth="1"/>
    <col min="12" max="12" width="15.83203125" style="84" customWidth="1"/>
    <col min="13" max="13" width="13.66015625" style="84" customWidth="1"/>
    <col min="14" max="14" width="17.66015625" style="84" customWidth="1"/>
    <col min="15" max="15" width="19.16015625" style="84" customWidth="1"/>
    <col min="16" max="16" width="19.66015625" style="84" customWidth="1"/>
    <col min="17" max="17" width="6.5" style="80" customWidth="1"/>
    <col min="18" max="18" width="14.16015625" style="83" bestFit="1" customWidth="1"/>
    <col min="19" max="19" width="29.66015625" style="83" bestFit="1" customWidth="1"/>
    <col min="20" max="16384" width="9.16015625" style="83" customWidth="1"/>
  </cols>
  <sheetData>
    <row r="1" spans="1:17" ht="26.25">
      <c r="A1" s="1"/>
      <c r="B1" s="1"/>
      <c r="C1" s="1"/>
      <c r="D1" s="1"/>
      <c r="E1" s="1"/>
      <c r="F1" s="1" t="s">
        <v>325</v>
      </c>
      <c r="G1" s="1"/>
      <c r="H1" s="1"/>
      <c r="I1" s="1"/>
      <c r="J1" s="1"/>
      <c r="K1" s="1"/>
      <c r="L1" s="102" t="s">
        <v>343</v>
      </c>
      <c r="M1" s="102"/>
      <c r="N1" s="102"/>
      <c r="O1" s="102"/>
      <c r="P1" s="39"/>
      <c r="Q1" s="101"/>
    </row>
    <row r="2" spans="12:17" ht="26.25">
      <c r="L2" s="87" t="s">
        <v>344</v>
      </c>
      <c r="M2" s="87"/>
      <c r="N2" s="87"/>
      <c r="O2" s="87"/>
      <c r="P2" s="87"/>
      <c r="Q2" s="101"/>
    </row>
    <row r="3" spans="12:17" ht="26.25">
      <c r="L3" s="94" t="s">
        <v>345</v>
      </c>
      <c r="M3" s="94"/>
      <c r="N3" s="94"/>
      <c r="O3" s="94"/>
      <c r="P3" s="94"/>
      <c r="Q3" s="101"/>
    </row>
    <row r="4" spans="12:17" ht="26.25">
      <c r="L4" s="107" t="s">
        <v>346</v>
      </c>
      <c r="M4" s="107"/>
      <c r="N4" s="107"/>
      <c r="O4" s="107"/>
      <c r="P4" s="107"/>
      <c r="Q4" s="101"/>
    </row>
    <row r="5" spans="12:17" ht="26.25" customHeight="1">
      <c r="L5" s="94" t="s">
        <v>347</v>
      </c>
      <c r="M5" s="94"/>
      <c r="N5" s="94"/>
      <c r="O5" s="94"/>
      <c r="P5" s="94"/>
      <c r="Q5" s="101"/>
    </row>
    <row r="6" spans="12:17" ht="39" customHeight="1">
      <c r="L6" s="46"/>
      <c r="M6" s="46"/>
      <c r="N6" s="46"/>
      <c r="O6" s="46"/>
      <c r="P6" s="46"/>
      <c r="Q6" s="101"/>
    </row>
    <row r="7" spans="2:17" ht="45" customHeight="1">
      <c r="B7" s="103" t="s">
        <v>247</v>
      </c>
      <c r="C7" s="103"/>
      <c r="D7" s="103"/>
      <c r="E7" s="103"/>
      <c r="F7" s="103"/>
      <c r="G7" s="103"/>
      <c r="H7" s="103"/>
      <c r="I7" s="103"/>
      <c r="J7" s="103"/>
      <c r="K7" s="103"/>
      <c r="L7" s="103"/>
      <c r="M7" s="103"/>
      <c r="N7" s="103"/>
      <c r="O7" s="103"/>
      <c r="P7" s="103"/>
      <c r="Q7" s="101"/>
    </row>
    <row r="8" spans="2:17" ht="18.75">
      <c r="B8" s="85"/>
      <c r="C8" s="85"/>
      <c r="D8" s="85"/>
      <c r="E8" s="85"/>
      <c r="F8" s="85"/>
      <c r="G8" s="5"/>
      <c r="H8" s="2"/>
      <c r="I8" s="2"/>
      <c r="J8" s="3"/>
      <c r="K8" s="4"/>
      <c r="L8" s="4"/>
      <c r="M8" s="4"/>
      <c r="N8" s="4"/>
      <c r="O8" s="4"/>
      <c r="P8" s="38" t="s">
        <v>14</v>
      </c>
      <c r="Q8" s="101"/>
    </row>
    <row r="9" spans="1:17" s="17" customFormat="1" ht="21.75" customHeight="1">
      <c r="A9" s="15"/>
      <c r="B9" s="98" t="s">
        <v>13</v>
      </c>
      <c r="C9" s="98" t="s">
        <v>10</v>
      </c>
      <c r="D9" s="98" t="s">
        <v>185</v>
      </c>
      <c r="E9" s="95" t="s">
        <v>0</v>
      </c>
      <c r="F9" s="96"/>
      <c r="G9" s="96"/>
      <c r="H9" s="96"/>
      <c r="I9" s="97"/>
      <c r="J9" s="95" t="s">
        <v>1</v>
      </c>
      <c r="K9" s="96"/>
      <c r="L9" s="96"/>
      <c r="M9" s="96"/>
      <c r="N9" s="96"/>
      <c r="O9" s="97"/>
      <c r="P9" s="98" t="s">
        <v>2</v>
      </c>
      <c r="Q9" s="101"/>
    </row>
    <row r="10" spans="1:17" s="17" customFormat="1" ht="16.5" customHeight="1">
      <c r="A10" s="18"/>
      <c r="B10" s="99"/>
      <c r="C10" s="99"/>
      <c r="D10" s="99"/>
      <c r="E10" s="98" t="s">
        <v>3</v>
      </c>
      <c r="F10" s="104" t="s">
        <v>4</v>
      </c>
      <c r="G10" s="95" t="s">
        <v>5</v>
      </c>
      <c r="H10" s="97"/>
      <c r="I10" s="104" t="s">
        <v>6</v>
      </c>
      <c r="J10" s="98" t="s">
        <v>3</v>
      </c>
      <c r="K10" s="104" t="s">
        <v>4</v>
      </c>
      <c r="L10" s="95" t="s">
        <v>5</v>
      </c>
      <c r="M10" s="97"/>
      <c r="N10" s="104" t="s">
        <v>6</v>
      </c>
      <c r="O10" s="16" t="s">
        <v>5</v>
      </c>
      <c r="P10" s="99"/>
      <c r="Q10" s="101"/>
    </row>
    <row r="11" spans="1:17" s="17" customFormat="1" ht="20.25" customHeight="1">
      <c r="A11" s="19"/>
      <c r="B11" s="99"/>
      <c r="C11" s="99"/>
      <c r="D11" s="99"/>
      <c r="E11" s="99"/>
      <c r="F11" s="105"/>
      <c r="G11" s="98" t="s">
        <v>7</v>
      </c>
      <c r="H11" s="98" t="s">
        <v>8</v>
      </c>
      <c r="I11" s="105"/>
      <c r="J11" s="99"/>
      <c r="K11" s="105"/>
      <c r="L11" s="98" t="s">
        <v>7</v>
      </c>
      <c r="M11" s="98" t="s">
        <v>8</v>
      </c>
      <c r="N11" s="105"/>
      <c r="O11" s="98" t="s">
        <v>12</v>
      </c>
      <c r="P11" s="99"/>
      <c r="Q11" s="101"/>
    </row>
    <row r="12" spans="1:17" s="17" customFormat="1" ht="110.25" customHeight="1">
      <c r="A12" s="20"/>
      <c r="B12" s="100"/>
      <c r="C12" s="100"/>
      <c r="D12" s="100"/>
      <c r="E12" s="100"/>
      <c r="F12" s="106"/>
      <c r="G12" s="100"/>
      <c r="H12" s="100"/>
      <c r="I12" s="106"/>
      <c r="J12" s="100"/>
      <c r="K12" s="106"/>
      <c r="L12" s="100"/>
      <c r="M12" s="100"/>
      <c r="N12" s="106"/>
      <c r="O12" s="100"/>
      <c r="P12" s="100"/>
      <c r="Q12" s="101"/>
    </row>
    <row r="13" spans="1:17" s="23" customFormat="1" ht="28.5">
      <c r="A13" s="21"/>
      <c r="B13" s="49"/>
      <c r="C13" s="49"/>
      <c r="D13" s="22" t="s">
        <v>15</v>
      </c>
      <c r="E13" s="34">
        <f>E14+E15+E16+E17+E18+E19+E20+E21+E22+E23+E24+E25+E26+E27+E28+E29+E31+E32+E33+E34+E35+E36+E37+E38+E39+E40+E42+E44+E30+E43+E41</f>
        <v>71726020.78999999</v>
      </c>
      <c r="F13" s="34">
        <f aca="true" t="shared" si="0" ref="F13:P13">F14+F15+F16+F17+F18+F19+F20+F21+F22+F23+F24+F25+F26+F27+F28+F29+F31+F32+F33+F34+F35+F36+F37+F38+F39+F40+F42+F44+F30+F43+F41</f>
        <v>53377180.79</v>
      </c>
      <c r="G13" s="34">
        <f t="shared" si="0"/>
        <v>25015688</v>
      </c>
      <c r="H13" s="34">
        <f t="shared" si="0"/>
        <v>2945047.79</v>
      </c>
      <c r="I13" s="34">
        <f t="shared" si="0"/>
        <v>18348840</v>
      </c>
      <c r="J13" s="34">
        <f t="shared" si="0"/>
        <v>57223215.47</v>
      </c>
      <c r="K13" s="34">
        <f t="shared" si="0"/>
        <v>473457.47</v>
      </c>
      <c r="L13" s="34">
        <f t="shared" si="0"/>
        <v>144491</v>
      </c>
      <c r="M13" s="34">
        <f t="shared" si="0"/>
        <v>98348</v>
      </c>
      <c r="N13" s="34">
        <f t="shared" si="0"/>
        <v>56749758</v>
      </c>
      <c r="O13" s="34">
        <f t="shared" si="0"/>
        <v>56749758</v>
      </c>
      <c r="P13" s="34">
        <f t="shared" si="0"/>
        <v>128949236.25999999</v>
      </c>
      <c r="Q13" s="101"/>
    </row>
    <row r="14" spans="1:17" s="23" customFormat="1" ht="15">
      <c r="A14" s="21"/>
      <c r="B14" s="24" t="s">
        <v>11</v>
      </c>
      <c r="C14" s="24" t="s">
        <v>9</v>
      </c>
      <c r="D14" s="25" t="s">
        <v>16</v>
      </c>
      <c r="E14" s="33">
        <f>F14+I14</f>
        <v>29212649</v>
      </c>
      <c r="F14" s="33">
        <f>27284910+1516344+285000+126395</f>
        <v>29212649</v>
      </c>
      <c r="G14" s="33">
        <f>16195850+1873700</f>
        <v>18069550</v>
      </c>
      <c r="H14" s="33">
        <v>1520550</v>
      </c>
      <c r="I14" s="33"/>
      <c r="J14" s="33">
        <f>K14+N14</f>
        <v>4043480</v>
      </c>
      <c r="K14" s="33"/>
      <c r="L14" s="33"/>
      <c r="M14" s="33"/>
      <c r="N14" s="33">
        <f>1100000+2043480+900000</f>
        <v>4043480</v>
      </c>
      <c r="O14" s="33">
        <f>1100000+2043480+900000</f>
        <v>4043480</v>
      </c>
      <c r="P14" s="33">
        <f>E14+J14</f>
        <v>33256129</v>
      </c>
      <c r="Q14" s="101"/>
    </row>
    <row r="15" spans="1:17" s="23" customFormat="1" ht="30">
      <c r="A15" s="21"/>
      <c r="B15" s="24" t="s">
        <v>17</v>
      </c>
      <c r="C15" s="24" t="s">
        <v>138</v>
      </c>
      <c r="D15" s="25" t="s">
        <v>18</v>
      </c>
      <c r="E15" s="33">
        <f aca="true" t="shared" si="1" ref="E15:E44">F15+I15</f>
        <v>176953</v>
      </c>
      <c r="F15" s="33">
        <f>143404+22688+10861</f>
        <v>176953</v>
      </c>
      <c r="G15" s="34"/>
      <c r="H15" s="34"/>
      <c r="I15" s="34"/>
      <c r="J15" s="33">
        <f aca="true" t="shared" si="2" ref="J15:J44">K15+N15</f>
        <v>0</v>
      </c>
      <c r="K15" s="34"/>
      <c r="L15" s="34"/>
      <c r="M15" s="34"/>
      <c r="N15" s="34"/>
      <c r="O15" s="34"/>
      <c r="P15" s="33">
        <f aca="true" t="shared" si="3" ref="P15:P44">E15+J15</f>
        <v>176953</v>
      </c>
      <c r="Q15" s="101"/>
    </row>
    <row r="16" spans="1:17" s="23" customFormat="1" ht="30">
      <c r="A16" s="21"/>
      <c r="B16" s="24" t="s">
        <v>19</v>
      </c>
      <c r="C16" s="24" t="s">
        <v>139</v>
      </c>
      <c r="D16" s="25" t="s">
        <v>20</v>
      </c>
      <c r="E16" s="33">
        <f t="shared" si="1"/>
        <v>692000</v>
      </c>
      <c r="F16" s="33">
        <f>847250-160250+5000</f>
        <v>692000</v>
      </c>
      <c r="G16" s="33">
        <f>564500-71550</f>
        <v>492950</v>
      </c>
      <c r="H16" s="33">
        <v>55897</v>
      </c>
      <c r="I16" s="33"/>
      <c r="J16" s="33">
        <f t="shared" si="2"/>
        <v>0</v>
      </c>
      <c r="K16" s="33"/>
      <c r="L16" s="33"/>
      <c r="M16" s="33"/>
      <c r="N16" s="33"/>
      <c r="O16" s="33"/>
      <c r="P16" s="33">
        <f t="shared" si="3"/>
        <v>692000</v>
      </c>
      <c r="Q16" s="101"/>
    </row>
    <row r="17" spans="1:17" s="23" customFormat="1" ht="30">
      <c r="A17" s="21"/>
      <c r="B17" s="24" t="s">
        <v>21</v>
      </c>
      <c r="C17" s="24" t="s">
        <v>139</v>
      </c>
      <c r="D17" s="25" t="s">
        <v>22</v>
      </c>
      <c r="E17" s="33">
        <f t="shared" si="1"/>
        <v>40000</v>
      </c>
      <c r="F17" s="33">
        <v>40000</v>
      </c>
      <c r="G17" s="33"/>
      <c r="H17" s="33"/>
      <c r="I17" s="33"/>
      <c r="J17" s="33">
        <f t="shared" si="2"/>
        <v>0</v>
      </c>
      <c r="K17" s="33"/>
      <c r="L17" s="33"/>
      <c r="M17" s="33"/>
      <c r="N17" s="33"/>
      <c r="O17" s="33"/>
      <c r="P17" s="33">
        <f t="shared" si="3"/>
        <v>40000</v>
      </c>
      <c r="Q17" s="101"/>
    </row>
    <row r="18" spans="1:17" s="23" customFormat="1" ht="30">
      <c r="A18" s="21"/>
      <c r="B18" s="24" t="s">
        <v>23</v>
      </c>
      <c r="C18" s="24" t="s">
        <v>139</v>
      </c>
      <c r="D18" s="25" t="s">
        <v>24</v>
      </c>
      <c r="E18" s="33">
        <f t="shared" si="1"/>
        <v>605000</v>
      </c>
      <c r="F18" s="33">
        <f>105000+500000</f>
        <v>605000</v>
      </c>
      <c r="G18" s="33"/>
      <c r="H18" s="33"/>
      <c r="I18" s="33"/>
      <c r="J18" s="33">
        <f t="shared" si="2"/>
        <v>0</v>
      </c>
      <c r="K18" s="33"/>
      <c r="L18" s="33"/>
      <c r="M18" s="33"/>
      <c r="N18" s="33"/>
      <c r="O18" s="33"/>
      <c r="P18" s="33">
        <f t="shared" si="3"/>
        <v>605000</v>
      </c>
      <c r="Q18" s="101"/>
    </row>
    <row r="19" spans="1:17" s="23" customFormat="1" ht="15">
      <c r="A19" s="21"/>
      <c r="B19" s="24" t="s">
        <v>25</v>
      </c>
      <c r="C19" s="24" t="s">
        <v>139</v>
      </c>
      <c r="D19" s="25" t="s">
        <v>26</v>
      </c>
      <c r="E19" s="33">
        <f t="shared" si="1"/>
        <v>509900</v>
      </c>
      <c r="F19" s="33">
        <f>582100-72200</f>
        <v>509900</v>
      </c>
      <c r="G19" s="33">
        <f>354900-17600</f>
        <v>337300</v>
      </c>
      <c r="H19" s="33">
        <v>72433</v>
      </c>
      <c r="I19" s="33"/>
      <c r="J19" s="33">
        <f t="shared" si="2"/>
        <v>9645</v>
      </c>
      <c r="K19" s="33"/>
      <c r="L19" s="33"/>
      <c r="M19" s="33"/>
      <c r="N19" s="33">
        <v>9645</v>
      </c>
      <c r="O19" s="33">
        <v>9645</v>
      </c>
      <c r="P19" s="33">
        <f t="shared" si="3"/>
        <v>519545</v>
      </c>
      <c r="Q19" s="101"/>
    </row>
    <row r="20" spans="1:17" s="23" customFormat="1" ht="75">
      <c r="A20" s="21"/>
      <c r="B20" s="24" t="s">
        <v>27</v>
      </c>
      <c r="C20" s="24" t="s">
        <v>139</v>
      </c>
      <c r="D20" s="26" t="s">
        <v>28</v>
      </c>
      <c r="E20" s="33">
        <f t="shared" si="1"/>
        <v>1106888</v>
      </c>
      <c r="F20" s="33">
        <f>189000+917888</f>
        <v>1106888</v>
      </c>
      <c r="G20" s="33"/>
      <c r="H20" s="33"/>
      <c r="I20" s="33"/>
      <c r="J20" s="33">
        <f t="shared" si="2"/>
        <v>0</v>
      </c>
      <c r="K20" s="33"/>
      <c r="L20" s="33"/>
      <c r="M20" s="33"/>
      <c r="N20" s="33"/>
      <c r="O20" s="33"/>
      <c r="P20" s="33">
        <f t="shared" si="3"/>
        <v>1106888</v>
      </c>
      <c r="Q20" s="101"/>
    </row>
    <row r="21" spans="1:17" s="23" customFormat="1" ht="15">
      <c r="A21" s="21"/>
      <c r="B21" s="24" t="s">
        <v>29</v>
      </c>
      <c r="C21" s="24" t="s">
        <v>140</v>
      </c>
      <c r="D21" s="25" t="s">
        <v>30</v>
      </c>
      <c r="E21" s="33">
        <f t="shared" si="1"/>
        <v>162579.79</v>
      </c>
      <c r="F21" s="33">
        <f>125140+37439.79</f>
        <v>162579.79</v>
      </c>
      <c r="G21" s="33"/>
      <c r="H21" s="33">
        <f>124940+37439.79</f>
        <v>162379.79</v>
      </c>
      <c r="I21" s="33"/>
      <c r="J21" s="33">
        <f t="shared" si="2"/>
        <v>0</v>
      </c>
      <c r="K21" s="33"/>
      <c r="L21" s="33"/>
      <c r="M21" s="33"/>
      <c r="N21" s="33"/>
      <c r="O21" s="33"/>
      <c r="P21" s="33">
        <f t="shared" si="3"/>
        <v>162579.79</v>
      </c>
      <c r="Q21" s="101"/>
    </row>
    <row r="22" spans="1:17" s="23" customFormat="1" ht="15">
      <c r="A22" s="21"/>
      <c r="B22" s="24" t="s">
        <v>31</v>
      </c>
      <c r="C22" s="24" t="s">
        <v>141</v>
      </c>
      <c r="D22" s="25" t="s">
        <v>32</v>
      </c>
      <c r="E22" s="33">
        <f t="shared" si="1"/>
        <v>1729127</v>
      </c>
      <c r="F22" s="33">
        <f>1692120-160464+21446+105200+5000+27000+12000+26825</f>
        <v>1729127</v>
      </c>
      <c r="G22" s="33">
        <f>1009375-13215</f>
        <v>996160</v>
      </c>
      <c r="H22" s="33">
        <v>91785</v>
      </c>
      <c r="I22" s="34"/>
      <c r="J22" s="33">
        <f t="shared" si="2"/>
        <v>116759</v>
      </c>
      <c r="K22" s="33"/>
      <c r="L22" s="33"/>
      <c r="M22" s="33"/>
      <c r="N22" s="33">
        <f>70000+4759+69000-27000</f>
        <v>116759</v>
      </c>
      <c r="O22" s="33">
        <f>70000+4759+69000-27000</f>
        <v>116759</v>
      </c>
      <c r="P22" s="33">
        <f t="shared" si="3"/>
        <v>1845886</v>
      </c>
      <c r="Q22" s="101"/>
    </row>
    <row r="23" spans="1:17" s="23" customFormat="1" ht="15">
      <c r="A23" s="21"/>
      <c r="B23" s="24" t="s">
        <v>190</v>
      </c>
      <c r="C23" s="24" t="s">
        <v>192</v>
      </c>
      <c r="D23" s="25" t="s">
        <v>191</v>
      </c>
      <c r="E23" s="33">
        <f t="shared" si="1"/>
        <v>90300</v>
      </c>
      <c r="F23" s="33">
        <v>90300</v>
      </c>
      <c r="G23" s="33"/>
      <c r="H23" s="33"/>
      <c r="I23" s="34"/>
      <c r="J23" s="33">
        <f t="shared" si="2"/>
        <v>0</v>
      </c>
      <c r="K23" s="33"/>
      <c r="L23" s="33"/>
      <c r="M23" s="33"/>
      <c r="N23" s="33"/>
      <c r="O23" s="33"/>
      <c r="P23" s="33">
        <f t="shared" si="3"/>
        <v>90300</v>
      </c>
      <c r="Q23" s="101"/>
    </row>
    <row r="24" spans="1:17" s="23" customFormat="1" ht="30">
      <c r="A24" s="21"/>
      <c r="B24" s="24" t="s">
        <v>33</v>
      </c>
      <c r="C24" s="24" t="s">
        <v>142</v>
      </c>
      <c r="D24" s="25" t="s">
        <v>34</v>
      </c>
      <c r="E24" s="33">
        <f t="shared" si="1"/>
        <v>500000</v>
      </c>
      <c r="F24" s="33">
        <v>500000</v>
      </c>
      <c r="G24" s="33"/>
      <c r="H24" s="33"/>
      <c r="I24" s="34"/>
      <c r="J24" s="33">
        <f t="shared" si="2"/>
        <v>0</v>
      </c>
      <c r="K24" s="33"/>
      <c r="L24" s="33"/>
      <c r="M24" s="33"/>
      <c r="N24" s="33"/>
      <c r="O24" s="33"/>
      <c r="P24" s="33">
        <f t="shared" si="3"/>
        <v>500000</v>
      </c>
      <c r="Q24" s="101"/>
    </row>
    <row r="25" spans="1:17" s="23" customFormat="1" ht="44.25" customHeight="1">
      <c r="A25" s="21"/>
      <c r="B25" s="24" t="s">
        <v>35</v>
      </c>
      <c r="C25" s="24" t="s">
        <v>142</v>
      </c>
      <c r="D25" s="25" t="s">
        <v>36</v>
      </c>
      <c r="E25" s="33">
        <f t="shared" si="1"/>
        <v>523780</v>
      </c>
      <c r="F25" s="33">
        <f>500000+16500+7280</f>
        <v>523780</v>
      </c>
      <c r="G25" s="33"/>
      <c r="H25" s="33"/>
      <c r="I25" s="34"/>
      <c r="J25" s="33">
        <f t="shared" si="2"/>
        <v>0</v>
      </c>
      <c r="K25" s="33"/>
      <c r="L25" s="33"/>
      <c r="M25" s="33"/>
      <c r="N25" s="33"/>
      <c r="O25" s="33"/>
      <c r="P25" s="33">
        <f t="shared" si="3"/>
        <v>523780</v>
      </c>
      <c r="Q25" s="101"/>
    </row>
    <row r="26" spans="1:17" s="23" customFormat="1" ht="45" customHeight="1">
      <c r="A26" s="21"/>
      <c r="B26" s="24" t="s">
        <v>37</v>
      </c>
      <c r="C26" s="24" t="s">
        <v>142</v>
      </c>
      <c r="D26" s="25" t="s">
        <v>38</v>
      </c>
      <c r="E26" s="33">
        <f t="shared" si="1"/>
        <v>5155691</v>
      </c>
      <c r="F26" s="33">
        <f>5633420-548729+30000+7000+34000</f>
        <v>5155691</v>
      </c>
      <c r="G26" s="33">
        <f>3602473-51151</f>
        <v>3551322</v>
      </c>
      <c r="H26" s="33">
        <v>410216</v>
      </c>
      <c r="I26" s="34"/>
      <c r="J26" s="33">
        <f t="shared" si="2"/>
        <v>210000</v>
      </c>
      <c r="K26" s="34"/>
      <c r="L26" s="34"/>
      <c r="M26" s="34"/>
      <c r="N26" s="33">
        <f>200000+10000</f>
        <v>210000</v>
      </c>
      <c r="O26" s="33">
        <f>200000+10000</f>
        <v>210000</v>
      </c>
      <c r="P26" s="33">
        <f t="shared" si="3"/>
        <v>5365691</v>
      </c>
      <c r="Q26" s="101"/>
    </row>
    <row r="27" spans="1:17" s="23" customFormat="1" ht="13.5" customHeight="1">
      <c r="A27" s="21"/>
      <c r="B27" s="24" t="s">
        <v>39</v>
      </c>
      <c r="C27" s="24" t="s">
        <v>142</v>
      </c>
      <c r="D27" s="25" t="s">
        <v>26</v>
      </c>
      <c r="E27" s="33">
        <f t="shared" si="1"/>
        <v>2367168</v>
      </c>
      <c r="F27" s="33">
        <f>2545380-198212+20000</f>
        <v>2367168</v>
      </c>
      <c r="G27" s="33"/>
      <c r="H27" s="33"/>
      <c r="I27" s="34"/>
      <c r="J27" s="33">
        <f t="shared" si="2"/>
        <v>0</v>
      </c>
      <c r="K27" s="34"/>
      <c r="L27" s="34"/>
      <c r="M27" s="34"/>
      <c r="N27" s="33"/>
      <c r="O27" s="33"/>
      <c r="P27" s="33">
        <f t="shared" si="3"/>
        <v>2367168</v>
      </c>
      <c r="Q27" s="101"/>
    </row>
    <row r="28" spans="1:17" s="23" customFormat="1" ht="30">
      <c r="A28" s="21"/>
      <c r="B28" s="24" t="s">
        <v>40</v>
      </c>
      <c r="C28" s="24" t="s">
        <v>142</v>
      </c>
      <c r="D28" s="25" t="s">
        <v>41</v>
      </c>
      <c r="E28" s="33">
        <f t="shared" si="1"/>
        <v>1718839</v>
      </c>
      <c r="F28" s="33">
        <f>1995340-308001+14500+17000</f>
        <v>1718839</v>
      </c>
      <c r="G28" s="33">
        <f>1058675-128369</f>
        <v>930306</v>
      </c>
      <c r="H28" s="33">
        <v>384290</v>
      </c>
      <c r="I28" s="34"/>
      <c r="J28" s="33">
        <f t="shared" si="2"/>
        <v>817714</v>
      </c>
      <c r="K28" s="33">
        <v>317714</v>
      </c>
      <c r="L28" s="33">
        <v>144491</v>
      </c>
      <c r="M28" s="33">
        <v>97628</v>
      </c>
      <c r="N28" s="33">
        <v>500000</v>
      </c>
      <c r="O28" s="33">
        <v>500000</v>
      </c>
      <c r="P28" s="33">
        <f t="shared" si="3"/>
        <v>2536553</v>
      </c>
      <c r="Q28" s="101"/>
    </row>
    <row r="29" spans="1:17" s="23" customFormat="1" ht="79.5" customHeight="1">
      <c r="A29" s="21"/>
      <c r="B29" s="24" t="s">
        <v>42</v>
      </c>
      <c r="C29" s="24" t="s">
        <v>142</v>
      </c>
      <c r="D29" s="25" t="s">
        <v>43</v>
      </c>
      <c r="E29" s="33">
        <f t="shared" si="1"/>
        <v>4159218</v>
      </c>
      <c r="F29" s="33">
        <f>4485660-399442+10000+25000+38000</f>
        <v>4159218</v>
      </c>
      <c r="G29" s="33"/>
      <c r="H29" s="33"/>
      <c r="I29" s="34"/>
      <c r="J29" s="33">
        <f t="shared" si="2"/>
        <v>12000</v>
      </c>
      <c r="K29" s="34"/>
      <c r="L29" s="34"/>
      <c r="M29" s="34"/>
      <c r="N29" s="33">
        <v>12000</v>
      </c>
      <c r="O29" s="33">
        <v>12000</v>
      </c>
      <c r="P29" s="33">
        <f t="shared" si="3"/>
        <v>4171218</v>
      </c>
      <c r="Q29" s="91"/>
    </row>
    <row r="30" spans="1:17" s="23" customFormat="1" ht="30">
      <c r="A30" s="21"/>
      <c r="B30" s="24" t="s">
        <v>193</v>
      </c>
      <c r="C30" s="24" t="s">
        <v>195</v>
      </c>
      <c r="D30" s="25" t="s">
        <v>194</v>
      </c>
      <c r="E30" s="33">
        <f t="shared" si="1"/>
        <v>99000</v>
      </c>
      <c r="F30" s="33">
        <v>99000</v>
      </c>
      <c r="G30" s="33"/>
      <c r="H30" s="33"/>
      <c r="I30" s="34"/>
      <c r="J30" s="33">
        <f t="shared" si="2"/>
        <v>0</v>
      </c>
      <c r="K30" s="34"/>
      <c r="L30" s="34"/>
      <c r="M30" s="34"/>
      <c r="N30" s="33"/>
      <c r="O30" s="33"/>
      <c r="P30" s="33">
        <f t="shared" si="3"/>
        <v>99000</v>
      </c>
      <c r="Q30" s="91"/>
    </row>
    <row r="31" spans="1:17" s="23" customFormat="1" ht="30">
      <c r="A31" s="21"/>
      <c r="B31" s="24" t="s">
        <v>197</v>
      </c>
      <c r="C31" s="24" t="s">
        <v>200</v>
      </c>
      <c r="D31" s="25" t="s">
        <v>199</v>
      </c>
      <c r="E31" s="33">
        <f>F31+I31</f>
        <v>1642000</v>
      </c>
      <c r="F31" s="33"/>
      <c r="G31" s="33"/>
      <c r="H31" s="33"/>
      <c r="I31" s="33">
        <v>1642000</v>
      </c>
      <c r="J31" s="33">
        <f t="shared" si="2"/>
        <v>0</v>
      </c>
      <c r="K31" s="34"/>
      <c r="L31" s="34"/>
      <c r="M31" s="34"/>
      <c r="N31" s="33"/>
      <c r="O31" s="33"/>
      <c r="P31" s="33">
        <f t="shared" si="3"/>
        <v>1642000</v>
      </c>
      <c r="Q31" s="91"/>
    </row>
    <row r="32" spans="1:17" s="23" customFormat="1" ht="30">
      <c r="A32" s="21"/>
      <c r="B32" s="24" t="s">
        <v>317</v>
      </c>
      <c r="C32" s="24" t="s">
        <v>200</v>
      </c>
      <c r="D32" s="25" t="s">
        <v>318</v>
      </c>
      <c r="E32" s="33">
        <f>F32+I32</f>
        <v>2447500</v>
      </c>
      <c r="F32" s="33"/>
      <c r="G32" s="33"/>
      <c r="H32" s="33"/>
      <c r="I32" s="33">
        <f>150000+200000+156400+1941100</f>
        <v>2447500</v>
      </c>
      <c r="J32" s="33">
        <f t="shared" si="2"/>
        <v>0</v>
      </c>
      <c r="K32" s="34"/>
      <c r="L32" s="34"/>
      <c r="M32" s="34"/>
      <c r="N32" s="33"/>
      <c r="O32" s="33"/>
      <c r="P32" s="33">
        <f t="shared" si="3"/>
        <v>2447500</v>
      </c>
      <c r="Q32" s="91"/>
    </row>
    <row r="33" spans="1:17" s="23" customFormat="1" ht="30">
      <c r="A33" s="21"/>
      <c r="B33" s="24" t="s">
        <v>198</v>
      </c>
      <c r="C33" s="24" t="s">
        <v>202</v>
      </c>
      <c r="D33" s="25" t="s">
        <v>201</v>
      </c>
      <c r="E33" s="33">
        <f t="shared" si="1"/>
        <v>3607600</v>
      </c>
      <c r="F33" s="33"/>
      <c r="G33" s="33"/>
      <c r="H33" s="33"/>
      <c r="I33" s="33">
        <v>3607600</v>
      </c>
      <c r="J33" s="33">
        <f t="shared" si="2"/>
        <v>0</v>
      </c>
      <c r="K33" s="34"/>
      <c r="L33" s="34"/>
      <c r="M33" s="34"/>
      <c r="N33" s="33"/>
      <c r="O33" s="33"/>
      <c r="P33" s="33">
        <f t="shared" si="3"/>
        <v>3607600</v>
      </c>
      <c r="Q33" s="91"/>
    </row>
    <row r="34" spans="1:17" s="23" customFormat="1" ht="45">
      <c r="A34" s="21"/>
      <c r="B34" s="24" t="s">
        <v>107</v>
      </c>
      <c r="C34" s="24" t="s">
        <v>164</v>
      </c>
      <c r="D34" s="25" t="s">
        <v>108</v>
      </c>
      <c r="E34" s="33">
        <f t="shared" si="1"/>
        <v>32500</v>
      </c>
      <c r="F34" s="33">
        <v>32500</v>
      </c>
      <c r="G34" s="33"/>
      <c r="H34" s="33"/>
      <c r="I34" s="34"/>
      <c r="J34" s="33">
        <f t="shared" si="2"/>
        <v>0</v>
      </c>
      <c r="K34" s="34"/>
      <c r="L34" s="34"/>
      <c r="M34" s="34"/>
      <c r="N34" s="33"/>
      <c r="O34" s="33"/>
      <c r="P34" s="33">
        <f t="shared" si="3"/>
        <v>32500</v>
      </c>
      <c r="Q34" s="91"/>
    </row>
    <row r="35" spans="1:17" s="23" customFormat="1" ht="15">
      <c r="A35" s="21"/>
      <c r="B35" s="24" t="s">
        <v>44</v>
      </c>
      <c r="C35" s="24" t="s">
        <v>143</v>
      </c>
      <c r="D35" s="25" t="s">
        <v>45</v>
      </c>
      <c r="E35" s="33">
        <f t="shared" si="1"/>
        <v>10651740</v>
      </c>
      <c r="F35" s="33"/>
      <c r="G35" s="34"/>
      <c r="H35" s="34"/>
      <c r="I35" s="33">
        <f>2000000+2000000+98040+1600000+420000+1474800+3058900</f>
        <v>10651740</v>
      </c>
      <c r="J35" s="33">
        <f t="shared" si="2"/>
        <v>0</v>
      </c>
      <c r="K35" s="33"/>
      <c r="L35" s="33"/>
      <c r="M35" s="33"/>
      <c r="N35" s="33"/>
      <c r="O35" s="33"/>
      <c r="P35" s="33">
        <f t="shared" si="3"/>
        <v>10651740</v>
      </c>
      <c r="Q35" s="91"/>
    </row>
    <row r="36" spans="1:17" s="23" customFormat="1" ht="30">
      <c r="A36" s="21"/>
      <c r="B36" s="24" t="s">
        <v>46</v>
      </c>
      <c r="C36" s="24" t="s">
        <v>144</v>
      </c>
      <c r="D36" s="25" t="s">
        <v>47</v>
      </c>
      <c r="E36" s="33">
        <f t="shared" si="1"/>
        <v>85000</v>
      </c>
      <c r="F36" s="33">
        <v>85000</v>
      </c>
      <c r="G36" s="34"/>
      <c r="H36" s="34"/>
      <c r="I36" s="34"/>
      <c r="J36" s="33">
        <f t="shared" si="2"/>
        <v>0</v>
      </c>
      <c r="K36" s="34"/>
      <c r="L36" s="34"/>
      <c r="M36" s="34"/>
      <c r="N36" s="33"/>
      <c r="O36" s="33"/>
      <c r="P36" s="33">
        <f t="shared" si="3"/>
        <v>85000</v>
      </c>
      <c r="Q36" s="91"/>
    </row>
    <row r="37" spans="1:17" s="23" customFormat="1" ht="66.75" customHeight="1">
      <c r="A37" s="21"/>
      <c r="B37" s="24" t="s">
        <v>48</v>
      </c>
      <c r="C37" s="24" t="s">
        <v>145</v>
      </c>
      <c r="D37" s="25" t="s">
        <v>49</v>
      </c>
      <c r="E37" s="33">
        <f t="shared" si="1"/>
        <v>0</v>
      </c>
      <c r="F37" s="34"/>
      <c r="G37" s="34"/>
      <c r="H37" s="34"/>
      <c r="I37" s="34"/>
      <c r="J37" s="33">
        <f t="shared" si="2"/>
        <v>51400000</v>
      </c>
      <c r="K37" s="34"/>
      <c r="L37" s="34"/>
      <c r="M37" s="34"/>
      <c r="N37" s="33">
        <f>46000000+5400000</f>
        <v>51400000</v>
      </c>
      <c r="O37" s="33">
        <f>46000000+5400000</f>
        <v>51400000</v>
      </c>
      <c r="P37" s="33">
        <f t="shared" si="3"/>
        <v>51400000</v>
      </c>
      <c r="Q37" s="91"/>
    </row>
    <row r="38" spans="1:17" s="23" customFormat="1" ht="30">
      <c r="A38" s="21"/>
      <c r="B38" s="24" t="s">
        <v>50</v>
      </c>
      <c r="C38" s="24" t="s">
        <v>144</v>
      </c>
      <c r="D38" s="25" t="s">
        <v>51</v>
      </c>
      <c r="E38" s="33">
        <f t="shared" si="1"/>
        <v>837300</v>
      </c>
      <c r="F38" s="33">
        <f>737300+100000</f>
        <v>837300</v>
      </c>
      <c r="G38" s="34"/>
      <c r="H38" s="34"/>
      <c r="I38" s="34"/>
      <c r="J38" s="33">
        <f t="shared" si="2"/>
        <v>0</v>
      </c>
      <c r="K38" s="34"/>
      <c r="L38" s="34"/>
      <c r="M38" s="34"/>
      <c r="N38" s="34"/>
      <c r="O38" s="34"/>
      <c r="P38" s="33">
        <f t="shared" si="3"/>
        <v>837300</v>
      </c>
      <c r="Q38" s="91"/>
    </row>
    <row r="39" spans="1:17" s="23" customFormat="1" ht="45">
      <c r="A39" s="21"/>
      <c r="B39" s="24" t="s">
        <v>52</v>
      </c>
      <c r="C39" s="24" t="s">
        <v>146</v>
      </c>
      <c r="D39" s="25" t="s">
        <v>53</v>
      </c>
      <c r="E39" s="33">
        <f t="shared" si="1"/>
        <v>162726</v>
      </c>
      <c r="F39" s="33">
        <f>6600+156126</f>
        <v>162726</v>
      </c>
      <c r="G39" s="34"/>
      <c r="H39" s="33">
        <v>4300</v>
      </c>
      <c r="I39" s="34"/>
      <c r="J39" s="33">
        <f t="shared" si="2"/>
        <v>343874</v>
      </c>
      <c r="K39" s="33"/>
      <c r="L39" s="33"/>
      <c r="M39" s="33"/>
      <c r="N39" s="33">
        <v>343874</v>
      </c>
      <c r="O39" s="33">
        <v>343874</v>
      </c>
      <c r="P39" s="33">
        <f t="shared" si="3"/>
        <v>506600</v>
      </c>
      <c r="Q39" s="91"/>
    </row>
    <row r="40" spans="1:17" s="23" customFormat="1" ht="15">
      <c r="A40" s="21"/>
      <c r="B40" s="27" t="s">
        <v>54</v>
      </c>
      <c r="C40" s="27" t="s">
        <v>147</v>
      </c>
      <c r="D40" s="25" t="s">
        <v>55</v>
      </c>
      <c r="E40" s="33">
        <f t="shared" si="1"/>
        <v>897100</v>
      </c>
      <c r="F40" s="33">
        <f>1027600-160500+30000</f>
        <v>897100</v>
      </c>
      <c r="G40" s="33">
        <f>690800-52700</f>
        <v>638100</v>
      </c>
      <c r="H40" s="33">
        <v>46377</v>
      </c>
      <c r="I40" s="33"/>
      <c r="J40" s="33">
        <f t="shared" si="2"/>
        <v>4700</v>
      </c>
      <c r="K40" s="33">
        <v>4700</v>
      </c>
      <c r="L40" s="33"/>
      <c r="M40" s="33">
        <v>720</v>
      </c>
      <c r="N40" s="33"/>
      <c r="O40" s="33"/>
      <c r="P40" s="33">
        <f t="shared" si="3"/>
        <v>901800</v>
      </c>
      <c r="Q40" s="91"/>
    </row>
    <row r="41" spans="1:17" s="23" customFormat="1" ht="30">
      <c r="A41" s="21"/>
      <c r="B41" s="24" t="s">
        <v>309</v>
      </c>
      <c r="C41" s="24" t="s">
        <v>148</v>
      </c>
      <c r="D41" s="25" t="s">
        <v>310</v>
      </c>
      <c r="E41" s="33">
        <f>F41+I41</f>
        <v>0</v>
      </c>
      <c r="F41" s="33"/>
      <c r="G41" s="33"/>
      <c r="H41" s="33"/>
      <c r="I41" s="33"/>
      <c r="J41" s="33">
        <f>K41+N41</f>
        <v>30600</v>
      </c>
      <c r="K41" s="33">
        <v>30600</v>
      </c>
      <c r="L41" s="33"/>
      <c r="M41" s="33"/>
      <c r="N41" s="33"/>
      <c r="O41" s="33"/>
      <c r="P41" s="33">
        <f>E41+J41</f>
        <v>30600</v>
      </c>
      <c r="Q41" s="91"/>
    </row>
    <row r="42" spans="1:17" s="23" customFormat="1" ht="60">
      <c r="A42" s="21"/>
      <c r="B42" s="24" t="s">
        <v>56</v>
      </c>
      <c r="C42" s="24" t="s">
        <v>149</v>
      </c>
      <c r="D42" s="25" t="s">
        <v>57</v>
      </c>
      <c r="E42" s="33">
        <f t="shared" si="1"/>
        <v>0</v>
      </c>
      <c r="F42" s="33"/>
      <c r="G42" s="33"/>
      <c r="H42" s="33"/>
      <c r="I42" s="33"/>
      <c r="J42" s="33">
        <f t="shared" si="2"/>
        <v>120443.47</v>
      </c>
      <c r="K42" s="33">
        <f>119543+900.47</f>
        <v>120443.47</v>
      </c>
      <c r="L42" s="33"/>
      <c r="M42" s="33"/>
      <c r="N42" s="33"/>
      <c r="O42" s="33"/>
      <c r="P42" s="33">
        <f t="shared" si="3"/>
        <v>120443.47</v>
      </c>
      <c r="Q42" s="91"/>
    </row>
    <row r="43" spans="1:17" s="23" customFormat="1" ht="60">
      <c r="A43" s="21"/>
      <c r="B43" s="24" t="s">
        <v>319</v>
      </c>
      <c r="C43" s="24" t="s">
        <v>180</v>
      </c>
      <c r="D43" s="25" t="s">
        <v>320</v>
      </c>
      <c r="E43" s="33">
        <f t="shared" si="1"/>
        <v>320000</v>
      </c>
      <c r="F43" s="33">
        <f>100000+150000+30000+40000</f>
        <v>320000</v>
      </c>
      <c r="G43" s="33"/>
      <c r="H43" s="33"/>
      <c r="I43" s="33"/>
      <c r="J43" s="33">
        <f t="shared" si="2"/>
        <v>0</v>
      </c>
      <c r="K43" s="33"/>
      <c r="L43" s="33"/>
      <c r="M43" s="33"/>
      <c r="N43" s="33"/>
      <c r="O43" s="33"/>
      <c r="P43" s="33">
        <f t="shared" si="3"/>
        <v>320000</v>
      </c>
      <c r="Q43" s="91"/>
    </row>
    <row r="44" spans="1:17" s="23" customFormat="1" ht="15">
      <c r="A44" s="21"/>
      <c r="B44" s="24" t="s">
        <v>58</v>
      </c>
      <c r="C44" s="24" t="s">
        <v>149</v>
      </c>
      <c r="D44" s="25" t="s">
        <v>26</v>
      </c>
      <c r="E44" s="33">
        <f t="shared" si="1"/>
        <v>2193462</v>
      </c>
      <c r="F44" s="33">
        <f>952700+602640+80580+303921+268723-97102+67000+15000</f>
        <v>2193462</v>
      </c>
      <c r="G44" s="33"/>
      <c r="H44" s="33">
        <v>196820</v>
      </c>
      <c r="I44" s="34"/>
      <c r="J44" s="33">
        <f t="shared" si="2"/>
        <v>114000</v>
      </c>
      <c r="K44" s="34"/>
      <c r="L44" s="34"/>
      <c r="M44" s="34"/>
      <c r="N44" s="33">
        <f>89000+25000</f>
        <v>114000</v>
      </c>
      <c r="O44" s="33">
        <f>89000+25000</f>
        <v>114000</v>
      </c>
      <c r="P44" s="33">
        <f t="shared" si="3"/>
        <v>2307462</v>
      </c>
      <c r="Q44" s="91"/>
    </row>
    <row r="45" spans="1:17" s="23" customFormat="1" ht="28.5">
      <c r="A45" s="21"/>
      <c r="B45" s="28"/>
      <c r="C45" s="28"/>
      <c r="D45" s="29" t="s">
        <v>150</v>
      </c>
      <c r="E45" s="34">
        <f>E47+E48+E49+E51+E53+E55+E56+E57+E58+E59+E60+E61+E62+E63+E64+E65+E66</f>
        <v>431185042.29</v>
      </c>
      <c r="F45" s="34">
        <f aca="true" t="shared" si="4" ref="F45:P45">F47+F48+F49+F51+F53+F55+F56+F57+F58+F59+F60+F61+F62+F63+F64+F65+F66</f>
        <v>431185042.29</v>
      </c>
      <c r="G45" s="34">
        <f t="shared" si="4"/>
        <v>249425770</v>
      </c>
      <c r="H45" s="34">
        <f t="shared" si="4"/>
        <v>59900211</v>
      </c>
      <c r="I45" s="34">
        <f t="shared" si="4"/>
        <v>0</v>
      </c>
      <c r="J45" s="34">
        <f t="shared" si="4"/>
        <v>53802440.45</v>
      </c>
      <c r="K45" s="34">
        <f t="shared" si="4"/>
        <v>36441117</v>
      </c>
      <c r="L45" s="34">
        <f t="shared" si="4"/>
        <v>2470383</v>
      </c>
      <c r="M45" s="34">
        <f t="shared" si="4"/>
        <v>1518188</v>
      </c>
      <c r="N45" s="34">
        <f>N47+N48+N49+N51+N53+N55+N56+N57+N58+N59+N60+N61+N62+N63+N64+N65+N66</f>
        <v>17361323.45</v>
      </c>
      <c r="O45" s="34">
        <f t="shared" si="4"/>
        <v>16936323.45</v>
      </c>
      <c r="P45" s="34">
        <f t="shared" si="4"/>
        <v>484987482.74</v>
      </c>
      <c r="Q45" s="91"/>
    </row>
    <row r="46" spans="1:17" s="23" customFormat="1" ht="15">
      <c r="A46" s="21"/>
      <c r="B46" s="24"/>
      <c r="C46" s="24"/>
      <c r="D46" s="25" t="s">
        <v>210</v>
      </c>
      <c r="E46" s="33">
        <f>F46+I46</f>
        <v>193272245.09</v>
      </c>
      <c r="F46" s="33">
        <f>F50+F52+F54</f>
        <v>193272245.09</v>
      </c>
      <c r="G46" s="33">
        <f aca="true" t="shared" si="5" ref="G46:O46">G50+G52+G54</f>
        <v>132708061</v>
      </c>
      <c r="H46" s="33">
        <f t="shared" si="5"/>
        <v>28492381</v>
      </c>
      <c r="I46" s="33">
        <f t="shared" si="5"/>
        <v>0</v>
      </c>
      <c r="J46" s="33">
        <f>K46+N46</f>
        <v>0</v>
      </c>
      <c r="K46" s="33">
        <f t="shared" si="5"/>
        <v>0</v>
      </c>
      <c r="L46" s="33">
        <f t="shared" si="5"/>
        <v>0</v>
      </c>
      <c r="M46" s="33">
        <f t="shared" si="5"/>
        <v>0</v>
      </c>
      <c r="N46" s="33">
        <f t="shared" si="5"/>
        <v>0</v>
      </c>
      <c r="O46" s="33">
        <f t="shared" si="5"/>
        <v>0</v>
      </c>
      <c r="P46" s="33">
        <f>E46+J46</f>
        <v>193272245.09</v>
      </c>
      <c r="Q46" s="91"/>
    </row>
    <row r="47" spans="1:17" s="23" customFormat="1" ht="15">
      <c r="A47" s="21"/>
      <c r="B47" s="24" t="s">
        <v>11</v>
      </c>
      <c r="C47" s="24" t="s">
        <v>9</v>
      </c>
      <c r="D47" s="25" t="s">
        <v>16</v>
      </c>
      <c r="E47" s="33">
        <f aca="true" t="shared" si="6" ref="E47:E66">F47+I47</f>
        <v>1002201</v>
      </c>
      <c r="F47" s="33">
        <f>1009660-118390+63630+41301+6000</f>
        <v>1002201</v>
      </c>
      <c r="G47" s="33">
        <f>667920-18750+52156+33853</f>
        <v>735179</v>
      </c>
      <c r="H47" s="33">
        <v>24724</v>
      </c>
      <c r="I47" s="34"/>
      <c r="J47" s="33">
        <f>K47+N47</f>
        <v>188000</v>
      </c>
      <c r="K47" s="34"/>
      <c r="L47" s="34"/>
      <c r="M47" s="34"/>
      <c r="N47" s="33">
        <f>20000+150000+24000-6000</f>
        <v>188000</v>
      </c>
      <c r="O47" s="33">
        <f>20000+150000+24000-6000</f>
        <v>188000</v>
      </c>
      <c r="P47" s="33">
        <f aca="true" t="shared" si="7" ref="P47:P66">E47+J47</f>
        <v>1190201</v>
      </c>
      <c r="Q47" s="91"/>
    </row>
    <row r="48" spans="1:17" s="23" customFormat="1" ht="15">
      <c r="A48" s="21"/>
      <c r="B48" s="24" t="s">
        <v>59</v>
      </c>
      <c r="C48" s="24" t="s">
        <v>151</v>
      </c>
      <c r="D48" s="25" t="s">
        <v>60</v>
      </c>
      <c r="E48" s="33">
        <f t="shared" si="6"/>
        <v>112992970</v>
      </c>
      <c r="F48" s="33">
        <f>127615802+181800-17960782+85000+2791744+55100+20000+15000+65000+62570+11742+28164+14430+6200+1200</f>
        <v>112992970</v>
      </c>
      <c r="G48" s="33">
        <f>70161106-6341216</f>
        <v>63819890</v>
      </c>
      <c r="H48" s="33">
        <v>19789563</v>
      </c>
      <c r="I48" s="34"/>
      <c r="J48" s="33">
        <f aca="true" t="shared" si="8" ref="J48:J66">K48+N48</f>
        <v>15237978</v>
      </c>
      <c r="K48" s="33">
        <v>11284686</v>
      </c>
      <c r="L48" s="33"/>
      <c r="M48" s="33"/>
      <c r="N48" s="33">
        <f>2750000+850000+125000+35900+15000+42000+15000+49430-11742+103334-14430-6200</f>
        <v>3953292</v>
      </c>
      <c r="O48" s="33">
        <f>2750000+850000+125000+35900+15000+42000+15000+49430-11742+103334-14430-6200</f>
        <v>3953292</v>
      </c>
      <c r="P48" s="33">
        <f t="shared" si="7"/>
        <v>128230948</v>
      </c>
      <c r="Q48" s="91"/>
    </row>
    <row r="49" spans="1:17" s="23" customFormat="1" ht="60">
      <c r="A49" s="21"/>
      <c r="B49" s="24" t="s">
        <v>61</v>
      </c>
      <c r="C49" s="24" t="s">
        <v>152</v>
      </c>
      <c r="D49" s="25" t="s">
        <v>62</v>
      </c>
      <c r="E49" s="33">
        <f t="shared" si="6"/>
        <v>232906550.54000002</v>
      </c>
      <c r="F49" s="33">
        <f>241356212+318200+8795512-31986943+4220760+3940000+192036+4086044+727101.34+332450+191339+164032.8+19908+54675+11719+54600+224238+98087+11250+95329.4</f>
        <v>232906550.54000002</v>
      </c>
      <c r="G49" s="33">
        <f>142701242+16080119-18252562</f>
        <v>140528799</v>
      </c>
      <c r="H49" s="33">
        <f>31014749+1000000-1000000</f>
        <v>31014749</v>
      </c>
      <c r="I49" s="34"/>
      <c r="J49" s="33">
        <f t="shared" si="8"/>
        <v>30354619.45</v>
      </c>
      <c r="K49" s="33">
        <v>18497171</v>
      </c>
      <c r="L49" s="33">
        <v>740455</v>
      </c>
      <c r="M49" s="33">
        <v>47940</v>
      </c>
      <c r="N49" s="33">
        <f>6090000+2150000+190000+134464+500000+184300+1498110+78400+185661-15000+148820+88075-11719+331212-54600+98780-98087+359032.45</f>
        <v>11857448.45</v>
      </c>
      <c r="O49" s="33">
        <f>6090000+2150000+190000+134464+500000+184300+1498110+78400+185661-15000+148820+88075-11719+331212-54600+98780-98087+359032.45</f>
        <v>11857448.45</v>
      </c>
      <c r="P49" s="33">
        <f t="shared" si="7"/>
        <v>263261169.99</v>
      </c>
      <c r="Q49" s="91"/>
    </row>
    <row r="50" spans="1:17" s="23" customFormat="1" ht="15">
      <c r="A50" s="21"/>
      <c r="B50" s="24"/>
      <c r="C50" s="24"/>
      <c r="D50" s="25" t="s">
        <v>210</v>
      </c>
      <c r="E50" s="33">
        <f t="shared" si="6"/>
        <v>188621912.34</v>
      </c>
      <c r="F50" s="33">
        <f>179099299+8795512+727101.34</f>
        <v>188621912.34</v>
      </c>
      <c r="G50" s="33">
        <f>113504164+16080119</f>
        <v>129584283</v>
      </c>
      <c r="H50" s="33">
        <f>19360798+1000000+7664491</f>
        <v>28025289</v>
      </c>
      <c r="I50" s="34"/>
      <c r="J50" s="33">
        <f t="shared" si="8"/>
        <v>0</v>
      </c>
      <c r="K50" s="33"/>
      <c r="L50" s="33"/>
      <c r="M50" s="33"/>
      <c r="N50" s="33"/>
      <c r="O50" s="33"/>
      <c r="P50" s="33">
        <f t="shared" si="7"/>
        <v>188621912.34</v>
      </c>
      <c r="Q50" s="91"/>
    </row>
    <row r="51" spans="1:17" s="23" customFormat="1" ht="15">
      <c r="A51" s="21"/>
      <c r="B51" s="24" t="s">
        <v>63</v>
      </c>
      <c r="C51" s="24" t="s">
        <v>152</v>
      </c>
      <c r="D51" s="25" t="s">
        <v>64</v>
      </c>
      <c r="E51" s="33">
        <f t="shared" si="6"/>
        <v>357724</v>
      </c>
      <c r="F51" s="33">
        <f>372150+25184-39610</f>
        <v>357724</v>
      </c>
      <c r="G51" s="33">
        <f>277448+45301-29836</f>
        <v>292913</v>
      </c>
      <c r="H51" s="33"/>
      <c r="I51" s="34"/>
      <c r="J51" s="33">
        <f t="shared" si="8"/>
        <v>0</v>
      </c>
      <c r="K51" s="33"/>
      <c r="L51" s="33"/>
      <c r="M51" s="33"/>
      <c r="N51" s="33"/>
      <c r="O51" s="33"/>
      <c r="P51" s="33">
        <f t="shared" si="7"/>
        <v>357724</v>
      </c>
      <c r="Q51" s="91"/>
    </row>
    <row r="52" spans="1:17" s="23" customFormat="1" ht="15">
      <c r="A52" s="21"/>
      <c r="B52" s="24"/>
      <c r="C52" s="24"/>
      <c r="D52" s="25" t="s">
        <v>210</v>
      </c>
      <c r="E52" s="33">
        <f t="shared" si="6"/>
        <v>357354</v>
      </c>
      <c r="F52" s="33">
        <f>332170+25184</f>
        <v>357354</v>
      </c>
      <c r="G52" s="33">
        <f>247612+45301</f>
        <v>292913</v>
      </c>
      <c r="H52" s="33"/>
      <c r="I52" s="34"/>
      <c r="J52" s="33">
        <f t="shared" si="8"/>
        <v>0</v>
      </c>
      <c r="K52" s="33"/>
      <c r="L52" s="33"/>
      <c r="M52" s="33"/>
      <c r="N52" s="33"/>
      <c r="O52" s="33"/>
      <c r="P52" s="33">
        <f t="shared" si="7"/>
        <v>357354</v>
      </c>
      <c r="Q52" s="91"/>
    </row>
    <row r="53" spans="1:17" s="23" customFormat="1" ht="60">
      <c r="A53" s="21"/>
      <c r="B53" s="24" t="s">
        <v>65</v>
      </c>
      <c r="C53" s="24" t="s">
        <v>153</v>
      </c>
      <c r="D53" s="25" t="s">
        <v>66</v>
      </c>
      <c r="E53" s="33">
        <f t="shared" si="6"/>
        <v>4551243.75</v>
      </c>
      <c r="F53" s="33">
        <f>4650387+37304-453788+49980+60000+30000+97943.75+23000+15000+26417+15000</f>
        <v>4551243.75</v>
      </c>
      <c r="G53" s="33">
        <f>2854137+321793-345065</f>
        <v>2830865</v>
      </c>
      <c r="H53" s="33">
        <v>517072</v>
      </c>
      <c r="I53" s="34"/>
      <c r="J53" s="33">
        <f t="shared" si="8"/>
        <v>123583</v>
      </c>
      <c r="K53" s="33"/>
      <c r="L53" s="33"/>
      <c r="M53" s="33"/>
      <c r="N53" s="33">
        <f>150000-26417</f>
        <v>123583</v>
      </c>
      <c r="O53" s="33">
        <f>150000-26417</f>
        <v>123583</v>
      </c>
      <c r="P53" s="33">
        <f t="shared" si="7"/>
        <v>4674826.75</v>
      </c>
      <c r="Q53" s="91"/>
    </row>
    <row r="54" spans="1:17" s="23" customFormat="1" ht="15">
      <c r="A54" s="21"/>
      <c r="B54" s="24"/>
      <c r="C54" s="24"/>
      <c r="D54" s="25" t="s">
        <v>210</v>
      </c>
      <c r="E54" s="33">
        <f t="shared" si="6"/>
        <v>4292978.75</v>
      </c>
      <c r="F54" s="33">
        <f>4157731+37304+97943.75</f>
        <v>4292978.75</v>
      </c>
      <c r="G54" s="33">
        <f>2509072+321793</f>
        <v>2830865</v>
      </c>
      <c r="H54" s="33">
        <f>517072-49980</f>
        <v>467092</v>
      </c>
      <c r="I54" s="34"/>
      <c r="J54" s="33">
        <f t="shared" si="8"/>
        <v>0</v>
      </c>
      <c r="K54" s="33"/>
      <c r="L54" s="33"/>
      <c r="M54" s="33"/>
      <c r="N54" s="33"/>
      <c r="O54" s="33"/>
      <c r="P54" s="33">
        <f t="shared" si="7"/>
        <v>4292978.75</v>
      </c>
      <c r="Q54" s="91"/>
    </row>
    <row r="55" spans="1:17" s="23" customFormat="1" ht="30">
      <c r="A55" s="21"/>
      <c r="B55" s="24" t="s">
        <v>67</v>
      </c>
      <c r="C55" s="24" t="s">
        <v>154</v>
      </c>
      <c r="D55" s="25" t="s">
        <v>68</v>
      </c>
      <c r="E55" s="33">
        <f t="shared" si="6"/>
        <v>12507899</v>
      </c>
      <c r="F55" s="33">
        <f>14471495-2278502+222906+17000+75000</f>
        <v>12507899</v>
      </c>
      <c r="G55" s="33">
        <f>9257594-784442</f>
        <v>8473152</v>
      </c>
      <c r="H55" s="33">
        <v>1785662</v>
      </c>
      <c r="I55" s="34"/>
      <c r="J55" s="33">
        <f t="shared" si="8"/>
        <v>450000</v>
      </c>
      <c r="K55" s="33"/>
      <c r="L55" s="33"/>
      <c r="M55" s="33"/>
      <c r="N55" s="33">
        <f>525000-75000</f>
        <v>450000</v>
      </c>
      <c r="O55" s="33">
        <f>525000-75000</f>
        <v>450000</v>
      </c>
      <c r="P55" s="33">
        <f t="shared" si="7"/>
        <v>12957899</v>
      </c>
      <c r="Q55" s="91"/>
    </row>
    <row r="56" spans="1:17" s="23" customFormat="1" ht="15">
      <c r="A56" s="21"/>
      <c r="B56" s="24" t="s">
        <v>314</v>
      </c>
      <c r="C56" s="24" t="s">
        <v>316</v>
      </c>
      <c r="D56" s="25" t="s">
        <v>315</v>
      </c>
      <c r="E56" s="33">
        <f t="shared" si="6"/>
        <v>55886018</v>
      </c>
      <c r="F56" s="33">
        <v>55886018</v>
      </c>
      <c r="G56" s="33">
        <v>26608329</v>
      </c>
      <c r="H56" s="33">
        <v>6083140</v>
      </c>
      <c r="I56" s="34"/>
      <c r="J56" s="33">
        <f t="shared" si="8"/>
        <v>6764260</v>
      </c>
      <c r="K56" s="33">
        <v>6459260</v>
      </c>
      <c r="L56" s="33">
        <v>1729928</v>
      </c>
      <c r="M56" s="33">
        <v>1470248</v>
      </c>
      <c r="N56" s="33">
        <v>305000</v>
      </c>
      <c r="O56" s="33"/>
      <c r="P56" s="33">
        <f t="shared" si="7"/>
        <v>62650278</v>
      </c>
      <c r="Q56" s="91"/>
    </row>
    <row r="57" spans="1:17" s="23" customFormat="1" ht="30">
      <c r="A57" s="21"/>
      <c r="B57" s="24" t="s">
        <v>69</v>
      </c>
      <c r="C57" s="24" t="s">
        <v>155</v>
      </c>
      <c r="D57" s="25" t="s">
        <v>70</v>
      </c>
      <c r="E57" s="33">
        <f t="shared" si="6"/>
        <v>1772574</v>
      </c>
      <c r="F57" s="33">
        <f>2094920-330296+4000+3950</f>
        <v>1772574</v>
      </c>
      <c r="G57" s="33">
        <f>1451158-100640</f>
        <v>1350518</v>
      </c>
      <c r="H57" s="33">
        <v>79885</v>
      </c>
      <c r="I57" s="34"/>
      <c r="J57" s="33">
        <f t="shared" si="8"/>
        <v>121000</v>
      </c>
      <c r="K57" s="33"/>
      <c r="L57" s="33"/>
      <c r="M57" s="33"/>
      <c r="N57" s="33">
        <f>110000+11000</f>
        <v>121000</v>
      </c>
      <c r="O57" s="33">
        <f>110000+11000</f>
        <v>121000</v>
      </c>
      <c r="P57" s="33">
        <f t="shared" si="7"/>
        <v>1893574</v>
      </c>
      <c r="Q57" s="91"/>
    </row>
    <row r="58" spans="1:17" s="23" customFormat="1" ht="30">
      <c r="A58" s="21"/>
      <c r="B58" s="24" t="s">
        <v>71</v>
      </c>
      <c r="C58" s="24" t="s">
        <v>155</v>
      </c>
      <c r="D58" s="25" t="s">
        <v>72</v>
      </c>
      <c r="E58" s="33">
        <f t="shared" si="6"/>
        <v>1645336</v>
      </c>
      <c r="F58" s="33">
        <f>1911767-371097+104666</f>
        <v>1645336</v>
      </c>
      <c r="G58" s="33">
        <f>1242033-158595+85792</f>
        <v>1169230</v>
      </c>
      <c r="H58" s="33">
        <v>82225</v>
      </c>
      <c r="I58" s="34"/>
      <c r="J58" s="33">
        <f t="shared" si="8"/>
        <v>93000</v>
      </c>
      <c r="K58" s="33"/>
      <c r="L58" s="33"/>
      <c r="M58" s="33"/>
      <c r="N58" s="33">
        <f>75000+18000</f>
        <v>93000</v>
      </c>
      <c r="O58" s="33">
        <f>75000+18000</f>
        <v>93000</v>
      </c>
      <c r="P58" s="33">
        <f t="shared" si="7"/>
        <v>1738336</v>
      </c>
      <c r="Q58" s="91"/>
    </row>
    <row r="59" spans="1:17" s="23" customFormat="1" ht="30">
      <c r="A59" s="21"/>
      <c r="B59" s="24" t="s">
        <v>73</v>
      </c>
      <c r="C59" s="24" t="s">
        <v>155</v>
      </c>
      <c r="D59" s="25" t="s">
        <v>74</v>
      </c>
      <c r="E59" s="33">
        <f t="shared" si="6"/>
        <v>162138</v>
      </c>
      <c r="F59" s="33">
        <f>206673-44535</f>
        <v>162138</v>
      </c>
      <c r="G59" s="33">
        <f>145804-19414</f>
        <v>126390</v>
      </c>
      <c r="H59" s="33">
        <v>5147</v>
      </c>
      <c r="I59" s="34"/>
      <c r="J59" s="33">
        <f t="shared" si="8"/>
        <v>0</v>
      </c>
      <c r="K59" s="33"/>
      <c r="L59" s="33"/>
      <c r="M59" s="33"/>
      <c r="N59" s="33"/>
      <c r="O59" s="33"/>
      <c r="P59" s="33">
        <f t="shared" si="7"/>
        <v>162138</v>
      </c>
      <c r="Q59" s="91"/>
    </row>
    <row r="60" spans="1:17" s="23" customFormat="1" ht="15">
      <c r="A60" s="21"/>
      <c r="B60" s="24" t="s">
        <v>75</v>
      </c>
      <c r="C60" s="24" t="s">
        <v>155</v>
      </c>
      <c r="D60" s="25" t="s">
        <v>76</v>
      </c>
      <c r="E60" s="33">
        <f t="shared" si="6"/>
        <v>2600414</v>
      </c>
      <c r="F60" s="33">
        <f>2955196-425073+45291+15000+10000</f>
        <v>2600414</v>
      </c>
      <c r="G60" s="33">
        <f>1837478-145690</f>
        <v>1691788</v>
      </c>
      <c r="H60" s="33">
        <v>335643</v>
      </c>
      <c r="I60" s="34"/>
      <c r="J60" s="33">
        <f t="shared" si="8"/>
        <v>150000</v>
      </c>
      <c r="K60" s="33"/>
      <c r="L60" s="33"/>
      <c r="M60" s="33"/>
      <c r="N60" s="33">
        <v>150000</v>
      </c>
      <c r="O60" s="33">
        <v>150000</v>
      </c>
      <c r="P60" s="33">
        <f t="shared" si="7"/>
        <v>2750414</v>
      </c>
      <c r="Q60" s="91"/>
    </row>
    <row r="61" spans="1:17" s="23" customFormat="1" ht="15">
      <c r="A61" s="21"/>
      <c r="B61" s="24" t="s">
        <v>77</v>
      </c>
      <c r="C61" s="24" t="s">
        <v>155</v>
      </c>
      <c r="D61" s="25" t="s">
        <v>78</v>
      </c>
      <c r="E61" s="33">
        <f t="shared" si="6"/>
        <v>53240</v>
      </c>
      <c r="F61" s="33">
        <f>73148-19908</f>
        <v>53240</v>
      </c>
      <c r="G61" s="33"/>
      <c r="H61" s="33"/>
      <c r="I61" s="34"/>
      <c r="J61" s="33">
        <f t="shared" si="8"/>
        <v>0</v>
      </c>
      <c r="K61" s="33"/>
      <c r="L61" s="33"/>
      <c r="M61" s="33"/>
      <c r="N61" s="33"/>
      <c r="O61" s="33"/>
      <c r="P61" s="33">
        <f t="shared" si="7"/>
        <v>53240</v>
      </c>
      <c r="Q61" s="91"/>
    </row>
    <row r="62" spans="1:17" s="23" customFormat="1" ht="45">
      <c r="A62" s="21"/>
      <c r="B62" s="24" t="s">
        <v>79</v>
      </c>
      <c r="C62" s="24" t="s">
        <v>155</v>
      </c>
      <c r="D62" s="25" t="s">
        <v>80</v>
      </c>
      <c r="E62" s="33">
        <f t="shared" si="6"/>
        <v>45250</v>
      </c>
      <c r="F62" s="33">
        <v>45250</v>
      </c>
      <c r="G62" s="33"/>
      <c r="H62" s="33"/>
      <c r="I62" s="34"/>
      <c r="J62" s="33">
        <f t="shared" si="8"/>
        <v>0</v>
      </c>
      <c r="K62" s="33"/>
      <c r="L62" s="33"/>
      <c r="M62" s="33"/>
      <c r="N62" s="33"/>
      <c r="O62" s="33"/>
      <c r="P62" s="33">
        <f t="shared" si="7"/>
        <v>45250</v>
      </c>
      <c r="Q62" s="91"/>
    </row>
    <row r="63" spans="1:17" s="23" customFormat="1" ht="75">
      <c r="A63" s="21"/>
      <c r="B63" s="24" t="s">
        <v>27</v>
      </c>
      <c r="C63" s="24" t="s">
        <v>139</v>
      </c>
      <c r="D63" s="26" t="s">
        <v>28</v>
      </c>
      <c r="E63" s="33">
        <f t="shared" si="6"/>
        <v>2109980</v>
      </c>
      <c r="F63" s="33">
        <f>2000000+109980</f>
        <v>2109980</v>
      </c>
      <c r="G63" s="33"/>
      <c r="H63" s="33"/>
      <c r="I63" s="34"/>
      <c r="J63" s="33">
        <f t="shared" si="8"/>
        <v>0</v>
      </c>
      <c r="K63" s="33"/>
      <c r="L63" s="33"/>
      <c r="M63" s="33"/>
      <c r="N63" s="33"/>
      <c r="O63" s="33"/>
      <c r="P63" s="33">
        <f t="shared" si="7"/>
        <v>2109980</v>
      </c>
      <c r="Q63" s="91"/>
    </row>
    <row r="64" spans="1:17" s="23" customFormat="1" ht="45">
      <c r="A64" s="21"/>
      <c r="B64" s="24" t="s">
        <v>37</v>
      </c>
      <c r="C64" s="24" t="s">
        <v>142</v>
      </c>
      <c r="D64" s="25" t="s">
        <v>38</v>
      </c>
      <c r="E64" s="33">
        <f t="shared" si="6"/>
        <v>2591504</v>
      </c>
      <c r="F64" s="33">
        <f>2940630-378096+28970</f>
        <v>2591504</v>
      </c>
      <c r="G64" s="33">
        <f>1887404-88687</f>
        <v>1798717</v>
      </c>
      <c r="H64" s="33">
        <v>182401</v>
      </c>
      <c r="I64" s="34"/>
      <c r="J64" s="33">
        <f t="shared" si="8"/>
        <v>0</v>
      </c>
      <c r="K64" s="34"/>
      <c r="L64" s="34"/>
      <c r="M64" s="34"/>
      <c r="N64" s="34"/>
      <c r="O64" s="34"/>
      <c r="P64" s="33">
        <f t="shared" si="7"/>
        <v>2591504</v>
      </c>
      <c r="Q64" s="91"/>
    </row>
    <row r="65" spans="1:17" s="23" customFormat="1" ht="30">
      <c r="A65" s="21"/>
      <c r="B65" s="24" t="s">
        <v>309</v>
      </c>
      <c r="C65" s="24" t="s">
        <v>148</v>
      </c>
      <c r="D65" s="25" t="s">
        <v>310</v>
      </c>
      <c r="E65" s="33">
        <f t="shared" si="6"/>
        <v>0</v>
      </c>
      <c r="F65" s="33"/>
      <c r="G65" s="33"/>
      <c r="H65" s="33"/>
      <c r="I65" s="34"/>
      <c r="J65" s="33">
        <f t="shared" si="8"/>
        <v>70000</v>
      </c>
      <c r="K65" s="33">
        <v>40000</v>
      </c>
      <c r="L65" s="33"/>
      <c r="M65" s="33"/>
      <c r="N65" s="33">
        <v>30000</v>
      </c>
      <c r="O65" s="34"/>
      <c r="P65" s="33">
        <f t="shared" si="7"/>
        <v>70000</v>
      </c>
      <c r="Q65" s="91"/>
    </row>
    <row r="66" spans="1:17" s="23" customFormat="1" ht="15">
      <c r="A66" s="21"/>
      <c r="B66" s="24" t="s">
        <v>311</v>
      </c>
      <c r="C66" s="24" t="s">
        <v>156</v>
      </c>
      <c r="D66" s="25" t="s">
        <v>81</v>
      </c>
      <c r="E66" s="33">
        <f t="shared" si="6"/>
        <v>0</v>
      </c>
      <c r="F66" s="33"/>
      <c r="G66" s="33"/>
      <c r="H66" s="33"/>
      <c r="I66" s="34"/>
      <c r="J66" s="33">
        <f t="shared" si="8"/>
        <v>250000</v>
      </c>
      <c r="K66" s="33">
        <v>160000</v>
      </c>
      <c r="L66" s="33"/>
      <c r="M66" s="33"/>
      <c r="N66" s="33">
        <v>90000</v>
      </c>
      <c r="O66" s="34"/>
      <c r="P66" s="33">
        <f t="shared" si="7"/>
        <v>250000</v>
      </c>
      <c r="Q66" s="91"/>
    </row>
    <row r="67" spans="1:17" s="23" customFormat="1" ht="28.5">
      <c r="A67" s="21"/>
      <c r="B67" s="28"/>
      <c r="C67" s="28"/>
      <c r="D67" s="29" t="s">
        <v>157</v>
      </c>
      <c r="E67" s="34">
        <f aca="true" t="shared" si="9" ref="E67:O67">E69+E70+E72+E74+E76+E78+E80+E82+E84</f>
        <v>224461194.43</v>
      </c>
      <c r="F67" s="34">
        <f t="shared" si="9"/>
        <v>224461194.43</v>
      </c>
      <c r="G67" s="34">
        <f t="shared" si="9"/>
        <v>126678264</v>
      </c>
      <c r="H67" s="34">
        <f t="shared" si="9"/>
        <v>19133584</v>
      </c>
      <c r="I67" s="34">
        <f t="shared" si="9"/>
        <v>0</v>
      </c>
      <c r="J67" s="34">
        <f t="shared" si="9"/>
        <v>35387778</v>
      </c>
      <c r="K67" s="34">
        <f t="shared" si="9"/>
        <v>11785214</v>
      </c>
      <c r="L67" s="34">
        <f t="shared" si="9"/>
        <v>6366242</v>
      </c>
      <c r="M67" s="34">
        <f t="shared" si="9"/>
        <v>500810</v>
      </c>
      <c r="N67" s="34">
        <f t="shared" si="9"/>
        <v>23602564</v>
      </c>
      <c r="O67" s="34">
        <f t="shared" si="9"/>
        <v>23602564</v>
      </c>
      <c r="P67" s="34">
        <f>P69+P70+P72+P74+P76+P78+P80+P82+P84</f>
        <v>259848972.43</v>
      </c>
      <c r="Q67" s="91"/>
    </row>
    <row r="68" spans="1:17" s="23" customFormat="1" ht="15">
      <c r="A68" s="21"/>
      <c r="B68" s="24"/>
      <c r="C68" s="24"/>
      <c r="D68" s="25" t="s">
        <v>210</v>
      </c>
      <c r="E68" s="33">
        <f>F68+I68</f>
        <v>205797569.43</v>
      </c>
      <c r="F68" s="33">
        <f>F71+F73+F75+F77+F79+F81+F83+F85</f>
        <v>205797569.43</v>
      </c>
      <c r="G68" s="33">
        <f>G71+G73+G75+G77+G79+G81+G83+G85</f>
        <v>126307359</v>
      </c>
      <c r="H68" s="33">
        <f>H71+H73+H75+H77+H79+H81+H83+H85</f>
        <v>19115405</v>
      </c>
      <c r="I68" s="33">
        <f>I71+I73+I75+I77+I79+I81+I83+I85</f>
        <v>0</v>
      </c>
      <c r="J68" s="33">
        <f>K68+N68</f>
        <v>0</v>
      </c>
      <c r="K68" s="33">
        <f>K71+K73+K75+K77+K79+K81+K83+K85</f>
        <v>0</v>
      </c>
      <c r="L68" s="33">
        <f>L71+L73+L75+L77+L79+L81+L83+L85</f>
        <v>0</v>
      </c>
      <c r="M68" s="33">
        <f>M71+M73+M75+M77+M79+M81+M83+M85</f>
        <v>0</v>
      </c>
      <c r="N68" s="33">
        <f>N71+N73+N75+N77+N79+N81+N83+N85</f>
        <v>0</v>
      </c>
      <c r="O68" s="33">
        <f>O71+O73+O75+O77+O79+O81+O83+O85</f>
        <v>0</v>
      </c>
      <c r="P68" s="33">
        <f>E68+J68</f>
        <v>205797569.43</v>
      </c>
      <c r="Q68" s="91"/>
    </row>
    <row r="69" spans="1:17" s="23" customFormat="1" ht="15">
      <c r="A69" s="21"/>
      <c r="B69" s="24" t="s">
        <v>11</v>
      </c>
      <c r="C69" s="24" t="s">
        <v>9</v>
      </c>
      <c r="D69" s="25" t="s">
        <v>16</v>
      </c>
      <c r="E69" s="33">
        <f aca="true" t="shared" si="10" ref="E69:E85">F69+I69</f>
        <v>527067</v>
      </c>
      <c r="F69" s="33">
        <f>501690-36350+9175+52552</f>
        <v>527067</v>
      </c>
      <c r="G69" s="33">
        <f>324260+3570+43075</f>
        <v>370905</v>
      </c>
      <c r="H69" s="33">
        <v>18179</v>
      </c>
      <c r="I69" s="34"/>
      <c r="J69" s="33">
        <f aca="true" t="shared" si="11" ref="J69:J85">K69+N69</f>
        <v>447900</v>
      </c>
      <c r="K69" s="34"/>
      <c r="L69" s="34"/>
      <c r="M69" s="34"/>
      <c r="N69" s="33">
        <f>320200+13000+114700</f>
        <v>447900</v>
      </c>
      <c r="O69" s="33">
        <f>320200+13000+114700</f>
        <v>447900</v>
      </c>
      <c r="P69" s="33">
        <f aca="true" t="shared" si="12" ref="P69:P85">E69+J69</f>
        <v>974967</v>
      </c>
      <c r="Q69" s="91"/>
    </row>
    <row r="70" spans="1:17" s="23" customFormat="1" ht="15">
      <c r="A70" s="21"/>
      <c r="B70" s="24" t="s">
        <v>82</v>
      </c>
      <c r="C70" s="24" t="s">
        <v>158</v>
      </c>
      <c r="D70" s="25" t="s">
        <v>83</v>
      </c>
      <c r="E70" s="33">
        <f t="shared" si="10"/>
        <v>177372858.43</v>
      </c>
      <c r="F70" s="33">
        <f>185364829+8898601-3182667-22578004-57471+416936+263064.43+10000+150000+30000+57500+20000+7536470+25000+152300+186300+60000+20000</f>
        <v>177372858.43</v>
      </c>
      <c r="G70" s="33">
        <f>111910141+7414009-15923234</f>
        <v>103400916</v>
      </c>
      <c r="H70" s="33">
        <v>15447851</v>
      </c>
      <c r="I70" s="34"/>
      <c r="J70" s="33">
        <f t="shared" si="11"/>
        <v>24625782</v>
      </c>
      <c r="K70" s="33">
        <v>7844182</v>
      </c>
      <c r="L70" s="33">
        <v>4083407</v>
      </c>
      <c r="M70" s="33">
        <v>177480</v>
      </c>
      <c r="N70" s="33">
        <f>11900000+100000+4331400+40000+30000+30000+20500+279700+50000</f>
        <v>16781600</v>
      </c>
      <c r="O70" s="33">
        <f>11900000+100000+4331400+40000+30000+30000+20500+279700+50000</f>
        <v>16781600</v>
      </c>
      <c r="P70" s="33">
        <f t="shared" si="12"/>
        <v>201998640.43</v>
      </c>
      <c r="Q70" s="91"/>
    </row>
    <row r="71" spans="1:17" s="23" customFormat="1" ht="15">
      <c r="A71" s="21"/>
      <c r="B71" s="24"/>
      <c r="C71" s="24"/>
      <c r="D71" s="25" t="s">
        <v>210</v>
      </c>
      <c r="E71" s="33">
        <f t="shared" si="10"/>
        <v>162855627.43</v>
      </c>
      <c r="F71" s="33">
        <f>148777515-3182667+263064.43+7536470+8841130+620115</f>
        <v>162855627.43</v>
      </c>
      <c r="G71" s="33">
        <f>95557155+7414009+429752</f>
        <v>103400916</v>
      </c>
      <c r="H71" s="33">
        <f>15388080+59771</f>
        <v>15447851</v>
      </c>
      <c r="I71" s="34"/>
      <c r="J71" s="33">
        <f t="shared" si="11"/>
        <v>0</v>
      </c>
      <c r="K71" s="33"/>
      <c r="L71" s="33"/>
      <c r="M71" s="33"/>
      <c r="N71" s="33"/>
      <c r="O71" s="33"/>
      <c r="P71" s="33">
        <f t="shared" si="12"/>
        <v>162855627.43</v>
      </c>
      <c r="Q71" s="91"/>
    </row>
    <row r="72" spans="1:17" s="23" customFormat="1" ht="15" customHeight="1">
      <c r="A72" s="21"/>
      <c r="B72" s="30" t="s">
        <v>84</v>
      </c>
      <c r="C72" s="30" t="s">
        <v>159</v>
      </c>
      <c r="D72" s="31" t="s">
        <v>85</v>
      </c>
      <c r="E72" s="33">
        <f t="shared" si="10"/>
        <v>18320764</v>
      </c>
      <c r="F72" s="33">
        <f>21492078-514223-2712091+15000+4400+25000+10600</f>
        <v>18320764</v>
      </c>
      <c r="G72" s="33">
        <f>12880040+855030-1989840</f>
        <v>11745230</v>
      </c>
      <c r="H72" s="33">
        <v>2655803</v>
      </c>
      <c r="I72" s="34"/>
      <c r="J72" s="33">
        <f t="shared" si="11"/>
        <v>2919304</v>
      </c>
      <c r="K72" s="33">
        <v>25240</v>
      </c>
      <c r="L72" s="33">
        <v>9460</v>
      </c>
      <c r="M72" s="33">
        <v>4150</v>
      </c>
      <c r="N72" s="33">
        <f>1500000+500000+879064+15000</f>
        <v>2894064</v>
      </c>
      <c r="O72" s="33">
        <f>1500000+500000+879064+15000</f>
        <v>2894064</v>
      </c>
      <c r="P72" s="33">
        <f t="shared" si="12"/>
        <v>21240068</v>
      </c>
      <c r="Q72" s="91"/>
    </row>
    <row r="73" spans="1:17" s="23" customFormat="1" ht="15" customHeight="1">
      <c r="A73" s="21"/>
      <c r="B73" s="30"/>
      <c r="C73" s="30"/>
      <c r="D73" s="25" t="s">
        <v>210</v>
      </c>
      <c r="E73" s="33">
        <f t="shared" si="10"/>
        <v>17257714</v>
      </c>
      <c r="F73" s="33">
        <f>17756937-514223+15000</f>
        <v>17257714</v>
      </c>
      <c r="G73" s="33">
        <f>10890200+855030</f>
        <v>11745230</v>
      </c>
      <c r="H73" s="33">
        <v>2655803</v>
      </c>
      <c r="I73" s="34"/>
      <c r="J73" s="33">
        <f t="shared" si="11"/>
        <v>0</v>
      </c>
      <c r="K73" s="33"/>
      <c r="L73" s="33"/>
      <c r="M73" s="33"/>
      <c r="N73" s="33"/>
      <c r="O73" s="33"/>
      <c r="P73" s="33">
        <f t="shared" si="12"/>
        <v>17257714</v>
      </c>
      <c r="Q73" s="91"/>
    </row>
    <row r="74" spans="1:17" s="23" customFormat="1" ht="60">
      <c r="A74" s="21"/>
      <c r="B74" s="24" t="s">
        <v>187</v>
      </c>
      <c r="C74" s="24" t="s">
        <v>188</v>
      </c>
      <c r="D74" s="25" t="s">
        <v>189</v>
      </c>
      <c r="E74" s="33">
        <f t="shared" si="10"/>
        <v>1631938</v>
      </c>
      <c r="F74" s="33">
        <f>2196578-72487-512653+1000+19500</f>
        <v>1631938</v>
      </c>
      <c r="G74" s="33">
        <f>1538529+67981-378621</f>
        <v>1227889</v>
      </c>
      <c r="H74" s="33">
        <v>76813</v>
      </c>
      <c r="I74" s="34"/>
      <c r="J74" s="33">
        <f t="shared" si="11"/>
        <v>407000</v>
      </c>
      <c r="K74" s="33">
        <v>407000</v>
      </c>
      <c r="L74" s="33">
        <v>98000</v>
      </c>
      <c r="M74" s="33">
        <v>132800</v>
      </c>
      <c r="N74" s="33"/>
      <c r="O74" s="33"/>
      <c r="P74" s="33">
        <f t="shared" si="12"/>
        <v>2038938</v>
      </c>
      <c r="Q74" s="91"/>
    </row>
    <row r="75" spans="1:17" s="23" customFormat="1" ht="15">
      <c r="A75" s="21"/>
      <c r="B75" s="24"/>
      <c r="C75" s="24"/>
      <c r="D75" s="25" t="s">
        <v>210</v>
      </c>
      <c r="E75" s="33">
        <f t="shared" si="10"/>
        <v>1581988</v>
      </c>
      <c r="F75" s="33">
        <f>1653475-72487+1000</f>
        <v>1581988</v>
      </c>
      <c r="G75" s="33">
        <f>1159908+67981</f>
        <v>1227889</v>
      </c>
      <c r="H75" s="33">
        <v>76813</v>
      </c>
      <c r="I75" s="34"/>
      <c r="J75" s="33">
        <f t="shared" si="11"/>
        <v>0</v>
      </c>
      <c r="K75" s="33"/>
      <c r="L75" s="33"/>
      <c r="M75" s="33"/>
      <c r="N75" s="33"/>
      <c r="O75" s="33"/>
      <c r="P75" s="33">
        <f t="shared" si="12"/>
        <v>1581988</v>
      </c>
      <c r="Q75" s="91"/>
    </row>
    <row r="76" spans="1:17" s="23" customFormat="1" ht="30">
      <c r="A76" s="21"/>
      <c r="B76" s="24" t="s">
        <v>86</v>
      </c>
      <c r="C76" s="24" t="s">
        <v>160</v>
      </c>
      <c r="D76" s="25" t="s">
        <v>87</v>
      </c>
      <c r="E76" s="33">
        <f t="shared" si="10"/>
        <v>4298380</v>
      </c>
      <c r="F76" s="33">
        <f>5135524-113812-743432+5000+10000+5100</f>
        <v>4298380</v>
      </c>
      <c r="G76" s="33">
        <f>3329538+233048-545438</f>
        <v>3017148</v>
      </c>
      <c r="H76" s="33">
        <v>339954</v>
      </c>
      <c r="I76" s="34"/>
      <c r="J76" s="33">
        <f t="shared" si="11"/>
        <v>4353292</v>
      </c>
      <c r="K76" s="33">
        <v>3353292</v>
      </c>
      <c r="L76" s="33">
        <v>2153375</v>
      </c>
      <c r="M76" s="33">
        <v>166719</v>
      </c>
      <c r="N76" s="33">
        <v>1000000</v>
      </c>
      <c r="O76" s="33">
        <v>1000000</v>
      </c>
      <c r="P76" s="33">
        <f t="shared" si="12"/>
        <v>8651672</v>
      </c>
      <c r="Q76" s="91"/>
    </row>
    <row r="77" spans="1:17" s="23" customFormat="1" ht="15">
      <c r="A77" s="21"/>
      <c r="B77" s="24"/>
      <c r="C77" s="24"/>
      <c r="D77" s="25" t="s">
        <v>210</v>
      </c>
      <c r="E77" s="33">
        <f t="shared" si="10"/>
        <v>4103275</v>
      </c>
      <c r="F77" s="33">
        <f>4212087-113812+5000</f>
        <v>4103275</v>
      </c>
      <c r="G77" s="33">
        <f>2784100+233048</f>
        <v>3017148</v>
      </c>
      <c r="H77" s="33">
        <v>339954</v>
      </c>
      <c r="I77" s="34"/>
      <c r="J77" s="33">
        <f t="shared" si="11"/>
        <v>0</v>
      </c>
      <c r="K77" s="33"/>
      <c r="L77" s="33"/>
      <c r="M77" s="33"/>
      <c r="N77" s="33"/>
      <c r="O77" s="33"/>
      <c r="P77" s="33">
        <f t="shared" si="12"/>
        <v>4103275</v>
      </c>
      <c r="Q77" s="91"/>
    </row>
    <row r="78" spans="1:17" s="23" customFormat="1" ht="30">
      <c r="A78" s="21"/>
      <c r="B78" s="24" t="s">
        <v>88</v>
      </c>
      <c r="C78" s="24" t="s">
        <v>161</v>
      </c>
      <c r="D78" s="31" t="s">
        <v>89</v>
      </c>
      <c r="E78" s="33">
        <f t="shared" si="10"/>
        <v>9327474</v>
      </c>
      <c r="F78" s="33">
        <f>10647211-240883-1135554+37700+19000</f>
        <v>9327474</v>
      </c>
      <c r="G78" s="33">
        <v>6060985</v>
      </c>
      <c r="H78" s="33">
        <v>564989</v>
      </c>
      <c r="I78" s="34"/>
      <c r="J78" s="33">
        <f t="shared" si="11"/>
        <v>2574500</v>
      </c>
      <c r="K78" s="33">
        <v>155500</v>
      </c>
      <c r="L78" s="33">
        <v>22000</v>
      </c>
      <c r="M78" s="33">
        <v>19661</v>
      </c>
      <c r="N78" s="33">
        <f>1700000+719000</f>
        <v>2419000</v>
      </c>
      <c r="O78" s="33">
        <f>1700000+719000</f>
        <v>2419000</v>
      </c>
      <c r="P78" s="33">
        <f t="shared" si="12"/>
        <v>11901974</v>
      </c>
      <c r="Q78" s="91"/>
    </row>
    <row r="79" spans="1:17" s="23" customFormat="1" ht="15">
      <c r="A79" s="21"/>
      <c r="B79" s="24"/>
      <c r="C79" s="24"/>
      <c r="D79" s="25" t="s">
        <v>210</v>
      </c>
      <c r="E79" s="33">
        <f t="shared" si="10"/>
        <v>8308340</v>
      </c>
      <c r="F79" s="33">
        <f>8511523-240883+37700</f>
        <v>8308340</v>
      </c>
      <c r="G79" s="33">
        <v>6060985</v>
      </c>
      <c r="H79" s="33">
        <v>564989</v>
      </c>
      <c r="I79" s="34"/>
      <c r="J79" s="33">
        <f t="shared" si="11"/>
        <v>0</v>
      </c>
      <c r="K79" s="33"/>
      <c r="L79" s="33"/>
      <c r="M79" s="33"/>
      <c r="N79" s="33"/>
      <c r="O79" s="33"/>
      <c r="P79" s="33">
        <f t="shared" si="12"/>
        <v>8308340</v>
      </c>
      <c r="Q79" s="91"/>
    </row>
    <row r="80" spans="1:17" s="23" customFormat="1" ht="15">
      <c r="A80" s="21"/>
      <c r="B80" s="24" t="s">
        <v>90</v>
      </c>
      <c r="C80" s="24" t="s">
        <v>162</v>
      </c>
      <c r="D80" s="25" t="s">
        <v>91</v>
      </c>
      <c r="E80" s="33">
        <f t="shared" si="10"/>
        <v>1979149</v>
      </c>
      <c r="F80" s="33">
        <f>1881157-9626-42382+150000</f>
        <v>1979149</v>
      </c>
      <c r="G80" s="33">
        <f>415979+34677-31279</f>
        <v>419377</v>
      </c>
      <c r="H80" s="33">
        <v>11415</v>
      </c>
      <c r="I80" s="34"/>
      <c r="J80" s="33">
        <f t="shared" si="11"/>
        <v>20000</v>
      </c>
      <c r="K80" s="34"/>
      <c r="L80" s="34"/>
      <c r="M80" s="34"/>
      <c r="N80" s="33">
        <v>20000</v>
      </c>
      <c r="O80" s="33">
        <v>20000</v>
      </c>
      <c r="P80" s="33">
        <f t="shared" si="12"/>
        <v>1999149</v>
      </c>
      <c r="Q80" s="91"/>
    </row>
    <row r="81" spans="1:17" s="23" customFormat="1" ht="15">
      <c r="A81" s="21"/>
      <c r="B81" s="24"/>
      <c r="C81" s="24"/>
      <c r="D81" s="25" t="s">
        <v>210</v>
      </c>
      <c r="E81" s="33">
        <f t="shared" si="10"/>
        <v>768065</v>
      </c>
      <c r="F81" s="33">
        <f>777691-9626</f>
        <v>768065</v>
      </c>
      <c r="G81" s="33">
        <f>384700+34677</f>
        <v>419377</v>
      </c>
      <c r="H81" s="33">
        <v>11415</v>
      </c>
      <c r="I81" s="34"/>
      <c r="J81" s="33">
        <f t="shared" si="11"/>
        <v>0</v>
      </c>
      <c r="K81" s="34"/>
      <c r="L81" s="34"/>
      <c r="M81" s="34"/>
      <c r="N81" s="34"/>
      <c r="O81" s="34"/>
      <c r="P81" s="33">
        <f t="shared" si="12"/>
        <v>768065</v>
      </c>
      <c r="Q81" s="91"/>
    </row>
    <row r="82" spans="1:17" s="23" customFormat="1" ht="66" customHeight="1">
      <c r="A82" s="21"/>
      <c r="B82" s="30" t="s">
        <v>92</v>
      </c>
      <c r="C82" s="30" t="s">
        <v>162</v>
      </c>
      <c r="D82" s="31" t="s">
        <v>93</v>
      </c>
      <c r="E82" s="33">
        <f t="shared" si="10"/>
        <v>656274</v>
      </c>
      <c r="F82" s="33">
        <f>701177-6802-44101+6000</f>
        <v>656274</v>
      </c>
      <c r="G82" s="33">
        <f>430788+37639-32613</f>
        <v>435814</v>
      </c>
      <c r="H82" s="33">
        <v>18580</v>
      </c>
      <c r="I82" s="34"/>
      <c r="J82" s="33">
        <f t="shared" si="11"/>
        <v>40000</v>
      </c>
      <c r="K82" s="34"/>
      <c r="L82" s="34"/>
      <c r="M82" s="34"/>
      <c r="N82" s="33">
        <v>40000</v>
      </c>
      <c r="O82" s="33">
        <v>40000</v>
      </c>
      <c r="P82" s="33">
        <f t="shared" si="12"/>
        <v>696274</v>
      </c>
      <c r="Q82" s="91"/>
    </row>
    <row r="83" spans="1:17" s="23" customFormat="1" ht="15">
      <c r="A83" s="21"/>
      <c r="B83" s="30"/>
      <c r="C83" s="30"/>
      <c r="D83" s="25" t="s">
        <v>210</v>
      </c>
      <c r="E83" s="33">
        <f t="shared" si="10"/>
        <v>575270</v>
      </c>
      <c r="F83" s="33">
        <f>582072-6802</f>
        <v>575270</v>
      </c>
      <c r="G83" s="33">
        <f>398175+37639</f>
        <v>435814</v>
      </c>
      <c r="H83" s="33">
        <v>18580</v>
      </c>
      <c r="I83" s="34"/>
      <c r="J83" s="33">
        <f t="shared" si="11"/>
        <v>0</v>
      </c>
      <c r="K83" s="34"/>
      <c r="L83" s="34"/>
      <c r="M83" s="34"/>
      <c r="N83" s="33"/>
      <c r="O83" s="33"/>
      <c r="P83" s="33">
        <f t="shared" si="12"/>
        <v>575270</v>
      </c>
      <c r="Q83" s="91"/>
    </row>
    <row r="84" spans="1:17" s="23" customFormat="1" ht="45">
      <c r="A84" s="21"/>
      <c r="B84" s="30" t="s">
        <v>253</v>
      </c>
      <c r="C84" s="30" t="s">
        <v>162</v>
      </c>
      <c r="D84" s="25" t="s">
        <v>254</v>
      </c>
      <c r="E84" s="33">
        <f t="shared" si="10"/>
        <v>10347290</v>
      </c>
      <c r="F84" s="33">
        <f>4846847+371153+5129290</f>
        <v>10347290</v>
      </c>
      <c r="G84" s="33"/>
      <c r="H84" s="33"/>
      <c r="I84" s="34"/>
      <c r="J84" s="33">
        <f t="shared" si="11"/>
        <v>0</v>
      </c>
      <c r="K84" s="34"/>
      <c r="L84" s="34"/>
      <c r="M84" s="34"/>
      <c r="N84" s="33"/>
      <c r="O84" s="33"/>
      <c r="P84" s="33">
        <f t="shared" si="12"/>
        <v>10347290</v>
      </c>
      <c r="Q84" s="91"/>
    </row>
    <row r="85" spans="1:17" s="23" customFormat="1" ht="15">
      <c r="A85" s="21"/>
      <c r="B85" s="30"/>
      <c r="C85" s="30"/>
      <c r="D85" s="25" t="s">
        <v>210</v>
      </c>
      <c r="E85" s="33">
        <f t="shared" si="10"/>
        <v>10347290</v>
      </c>
      <c r="F85" s="33">
        <f>5129290+5218000</f>
        <v>10347290</v>
      </c>
      <c r="G85" s="33"/>
      <c r="H85" s="33"/>
      <c r="I85" s="34"/>
      <c r="J85" s="33">
        <f t="shared" si="11"/>
        <v>0</v>
      </c>
      <c r="K85" s="34"/>
      <c r="L85" s="34"/>
      <c r="M85" s="34"/>
      <c r="N85" s="33"/>
      <c r="O85" s="33"/>
      <c r="P85" s="33">
        <f t="shared" si="12"/>
        <v>10347290</v>
      </c>
      <c r="Q85" s="91"/>
    </row>
    <row r="86" spans="1:18" s="23" customFormat="1" ht="28.5">
      <c r="A86" s="21"/>
      <c r="B86" s="28"/>
      <c r="C86" s="28"/>
      <c r="D86" s="29" t="s">
        <v>328</v>
      </c>
      <c r="E86" s="34">
        <f>E88+E89+E91+E93+E96+E100+E102+E105+E107+E109+E111+E113+E115+E117+E119+E121+E123+E125+E127+E129+E131+E133+E134+E136+E137+E138+E139+E140+E141+E142+E143+E144+E145+E147+E148+E150+E95+E104+E108+E149+E151</f>
        <v>725618026.07</v>
      </c>
      <c r="F86" s="34">
        <f aca="true" t="shared" si="13" ref="F86:P86">F88+F89+F91+F93+F96+F100+F102+F105+F107+F109+F111+F113+F115+F117+F119+F121+F123+F125+F127+F129+F131+F133+F134+F136+F137+F138+F139+F140+F141+F142+F143+F144+F145+F147+F148+F150+F95+F104+F108+F149+F151</f>
        <v>725618026.07</v>
      </c>
      <c r="G86" s="34">
        <f t="shared" si="13"/>
        <v>17117657.86</v>
      </c>
      <c r="H86" s="34">
        <f t="shared" si="13"/>
        <v>655383</v>
      </c>
      <c r="I86" s="34">
        <f t="shared" si="13"/>
        <v>0</v>
      </c>
      <c r="J86" s="34">
        <f t="shared" si="13"/>
        <v>911300</v>
      </c>
      <c r="K86" s="34">
        <f t="shared" si="13"/>
        <v>27800</v>
      </c>
      <c r="L86" s="34">
        <f t="shared" si="13"/>
        <v>18822</v>
      </c>
      <c r="M86" s="34">
        <f t="shared" si="13"/>
        <v>0</v>
      </c>
      <c r="N86" s="34">
        <f t="shared" si="13"/>
        <v>883500</v>
      </c>
      <c r="O86" s="34">
        <f t="shared" si="13"/>
        <v>883500</v>
      </c>
      <c r="P86" s="34">
        <f t="shared" si="13"/>
        <v>726529326.07</v>
      </c>
      <c r="Q86" s="91"/>
      <c r="R86" s="45"/>
    </row>
    <row r="87" spans="1:18" s="23" customFormat="1" ht="15">
      <c r="A87" s="21"/>
      <c r="B87" s="28"/>
      <c r="C87" s="28"/>
      <c r="D87" s="25" t="s">
        <v>210</v>
      </c>
      <c r="E87" s="33">
        <f>F87+I87</f>
        <v>674554730</v>
      </c>
      <c r="F87" s="33">
        <f>F90+F92+F94+F99+F101+F103+F106+F110+F112+F114+F116+F118+F120+F122+F124+F126+F128+F130+F132+F135+F146</f>
        <v>674554730</v>
      </c>
      <c r="G87" s="33">
        <f>G90+G92+G94+G99+G101+G103+G106+G110+G112+G114+G116+G118+G120+G122+G124+G126+G128+G130+G132+G135+G146</f>
        <v>0</v>
      </c>
      <c r="H87" s="33">
        <f>H90+H92+H94+H99+H101+H103+H106+H110+H112+H114+H116+H118+H120+H122+H124+H126+H128+H130+H132+H135+H146</f>
        <v>0</v>
      </c>
      <c r="I87" s="33">
        <f>I90+I92+I94+I99+I101+I103+I106+I110+I112+I114+I116+I118+I120+I122+I124+I126+I128+I130+I132+I135+I146</f>
        <v>0</v>
      </c>
      <c r="J87" s="33">
        <f>K87+N87</f>
        <v>0</v>
      </c>
      <c r="K87" s="33">
        <f aca="true" t="shared" si="14" ref="K87:P87">K90+K92+K94+K99+K101+K103+K106+K110+K112+K114+K116+K118+K120+K122+K124+K126+K128+K130+K132+K135+K146</f>
        <v>0</v>
      </c>
      <c r="L87" s="33">
        <f t="shared" si="14"/>
        <v>0</v>
      </c>
      <c r="M87" s="33">
        <f t="shared" si="14"/>
        <v>0</v>
      </c>
      <c r="N87" s="33">
        <f t="shared" si="14"/>
        <v>0</v>
      </c>
      <c r="O87" s="33">
        <f t="shared" si="14"/>
        <v>0</v>
      </c>
      <c r="P87" s="33">
        <f t="shared" si="14"/>
        <v>674554730</v>
      </c>
      <c r="Q87" s="91"/>
      <c r="R87" s="45"/>
    </row>
    <row r="88" spans="1:17" s="23" customFormat="1" ht="15">
      <c r="A88" s="21"/>
      <c r="B88" s="24" t="s">
        <v>11</v>
      </c>
      <c r="C88" s="24" t="s">
        <v>9</v>
      </c>
      <c r="D88" s="25" t="s">
        <v>94</v>
      </c>
      <c r="E88" s="33">
        <f aca="true" t="shared" si="15" ref="E88:E95">F88+I88</f>
        <v>15367904</v>
      </c>
      <c r="F88" s="33">
        <f>15846830-1812790+360005+30000+943859</f>
        <v>15367904</v>
      </c>
      <c r="G88" s="33">
        <f>10990800-210790+749065</f>
        <v>11529075</v>
      </c>
      <c r="H88" s="33">
        <v>369473</v>
      </c>
      <c r="I88" s="33"/>
      <c r="J88" s="33">
        <f>K88+N88</f>
        <v>200000</v>
      </c>
      <c r="K88" s="33"/>
      <c r="L88" s="33"/>
      <c r="M88" s="33"/>
      <c r="N88" s="33">
        <v>200000</v>
      </c>
      <c r="O88" s="33">
        <v>200000</v>
      </c>
      <c r="P88" s="33">
        <f>E88+J88</f>
        <v>15567904</v>
      </c>
      <c r="Q88" s="91"/>
    </row>
    <row r="89" spans="1:17" s="23" customFormat="1" ht="30">
      <c r="A89" s="21"/>
      <c r="B89" s="24" t="s">
        <v>304</v>
      </c>
      <c r="C89" s="24" t="s">
        <v>151</v>
      </c>
      <c r="D89" s="25" t="s">
        <v>305</v>
      </c>
      <c r="E89" s="33">
        <f t="shared" si="15"/>
        <v>1678900</v>
      </c>
      <c r="F89" s="33">
        <v>1678900</v>
      </c>
      <c r="G89" s="33"/>
      <c r="H89" s="33"/>
      <c r="I89" s="33"/>
      <c r="J89" s="33">
        <f aca="true" t="shared" si="16" ref="J89:J95">K89+N89</f>
        <v>0</v>
      </c>
      <c r="K89" s="33"/>
      <c r="L89" s="33"/>
      <c r="M89" s="33"/>
      <c r="N89" s="33"/>
      <c r="O89" s="33"/>
      <c r="P89" s="33">
        <f aca="true" t="shared" si="17" ref="P89:P95">E89+J89</f>
        <v>1678900</v>
      </c>
      <c r="Q89" s="91"/>
    </row>
    <row r="90" spans="1:17" s="23" customFormat="1" ht="15">
      <c r="A90" s="21"/>
      <c r="B90" s="24"/>
      <c r="C90" s="24"/>
      <c r="D90" s="25" t="s">
        <v>263</v>
      </c>
      <c r="E90" s="33">
        <f t="shared" si="15"/>
        <v>1678900</v>
      </c>
      <c r="F90" s="33">
        <v>1678900</v>
      </c>
      <c r="G90" s="33"/>
      <c r="H90" s="33"/>
      <c r="I90" s="33"/>
      <c r="J90" s="33">
        <f t="shared" si="16"/>
        <v>0</v>
      </c>
      <c r="K90" s="33"/>
      <c r="L90" s="33"/>
      <c r="M90" s="33"/>
      <c r="N90" s="33"/>
      <c r="O90" s="33"/>
      <c r="P90" s="33">
        <f t="shared" si="17"/>
        <v>1678900</v>
      </c>
      <c r="Q90" s="91"/>
    </row>
    <row r="91" spans="1:17" s="23" customFormat="1" ht="238.5" customHeight="1">
      <c r="A91" s="21"/>
      <c r="B91" s="24" t="s">
        <v>286</v>
      </c>
      <c r="C91" s="24" t="s">
        <v>163</v>
      </c>
      <c r="D91" s="25" t="s">
        <v>287</v>
      </c>
      <c r="E91" s="33">
        <f t="shared" si="15"/>
        <v>35619200</v>
      </c>
      <c r="F91" s="33">
        <v>35619200</v>
      </c>
      <c r="G91" s="33"/>
      <c r="H91" s="33"/>
      <c r="I91" s="33"/>
      <c r="J91" s="33">
        <f t="shared" si="16"/>
        <v>0</v>
      </c>
      <c r="K91" s="33"/>
      <c r="L91" s="33"/>
      <c r="M91" s="33"/>
      <c r="N91" s="33"/>
      <c r="O91" s="33"/>
      <c r="P91" s="33">
        <f t="shared" si="17"/>
        <v>35619200</v>
      </c>
      <c r="Q91" s="91"/>
    </row>
    <row r="92" spans="1:17" s="23" customFormat="1" ht="15">
      <c r="A92" s="21"/>
      <c r="B92" s="24"/>
      <c r="C92" s="24"/>
      <c r="D92" s="25" t="s">
        <v>263</v>
      </c>
      <c r="E92" s="33">
        <f t="shared" si="15"/>
        <v>35619200</v>
      </c>
      <c r="F92" s="33">
        <v>35619200</v>
      </c>
      <c r="G92" s="33"/>
      <c r="H92" s="33"/>
      <c r="I92" s="33"/>
      <c r="J92" s="33">
        <f t="shared" si="16"/>
        <v>0</v>
      </c>
      <c r="K92" s="33"/>
      <c r="L92" s="33"/>
      <c r="M92" s="33"/>
      <c r="N92" s="33"/>
      <c r="O92" s="33"/>
      <c r="P92" s="33">
        <f t="shared" si="17"/>
        <v>35619200</v>
      </c>
      <c r="Q92" s="91"/>
    </row>
    <row r="93" spans="1:17" s="23" customFormat="1" ht="190.5" customHeight="1">
      <c r="A93" s="21"/>
      <c r="B93" s="24" t="s">
        <v>288</v>
      </c>
      <c r="C93" s="24" t="s">
        <v>163</v>
      </c>
      <c r="D93" s="25" t="s">
        <v>289</v>
      </c>
      <c r="E93" s="33">
        <f t="shared" si="15"/>
        <v>22188.3</v>
      </c>
      <c r="F93" s="33">
        <f>16975+5213.3</f>
        <v>22188.3</v>
      </c>
      <c r="G93" s="33"/>
      <c r="H93" s="33"/>
      <c r="I93" s="33"/>
      <c r="J93" s="33">
        <f t="shared" si="16"/>
        <v>0</v>
      </c>
      <c r="K93" s="33"/>
      <c r="L93" s="33"/>
      <c r="M93" s="33"/>
      <c r="N93" s="33"/>
      <c r="O93" s="33"/>
      <c r="P93" s="33">
        <f t="shared" si="17"/>
        <v>22188.3</v>
      </c>
      <c r="Q93" s="91"/>
    </row>
    <row r="94" spans="1:17" s="23" customFormat="1" ht="15">
      <c r="A94" s="21"/>
      <c r="B94" s="24"/>
      <c r="C94" s="24"/>
      <c r="D94" s="25" t="s">
        <v>263</v>
      </c>
      <c r="E94" s="33">
        <f t="shared" si="15"/>
        <v>22188.3</v>
      </c>
      <c r="F94" s="33">
        <f>16975+5213.3</f>
        <v>22188.3</v>
      </c>
      <c r="G94" s="33"/>
      <c r="H94" s="33"/>
      <c r="I94" s="33"/>
      <c r="J94" s="33">
        <f t="shared" si="16"/>
        <v>0</v>
      </c>
      <c r="K94" s="33"/>
      <c r="L94" s="33"/>
      <c r="M94" s="33"/>
      <c r="N94" s="33"/>
      <c r="O94" s="33"/>
      <c r="P94" s="33">
        <f t="shared" si="17"/>
        <v>22188.3</v>
      </c>
      <c r="Q94" s="91"/>
    </row>
    <row r="95" spans="1:17" s="23" customFormat="1" ht="243.75" customHeight="1">
      <c r="A95" s="21"/>
      <c r="B95" s="68" t="s">
        <v>333</v>
      </c>
      <c r="C95" s="68" t="s">
        <v>163</v>
      </c>
      <c r="D95" s="82" t="s">
        <v>334</v>
      </c>
      <c r="E95" s="33">
        <f t="shared" si="15"/>
        <v>269119</v>
      </c>
      <c r="F95" s="74">
        <v>269119</v>
      </c>
      <c r="G95" s="74"/>
      <c r="H95" s="74"/>
      <c r="I95" s="74"/>
      <c r="J95" s="33">
        <f t="shared" si="16"/>
        <v>0</v>
      </c>
      <c r="K95" s="74"/>
      <c r="L95" s="74"/>
      <c r="M95" s="74"/>
      <c r="N95" s="74"/>
      <c r="O95" s="74"/>
      <c r="P95" s="33">
        <f t="shared" si="17"/>
        <v>269119</v>
      </c>
      <c r="Q95" s="91"/>
    </row>
    <row r="96" spans="1:17" s="23" customFormat="1" ht="255" customHeight="1">
      <c r="A96" s="21"/>
      <c r="B96" s="68" t="s">
        <v>290</v>
      </c>
      <c r="C96" s="68" t="s">
        <v>163</v>
      </c>
      <c r="D96" s="71" t="s">
        <v>291</v>
      </c>
      <c r="E96" s="74">
        <f>F96+I96</f>
        <v>5469100</v>
      </c>
      <c r="F96" s="74">
        <v>5469100</v>
      </c>
      <c r="G96" s="74"/>
      <c r="H96" s="74"/>
      <c r="I96" s="74"/>
      <c r="J96" s="74">
        <f>K96+N96</f>
        <v>0</v>
      </c>
      <c r="K96" s="74"/>
      <c r="L96" s="74"/>
      <c r="M96" s="74"/>
      <c r="N96" s="74"/>
      <c r="O96" s="74"/>
      <c r="P96" s="74">
        <f>E96+J96</f>
        <v>5469100</v>
      </c>
      <c r="Q96" s="91"/>
    </row>
    <row r="97" spans="1:17" s="23" customFormat="1" ht="153" customHeight="1">
      <c r="A97" s="21"/>
      <c r="B97" s="69"/>
      <c r="C97" s="69"/>
      <c r="D97" s="72" t="s">
        <v>292</v>
      </c>
      <c r="E97" s="76"/>
      <c r="F97" s="76"/>
      <c r="G97" s="76"/>
      <c r="H97" s="76"/>
      <c r="I97" s="76"/>
      <c r="J97" s="76"/>
      <c r="K97" s="76"/>
      <c r="L97" s="76"/>
      <c r="M97" s="76"/>
      <c r="N97" s="76"/>
      <c r="O97" s="76"/>
      <c r="P97" s="76"/>
      <c r="Q97" s="91"/>
    </row>
    <row r="98" spans="1:17" s="23" customFormat="1" ht="270" customHeight="1">
      <c r="A98" s="21"/>
      <c r="B98" s="70"/>
      <c r="C98" s="70"/>
      <c r="D98" s="73" t="s">
        <v>293</v>
      </c>
      <c r="E98" s="75"/>
      <c r="F98" s="75"/>
      <c r="G98" s="75"/>
      <c r="H98" s="75"/>
      <c r="I98" s="75"/>
      <c r="J98" s="75"/>
      <c r="K98" s="75"/>
      <c r="L98" s="75"/>
      <c r="M98" s="75"/>
      <c r="N98" s="75"/>
      <c r="O98" s="75"/>
      <c r="P98" s="75"/>
      <c r="Q98" s="91"/>
    </row>
    <row r="99" spans="1:17" s="23" customFormat="1" ht="15">
      <c r="A99" s="21"/>
      <c r="B99" s="24"/>
      <c r="C99" s="24"/>
      <c r="D99" s="25" t="s">
        <v>263</v>
      </c>
      <c r="E99" s="33">
        <f>F99+I99</f>
        <v>5469100</v>
      </c>
      <c r="F99" s="33">
        <v>5469100</v>
      </c>
      <c r="G99" s="33"/>
      <c r="H99" s="33"/>
      <c r="I99" s="33"/>
      <c r="J99" s="33">
        <f aca="true" t="shared" si="18" ref="J99:J151">K99+N99</f>
        <v>0</v>
      </c>
      <c r="K99" s="33"/>
      <c r="L99" s="33"/>
      <c r="M99" s="33"/>
      <c r="N99" s="33"/>
      <c r="O99" s="33"/>
      <c r="P99" s="33">
        <f>E99+J99</f>
        <v>5469100</v>
      </c>
      <c r="Q99" s="91"/>
    </row>
    <row r="100" spans="1:17" s="23" customFormat="1" ht="105">
      <c r="A100" s="21"/>
      <c r="B100" s="24" t="s">
        <v>294</v>
      </c>
      <c r="C100" s="24" t="s">
        <v>164</v>
      </c>
      <c r="D100" s="25" t="s">
        <v>295</v>
      </c>
      <c r="E100" s="33">
        <f>F100+I100</f>
        <v>4278400</v>
      </c>
      <c r="F100" s="33">
        <v>4278400</v>
      </c>
      <c r="G100" s="33"/>
      <c r="H100" s="33"/>
      <c r="I100" s="33"/>
      <c r="J100" s="33">
        <f t="shared" si="18"/>
        <v>0</v>
      </c>
      <c r="K100" s="33"/>
      <c r="L100" s="33"/>
      <c r="M100" s="33"/>
      <c r="N100" s="33"/>
      <c r="O100" s="33"/>
      <c r="P100" s="33">
        <f>E100+J100</f>
        <v>4278400</v>
      </c>
      <c r="Q100" s="91"/>
    </row>
    <row r="101" spans="1:17" s="23" customFormat="1" ht="15">
      <c r="A101" s="21"/>
      <c r="B101" s="24"/>
      <c r="C101" s="24"/>
      <c r="D101" s="25" t="s">
        <v>263</v>
      </c>
      <c r="E101" s="33">
        <f aca="true" t="shared" si="19" ref="E101:E150">F101+I101</f>
        <v>4278400</v>
      </c>
      <c r="F101" s="33">
        <v>4278400</v>
      </c>
      <c r="G101" s="33"/>
      <c r="H101" s="33"/>
      <c r="I101" s="33"/>
      <c r="J101" s="33">
        <f t="shared" si="18"/>
        <v>0</v>
      </c>
      <c r="K101" s="33"/>
      <c r="L101" s="33"/>
      <c r="M101" s="33"/>
      <c r="N101" s="33"/>
      <c r="O101" s="33"/>
      <c r="P101" s="33">
        <f aca="true" t="shared" si="20" ref="P101:P150">E101+J101</f>
        <v>4278400</v>
      </c>
      <c r="Q101" s="91"/>
    </row>
    <row r="102" spans="1:17" s="23" customFormat="1" ht="90.75" customHeight="1">
      <c r="A102" s="21"/>
      <c r="B102" s="24" t="s">
        <v>296</v>
      </c>
      <c r="C102" s="24" t="s">
        <v>164</v>
      </c>
      <c r="D102" s="25" t="s">
        <v>297</v>
      </c>
      <c r="E102" s="33">
        <f t="shared" si="19"/>
        <v>788</v>
      </c>
      <c r="F102" s="33">
        <v>788</v>
      </c>
      <c r="G102" s="33"/>
      <c r="H102" s="33"/>
      <c r="I102" s="33"/>
      <c r="J102" s="33">
        <f t="shared" si="18"/>
        <v>0</v>
      </c>
      <c r="K102" s="33"/>
      <c r="L102" s="33"/>
      <c r="M102" s="33"/>
      <c r="N102" s="33"/>
      <c r="O102" s="33"/>
      <c r="P102" s="33">
        <f t="shared" si="20"/>
        <v>788</v>
      </c>
      <c r="Q102" s="91"/>
    </row>
    <row r="103" spans="1:17" s="23" customFormat="1" ht="15">
      <c r="A103" s="21"/>
      <c r="B103" s="24"/>
      <c r="C103" s="24"/>
      <c r="D103" s="25" t="s">
        <v>263</v>
      </c>
      <c r="E103" s="33">
        <f t="shared" si="19"/>
        <v>788</v>
      </c>
      <c r="F103" s="33">
        <v>788</v>
      </c>
      <c r="G103" s="33"/>
      <c r="H103" s="33"/>
      <c r="I103" s="33"/>
      <c r="J103" s="33">
        <f t="shared" si="18"/>
        <v>0</v>
      </c>
      <c r="K103" s="33"/>
      <c r="L103" s="33"/>
      <c r="M103" s="33"/>
      <c r="N103" s="33"/>
      <c r="O103" s="33"/>
      <c r="P103" s="33">
        <f t="shared" si="20"/>
        <v>788</v>
      </c>
      <c r="Q103" s="91"/>
    </row>
    <row r="104" spans="1:17" s="23" customFormat="1" ht="90">
      <c r="A104" s="21"/>
      <c r="B104" s="24" t="s">
        <v>335</v>
      </c>
      <c r="C104" s="24" t="s">
        <v>164</v>
      </c>
      <c r="D104" s="25" t="s">
        <v>336</v>
      </c>
      <c r="E104" s="33">
        <f t="shared" si="19"/>
        <v>70400</v>
      </c>
      <c r="F104" s="33">
        <v>70400</v>
      </c>
      <c r="G104" s="33"/>
      <c r="H104" s="33"/>
      <c r="I104" s="33"/>
      <c r="J104" s="33">
        <f t="shared" si="18"/>
        <v>0</v>
      </c>
      <c r="K104" s="33"/>
      <c r="L104" s="33"/>
      <c r="M104" s="33"/>
      <c r="N104" s="33"/>
      <c r="O104" s="33"/>
      <c r="P104" s="33">
        <f t="shared" si="20"/>
        <v>70400</v>
      </c>
      <c r="Q104" s="91"/>
    </row>
    <row r="105" spans="1:17" s="23" customFormat="1" ht="191.25" customHeight="1">
      <c r="A105" s="21"/>
      <c r="B105" s="24" t="s">
        <v>298</v>
      </c>
      <c r="C105" s="24" t="s">
        <v>164</v>
      </c>
      <c r="D105" s="25" t="s">
        <v>299</v>
      </c>
      <c r="E105" s="33">
        <f t="shared" si="19"/>
        <v>110300</v>
      </c>
      <c r="F105" s="33">
        <v>110300</v>
      </c>
      <c r="G105" s="33"/>
      <c r="H105" s="33"/>
      <c r="I105" s="33"/>
      <c r="J105" s="33">
        <f t="shared" si="18"/>
        <v>0</v>
      </c>
      <c r="K105" s="33"/>
      <c r="L105" s="33"/>
      <c r="M105" s="33"/>
      <c r="N105" s="33"/>
      <c r="O105" s="33"/>
      <c r="P105" s="33">
        <f t="shared" si="20"/>
        <v>110300</v>
      </c>
      <c r="Q105" s="91"/>
    </row>
    <row r="106" spans="1:17" s="23" customFormat="1" ht="15">
      <c r="A106" s="21"/>
      <c r="B106" s="24"/>
      <c r="C106" s="24"/>
      <c r="D106" s="25" t="s">
        <v>263</v>
      </c>
      <c r="E106" s="33">
        <f t="shared" si="19"/>
        <v>110300</v>
      </c>
      <c r="F106" s="33">
        <v>110300</v>
      </c>
      <c r="G106" s="33"/>
      <c r="H106" s="33"/>
      <c r="I106" s="33"/>
      <c r="J106" s="33">
        <f t="shared" si="18"/>
        <v>0</v>
      </c>
      <c r="K106" s="33"/>
      <c r="L106" s="33"/>
      <c r="M106" s="33"/>
      <c r="N106" s="33"/>
      <c r="O106" s="33"/>
      <c r="P106" s="33">
        <f t="shared" si="20"/>
        <v>110300</v>
      </c>
      <c r="Q106" s="91"/>
    </row>
    <row r="107" spans="1:17" s="23" customFormat="1" ht="45">
      <c r="A107" s="21"/>
      <c r="B107" s="24" t="s">
        <v>205</v>
      </c>
      <c r="C107" s="24" t="s">
        <v>164</v>
      </c>
      <c r="D107" s="25" t="s">
        <v>206</v>
      </c>
      <c r="E107" s="33">
        <f t="shared" si="19"/>
        <v>882700</v>
      </c>
      <c r="F107" s="33">
        <f>250000+382700+240900+9100</f>
        <v>882700</v>
      </c>
      <c r="G107" s="33"/>
      <c r="H107" s="33"/>
      <c r="I107" s="33"/>
      <c r="J107" s="33">
        <f t="shared" si="18"/>
        <v>0</v>
      </c>
      <c r="K107" s="33"/>
      <c r="L107" s="33"/>
      <c r="M107" s="33"/>
      <c r="N107" s="33"/>
      <c r="O107" s="33"/>
      <c r="P107" s="33">
        <f t="shared" si="20"/>
        <v>882700</v>
      </c>
      <c r="Q107" s="91"/>
    </row>
    <row r="108" spans="1:17" s="23" customFormat="1" ht="30">
      <c r="A108" s="21"/>
      <c r="B108" s="24" t="s">
        <v>337</v>
      </c>
      <c r="C108" s="24" t="s">
        <v>164</v>
      </c>
      <c r="D108" s="25" t="s">
        <v>338</v>
      </c>
      <c r="E108" s="33">
        <f t="shared" si="19"/>
        <v>1394632</v>
      </c>
      <c r="F108" s="33">
        <v>1394632</v>
      </c>
      <c r="G108" s="33"/>
      <c r="H108" s="33"/>
      <c r="I108" s="33"/>
      <c r="J108" s="33">
        <f t="shared" si="18"/>
        <v>0</v>
      </c>
      <c r="K108" s="33"/>
      <c r="L108" s="33"/>
      <c r="M108" s="33"/>
      <c r="N108" s="33"/>
      <c r="O108" s="33"/>
      <c r="P108" s="33">
        <f t="shared" si="20"/>
        <v>1394632</v>
      </c>
      <c r="Q108" s="91"/>
    </row>
    <row r="109" spans="1:17" s="23" customFormat="1" ht="150">
      <c r="A109" s="21"/>
      <c r="B109" s="24" t="s">
        <v>300</v>
      </c>
      <c r="C109" s="24" t="s">
        <v>164</v>
      </c>
      <c r="D109" s="25" t="s">
        <v>301</v>
      </c>
      <c r="E109" s="33">
        <f t="shared" si="19"/>
        <v>2195200</v>
      </c>
      <c r="F109" s="33">
        <v>2195200</v>
      </c>
      <c r="G109" s="33"/>
      <c r="H109" s="33"/>
      <c r="I109" s="33"/>
      <c r="J109" s="33">
        <f t="shared" si="18"/>
        <v>0</v>
      </c>
      <c r="K109" s="33"/>
      <c r="L109" s="33"/>
      <c r="M109" s="33"/>
      <c r="N109" s="33"/>
      <c r="O109" s="33"/>
      <c r="P109" s="33">
        <f t="shared" si="20"/>
        <v>2195200</v>
      </c>
      <c r="Q109" s="91"/>
    </row>
    <row r="110" spans="1:17" s="23" customFormat="1" ht="15">
      <c r="A110" s="21"/>
      <c r="B110" s="24"/>
      <c r="C110" s="24"/>
      <c r="D110" s="25" t="s">
        <v>263</v>
      </c>
      <c r="E110" s="33">
        <f t="shared" si="19"/>
        <v>2195200</v>
      </c>
      <c r="F110" s="33">
        <v>2195200</v>
      </c>
      <c r="G110" s="33"/>
      <c r="H110" s="33"/>
      <c r="I110" s="33"/>
      <c r="J110" s="33">
        <f t="shared" si="18"/>
        <v>0</v>
      </c>
      <c r="K110" s="33"/>
      <c r="L110" s="33"/>
      <c r="M110" s="33"/>
      <c r="N110" s="33"/>
      <c r="O110" s="33"/>
      <c r="P110" s="33">
        <f t="shared" si="20"/>
        <v>2195200</v>
      </c>
      <c r="Q110" s="91"/>
    </row>
    <row r="111" spans="1:17" s="23" customFormat="1" ht="134.25" customHeight="1">
      <c r="A111" s="21"/>
      <c r="B111" s="27" t="s">
        <v>302</v>
      </c>
      <c r="C111" s="27" t="s">
        <v>164</v>
      </c>
      <c r="D111" s="25" t="s">
        <v>303</v>
      </c>
      <c r="E111" s="33">
        <f t="shared" si="19"/>
        <v>7515.26</v>
      </c>
      <c r="F111" s="33">
        <f>4412+3103.26</f>
        <v>7515.26</v>
      </c>
      <c r="G111" s="33"/>
      <c r="H111" s="33"/>
      <c r="I111" s="33"/>
      <c r="J111" s="33">
        <f t="shared" si="18"/>
        <v>0</v>
      </c>
      <c r="K111" s="33"/>
      <c r="L111" s="33"/>
      <c r="M111" s="33"/>
      <c r="N111" s="33"/>
      <c r="O111" s="33"/>
      <c r="P111" s="33">
        <f t="shared" si="20"/>
        <v>7515.26</v>
      </c>
      <c r="Q111" s="91"/>
    </row>
    <row r="112" spans="1:17" s="23" customFormat="1" ht="15">
      <c r="A112" s="21"/>
      <c r="B112" s="27"/>
      <c r="C112" s="27"/>
      <c r="D112" s="25" t="s">
        <v>263</v>
      </c>
      <c r="E112" s="33">
        <f t="shared" si="19"/>
        <v>7515.26</v>
      </c>
      <c r="F112" s="33">
        <f>4412+3103.26</f>
        <v>7515.26</v>
      </c>
      <c r="G112" s="33"/>
      <c r="H112" s="33"/>
      <c r="I112" s="33"/>
      <c r="J112" s="33">
        <f t="shared" si="18"/>
        <v>0</v>
      </c>
      <c r="K112" s="33"/>
      <c r="L112" s="33"/>
      <c r="M112" s="33"/>
      <c r="N112" s="33"/>
      <c r="O112" s="33"/>
      <c r="P112" s="33">
        <f t="shared" si="20"/>
        <v>7515.26</v>
      </c>
      <c r="Q112" s="91"/>
    </row>
    <row r="113" spans="1:17" s="23" customFormat="1" ht="30">
      <c r="A113" s="21"/>
      <c r="B113" s="24" t="s">
        <v>264</v>
      </c>
      <c r="C113" s="24" t="s">
        <v>139</v>
      </c>
      <c r="D113" s="25" t="s">
        <v>265</v>
      </c>
      <c r="E113" s="33">
        <f t="shared" si="19"/>
        <v>2957400</v>
      </c>
      <c r="F113" s="33">
        <v>2957400</v>
      </c>
      <c r="G113" s="33"/>
      <c r="H113" s="33"/>
      <c r="I113" s="33"/>
      <c r="J113" s="33">
        <f t="shared" si="18"/>
        <v>0</v>
      </c>
      <c r="K113" s="33"/>
      <c r="L113" s="33"/>
      <c r="M113" s="33"/>
      <c r="N113" s="33"/>
      <c r="O113" s="33"/>
      <c r="P113" s="33">
        <f t="shared" si="20"/>
        <v>2957400</v>
      </c>
      <c r="Q113" s="91"/>
    </row>
    <row r="114" spans="1:17" s="23" customFormat="1" ht="15">
      <c r="A114" s="21"/>
      <c r="B114" s="24"/>
      <c r="C114" s="24"/>
      <c r="D114" s="25" t="s">
        <v>263</v>
      </c>
      <c r="E114" s="33">
        <f t="shared" si="19"/>
        <v>2957400</v>
      </c>
      <c r="F114" s="33">
        <v>2957400</v>
      </c>
      <c r="G114" s="33"/>
      <c r="H114" s="33"/>
      <c r="I114" s="33"/>
      <c r="J114" s="33">
        <f t="shared" si="18"/>
        <v>0</v>
      </c>
      <c r="K114" s="33"/>
      <c r="L114" s="33"/>
      <c r="M114" s="33"/>
      <c r="N114" s="33"/>
      <c r="O114" s="33"/>
      <c r="P114" s="33">
        <f t="shared" si="20"/>
        <v>2957400</v>
      </c>
      <c r="Q114" s="91"/>
    </row>
    <row r="115" spans="1:17" s="23" customFormat="1" ht="30">
      <c r="A115" s="21"/>
      <c r="B115" s="24" t="s">
        <v>266</v>
      </c>
      <c r="C115" s="24" t="s">
        <v>139</v>
      </c>
      <c r="D115" s="25" t="s">
        <v>267</v>
      </c>
      <c r="E115" s="33">
        <f t="shared" si="19"/>
        <v>2340000</v>
      </c>
      <c r="F115" s="33">
        <v>2340000</v>
      </c>
      <c r="G115" s="33"/>
      <c r="H115" s="33"/>
      <c r="I115" s="33"/>
      <c r="J115" s="33">
        <f t="shared" si="18"/>
        <v>0</v>
      </c>
      <c r="K115" s="33"/>
      <c r="L115" s="33"/>
      <c r="M115" s="33"/>
      <c r="N115" s="33"/>
      <c r="O115" s="33"/>
      <c r="P115" s="33">
        <f t="shared" si="20"/>
        <v>2340000</v>
      </c>
      <c r="Q115" s="91"/>
    </row>
    <row r="116" spans="1:17" s="23" customFormat="1" ht="15">
      <c r="A116" s="21"/>
      <c r="B116" s="24"/>
      <c r="C116" s="24"/>
      <c r="D116" s="25" t="s">
        <v>263</v>
      </c>
      <c r="E116" s="33">
        <f t="shared" si="19"/>
        <v>2340000</v>
      </c>
      <c r="F116" s="33">
        <v>2340000</v>
      </c>
      <c r="G116" s="33"/>
      <c r="H116" s="33"/>
      <c r="I116" s="33"/>
      <c r="J116" s="33">
        <f t="shared" si="18"/>
        <v>0</v>
      </c>
      <c r="K116" s="33"/>
      <c r="L116" s="33"/>
      <c r="M116" s="33"/>
      <c r="N116" s="33"/>
      <c r="O116" s="33"/>
      <c r="P116" s="33">
        <f t="shared" si="20"/>
        <v>2340000</v>
      </c>
      <c r="Q116" s="91"/>
    </row>
    <row r="117" spans="1:17" s="23" customFormat="1" ht="15">
      <c r="A117" s="21"/>
      <c r="B117" s="24" t="s">
        <v>268</v>
      </c>
      <c r="C117" s="24" t="s">
        <v>139</v>
      </c>
      <c r="D117" s="25" t="s">
        <v>269</v>
      </c>
      <c r="E117" s="33">
        <f t="shared" si="19"/>
        <v>132914300</v>
      </c>
      <c r="F117" s="33">
        <v>132914300</v>
      </c>
      <c r="G117" s="33"/>
      <c r="H117" s="33"/>
      <c r="I117" s="33"/>
      <c r="J117" s="33">
        <f t="shared" si="18"/>
        <v>0</v>
      </c>
      <c r="K117" s="33"/>
      <c r="L117" s="33"/>
      <c r="M117" s="33"/>
      <c r="N117" s="33"/>
      <c r="O117" s="33"/>
      <c r="P117" s="33">
        <f t="shared" si="20"/>
        <v>132914300</v>
      </c>
      <c r="Q117" s="91"/>
    </row>
    <row r="118" spans="1:17" s="23" customFormat="1" ht="15">
      <c r="A118" s="21"/>
      <c r="B118" s="24"/>
      <c r="C118" s="24"/>
      <c r="D118" s="25" t="s">
        <v>263</v>
      </c>
      <c r="E118" s="33">
        <f t="shared" si="19"/>
        <v>132914300</v>
      </c>
      <c r="F118" s="33">
        <v>132914300</v>
      </c>
      <c r="G118" s="33"/>
      <c r="H118" s="33"/>
      <c r="I118" s="33"/>
      <c r="J118" s="33">
        <f t="shared" si="18"/>
        <v>0</v>
      </c>
      <c r="K118" s="33"/>
      <c r="L118" s="33"/>
      <c r="M118" s="33"/>
      <c r="N118" s="33"/>
      <c r="O118" s="33"/>
      <c r="P118" s="33">
        <f t="shared" si="20"/>
        <v>132914300</v>
      </c>
      <c r="Q118" s="91"/>
    </row>
    <row r="119" spans="1:17" s="23" customFormat="1" ht="30">
      <c r="A119" s="21"/>
      <c r="B119" s="24" t="s">
        <v>270</v>
      </c>
      <c r="C119" s="24" t="s">
        <v>139</v>
      </c>
      <c r="D119" s="25" t="s">
        <v>271</v>
      </c>
      <c r="E119" s="33">
        <f t="shared" si="19"/>
        <v>4769000</v>
      </c>
      <c r="F119" s="33">
        <v>4769000</v>
      </c>
      <c r="G119" s="33"/>
      <c r="H119" s="33"/>
      <c r="I119" s="33"/>
      <c r="J119" s="33">
        <f t="shared" si="18"/>
        <v>0</v>
      </c>
      <c r="K119" s="33"/>
      <c r="L119" s="33"/>
      <c r="M119" s="33"/>
      <c r="N119" s="33"/>
      <c r="O119" s="33"/>
      <c r="P119" s="33">
        <f t="shared" si="20"/>
        <v>4769000</v>
      </c>
      <c r="Q119" s="91"/>
    </row>
    <row r="120" spans="1:17" s="23" customFormat="1" ht="15">
      <c r="A120" s="21"/>
      <c r="B120" s="24"/>
      <c r="C120" s="24"/>
      <c r="D120" s="25" t="s">
        <v>263</v>
      </c>
      <c r="E120" s="33">
        <f t="shared" si="19"/>
        <v>4769000</v>
      </c>
      <c r="F120" s="33">
        <v>4769000</v>
      </c>
      <c r="G120" s="33"/>
      <c r="H120" s="33"/>
      <c r="I120" s="33"/>
      <c r="J120" s="33">
        <f t="shared" si="18"/>
        <v>0</v>
      </c>
      <c r="K120" s="33"/>
      <c r="L120" s="33"/>
      <c r="M120" s="33"/>
      <c r="N120" s="33"/>
      <c r="O120" s="33"/>
      <c r="P120" s="33">
        <f t="shared" si="20"/>
        <v>4769000</v>
      </c>
      <c r="Q120" s="91"/>
    </row>
    <row r="121" spans="1:17" s="23" customFormat="1" ht="15">
      <c r="A121" s="21"/>
      <c r="B121" s="24" t="s">
        <v>272</v>
      </c>
      <c r="C121" s="24" t="s">
        <v>139</v>
      </c>
      <c r="D121" s="25" t="s">
        <v>273</v>
      </c>
      <c r="E121" s="33">
        <f t="shared" si="19"/>
        <v>22750500</v>
      </c>
      <c r="F121" s="33">
        <v>22750500</v>
      </c>
      <c r="G121" s="33"/>
      <c r="H121" s="33"/>
      <c r="I121" s="33"/>
      <c r="J121" s="33">
        <f t="shared" si="18"/>
        <v>0</v>
      </c>
      <c r="K121" s="33"/>
      <c r="L121" s="33"/>
      <c r="M121" s="33"/>
      <c r="N121" s="33"/>
      <c r="O121" s="33"/>
      <c r="P121" s="33">
        <f t="shared" si="20"/>
        <v>22750500</v>
      </c>
      <c r="Q121" s="91"/>
    </row>
    <row r="122" spans="1:17" s="23" customFormat="1" ht="15">
      <c r="A122" s="21"/>
      <c r="B122" s="24"/>
      <c r="C122" s="24"/>
      <c r="D122" s="25" t="s">
        <v>263</v>
      </c>
      <c r="E122" s="33">
        <f t="shared" si="19"/>
        <v>22750500</v>
      </c>
      <c r="F122" s="33">
        <v>22750500</v>
      </c>
      <c r="G122" s="33"/>
      <c r="H122" s="33"/>
      <c r="I122" s="33"/>
      <c r="J122" s="33">
        <f t="shared" si="18"/>
        <v>0</v>
      </c>
      <c r="K122" s="33"/>
      <c r="L122" s="33"/>
      <c r="M122" s="33"/>
      <c r="N122" s="33"/>
      <c r="O122" s="33"/>
      <c r="P122" s="33">
        <f t="shared" si="20"/>
        <v>22750500</v>
      </c>
      <c r="Q122" s="91"/>
    </row>
    <row r="123" spans="1:17" s="23" customFormat="1" ht="15">
      <c r="A123" s="21"/>
      <c r="B123" s="24" t="s">
        <v>274</v>
      </c>
      <c r="C123" s="24" t="s">
        <v>139</v>
      </c>
      <c r="D123" s="25" t="s">
        <v>275</v>
      </c>
      <c r="E123" s="33">
        <f t="shared" si="19"/>
        <v>2174200</v>
      </c>
      <c r="F123" s="33">
        <v>2174200</v>
      </c>
      <c r="G123" s="33"/>
      <c r="H123" s="33"/>
      <c r="I123" s="33"/>
      <c r="J123" s="33">
        <f t="shared" si="18"/>
        <v>0</v>
      </c>
      <c r="K123" s="33"/>
      <c r="L123" s="33"/>
      <c r="M123" s="33"/>
      <c r="N123" s="33"/>
      <c r="O123" s="33"/>
      <c r="P123" s="33">
        <f t="shared" si="20"/>
        <v>2174200</v>
      </c>
      <c r="Q123" s="91"/>
    </row>
    <row r="124" spans="1:17" s="23" customFormat="1" ht="15">
      <c r="A124" s="21"/>
      <c r="B124" s="24"/>
      <c r="C124" s="24"/>
      <c r="D124" s="25" t="s">
        <v>263</v>
      </c>
      <c r="E124" s="33">
        <f t="shared" si="19"/>
        <v>2174200</v>
      </c>
      <c r="F124" s="33">
        <v>2174200</v>
      </c>
      <c r="G124" s="33"/>
      <c r="H124" s="33"/>
      <c r="I124" s="33"/>
      <c r="J124" s="33">
        <f t="shared" si="18"/>
        <v>0</v>
      </c>
      <c r="K124" s="33"/>
      <c r="L124" s="33"/>
      <c r="M124" s="33"/>
      <c r="N124" s="33"/>
      <c r="O124" s="33"/>
      <c r="P124" s="33">
        <f t="shared" si="20"/>
        <v>2174200</v>
      </c>
      <c r="Q124" s="91"/>
    </row>
    <row r="125" spans="1:17" s="23" customFormat="1" ht="15">
      <c r="A125" s="21"/>
      <c r="B125" s="24" t="s">
        <v>276</v>
      </c>
      <c r="C125" s="24" t="s">
        <v>139</v>
      </c>
      <c r="D125" s="25" t="s">
        <v>277</v>
      </c>
      <c r="E125" s="33">
        <f t="shared" si="19"/>
        <v>312200</v>
      </c>
      <c r="F125" s="33">
        <v>312200</v>
      </c>
      <c r="G125" s="33"/>
      <c r="H125" s="33"/>
      <c r="I125" s="33"/>
      <c r="J125" s="33">
        <f t="shared" si="18"/>
        <v>0</v>
      </c>
      <c r="K125" s="33"/>
      <c r="L125" s="33"/>
      <c r="M125" s="33"/>
      <c r="N125" s="33"/>
      <c r="O125" s="33"/>
      <c r="P125" s="33">
        <f t="shared" si="20"/>
        <v>312200</v>
      </c>
      <c r="Q125" s="91"/>
    </row>
    <row r="126" spans="1:17" s="23" customFormat="1" ht="15">
      <c r="A126" s="21"/>
      <c r="B126" s="24"/>
      <c r="C126" s="24"/>
      <c r="D126" s="25" t="s">
        <v>263</v>
      </c>
      <c r="E126" s="33">
        <f t="shared" si="19"/>
        <v>312200</v>
      </c>
      <c r="F126" s="33">
        <v>312200</v>
      </c>
      <c r="G126" s="33"/>
      <c r="H126" s="33"/>
      <c r="I126" s="33"/>
      <c r="J126" s="33">
        <f t="shared" si="18"/>
        <v>0</v>
      </c>
      <c r="K126" s="33"/>
      <c r="L126" s="33"/>
      <c r="M126" s="33"/>
      <c r="N126" s="33"/>
      <c r="O126" s="33"/>
      <c r="P126" s="33">
        <f t="shared" si="20"/>
        <v>312200</v>
      </c>
      <c r="Q126" s="91"/>
    </row>
    <row r="127" spans="1:17" s="23" customFormat="1" ht="30">
      <c r="A127" s="21"/>
      <c r="B127" s="24" t="s">
        <v>278</v>
      </c>
      <c r="C127" s="24" t="s">
        <v>139</v>
      </c>
      <c r="D127" s="25" t="s">
        <v>279</v>
      </c>
      <c r="E127" s="33">
        <f t="shared" si="19"/>
        <v>41101000</v>
      </c>
      <c r="F127" s="33">
        <v>41101000</v>
      </c>
      <c r="G127" s="33"/>
      <c r="H127" s="33"/>
      <c r="I127" s="33"/>
      <c r="J127" s="33">
        <f t="shared" si="18"/>
        <v>0</v>
      </c>
      <c r="K127" s="33"/>
      <c r="L127" s="33"/>
      <c r="M127" s="33"/>
      <c r="N127" s="33"/>
      <c r="O127" s="33"/>
      <c r="P127" s="33">
        <f t="shared" si="20"/>
        <v>41101000</v>
      </c>
      <c r="Q127" s="91"/>
    </row>
    <row r="128" spans="1:17" s="23" customFormat="1" ht="15">
      <c r="A128" s="21"/>
      <c r="B128" s="24"/>
      <c r="C128" s="24"/>
      <c r="D128" s="25" t="s">
        <v>263</v>
      </c>
      <c r="E128" s="33">
        <f t="shared" si="19"/>
        <v>41101000</v>
      </c>
      <c r="F128" s="33">
        <v>41101000</v>
      </c>
      <c r="G128" s="33"/>
      <c r="H128" s="33"/>
      <c r="I128" s="33"/>
      <c r="J128" s="33">
        <f t="shared" si="18"/>
        <v>0</v>
      </c>
      <c r="K128" s="33"/>
      <c r="L128" s="33"/>
      <c r="M128" s="33"/>
      <c r="N128" s="33"/>
      <c r="O128" s="33"/>
      <c r="P128" s="33">
        <f t="shared" si="20"/>
        <v>41101000</v>
      </c>
      <c r="Q128" s="91"/>
    </row>
    <row r="129" spans="1:17" s="23" customFormat="1" ht="45">
      <c r="A129" s="21"/>
      <c r="B129" s="24" t="s">
        <v>282</v>
      </c>
      <c r="C129" s="24" t="s">
        <v>165</v>
      </c>
      <c r="D129" s="25" t="s">
        <v>283</v>
      </c>
      <c r="E129" s="33">
        <f t="shared" si="19"/>
        <v>365245700</v>
      </c>
      <c r="F129" s="33">
        <v>365245700</v>
      </c>
      <c r="G129" s="33"/>
      <c r="H129" s="33"/>
      <c r="I129" s="33"/>
      <c r="J129" s="33">
        <f t="shared" si="18"/>
        <v>0</v>
      </c>
      <c r="K129" s="33"/>
      <c r="L129" s="33"/>
      <c r="M129" s="33"/>
      <c r="N129" s="33"/>
      <c r="O129" s="33"/>
      <c r="P129" s="33">
        <f t="shared" si="20"/>
        <v>365245700</v>
      </c>
      <c r="Q129" s="91"/>
    </row>
    <row r="130" spans="1:17" s="23" customFormat="1" ht="15">
      <c r="A130" s="21"/>
      <c r="B130" s="24"/>
      <c r="C130" s="24"/>
      <c r="D130" s="25" t="s">
        <v>263</v>
      </c>
      <c r="E130" s="33">
        <f t="shared" si="19"/>
        <v>365245700</v>
      </c>
      <c r="F130" s="33">
        <v>365245700</v>
      </c>
      <c r="G130" s="33"/>
      <c r="H130" s="33"/>
      <c r="I130" s="33"/>
      <c r="J130" s="33">
        <f t="shared" si="18"/>
        <v>0</v>
      </c>
      <c r="K130" s="33"/>
      <c r="L130" s="33"/>
      <c r="M130" s="33"/>
      <c r="N130" s="33"/>
      <c r="O130" s="33"/>
      <c r="P130" s="33">
        <f t="shared" si="20"/>
        <v>365245700</v>
      </c>
      <c r="Q130" s="91"/>
    </row>
    <row r="131" spans="1:17" s="23" customFormat="1" ht="60">
      <c r="A131" s="21"/>
      <c r="B131" s="24" t="s">
        <v>284</v>
      </c>
      <c r="C131" s="24" t="s">
        <v>165</v>
      </c>
      <c r="D131" s="25" t="s">
        <v>285</v>
      </c>
      <c r="E131" s="33">
        <f t="shared" si="19"/>
        <v>134338.44</v>
      </c>
      <c r="F131" s="33">
        <f>82655+51683.44</f>
        <v>134338.44</v>
      </c>
      <c r="G131" s="33"/>
      <c r="H131" s="33"/>
      <c r="I131" s="33"/>
      <c r="J131" s="33">
        <f t="shared" si="18"/>
        <v>0</v>
      </c>
      <c r="K131" s="33"/>
      <c r="L131" s="33"/>
      <c r="M131" s="33"/>
      <c r="N131" s="33"/>
      <c r="O131" s="33"/>
      <c r="P131" s="33">
        <f t="shared" si="20"/>
        <v>134338.44</v>
      </c>
      <c r="Q131" s="91"/>
    </row>
    <row r="132" spans="1:17" s="23" customFormat="1" ht="15">
      <c r="A132" s="21"/>
      <c r="B132" s="24"/>
      <c r="C132" s="24"/>
      <c r="D132" s="25" t="s">
        <v>263</v>
      </c>
      <c r="E132" s="33">
        <f t="shared" si="19"/>
        <v>134338.44</v>
      </c>
      <c r="F132" s="33">
        <f>82655+51683.44</f>
        <v>134338.44</v>
      </c>
      <c r="G132" s="33"/>
      <c r="H132" s="33"/>
      <c r="I132" s="33"/>
      <c r="J132" s="33">
        <f t="shared" si="18"/>
        <v>0</v>
      </c>
      <c r="K132" s="33"/>
      <c r="L132" s="33"/>
      <c r="M132" s="33"/>
      <c r="N132" s="33"/>
      <c r="O132" s="33"/>
      <c r="P132" s="33">
        <f t="shared" si="20"/>
        <v>134338.44</v>
      </c>
      <c r="Q132" s="91"/>
    </row>
    <row r="133" spans="1:17" s="23" customFormat="1" ht="30">
      <c r="A133" s="21"/>
      <c r="B133" s="24" t="s">
        <v>17</v>
      </c>
      <c r="C133" s="24" t="s">
        <v>138</v>
      </c>
      <c r="D133" s="25" t="s">
        <v>18</v>
      </c>
      <c r="E133" s="33">
        <f t="shared" si="19"/>
        <v>3829147</v>
      </c>
      <c r="F133" s="33">
        <f>1730323+45128+330300+224000+130000+90870+18000+360000+108700+51390+68890-4499+59000+531692+44646+32027+8680</f>
        <v>3829147</v>
      </c>
      <c r="G133" s="33"/>
      <c r="H133" s="33"/>
      <c r="I133" s="33"/>
      <c r="J133" s="33">
        <f t="shared" si="18"/>
        <v>0</v>
      </c>
      <c r="K133" s="33"/>
      <c r="L133" s="33"/>
      <c r="M133" s="33"/>
      <c r="N133" s="33"/>
      <c r="O133" s="33"/>
      <c r="P133" s="33">
        <f t="shared" si="20"/>
        <v>3829147</v>
      </c>
      <c r="Q133" s="91"/>
    </row>
    <row r="134" spans="1:17" s="23" customFormat="1" ht="30">
      <c r="A134" s="21"/>
      <c r="B134" s="24" t="s">
        <v>280</v>
      </c>
      <c r="C134" s="24" t="s">
        <v>166</v>
      </c>
      <c r="D134" s="25" t="s">
        <v>281</v>
      </c>
      <c r="E134" s="33">
        <f t="shared" si="19"/>
        <v>7229000</v>
      </c>
      <c r="F134" s="33">
        <v>7229000</v>
      </c>
      <c r="G134" s="33"/>
      <c r="H134" s="33"/>
      <c r="I134" s="33"/>
      <c r="J134" s="33">
        <f t="shared" si="18"/>
        <v>0</v>
      </c>
      <c r="K134" s="33"/>
      <c r="L134" s="33"/>
      <c r="M134" s="33"/>
      <c r="N134" s="33"/>
      <c r="O134" s="33"/>
      <c r="P134" s="33">
        <f t="shared" si="20"/>
        <v>7229000</v>
      </c>
      <c r="Q134" s="91"/>
    </row>
    <row r="135" spans="1:17" s="23" customFormat="1" ht="15">
      <c r="A135" s="21"/>
      <c r="B135" s="24"/>
      <c r="C135" s="24"/>
      <c r="D135" s="25" t="s">
        <v>263</v>
      </c>
      <c r="E135" s="33">
        <f t="shared" si="19"/>
        <v>7229000</v>
      </c>
      <c r="F135" s="33">
        <v>7229000</v>
      </c>
      <c r="G135" s="33"/>
      <c r="H135" s="33"/>
      <c r="I135" s="33"/>
      <c r="J135" s="33">
        <f t="shared" si="18"/>
        <v>0</v>
      </c>
      <c r="K135" s="33"/>
      <c r="L135" s="33"/>
      <c r="M135" s="33"/>
      <c r="N135" s="33"/>
      <c r="O135" s="33"/>
      <c r="P135" s="33">
        <f t="shared" si="20"/>
        <v>7229000</v>
      </c>
      <c r="Q135" s="91"/>
    </row>
    <row r="136" spans="1:17" s="23" customFormat="1" ht="30">
      <c r="A136" s="21"/>
      <c r="B136" s="24" t="s">
        <v>95</v>
      </c>
      <c r="C136" s="24" t="s">
        <v>163</v>
      </c>
      <c r="D136" s="25" t="s">
        <v>96</v>
      </c>
      <c r="E136" s="33">
        <f t="shared" si="19"/>
        <v>1486404</v>
      </c>
      <c r="F136" s="33">
        <f>902586+88819-4601+300000+1199600-1000000</f>
        <v>1486404</v>
      </c>
      <c r="G136" s="33"/>
      <c r="H136" s="33"/>
      <c r="I136" s="33"/>
      <c r="J136" s="33">
        <f t="shared" si="18"/>
        <v>0</v>
      </c>
      <c r="K136" s="33"/>
      <c r="L136" s="33"/>
      <c r="M136" s="33"/>
      <c r="N136" s="33"/>
      <c r="O136" s="33"/>
      <c r="P136" s="33">
        <f t="shared" si="20"/>
        <v>1486404</v>
      </c>
      <c r="Q136" s="91"/>
    </row>
    <row r="137" spans="1:17" s="23" customFormat="1" ht="30">
      <c r="A137" s="21"/>
      <c r="B137" s="24" t="s">
        <v>255</v>
      </c>
      <c r="C137" s="24" t="s">
        <v>163</v>
      </c>
      <c r="D137" s="25" t="s">
        <v>256</v>
      </c>
      <c r="E137" s="33">
        <f t="shared" si="19"/>
        <v>181400</v>
      </c>
      <c r="F137" s="33">
        <v>181400</v>
      </c>
      <c r="G137" s="33"/>
      <c r="H137" s="33"/>
      <c r="I137" s="33"/>
      <c r="J137" s="33">
        <f t="shared" si="18"/>
        <v>0</v>
      </c>
      <c r="K137" s="33"/>
      <c r="L137" s="33"/>
      <c r="M137" s="33"/>
      <c r="N137" s="33"/>
      <c r="O137" s="33"/>
      <c r="P137" s="33">
        <f t="shared" si="20"/>
        <v>181400</v>
      </c>
      <c r="Q137" s="91"/>
    </row>
    <row r="138" spans="1:17" s="23" customFormat="1" ht="30">
      <c r="A138" s="21"/>
      <c r="B138" s="24" t="s">
        <v>207</v>
      </c>
      <c r="C138" s="24" t="s">
        <v>208</v>
      </c>
      <c r="D138" s="25" t="s">
        <v>209</v>
      </c>
      <c r="E138" s="33">
        <f t="shared" si="19"/>
        <v>374903.07</v>
      </c>
      <c r="F138" s="33">
        <f>160429-16831+231305.07</f>
        <v>374903.07</v>
      </c>
      <c r="G138" s="33">
        <f>117703+189509.86</f>
        <v>307212.86</v>
      </c>
      <c r="H138" s="33"/>
      <c r="I138" s="33"/>
      <c r="J138" s="33">
        <f t="shared" si="18"/>
        <v>0</v>
      </c>
      <c r="K138" s="33"/>
      <c r="L138" s="33"/>
      <c r="M138" s="33"/>
      <c r="N138" s="33"/>
      <c r="O138" s="33"/>
      <c r="P138" s="33">
        <f t="shared" si="20"/>
        <v>374903.07</v>
      </c>
      <c r="Q138" s="91"/>
    </row>
    <row r="139" spans="1:17" s="23" customFormat="1" ht="38.25" customHeight="1">
      <c r="A139" s="21"/>
      <c r="B139" s="24" t="s">
        <v>97</v>
      </c>
      <c r="C139" s="24" t="s">
        <v>167</v>
      </c>
      <c r="D139" s="25" t="s">
        <v>98</v>
      </c>
      <c r="E139" s="33">
        <f t="shared" si="19"/>
        <v>5914458</v>
      </c>
      <c r="F139" s="33">
        <f>6697900+170500-1363300+11000+380200+13000+6000+2000-2842</f>
        <v>5914458</v>
      </c>
      <c r="G139" s="33">
        <f>4614400+54100-591900+312900-2330</f>
        <v>4387170</v>
      </c>
      <c r="H139" s="33">
        <f>154005+2561</f>
        <v>156566</v>
      </c>
      <c r="I139" s="33"/>
      <c r="J139" s="33">
        <f t="shared" si="18"/>
        <v>467800</v>
      </c>
      <c r="K139" s="33">
        <v>27800</v>
      </c>
      <c r="L139" s="33">
        <v>18822</v>
      </c>
      <c r="M139" s="33"/>
      <c r="N139" s="33">
        <f>297000+11000+132000</f>
        <v>440000</v>
      </c>
      <c r="O139" s="33">
        <f>297000+11000+132000</f>
        <v>440000</v>
      </c>
      <c r="P139" s="33">
        <f t="shared" si="20"/>
        <v>6382258</v>
      </c>
      <c r="Q139" s="91"/>
    </row>
    <row r="140" spans="1:17" s="23" customFormat="1" ht="86.25" customHeight="1">
      <c r="A140" s="21"/>
      <c r="B140" s="24" t="s">
        <v>99</v>
      </c>
      <c r="C140" s="24" t="s">
        <v>166</v>
      </c>
      <c r="D140" s="25" t="s">
        <v>100</v>
      </c>
      <c r="E140" s="33">
        <f t="shared" si="19"/>
        <v>1397200</v>
      </c>
      <c r="F140" s="33">
        <v>1397200</v>
      </c>
      <c r="G140" s="33"/>
      <c r="H140" s="33"/>
      <c r="I140" s="33"/>
      <c r="J140" s="33">
        <f t="shared" si="18"/>
        <v>0</v>
      </c>
      <c r="K140" s="33"/>
      <c r="L140" s="33"/>
      <c r="M140" s="33"/>
      <c r="N140" s="33"/>
      <c r="O140" s="33"/>
      <c r="P140" s="33">
        <f t="shared" si="20"/>
        <v>1397200</v>
      </c>
      <c r="Q140" s="91"/>
    </row>
    <row r="141" spans="1:17" s="23" customFormat="1" ht="90" customHeight="1">
      <c r="A141" s="21"/>
      <c r="B141" s="24" t="s">
        <v>101</v>
      </c>
      <c r="C141" s="24" t="s">
        <v>165</v>
      </c>
      <c r="D141" s="25" t="s">
        <v>102</v>
      </c>
      <c r="E141" s="33">
        <f t="shared" si="19"/>
        <v>2482439</v>
      </c>
      <c r="F141" s="33">
        <f>2446698+35741</f>
        <v>2482439</v>
      </c>
      <c r="G141" s="33"/>
      <c r="H141" s="33"/>
      <c r="I141" s="33"/>
      <c r="J141" s="33">
        <f t="shared" si="18"/>
        <v>0</v>
      </c>
      <c r="K141" s="33"/>
      <c r="L141" s="33"/>
      <c r="M141" s="33"/>
      <c r="N141" s="33"/>
      <c r="O141" s="33"/>
      <c r="P141" s="33">
        <f t="shared" si="20"/>
        <v>2482439</v>
      </c>
      <c r="Q141" s="91"/>
    </row>
    <row r="142" spans="1:17" s="23" customFormat="1" ht="30">
      <c r="A142" s="21"/>
      <c r="B142" s="24" t="s">
        <v>103</v>
      </c>
      <c r="C142" s="24" t="s">
        <v>163</v>
      </c>
      <c r="D142" s="25" t="s">
        <v>104</v>
      </c>
      <c r="E142" s="33">
        <f t="shared" si="19"/>
        <v>798900</v>
      </c>
      <c r="F142" s="33">
        <v>798900</v>
      </c>
      <c r="G142" s="33"/>
      <c r="H142" s="33"/>
      <c r="I142" s="33"/>
      <c r="J142" s="33">
        <f t="shared" si="18"/>
        <v>0</v>
      </c>
      <c r="K142" s="33"/>
      <c r="L142" s="33"/>
      <c r="M142" s="33"/>
      <c r="N142" s="33"/>
      <c r="O142" s="33"/>
      <c r="P142" s="33">
        <f t="shared" si="20"/>
        <v>798900</v>
      </c>
      <c r="Q142" s="91"/>
    </row>
    <row r="143" spans="1:17" s="23" customFormat="1" ht="30">
      <c r="A143" s="21"/>
      <c r="B143" s="24" t="s">
        <v>251</v>
      </c>
      <c r="C143" s="24" t="s">
        <v>138</v>
      </c>
      <c r="D143" s="25" t="s">
        <v>252</v>
      </c>
      <c r="E143" s="33">
        <f t="shared" si="19"/>
        <v>111717</v>
      </c>
      <c r="F143" s="33">
        <f>54417+57300+30000-30000</f>
        <v>111717</v>
      </c>
      <c r="G143" s="33"/>
      <c r="H143" s="33"/>
      <c r="I143" s="33"/>
      <c r="J143" s="33">
        <f t="shared" si="18"/>
        <v>0</v>
      </c>
      <c r="K143" s="33"/>
      <c r="L143" s="33"/>
      <c r="M143" s="33"/>
      <c r="N143" s="33"/>
      <c r="O143" s="33"/>
      <c r="P143" s="33">
        <f t="shared" si="20"/>
        <v>111717</v>
      </c>
      <c r="Q143" s="91"/>
    </row>
    <row r="144" spans="1:17" s="23" customFormat="1" ht="21.75" customHeight="1">
      <c r="A144" s="21"/>
      <c r="B144" s="24" t="s">
        <v>105</v>
      </c>
      <c r="C144" s="24" t="s">
        <v>138</v>
      </c>
      <c r="D144" s="25" t="s">
        <v>106</v>
      </c>
      <c r="E144" s="33">
        <f t="shared" si="19"/>
        <v>1476842</v>
      </c>
      <c r="F144" s="33">
        <f>1424500-209500+19000+33000+195000+7000+5000+2842</f>
        <v>1476842</v>
      </c>
      <c r="G144" s="33">
        <f>826600-77400+145000</f>
        <v>894200</v>
      </c>
      <c r="H144" s="33">
        <f>127230+2114</f>
        <v>129344</v>
      </c>
      <c r="I144" s="33"/>
      <c r="J144" s="33">
        <f t="shared" si="18"/>
        <v>243500</v>
      </c>
      <c r="K144" s="33"/>
      <c r="L144" s="33"/>
      <c r="M144" s="33"/>
      <c r="N144" s="33">
        <f>200000+43500</f>
        <v>243500</v>
      </c>
      <c r="O144" s="33">
        <f>200000+43500</f>
        <v>243500</v>
      </c>
      <c r="P144" s="33">
        <f t="shared" si="20"/>
        <v>1720342</v>
      </c>
      <c r="Q144" s="91"/>
    </row>
    <row r="145" spans="1:17" s="23" customFormat="1" ht="21.75" customHeight="1">
      <c r="A145" s="21"/>
      <c r="B145" s="24" t="s">
        <v>261</v>
      </c>
      <c r="C145" s="24" t="s">
        <v>166</v>
      </c>
      <c r="D145" s="25" t="s">
        <v>262</v>
      </c>
      <c r="E145" s="33">
        <f t="shared" si="19"/>
        <v>43245500</v>
      </c>
      <c r="F145" s="33">
        <v>43245500</v>
      </c>
      <c r="G145" s="33"/>
      <c r="H145" s="33"/>
      <c r="I145" s="33"/>
      <c r="J145" s="33">
        <f t="shared" si="18"/>
        <v>0</v>
      </c>
      <c r="K145" s="33"/>
      <c r="L145" s="33"/>
      <c r="M145" s="33"/>
      <c r="N145" s="33"/>
      <c r="O145" s="33"/>
      <c r="P145" s="33">
        <f t="shared" si="20"/>
        <v>43245500</v>
      </c>
      <c r="Q145" s="91"/>
    </row>
    <row r="146" spans="1:17" s="23" customFormat="1" ht="21.75" customHeight="1">
      <c r="A146" s="21"/>
      <c r="B146" s="24"/>
      <c r="C146" s="24"/>
      <c r="D146" s="25" t="s">
        <v>263</v>
      </c>
      <c r="E146" s="33">
        <f t="shared" si="19"/>
        <v>43245500</v>
      </c>
      <c r="F146" s="33">
        <v>43245500</v>
      </c>
      <c r="G146" s="33"/>
      <c r="H146" s="33"/>
      <c r="I146" s="33"/>
      <c r="J146" s="33">
        <f t="shared" si="18"/>
        <v>0</v>
      </c>
      <c r="K146" s="33"/>
      <c r="L146" s="33"/>
      <c r="M146" s="33"/>
      <c r="N146" s="33"/>
      <c r="O146" s="33"/>
      <c r="P146" s="33">
        <f t="shared" si="20"/>
        <v>43245500</v>
      </c>
      <c r="Q146" s="91"/>
    </row>
    <row r="147" spans="1:17" s="23" customFormat="1" ht="45" customHeight="1">
      <c r="A147" s="21"/>
      <c r="B147" s="24" t="s">
        <v>257</v>
      </c>
      <c r="C147" s="24" t="s">
        <v>166</v>
      </c>
      <c r="D147" s="25" t="s">
        <v>258</v>
      </c>
      <c r="E147" s="33">
        <f t="shared" si="19"/>
        <v>162275</v>
      </c>
      <c r="F147" s="33">
        <v>162275</v>
      </c>
      <c r="G147" s="33"/>
      <c r="H147" s="33"/>
      <c r="I147" s="33"/>
      <c r="J147" s="33">
        <f t="shared" si="18"/>
        <v>0</v>
      </c>
      <c r="K147" s="33"/>
      <c r="L147" s="33"/>
      <c r="M147" s="33"/>
      <c r="N147" s="33"/>
      <c r="O147" s="33"/>
      <c r="P147" s="33">
        <f t="shared" si="20"/>
        <v>162275</v>
      </c>
      <c r="Q147" s="91"/>
    </row>
    <row r="148" spans="1:17" s="23" customFormat="1" ht="27" customHeight="1">
      <c r="A148" s="21"/>
      <c r="B148" s="24" t="s">
        <v>259</v>
      </c>
      <c r="C148" s="24" t="s">
        <v>166</v>
      </c>
      <c r="D148" s="25" t="s">
        <v>260</v>
      </c>
      <c r="E148" s="33">
        <f t="shared" si="19"/>
        <v>4800</v>
      </c>
      <c r="F148" s="33">
        <v>4800</v>
      </c>
      <c r="G148" s="33"/>
      <c r="H148" s="33"/>
      <c r="I148" s="33"/>
      <c r="J148" s="33">
        <f t="shared" si="18"/>
        <v>0</v>
      </c>
      <c r="K148" s="33"/>
      <c r="L148" s="33"/>
      <c r="M148" s="33"/>
      <c r="N148" s="33"/>
      <c r="O148" s="33"/>
      <c r="P148" s="33">
        <f t="shared" si="20"/>
        <v>4800</v>
      </c>
      <c r="Q148" s="91"/>
    </row>
    <row r="149" spans="1:17" s="23" customFormat="1" ht="27" customHeight="1">
      <c r="A149" s="21"/>
      <c r="B149" s="24" t="s">
        <v>339</v>
      </c>
      <c r="C149" s="24" t="s">
        <v>164</v>
      </c>
      <c r="D149" s="25" t="s">
        <v>340</v>
      </c>
      <c r="E149" s="33">
        <f t="shared" si="19"/>
        <v>3009742</v>
      </c>
      <c r="F149" s="33">
        <v>3009742</v>
      </c>
      <c r="G149" s="33"/>
      <c r="H149" s="33"/>
      <c r="I149" s="33"/>
      <c r="J149" s="33">
        <f t="shared" si="18"/>
        <v>0</v>
      </c>
      <c r="K149" s="33"/>
      <c r="L149" s="33"/>
      <c r="M149" s="33"/>
      <c r="N149" s="33"/>
      <c r="O149" s="33"/>
      <c r="P149" s="33">
        <f t="shared" si="20"/>
        <v>3009742</v>
      </c>
      <c r="Q149" s="91"/>
    </row>
    <row r="150" spans="1:17" s="23" customFormat="1" ht="45">
      <c r="A150" s="21"/>
      <c r="B150" s="24" t="s">
        <v>107</v>
      </c>
      <c r="C150" s="24" t="s">
        <v>164</v>
      </c>
      <c r="D150" s="25" t="s">
        <v>108</v>
      </c>
      <c r="E150" s="33">
        <f t="shared" si="19"/>
        <v>9687658</v>
      </c>
      <c r="F150" s="33">
        <f>130000+9557658</f>
        <v>9687658</v>
      </c>
      <c r="G150" s="34"/>
      <c r="H150" s="34"/>
      <c r="I150" s="34"/>
      <c r="J150" s="33">
        <f t="shared" si="18"/>
        <v>0</v>
      </c>
      <c r="K150" s="34"/>
      <c r="L150" s="34"/>
      <c r="M150" s="34"/>
      <c r="N150" s="34"/>
      <c r="O150" s="34"/>
      <c r="P150" s="33">
        <f t="shared" si="20"/>
        <v>9687658</v>
      </c>
      <c r="Q150" s="91"/>
    </row>
    <row r="151" spans="1:17" s="23" customFormat="1" ht="15">
      <c r="A151" s="21"/>
      <c r="B151" s="24" t="s">
        <v>135</v>
      </c>
      <c r="C151" s="24" t="s">
        <v>180</v>
      </c>
      <c r="D151" s="25" t="s">
        <v>136</v>
      </c>
      <c r="E151" s="33">
        <f>F151+I151</f>
        <v>2160656</v>
      </c>
      <c r="F151" s="33">
        <f>1160656+1000000</f>
        <v>2160656</v>
      </c>
      <c r="G151" s="34"/>
      <c r="H151" s="34"/>
      <c r="I151" s="34"/>
      <c r="J151" s="33">
        <f t="shared" si="18"/>
        <v>0</v>
      </c>
      <c r="K151" s="34"/>
      <c r="L151" s="34"/>
      <c r="M151" s="34"/>
      <c r="N151" s="34"/>
      <c r="O151" s="34"/>
      <c r="P151" s="33">
        <f>E151+J151</f>
        <v>2160656</v>
      </c>
      <c r="Q151" s="91"/>
    </row>
    <row r="152" spans="1:17" s="23" customFormat="1" ht="28.5">
      <c r="A152" s="21"/>
      <c r="B152" s="28"/>
      <c r="C152" s="28"/>
      <c r="D152" s="29" t="s">
        <v>168</v>
      </c>
      <c r="E152" s="34">
        <f>E153+E154</f>
        <v>1085536</v>
      </c>
      <c r="F152" s="34">
        <f aca="true" t="shared" si="21" ref="F152:P152">F153+F154</f>
        <v>1085536</v>
      </c>
      <c r="G152" s="34">
        <f t="shared" si="21"/>
        <v>782747</v>
      </c>
      <c r="H152" s="34">
        <f t="shared" si="21"/>
        <v>32719</v>
      </c>
      <c r="I152" s="34">
        <f t="shared" si="21"/>
        <v>0</v>
      </c>
      <c r="J152" s="34">
        <f t="shared" si="21"/>
        <v>0</v>
      </c>
      <c r="K152" s="34">
        <f t="shared" si="21"/>
        <v>0</v>
      </c>
      <c r="L152" s="34">
        <f t="shared" si="21"/>
        <v>0</v>
      </c>
      <c r="M152" s="34">
        <f t="shared" si="21"/>
        <v>0</v>
      </c>
      <c r="N152" s="34">
        <f t="shared" si="21"/>
        <v>0</v>
      </c>
      <c r="O152" s="34">
        <f t="shared" si="21"/>
        <v>0</v>
      </c>
      <c r="P152" s="34">
        <f t="shared" si="21"/>
        <v>1085536</v>
      </c>
      <c r="Q152" s="91"/>
    </row>
    <row r="153" spans="1:17" s="23" customFormat="1" ht="22.5" customHeight="1">
      <c r="A153" s="21"/>
      <c r="B153" s="24" t="s">
        <v>11</v>
      </c>
      <c r="C153" s="24" t="s">
        <v>9</v>
      </c>
      <c r="D153" s="25" t="s">
        <v>94</v>
      </c>
      <c r="E153" s="33">
        <f>F153+I153</f>
        <v>1035536</v>
      </c>
      <c r="F153" s="33">
        <f>1121770-144320+40086+18000</f>
        <v>1035536</v>
      </c>
      <c r="G153" s="33">
        <f>782730-32840+32857</f>
        <v>782747</v>
      </c>
      <c r="H153" s="33">
        <v>32719</v>
      </c>
      <c r="I153" s="33"/>
      <c r="J153" s="33">
        <f>K153+N153</f>
        <v>0</v>
      </c>
      <c r="K153" s="33"/>
      <c r="L153" s="33"/>
      <c r="M153" s="33"/>
      <c r="N153" s="33">
        <f>18000-18000</f>
        <v>0</v>
      </c>
      <c r="O153" s="33">
        <f>18000-18000</f>
        <v>0</v>
      </c>
      <c r="P153" s="33">
        <f>E153+J153</f>
        <v>1035536</v>
      </c>
      <c r="Q153" s="91"/>
    </row>
    <row r="154" spans="1:17" s="23" customFormat="1" ht="21.75" customHeight="1">
      <c r="A154" s="21"/>
      <c r="B154" s="24" t="s">
        <v>109</v>
      </c>
      <c r="C154" s="24" t="s">
        <v>139</v>
      </c>
      <c r="D154" s="25" t="s">
        <v>110</v>
      </c>
      <c r="E154" s="33">
        <f>F154+I154</f>
        <v>50000</v>
      </c>
      <c r="F154" s="33">
        <v>50000</v>
      </c>
      <c r="G154" s="34"/>
      <c r="H154" s="34"/>
      <c r="I154" s="34"/>
      <c r="J154" s="33">
        <f>K154+N154</f>
        <v>0</v>
      </c>
      <c r="K154" s="34"/>
      <c r="L154" s="34"/>
      <c r="M154" s="34"/>
      <c r="N154" s="34"/>
      <c r="O154" s="34"/>
      <c r="P154" s="33">
        <f>E154+J154</f>
        <v>50000</v>
      </c>
      <c r="Q154" s="91"/>
    </row>
    <row r="155" spans="1:17" s="23" customFormat="1" ht="28.5">
      <c r="A155" s="21"/>
      <c r="B155" s="28"/>
      <c r="C155" s="28"/>
      <c r="D155" s="29" t="s">
        <v>169</v>
      </c>
      <c r="E155" s="34">
        <f>E156+E157+E158+E159+E160</f>
        <v>29696180</v>
      </c>
      <c r="F155" s="34">
        <f aca="true" t="shared" si="22" ref="F155:P155">F156+F157+F158+F159+F160</f>
        <v>29696180</v>
      </c>
      <c r="G155" s="34">
        <f t="shared" si="22"/>
        <v>21016763</v>
      </c>
      <c r="H155" s="34">
        <f t="shared" si="22"/>
        <v>1776764</v>
      </c>
      <c r="I155" s="34">
        <f t="shared" si="22"/>
        <v>0</v>
      </c>
      <c r="J155" s="34">
        <f t="shared" si="22"/>
        <v>2484920</v>
      </c>
      <c r="K155" s="34">
        <f t="shared" si="22"/>
        <v>1320320</v>
      </c>
      <c r="L155" s="34">
        <f t="shared" si="22"/>
        <v>953732</v>
      </c>
      <c r="M155" s="34">
        <f t="shared" si="22"/>
        <v>0</v>
      </c>
      <c r="N155" s="34">
        <f t="shared" si="22"/>
        <v>1164600</v>
      </c>
      <c r="O155" s="34">
        <f t="shared" si="22"/>
        <v>1160000</v>
      </c>
      <c r="P155" s="34">
        <f t="shared" si="22"/>
        <v>32181100</v>
      </c>
      <c r="Q155" s="91"/>
    </row>
    <row r="156" spans="1:17" s="23" customFormat="1" ht="18" customHeight="1">
      <c r="A156" s="21"/>
      <c r="B156" s="24" t="s">
        <v>11</v>
      </c>
      <c r="C156" s="24" t="s">
        <v>9</v>
      </c>
      <c r="D156" s="25" t="s">
        <v>94</v>
      </c>
      <c r="E156" s="33">
        <f>F156+I156</f>
        <v>489981</v>
      </c>
      <c r="F156" s="33">
        <f>514810-66130+41301</f>
        <v>489981</v>
      </c>
      <c r="G156" s="33">
        <f>324590-16160+33853</f>
        <v>342283</v>
      </c>
      <c r="H156" s="33">
        <v>13469</v>
      </c>
      <c r="I156" s="33"/>
      <c r="J156" s="33">
        <f>K156+N156</f>
        <v>20000</v>
      </c>
      <c r="K156" s="33"/>
      <c r="L156" s="33"/>
      <c r="M156" s="33"/>
      <c r="N156" s="33">
        <v>20000</v>
      </c>
      <c r="O156" s="33">
        <v>20000</v>
      </c>
      <c r="P156" s="33">
        <f>E156+J156</f>
        <v>509981</v>
      </c>
      <c r="Q156" s="91"/>
    </row>
    <row r="157" spans="1:17" s="23" customFormat="1" ht="30" customHeight="1">
      <c r="A157" s="21"/>
      <c r="B157" s="24" t="s">
        <v>111</v>
      </c>
      <c r="C157" s="24" t="s">
        <v>170</v>
      </c>
      <c r="D157" s="25" t="s">
        <v>112</v>
      </c>
      <c r="E157" s="33">
        <f>F157+I157</f>
        <v>1030000</v>
      </c>
      <c r="F157" s="33">
        <f>1000000+30000</f>
        <v>1030000</v>
      </c>
      <c r="G157" s="33"/>
      <c r="H157" s="33"/>
      <c r="I157" s="33"/>
      <c r="J157" s="33">
        <f>K157+N157</f>
        <v>0</v>
      </c>
      <c r="K157" s="34"/>
      <c r="L157" s="34"/>
      <c r="M157" s="34"/>
      <c r="N157" s="34"/>
      <c r="O157" s="34"/>
      <c r="P157" s="33">
        <f>E157+J157</f>
        <v>1030000</v>
      </c>
      <c r="Q157" s="91"/>
    </row>
    <row r="158" spans="1:17" s="23" customFormat="1" ht="23.25" customHeight="1">
      <c r="A158" s="21"/>
      <c r="B158" s="24" t="s">
        <v>113</v>
      </c>
      <c r="C158" s="24" t="s">
        <v>171</v>
      </c>
      <c r="D158" s="25" t="s">
        <v>114</v>
      </c>
      <c r="E158" s="33">
        <f>F158+I158</f>
        <v>10466931</v>
      </c>
      <c r="F158" s="33">
        <f>11452250-1111519+50000+30000+3900+33800+8500</f>
        <v>10466931</v>
      </c>
      <c r="G158" s="33">
        <f>7153760-76280</f>
        <v>7077480</v>
      </c>
      <c r="H158" s="33">
        <v>1039633</v>
      </c>
      <c r="I158" s="33"/>
      <c r="J158" s="33">
        <f>K158+N158</f>
        <v>700500</v>
      </c>
      <c r="K158" s="33">
        <v>21000</v>
      </c>
      <c r="L158" s="33">
        <v>5000</v>
      </c>
      <c r="M158" s="34"/>
      <c r="N158" s="33">
        <f>534500+20000+95000+8500+20000+10000-8500</f>
        <v>679500</v>
      </c>
      <c r="O158" s="33">
        <f>534500+20000+95000+8500+20000+10000-8500</f>
        <v>679500</v>
      </c>
      <c r="P158" s="33">
        <f>E158+J158</f>
        <v>11167431</v>
      </c>
      <c r="Q158" s="91"/>
    </row>
    <row r="159" spans="1:17" s="23" customFormat="1" ht="21.75" customHeight="1">
      <c r="A159" s="21"/>
      <c r="B159" s="24" t="s">
        <v>115</v>
      </c>
      <c r="C159" s="24" t="s">
        <v>154</v>
      </c>
      <c r="D159" s="25" t="s">
        <v>116</v>
      </c>
      <c r="E159" s="33">
        <f>F159+I159</f>
        <v>16950076</v>
      </c>
      <c r="F159" s="33">
        <f>18381740-1481664+16000+3000+33000+18000-20000</f>
        <v>16950076</v>
      </c>
      <c r="G159" s="33">
        <f>12769020+299020</f>
        <v>13068040</v>
      </c>
      <c r="H159" s="33">
        <v>702306</v>
      </c>
      <c r="I159" s="33"/>
      <c r="J159" s="33">
        <f>K159+N159</f>
        <v>1741420</v>
      </c>
      <c r="K159" s="33">
        <v>1299320</v>
      </c>
      <c r="L159" s="33">
        <v>948732</v>
      </c>
      <c r="M159" s="33"/>
      <c r="N159" s="33">
        <f>4600+435500-18000+20000</f>
        <v>442100</v>
      </c>
      <c r="O159" s="33">
        <f>435500-18000+20000</f>
        <v>437500</v>
      </c>
      <c r="P159" s="33">
        <f>E159+J159</f>
        <v>18691496</v>
      </c>
      <c r="Q159" s="91"/>
    </row>
    <row r="160" spans="1:17" s="23" customFormat="1" ht="21.75" customHeight="1">
      <c r="A160" s="21"/>
      <c r="B160" s="24" t="s">
        <v>31</v>
      </c>
      <c r="C160" s="24" t="s">
        <v>141</v>
      </c>
      <c r="D160" s="25" t="s">
        <v>32</v>
      </c>
      <c r="E160" s="33">
        <f>F160+I160</f>
        <v>759192</v>
      </c>
      <c r="F160" s="33">
        <f>967780-215588+7000</f>
        <v>759192</v>
      </c>
      <c r="G160" s="33">
        <f>631635-102675</f>
        <v>528960</v>
      </c>
      <c r="H160" s="33">
        <v>21356</v>
      </c>
      <c r="I160" s="33"/>
      <c r="J160" s="33">
        <f>K160+N160</f>
        <v>23000</v>
      </c>
      <c r="K160" s="34"/>
      <c r="L160" s="34"/>
      <c r="M160" s="34"/>
      <c r="N160" s="33">
        <f>30000-7000</f>
        <v>23000</v>
      </c>
      <c r="O160" s="33">
        <f>30000-7000</f>
        <v>23000</v>
      </c>
      <c r="P160" s="33">
        <f>E160+J160</f>
        <v>782192</v>
      </c>
      <c r="Q160" s="91"/>
    </row>
    <row r="161" spans="1:17" s="23" customFormat="1" ht="28.5">
      <c r="A161" s="21"/>
      <c r="B161" s="28"/>
      <c r="C161" s="28"/>
      <c r="D161" s="29" t="s">
        <v>172</v>
      </c>
      <c r="E161" s="34">
        <f>E162+E164+E165+E166+E167+E168+E169+E171+E172+E173+E174+E175+E176+E177+E178+E179+E180+E181+E163+E170</f>
        <v>40788953.6</v>
      </c>
      <c r="F161" s="34">
        <f aca="true" t="shared" si="23" ref="F161:P161">F162+F164+F165+F166+F167+F168+F169+F171+F172+F173+F174+F175+F176+F177+F178+F179+F180+F181+F163+F170</f>
        <v>19830186.42</v>
      </c>
      <c r="G161" s="34">
        <f t="shared" si="23"/>
        <v>2582444</v>
      </c>
      <c r="H161" s="34">
        <f t="shared" si="23"/>
        <v>7296375</v>
      </c>
      <c r="I161" s="34">
        <f t="shared" si="23"/>
        <v>20958767.18</v>
      </c>
      <c r="J161" s="34">
        <f t="shared" si="23"/>
        <v>110906817.66</v>
      </c>
      <c r="K161" s="34">
        <f t="shared" si="23"/>
        <v>1046200</v>
      </c>
      <c r="L161" s="34">
        <f t="shared" si="23"/>
        <v>0</v>
      </c>
      <c r="M161" s="34">
        <f t="shared" si="23"/>
        <v>0</v>
      </c>
      <c r="N161" s="34">
        <f t="shared" si="23"/>
        <v>109860617.66</v>
      </c>
      <c r="O161" s="34">
        <f t="shared" si="23"/>
        <v>104967150.34</v>
      </c>
      <c r="P161" s="34">
        <f t="shared" si="23"/>
        <v>151695771.26</v>
      </c>
      <c r="Q161" s="91"/>
    </row>
    <row r="162" spans="1:17" s="23" customFormat="1" ht="15">
      <c r="A162" s="21"/>
      <c r="B162" s="24" t="s">
        <v>11</v>
      </c>
      <c r="C162" s="24" t="s">
        <v>9</v>
      </c>
      <c r="D162" s="25" t="s">
        <v>94</v>
      </c>
      <c r="E162" s="33">
        <f>F162+I162</f>
        <v>3510356</v>
      </c>
      <c r="F162" s="33">
        <f>3961890-402720+2500+9255+89813+8189-158571</f>
        <v>3510356</v>
      </c>
      <c r="G162" s="33">
        <f>2675410-22930+59940-129976</f>
        <v>2582444</v>
      </c>
      <c r="H162" s="33">
        <v>118075</v>
      </c>
      <c r="I162" s="33"/>
      <c r="J162" s="33">
        <f>K162+N162</f>
        <v>30000</v>
      </c>
      <c r="K162" s="33"/>
      <c r="L162" s="33"/>
      <c r="M162" s="33"/>
      <c r="N162" s="33">
        <v>30000</v>
      </c>
      <c r="O162" s="33">
        <v>30000</v>
      </c>
      <c r="P162" s="33">
        <f>E162+J162</f>
        <v>3540356</v>
      </c>
      <c r="Q162" s="91"/>
    </row>
    <row r="163" spans="1:17" s="23" customFormat="1" ht="30">
      <c r="A163" s="21"/>
      <c r="B163" s="24" t="s">
        <v>207</v>
      </c>
      <c r="C163" s="24" t="s">
        <v>208</v>
      </c>
      <c r="D163" s="25" t="s">
        <v>209</v>
      </c>
      <c r="E163" s="33">
        <f>F163+I163</f>
        <v>350000</v>
      </c>
      <c r="F163" s="33">
        <v>350000</v>
      </c>
      <c r="G163" s="33"/>
      <c r="H163" s="33"/>
      <c r="I163" s="33"/>
      <c r="J163" s="33">
        <f>K163+N163</f>
        <v>0</v>
      </c>
      <c r="K163" s="33"/>
      <c r="L163" s="33"/>
      <c r="M163" s="33"/>
      <c r="N163" s="33"/>
      <c r="O163" s="33"/>
      <c r="P163" s="33">
        <f>E163+J163</f>
        <v>350000</v>
      </c>
      <c r="Q163" s="91"/>
    </row>
    <row r="164" spans="1:17" s="23" customFormat="1" ht="15">
      <c r="A164" s="21"/>
      <c r="B164" s="24" t="s">
        <v>249</v>
      </c>
      <c r="C164" s="24" t="s">
        <v>173</v>
      </c>
      <c r="D164" s="25" t="s">
        <v>250</v>
      </c>
      <c r="E164" s="33">
        <f aca="true" t="shared" si="24" ref="E164:E181">F164+I164</f>
        <v>1680000</v>
      </c>
      <c r="F164" s="33">
        <f>180000+1500000</f>
        <v>1680000</v>
      </c>
      <c r="G164" s="33"/>
      <c r="H164" s="33"/>
      <c r="I164" s="33"/>
      <c r="J164" s="33">
        <f aca="true" t="shared" si="25" ref="J164:J181">K164+N164</f>
        <v>0</v>
      </c>
      <c r="K164" s="33"/>
      <c r="L164" s="33"/>
      <c r="M164" s="33"/>
      <c r="N164" s="33"/>
      <c r="O164" s="33"/>
      <c r="P164" s="33">
        <f aca="true" t="shared" si="26" ref="P164:P181">E164+J164</f>
        <v>1680000</v>
      </c>
      <c r="Q164" s="91"/>
    </row>
    <row r="165" spans="1:17" s="23" customFormat="1" ht="36" customHeight="1">
      <c r="A165" s="21"/>
      <c r="B165" s="24" t="s">
        <v>117</v>
      </c>
      <c r="C165" s="24" t="s">
        <v>173</v>
      </c>
      <c r="D165" s="25" t="s">
        <v>118</v>
      </c>
      <c r="E165" s="33">
        <f t="shared" si="24"/>
        <v>195000</v>
      </c>
      <c r="F165" s="33">
        <v>195000</v>
      </c>
      <c r="G165" s="34"/>
      <c r="H165" s="34"/>
      <c r="I165" s="34"/>
      <c r="J165" s="33">
        <f t="shared" si="25"/>
        <v>52814931.14</v>
      </c>
      <c r="K165" s="34"/>
      <c r="L165" s="34"/>
      <c r="M165" s="34"/>
      <c r="N165" s="33">
        <f>30000000+6285.14-100000+250000+8000000-1000000+11000000+3000000+81197+34241+43208+1500000</f>
        <v>52814931.14</v>
      </c>
      <c r="O165" s="33">
        <f>30000000+6285.14-100000+250000+8000000-1000000+11000000+3000000+81197+34241+43208+1500000</f>
        <v>52814931.14</v>
      </c>
      <c r="P165" s="33">
        <f t="shared" si="26"/>
        <v>53009931.14</v>
      </c>
      <c r="Q165" s="91"/>
    </row>
    <row r="166" spans="1:17" s="23" customFormat="1" ht="45.75" customHeight="1">
      <c r="A166" s="21"/>
      <c r="B166" s="24" t="s">
        <v>119</v>
      </c>
      <c r="C166" s="24" t="s">
        <v>173</v>
      </c>
      <c r="D166" s="25" t="s">
        <v>120</v>
      </c>
      <c r="E166" s="33">
        <f t="shared" si="24"/>
        <v>0</v>
      </c>
      <c r="F166" s="34"/>
      <c r="G166" s="34"/>
      <c r="H166" s="34"/>
      <c r="I166" s="34"/>
      <c r="J166" s="33">
        <f t="shared" si="25"/>
        <v>6000000</v>
      </c>
      <c r="K166" s="33"/>
      <c r="L166" s="33"/>
      <c r="M166" s="33"/>
      <c r="N166" s="33">
        <f>2000000+1000000+3000000</f>
        <v>6000000</v>
      </c>
      <c r="O166" s="33">
        <f>2000000+1000000+3000000</f>
        <v>6000000</v>
      </c>
      <c r="P166" s="33">
        <f t="shared" si="26"/>
        <v>6000000</v>
      </c>
      <c r="Q166" s="91"/>
    </row>
    <row r="167" spans="1:17" s="23" customFormat="1" ht="28.5" customHeight="1">
      <c r="A167" s="21"/>
      <c r="B167" s="24" t="s">
        <v>121</v>
      </c>
      <c r="C167" s="24" t="s">
        <v>140</v>
      </c>
      <c r="D167" s="25" t="s">
        <v>122</v>
      </c>
      <c r="E167" s="33">
        <f t="shared" si="24"/>
        <v>2445103</v>
      </c>
      <c r="F167" s="33"/>
      <c r="G167" s="34"/>
      <c r="H167" s="34"/>
      <c r="I167" s="33">
        <f>1825100+120003+350000+150000</f>
        <v>2445103</v>
      </c>
      <c r="J167" s="33">
        <f t="shared" si="25"/>
        <v>4094734</v>
      </c>
      <c r="K167" s="34"/>
      <c r="L167" s="34"/>
      <c r="M167" s="34"/>
      <c r="N167" s="33">
        <f>1499312+1630100+300790+664532</f>
        <v>4094734</v>
      </c>
      <c r="O167" s="33">
        <f>1499312+1630100+300790+664532</f>
        <v>4094734</v>
      </c>
      <c r="P167" s="33">
        <f t="shared" si="26"/>
        <v>6539837</v>
      </c>
      <c r="Q167" s="91"/>
    </row>
    <row r="168" spans="1:17" s="23" customFormat="1" ht="21" customHeight="1">
      <c r="A168" s="21"/>
      <c r="B168" s="24" t="s">
        <v>29</v>
      </c>
      <c r="C168" s="24" t="s">
        <v>140</v>
      </c>
      <c r="D168" s="25" t="s">
        <v>30</v>
      </c>
      <c r="E168" s="33">
        <f t="shared" si="24"/>
        <v>27095380.6</v>
      </c>
      <c r="F168" s="33">
        <f>9272300+200000-224000+3000000-9255-365036-1747.2-663250-130000-392229-483368.8+200000-282375+26000-11719-184201.18-419848-121017+20000+30000-141277-6200-125209.4</f>
        <v>9187567.42</v>
      </c>
      <c r="G168" s="33"/>
      <c r="H168" s="33">
        <f>4106300+3000000</f>
        <v>7106300</v>
      </c>
      <c r="I168" s="33">
        <f>15845612+50000+1700000-350000+130000+128000+184201.18+250000-30000</f>
        <v>17907813.18</v>
      </c>
      <c r="J168" s="33">
        <f t="shared" si="25"/>
        <v>20631538.2</v>
      </c>
      <c r="K168" s="33"/>
      <c r="L168" s="33"/>
      <c r="M168" s="33"/>
      <c r="N168" s="33">
        <f>16250000+6500000-731714+1747.2-461123-287161-248820+25000-234505+11719-245322-20000+121017-55500+6200</f>
        <v>20631538.2</v>
      </c>
      <c r="O168" s="33">
        <f>16250000+6500000-731714+1747.2-461123-287161-248820+25000-234505+11719-245322-20000+121017-55500+6200</f>
        <v>20631538.2</v>
      </c>
      <c r="P168" s="33">
        <f t="shared" si="26"/>
        <v>47726918.8</v>
      </c>
      <c r="Q168" s="91"/>
    </row>
    <row r="169" spans="1:17" s="23" customFormat="1" ht="45">
      <c r="A169" s="21"/>
      <c r="B169" s="24" t="s">
        <v>312</v>
      </c>
      <c r="C169" s="24" t="s">
        <v>140</v>
      </c>
      <c r="D169" s="25" t="s">
        <v>313</v>
      </c>
      <c r="E169" s="33">
        <f t="shared" si="24"/>
        <v>0</v>
      </c>
      <c r="F169" s="33"/>
      <c r="G169" s="33"/>
      <c r="H169" s="33"/>
      <c r="I169" s="33"/>
      <c r="J169" s="33">
        <f t="shared" si="25"/>
        <v>845938</v>
      </c>
      <c r="K169" s="33"/>
      <c r="L169" s="33"/>
      <c r="M169" s="33"/>
      <c r="N169" s="33">
        <v>845938</v>
      </c>
      <c r="O169" s="33">
        <v>845938</v>
      </c>
      <c r="P169" s="33">
        <f t="shared" si="26"/>
        <v>845938</v>
      </c>
      <c r="Q169" s="91"/>
    </row>
    <row r="170" spans="1:17" s="23" customFormat="1" ht="60">
      <c r="A170" s="21"/>
      <c r="B170" s="24" t="s">
        <v>326</v>
      </c>
      <c r="C170" s="24" t="s">
        <v>140</v>
      </c>
      <c r="D170" s="25" t="s">
        <v>327</v>
      </c>
      <c r="E170" s="33">
        <f t="shared" si="24"/>
        <v>100000</v>
      </c>
      <c r="F170" s="33"/>
      <c r="G170" s="33"/>
      <c r="H170" s="33"/>
      <c r="I170" s="33">
        <v>100000</v>
      </c>
      <c r="J170" s="33">
        <f t="shared" si="25"/>
        <v>0</v>
      </c>
      <c r="K170" s="33"/>
      <c r="L170" s="33"/>
      <c r="M170" s="33"/>
      <c r="N170" s="33"/>
      <c r="O170" s="33"/>
      <c r="P170" s="33">
        <f t="shared" si="26"/>
        <v>100000</v>
      </c>
      <c r="Q170" s="91"/>
    </row>
    <row r="171" spans="1:17" s="23" customFormat="1" ht="30">
      <c r="A171" s="21"/>
      <c r="B171" s="24" t="s">
        <v>193</v>
      </c>
      <c r="C171" s="24" t="s">
        <v>195</v>
      </c>
      <c r="D171" s="25" t="s">
        <v>194</v>
      </c>
      <c r="E171" s="33">
        <f t="shared" si="24"/>
        <v>465000</v>
      </c>
      <c r="F171" s="33"/>
      <c r="G171" s="34"/>
      <c r="H171" s="34"/>
      <c r="I171" s="33">
        <v>465000</v>
      </c>
      <c r="J171" s="33">
        <f t="shared" si="25"/>
        <v>0</v>
      </c>
      <c r="K171" s="33"/>
      <c r="L171" s="34"/>
      <c r="M171" s="34"/>
      <c r="N171" s="33"/>
      <c r="O171" s="33"/>
      <c r="P171" s="33">
        <f t="shared" si="26"/>
        <v>465000</v>
      </c>
      <c r="Q171" s="91"/>
    </row>
    <row r="172" spans="1:17" s="23" customFormat="1" ht="15">
      <c r="A172" s="21"/>
      <c r="B172" s="24" t="s">
        <v>123</v>
      </c>
      <c r="C172" s="24" t="s">
        <v>174</v>
      </c>
      <c r="D172" s="25" t="s">
        <v>124</v>
      </c>
      <c r="E172" s="33">
        <f t="shared" si="24"/>
        <v>1690851</v>
      </c>
      <c r="F172" s="33">
        <f>180000+1500000+10851-10851</f>
        <v>1680000</v>
      </c>
      <c r="G172" s="34"/>
      <c r="H172" s="34"/>
      <c r="I172" s="33">
        <v>10851</v>
      </c>
      <c r="J172" s="33">
        <f t="shared" si="25"/>
        <v>0</v>
      </c>
      <c r="K172" s="33"/>
      <c r="L172" s="34"/>
      <c r="M172" s="34"/>
      <c r="N172" s="33"/>
      <c r="O172" s="33"/>
      <c r="P172" s="33">
        <f t="shared" si="26"/>
        <v>1690851</v>
      </c>
      <c r="Q172" s="91"/>
    </row>
    <row r="173" spans="1:17" s="23" customFormat="1" ht="24" customHeight="1">
      <c r="A173" s="21"/>
      <c r="B173" s="24" t="s">
        <v>125</v>
      </c>
      <c r="C173" s="24" t="s">
        <v>175</v>
      </c>
      <c r="D173" s="25" t="s">
        <v>126</v>
      </c>
      <c r="E173" s="33">
        <f t="shared" si="24"/>
        <v>1030000</v>
      </c>
      <c r="F173" s="33">
        <f>530000+500000-30000</f>
        <v>1000000</v>
      </c>
      <c r="G173" s="34"/>
      <c r="H173" s="34"/>
      <c r="I173" s="33">
        <v>30000</v>
      </c>
      <c r="J173" s="33">
        <f t="shared" si="25"/>
        <v>0</v>
      </c>
      <c r="K173" s="34"/>
      <c r="L173" s="34"/>
      <c r="M173" s="34"/>
      <c r="N173" s="34"/>
      <c r="O173" s="34"/>
      <c r="P173" s="33">
        <f t="shared" si="26"/>
        <v>1030000</v>
      </c>
      <c r="Q173" s="91"/>
    </row>
    <row r="174" spans="1:17" s="23" customFormat="1" ht="53.25" customHeight="1">
      <c r="A174" s="21"/>
      <c r="B174" s="24" t="s">
        <v>48</v>
      </c>
      <c r="C174" s="24" t="s">
        <v>145</v>
      </c>
      <c r="D174" s="25" t="s">
        <v>49</v>
      </c>
      <c r="E174" s="33">
        <f t="shared" si="24"/>
        <v>0</v>
      </c>
      <c r="F174" s="33"/>
      <c r="G174" s="34"/>
      <c r="H174" s="34"/>
      <c r="I174" s="34"/>
      <c r="J174" s="33">
        <f t="shared" si="25"/>
        <v>19799509</v>
      </c>
      <c r="K174" s="34"/>
      <c r="L174" s="34"/>
      <c r="M174" s="34"/>
      <c r="N174" s="33">
        <f>12363400+2550000+4260750+319200+14159+292000</f>
        <v>19799509</v>
      </c>
      <c r="O174" s="33">
        <f>12363400+2550000+4260750+319200+14159+292000</f>
        <v>19799509</v>
      </c>
      <c r="P174" s="33">
        <f t="shared" si="26"/>
        <v>19799509</v>
      </c>
      <c r="Q174" s="91"/>
    </row>
    <row r="175" spans="1:17" s="23" customFormat="1" ht="15" customHeight="1">
      <c r="A175" s="21"/>
      <c r="B175" s="24" t="s">
        <v>196</v>
      </c>
      <c r="C175" s="24" t="s">
        <v>156</v>
      </c>
      <c r="D175" s="25" t="s">
        <v>81</v>
      </c>
      <c r="E175" s="33">
        <f t="shared" si="24"/>
        <v>158800</v>
      </c>
      <c r="F175" s="33">
        <f>410000-251200</f>
        <v>158800</v>
      </c>
      <c r="G175" s="34"/>
      <c r="H175" s="34"/>
      <c r="I175" s="34"/>
      <c r="J175" s="33">
        <f t="shared" si="25"/>
        <v>0</v>
      </c>
      <c r="K175" s="34"/>
      <c r="L175" s="34"/>
      <c r="M175" s="34"/>
      <c r="N175" s="33"/>
      <c r="O175" s="33"/>
      <c r="P175" s="33">
        <f t="shared" si="26"/>
        <v>158800</v>
      </c>
      <c r="Q175" s="91"/>
    </row>
    <row r="176" spans="1:17" s="23" customFormat="1" ht="36" customHeight="1">
      <c r="A176" s="21"/>
      <c r="B176" s="24" t="s">
        <v>127</v>
      </c>
      <c r="C176" s="24" t="s">
        <v>176</v>
      </c>
      <c r="D176" s="25" t="s">
        <v>128</v>
      </c>
      <c r="E176" s="33">
        <f t="shared" si="24"/>
        <v>0</v>
      </c>
      <c r="F176" s="33"/>
      <c r="G176" s="33"/>
      <c r="H176" s="33"/>
      <c r="I176" s="33"/>
      <c r="J176" s="33">
        <f t="shared" si="25"/>
        <v>5200738</v>
      </c>
      <c r="K176" s="33">
        <f>350000+120000</f>
        <v>470000</v>
      </c>
      <c r="L176" s="33"/>
      <c r="M176" s="33"/>
      <c r="N176" s="33">
        <f>54000+1184200+3492538</f>
        <v>4730738</v>
      </c>
      <c r="O176" s="33"/>
      <c r="P176" s="33">
        <f t="shared" si="26"/>
        <v>5200738</v>
      </c>
      <c r="Q176" s="91"/>
    </row>
    <row r="177" spans="1:17" s="23" customFormat="1" ht="15">
      <c r="A177" s="21"/>
      <c r="B177" s="24" t="s">
        <v>306</v>
      </c>
      <c r="C177" s="24" t="s">
        <v>307</v>
      </c>
      <c r="D177" s="25" t="s">
        <v>308</v>
      </c>
      <c r="E177" s="33">
        <f t="shared" si="24"/>
        <v>0</v>
      </c>
      <c r="F177" s="33"/>
      <c r="G177" s="33"/>
      <c r="H177" s="33"/>
      <c r="I177" s="33"/>
      <c r="J177" s="33">
        <f t="shared" si="25"/>
        <v>250000</v>
      </c>
      <c r="K177" s="33">
        <v>250000</v>
      </c>
      <c r="L177" s="33"/>
      <c r="M177" s="33"/>
      <c r="N177" s="33"/>
      <c r="O177" s="33"/>
      <c r="P177" s="33">
        <f t="shared" si="26"/>
        <v>250000</v>
      </c>
      <c r="Q177" s="91"/>
    </row>
    <row r="178" spans="1:17" s="23" customFormat="1" ht="15">
      <c r="A178" s="21"/>
      <c r="B178" s="24" t="s">
        <v>311</v>
      </c>
      <c r="C178" s="24" t="s">
        <v>156</v>
      </c>
      <c r="D178" s="25" t="s">
        <v>81</v>
      </c>
      <c r="E178" s="33">
        <f t="shared" si="24"/>
        <v>0</v>
      </c>
      <c r="F178" s="33"/>
      <c r="G178" s="33"/>
      <c r="H178" s="33"/>
      <c r="I178" s="33"/>
      <c r="J178" s="33">
        <f t="shared" si="25"/>
        <v>251200</v>
      </c>
      <c r="K178" s="33">
        <v>251200</v>
      </c>
      <c r="L178" s="33"/>
      <c r="M178" s="33"/>
      <c r="N178" s="33"/>
      <c r="O178" s="33"/>
      <c r="P178" s="33">
        <f t="shared" si="26"/>
        <v>251200</v>
      </c>
      <c r="Q178" s="91"/>
    </row>
    <row r="179" spans="1:17" s="23" customFormat="1" ht="70.5" customHeight="1">
      <c r="A179" s="21"/>
      <c r="B179" s="24" t="s">
        <v>56</v>
      </c>
      <c r="C179" s="24" t="s">
        <v>149</v>
      </c>
      <c r="D179" s="25" t="s">
        <v>57</v>
      </c>
      <c r="E179" s="33">
        <f t="shared" si="24"/>
        <v>0</v>
      </c>
      <c r="F179" s="33"/>
      <c r="G179" s="33"/>
      <c r="H179" s="33"/>
      <c r="I179" s="33"/>
      <c r="J179" s="33">
        <f t="shared" si="25"/>
        <v>237729.32</v>
      </c>
      <c r="K179" s="33">
        <v>75000</v>
      </c>
      <c r="L179" s="33"/>
      <c r="M179" s="33"/>
      <c r="N179" s="33">
        <v>162729.32</v>
      </c>
      <c r="O179" s="34"/>
      <c r="P179" s="33">
        <f t="shared" si="26"/>
        <v>237729.32</v>
      </c>
      <c r="Q179" s="91"/>
    </row>
    <row r="180" spans="1:17" s="23" customFormat="1" ht="15">
      <c r="A180" s="21"/>
      <c r="B180" s="24" t="s">
        <v>135</v>
      </c>
      <c r="C180" s="24" t="s">
        <v>180</v>
      </c>
      <c r="D180" s="32" t="s">
        <v>136</v>
      </c>
      <c r="E180" s="33">
        <f t="shared" si="24"/>
        <v>229500</v>
      </c>
      <c r="F180" s="33">
        <v>229500</v>
      </c>
      <c r="G180" s="33"/>
      <c r="H180" s="33"/>
      <c r="I180" s="33"/>
      <c r="J180" s="33">
        <f t="shared" si="25"/>
        <v>750500</v>
      </c>
      <c r="K180" s="33"/>
      <c r="L180" s="33"/>
      <c r="M180" s="33"/>
      <c r="N180" s="33">
        <v>750500</v>
      </c>
      <c r="O180" s="33">
        <v>750500</v>
      </c>
      <c r="P180" s="33">
        <f t="shared" si="26"/>
        <v>980000</v>
      </c>
      <c r="Q180" s="91"/>
    </row>
    <row r="181" spans="1:17" s="23" customFormat="1" ht="15">
      <c r="A181" s="21"/>
      <c r="B181" s="24" t="s">
        <v>58</v>
      </c>
      <c r="C181" s="24" t="s">
        <v>149</v>
      </c>
      <c r="D181" s="25" t="s">
        <v>26</v>
      </c>
      <c r="E181" s="33">
        <f t="shared" si="24"/>
        <v>1838963</v>
      </c>
      <c r="F181" s="33">
        <f>1429000+258120+1920+67223+82700</f>
        <v>1838963</v>
      </c>
      <c r="G181" s="34"/>
      <c r="H181" s="33">
        <v>72000</v>
      </c>
      <c r="I181" s="34"/>
      <c r="J181" s="33">
        <f t="shared" si="25"/>
        <v>0</v>
      </c>
      <c r="K181" s="34"/>
      <c r="L181" s="34"/>
      <c r="M181" s="34"/>
      <c r="N181" s="34"/>
      <c r="O181" s="34"/>
      <c r="P181" s="33">
        <f t="shared" si="26"/>
        <v>1838963</v>
      </c>
      <c r="Q181" s="91"/>
    </row>
    <row r="182" spans="1:17" s="23" customFormat="1" ht="28.5">
      <c r="A182" s="21"/>
      <c r="B182" s="28"/>
      <c r="C182" s="28"/>
      <c r="D182" s="29" t="s">
        <v>177</v>
      </c>
      <c r="E182" s="34">
        <f>E183+E184+E185</f>
        <v>1116779.27</v>
      </c>
      <c r="F182" s="34">
        <f aca="true" t="shared" si="27" ref="F182:P182">F183+F184+F185</f>
        <v>1116779.27</v>
      </c>
      <c r="G182" s="34">
        <f t="shared" si="27"/>
        <v>668264</v>
      </c>
      <c r="H182" s="34">
        <f t="shared" si="27"/>
        <v>86525</v>
      </c>
      <c r="I182" s="34">
        <f t="shared" si="27"/>
        <v>0</v>
      </c>
      <c r="J182" s="34">
        <f t="shared" si="27"/>
        <v>0</v>
      </c>
      <c r="K182" s="34">
        <f t="shared" si="27"/>
        <v>0</v>
      </c>
      <c r="L182" s="34">
        <f t="shared" si="27"/>
        <v>0</v>
      </c>
      <c r="M182" s="34">
        <f t="shared" si="27"/>
        <v>0</v>
      </c>
      <c r="N182" s="34">
        <f t="shared" si="27"/>
        <v>0</v>
      </c>
      <c r="O182" s="34">
        <f t="shared" si="27"/>
        <v>0</v>
      </c>
      <c r="P182" s="34">
        <f t="shared" si="27"/>
        <v>1116779.27</v>
      </c>
      <c r="Q182" s="91"/>
    </row>
    <row r="183" spans="1:17" s="23" customFormat="1" ht="15">
      <c r="A183" s="21"/>
      <c r="B183" s="24" t="s">
        <v>11</v>
      </c>
      <c r="C183" s="24" t="s">
        <v>9</v>
      </c>
      <c r="D183" s="25" t="s">
        <v>16</v>
      </c>
      <c r="E183" s="33">
        <f>F183+I183</f>
        <v>994690</v>
      </c>
      <c r="F183" s="33">
        <f>2737690-357480-1385520</f>
        <v>994690</v>
      </c>
      <c r="G183" s="33">
        <f>1763030-86370-1008396</f>
        <v>668264</v>
      </c>
      <c r="H183" s="33">
        <f>154189-67664</f>
        <v>86525</v>
      </c>
      <c r="I183" s="33"/>
      <c r="J183" s="33">
        <f>K183+N183</f>
        <v>0</v>
      </c>
      <c r="K183" s="33"/>
      <c r="L183" s="33"/>
      <c r="M183" s="33"/>
      <c r="N183" s="33">
        <f>20000-20000</f>
        <v>0</v>
      </c>
      <c r="O183" s="33">
        <f>20000-20000</f>
        <v>0</v>
      </c>
      <c r="P183" s="33">
        <f>E183+J183</f>
        <v>994690</v>
      </c>
      <c r="Q183" s="91"/>
    </row>
    <row r="184" spans="1:17" s="23" customFormat="1" ht="15">
      <c r="A184" s="21"/>
      <c r="B184" s="24" t="s">
        <v>123</v>
      </c>
      <c r="C184" s="24" t="s">
        <v>174</v>
      </c>
      <c r="D184" s="25" t="s">
        <v>124</v>
      </c>
      <c r="E184" s="33">
        <f>F184+I184</f>
        <v>9300</v>
      </c>
      <c r="F184" s="33">
        <f>10500-1200</f>
        <v>9300</v>
      </c>
      <c r="G184" s="34"/>
      <c r="H184" s="34"/>
      <c r="I184" s="34"/>
      <c r="J184" s="33">
        <f>K184+N184</f>
        <v>0</v>
      </c>
      <c r="K184" s="34"/>
      <c r="L184" s="34"/>
      <c r="M184" s="34"/>
      <c r="N184" s="34"/>
      <c r="O184" s="34"/>
      <c r="P184" s="33">
        <f>E184+J184</f>
        <v>9300</v>
      </c>
      <c r="Q184" s="91"/>
    </row>
    <row r="185" spans="1:17" s="23" customFormat="1" ht="15">
      <c r="A185" s="21"/>
      <c r="B185" s="24" t="s">
        <v>58</v>
      </c>
      <c r="C185" s="24" t="s">
        <v>149</v>
      </c>
      <c r="D185" s="25" t="s">
        <v>26</v>
      </c>
      <c r="E185" s="33">
        <f>F185+I185</f>
        <v>112789.26999999999</v>
      </c>
      <c r="F185" s="33">
        <f>360000-247210.73</f>
        <v>112789.26999999999</v>
      </c>
      <c r="G185" s="34"/>
      <c r="H185" s="33"/>
      <c r="I185" s="34"/>
      <c r="J185" s="33">
        <f>K185+N185</f>
        <v>0</v>
      </c>
      <c r="K185" s="34"/>
      <c r="L185" s="34"/>
      <c r="M185" s="34"/>
      <c r="N185" s="34"/>
      <c r="O185" s="34"/>
      <c r="P185" s="33">
        <f>E185+J185</f>
        <v>112789.26999999999</v>
      </c>
      <c r="Q185" s="91"/>
    </row>
    <row r="186" spans="1:17" s="23" customFormat="1" ht="42.75">
      <c r="A186" s="21"/>
      <c r="B186" s="28"/>
      <c r="C186" s="28"/>
      <c r="D186" s="29" t="s">
        <v>331</v>
      </c>
      <c r="E186" s="34">
        <f>E187+E188+E189</f>
        <v>2664858.73</v>
      </c>
      <c r="F186" s="34">
        <f aca="true" t="shared" si="28" ref="F186:P186">F187+F188+F189</f>
        <v>2664858.73</v>
      </c>
      <c r="G186" s="34">
        <f t="shared" si="28"/>
        <v>1792184</v>
      </c>
      <c r="H186" s="34">
        <f t="shared" si="28"/>
        <v>109253</v>
      </c>
      <c r="I186" s="34">
        <f t="shared" si="28"/>
        <v>0</v>
      </c>
      <c r="J186" s="34">
        <f t="shared" si="28"/>
        <v>381000</v>
      </c>
      <c r="K186" s="34">
        <f t="shared" si="28"/>
        <v>0</v>
      </c>
      <c r="L186" s="34">
        <f t="shared" si="28"/>
        <v>0</v>
      </c>
      <c r="M186" s="34">
        <f t="shared" si="28"/>
        <v>0</v>
      </c>
      <c r="N186" s="34">
        <f t="shared" si="28"/>
        <v>381000</v>
      </c>
      <c r="O186" s="34">
        <f t="shared" si="28"/>
        <v>381000</v>
      </c>
      <c r="P186" s="34">
        <f t="shared" si="28"/>
        <v>3045858.73</v>
      </c>
      <c r="Q186" s="91"/>
    </row>
    <row r="187" spans="1:17" s="23" customFormat="1" ht="15">
      <c r="A187" s="21"/>
      <c r="B187" s="24" t="s">
        <v>11</v>
      </c>
      <c r="C187" s="24" t="s">
        <v>9</v>
      </c>
      <c r="D187" s="25" t="s">
        <v>16</v>
      </c>
      <c r="E187" s="33">
        <f>F187+I187</f>
        <v>2416448</v>
      </c>
      <c r="F187" s="33">
        <v>2416448</v>
      </c>
      <c r="G187" s="33">
        <v>1792184</v>
      </c>
      <c r="H187" s="33">
        <v>109253</v>
      </c>
      <c r="I187" s="33"/>
      <c r="J187" s="33">
        <f>K187+N187</f>
        <v>240000</v>
      </c>
      <c r="K187" s="33"/>
      <c r="L187" s="33"/>
      <c r="M187" s="33"/>
      <c r="N187" s="33">
        <v>240000</v>
      </c>
      <c r="O187" s="33">
        <v>240000</v>
      </c>
      <c r="P187" s="33">
        <f>E187+J187</f>
        <v>2656448</v>
      </c>
      <c r="Q187" s="91"/>
    </row>
    <row r="188" spans="1:17" s="23" customFormat="1" ht="15">
      <c r="A188" s="21"/>
      <c r="B188" s="24" t="s">
        <v>123</v>
      </c>
      <c r="C188" s="24" t="s">
        <v>174</v>
      </c>
      <c r="D188" s="25" t="s">
        <v>124</v>
      </c>
      <c r="E188" s="33">
        <f>F188+I188</f>
        <v>1200</v>
      </c>
      <c r="F188" s="33">
        <v>1200</v>
      </c>
      <c r="G188" s="34"/>
      <c r="H188" s="34"/>
      <c r="I188" s="34"/>
      <c r="J188" s="33">
        <f>K188+N188</f>
        <v>141000</v>
      </c>
      <c r="K188" s="34"/>
      <c r="L188" s="34"/>
      <c r="M188" s="34"/>
      <c r="N188" s="33">
        <v>141000</v>
      </c>
      <c r="O188" s="33">
        <v>141000</v>
      </c>
      <c r="P188" s="33">
        <f>E188+J188</f>
        <v>142200</v>
      </c>
      <c r="Q188" s="91"/>
    </row>
    <row r="189" spans="1:17" s="23" customFormat="1" ht="15">
      <c r="A189" s="21"/>
      <c r="B189" s="24" t="s">
        <v>58</v>
      </c>
      <c r="C189" s="24" t="s">
        <v>149</v>
      </c>
      <c r="D189" s="25" t="s">
        <v>26</v>
      </c>
      <c r="E189" s="33">
        <f>F189+I189</f>
        <v>247210.73</v>
      </c>
      <c r="F189" s="33">
        <v>247210.73</v>
      </c>
      <c r="G189" s="34"/>
      <c r="H189" s="33"/>
      <c r="I189" s="34"/>
      <c r="J189" s="33">
        <f>K189+N189</f>
        <v>0</v>
      </c>
      <c r="K189" s="34"/>
      <c r="L189" s="34"/>
      <c r="M189" s="34"/>
      <c r="N189" s="33"/>
      <c r="O189" s="33"/>
      <c r="P189" s="33">
        <f>E189+J189</f>
        <v>247210.73</v>
      </c>
      <c r="Q189" s="91"/>
    </row>
    <row r="190" spans="1:17" s="23" customFormat="1" ht="42.75">
      <c r="A190" s="21"/>
      <c r="B190" s="28"/>
      <c r="C190" s="28"/>
      <c r="D190" s="29" t="s">
        <v>178</v>
      </c>
      <c r="E190" s="34">
        <f>E191+E192+E193+E194+E198+E199+E202+E203+E201+E196+E200+E197+E195</f>
        <v>60807926</v>
      </c>
      <c r="F190" s="34">
        <f aca="true" t="shared" si="29" ref="F190:P190">F191+F192+F193+F194+F198+F199+F202+F203+F201+F196+F200+F197+F195</f>
        <v>60607926</v>
      </c>
      <c r="G190" s="34">
        <f t="shared" si="29"/>
        <v>0</v>
      </c>
      <c r="H190" s="34">
        <f t="shared" si="29"/>
        <v>0</v>
      </c>
      <c r="I190" s="34">
        <f t="shared" si="29"/>
        <v>200000</v>
      </c>
      <c r="J190" s="34">
        <f t="shared" si="29"/>
        <v>230884306.47</v>
      </c>
      <c r="K190" s="34">
        <f t="shared" si="29"/>
        <v>2316191.53</v>
      </c>
      <c r="L190" s="34">
        <f t="shared" si="29"/>
        <v>1413770</v>
      </c>
      <c r="M190" s="34">
        <f t="shared" si="29"/>
        <v>50946</v>
      </c>
      <c r="N190" s="34">
        <f t="shared" si="29"/>
        <v>228568114.94</v>
      </c>
      <c r="O190" s="34">
        <f t="shared" si="29"/>
        <v>226121284.94</v>
      </c>
      <c r="P190" s="34">
        <f t="shared" si="29"/>
        <v>291692232.46999997</v>
      </c>
      <c r="Q190" s="91"/>
    </row>
    <row r="191" spans="1:17" s="23" customFormat="1" ht="16.5" customHeight="1">
      <c r="A191" s="21"/>
      <c r="B191" s="24" t="s">
        <v>11</v>
      </c>
      <c r="C191" s="24" t="s">
        <v>9</v>
      </c>
      <c r="D191" s="25" t="s">
        <v>94</v>
      </c>
      <c r="E191" s="33">
        <f>F191+I191</f>
        <v>0</v>
      </c>
      <c r="F191" s="33"/>
      <c r="G191" s="33"/>
      <c r="H191" s="33"/>
      <c r="I191" s="33"/>
      <c r="J191" s="33">
        <f>K191+N191</f>
        <v>2380664</v>
      </c>
      <c r="K191" s="33">
        <v>2280164</v>
      </c>
      <c r="L191" s="33">
        <v>1413770</v>
      </c>
      <c r="M191" s="33">
        <v>50946</v>
      </c>
      <c r="N191" s="33">
        <v>100500</v>
      </c>
      <c r="O191" s="33"/>
      <c r="P191" s="33">
        <f>E191+J191</f>
        <v>2380664</v>
      </c>
      <c r="Q191" s="91"/>
    </row>
    <row r="192" spans="1:17" s="23" customFormat="1" ht="21" customHeight="1">
      <c r="A192" s="21"/>
      <c r="B192" s="24" t="s">
        <v>82</v>
      </c>
      <c r="C192" s="24" t="s">
        <v>158</v>
      </c>
      <c r="D192" s="25" t="s">
        <v>83</v>
      </c>
      <c r="E192" s="33">
        <f aca="true" t="shared" si="30" ref="E192:E203">F192+I192</f>
        <v>0</v>
      </c>
      <c r="F192" s="33"/>
      <c r="G192" s="33"/>
      <c r="H192" s="33"/>
      <c r="I192" s="33"/>
      <c r="J192" s="33">
        <f aca="true" t="shared" si="31" ref="J192:J203">K192+N192</f>
        <v>1724000</v>
      </c>
      <c r="K192" s="33"/>
      <c r="L192" s="33"/>
      <c r="M192" s="33"/>
      <c r="N192" s="33">
        <v>1724000</v>
      </c>
      <c r="O192" s="33">
        <v>1724000</v>
      </c>
      <c r="P192" s="33">
        <f aca="true" t="shared" si="32" ref="P192:P203">E192+J192</f>
        <v>1724000</v>
      </c>
      <c r="Q192" s="91"/>
    </row>
    <row r="193" spans="1:17" s="23" customFormat="1" ht="21.75" customHeight="1">
      <c r="A193" s="21"/>
      <c r="B193" s="24" t="s">
        <v>29</v>
      </c>
      <c r="C193" s="24" t="s">
        <v>140</v>
      </c>
      <c r="D193" s="25" t="s">
        <v>30</v>
      </c>
      <c r="E193" s="33">
        <f t="shared" si="30"/>
        <v>60300000</v>
      </c>
      <c r="F193" s="33">
        <f>30000000+30000000+300000</f>
        <v>60300000</v>
      </c>
      <c r="G193" s="34"/>
      <c r="H193" s="34"/>
      <c r="I193" s="34"/>
      <c r="J193" s="33">
        <f t="shared" si="31"/>
        <v>71252200</v>
      </c>
      <c r="K193" s="34"/>
      <c r="L193" s="34"/>
      <c r="M193" s="34"/>
      <c r="N193" s="33">
        <f>35000000+15974673+277527+20000000</f>
        <v>71252200</v>
      </c>
      <c r="O193" s="33">
        <f>35000000+15974673+277527+20000000</f>
        <v>71252200</v>
      </c>
      <c r="P193" s="33">
        <f t="shared" si="32"/>
        <v>131552200</v>
      </c>
      <c r="Q193" s="91"/>
    </row>
    <row r="194" spans="1:17" s="23" customFormat="1" ht="24" customHeight="1">
      <c r="A194" s="21"/>
      <c r="B194" s="24" t="s">
        <v>129</v>
      </c>
      <c r="C194" s="24" t="s">
        <v>145</v>
      </c>
      <c r="D194" s="25" t="s">
        <v>130</v>
      </c>
      <c r="E194" s="33">
        <f t="shared" si="30"/>
        <v>0</v>
      </c>
      <c r="F194" s="34"/>
      <c r="G194" s="34"/>
      <c r="H194" s="34"/>
      <c r="I194" s="34"/>
      <c r="J194" s="33">
        <f t="shared" si="31"/>
        <v>140945084.94</v>
      </c>
      <c r="K194" s="33"/>
      <c r="L194" s="33"/>
      <c r="M194" s="33"/>
      <c r="N194" s="33">
        <f>67500000.94+9417041+15082000+19829065.59+8122934.41+2000000+472250+7365000+185923+9210370+1480000+50000+87000-200000+300000+43500</f>
        <v>140945084.94</v>
      </c>
      <c r="O194" s="33">
        <f>67500000.94+9417041+15082000+19829065.59+8122934.41+2000000+472250+7365000+185923+9210370+1480000+50000+87000-200000+300000+43500</f>
        <v>140945084.94</v>
      </c>
      <c r="P194" s="33">
        <f t="shared" si="32"/>
        <v>140945084.94</v>
      </c>
      <c r="Q194" s="91"/>
    </row>
    <row r="195" spans="1:17" s="23" customFormat="1" ht="28.5" customHeight="1">
      <c r="A195" s="21"/>
      <c r="B195" s="24" t="s">
        <v>341</v>
      </c>
      <c r="C195" s="24" t="s">
        <v>141</v>
      </c>
      <c r="D195" s="25" t="s">
        <v>342</v>
      </c>
      <c r="E195" s="33">
        <f>F195+I195</f>
        <v>0</v>
      </c>
      <c r="F195" s="34"/>
      <c r="G195" s="34"/>
      <c r="H195" s="34"/>
      <c r="I195" s="34"/>
      <c r="J195" s="33">
        <f>K195+N195</f>
        <v>200000</v>
      </c>
      <c r="K195" s="33"/>
      <c r="L195" s="33"/>
      <c r="M195" s="33"/>
      <c r="N195" s="33">
        <v>200000</v>
      </c>
      <c r="O195" s="33">
        <v>200000</v>
      </c>
      <c r="P195" s="33">
        <f>E195+J195</f>
        <v>200000</v>
      </c>
      <c r="Q195" s="91"/>
    </row>
    <row r="196" spans="1:17" s="23" customFormat="1" ht="30">
      <c r="A196" s="21"/>
      <c r="B196" s="24" t="s">
        <v>193</v>
      </c>
      <c r="C196" s="24" t="s">
        <v>195</v>
      </c>
      <c r="D196" s="25" t="s">
        <v>194</v>
      </c>
      <c r="E196" s="33">
        <f t="shared" si="30"/>
        <v>200000</v>
      </c>
      <c r="F196" s="34"/>
      <c r="G196" s="34"/>
      <c r="H196" s="34"/>
      <c r="I196" s="33">
        <v>200000</v>
      </c>
      <c r="J196" s="33">
        <f t="shared" si="31"/>
        <v>0</v>
      </c>
      <c r="K196" s="33"/>
      <c r="L196" s="33"/>
      <c r="M196" s="33"/>
      <c r="N196" s="33"/>
      <c r="O196" s="33"/>
      <c r="P196" s="33">
        <f t="shared" si="32"/>
        <v>200000</v>
      </c>
      <c r="Q196" s="91"/>
    </row>
    <row r="197" spans="1:17" s="23" customFormat="1" ht="15">
      <c r="A197" s="21"/>
      <c r="B197" s="24" t="s">
        <v>123</v>
      </c>
      <c r="C197" s="24" t="s">
        <v>174</v>
      </c>
      <c r="D197" s="25" t="s">
        <v>124</v>
      </c>
      <c r="E197" s="33">
        <f t="shared" si="30"/>
        <v>35000</v>
      </c>
      <c r="F197" s="33">
        <v>35000</v>
      </c>
      <c r="G197" s="34"/>
      <c r="H197" s="34"/>
      <c r="I197" s="33"/>
      <c r="J197" s="33">
        <f t="shared" si="31"/>
        <v>0</v>
      </c>
      <c r="K197" s="33"/>
      <c r="L197" s="33"/>
      <c r="M197" s="33"/>
      <c r="N197" s="33"/>
      <c r="O197" s="33"/>
      <c r="P197" s="33">
        <f t="shared" si="32"/>
        <v>35000</v>
      </c>
      <c r="Q197" s="91"/>
    </row>
    <row r="198" spans="1:17" s="23" customFormat="1" ht="74.25" customHeight="1">
      <c r="A198" s="21"/>
      <c r="B198" s="24" t="s">
        <v>48</v>
      </c>
      <c r="C198" s="24" t="s">
        <v>145</v>
      </c>
      <c r="D198" s="25" t="s">
        <v>49</v>
      </c>
      <c r="E198" s="33">
        <f t="shared" si="30"/>
        <v>0</v>
      </c>
      <c r="F198" s="34"/>
      <c r="G198" s="34"/>
      <c r="H198" s="34"/>
      <c r="I198" s="34"/>
      <c r="J198" s="33">
        <f t="shared" si="31"/>
        <v>12000000</v>
      </c>
      <c r="K198" s="33"/>
      <c r="L198" s="33"/>
      <c r="M198" s="33"/>
      <c r="N198" s="33">
        <f>6750000+5250000</f>
        <v>12000000</v>
      </c>
      <c r="O198" s="33">
        <f>6750000+5250000</f>
        <v>12000000</v>
      </c>
      <c r="P198" s="33">
        <f t="shared" si="32"/>
        <v>12000000</v>
      </c>
      <c r="Q198" s="91"/>
    </row>
    <row r="199" spans="1:17" s="23" customFormat="1" ht="33" customHeight="1">
      <c r="A199" s="21"/>
      <c r="B199" s="24" t="s">
        <v>127</v>
      </c>
      <c r="C199" s="24" t="s">
        <v>176</v>
      </c>
      <c r="D199" s="25" t="s">
        <v>128</v>
      </c>
      <c r="E199" s="33">
        <f t="shared" si="30"/>
        <v>0</v>
      </c>
      <c r="F199" s="34"/>
      <c r="G199" s="34"/>
      <c r="H199" s="34"/>
      <c r="I199" s="34"/>
      <c r="J199" s="33">
        <f t="shared" si="31"/>
        <v>606000</v>
      </c>
      <c r="K199" s="33"/>
      <c r="L199" s="33"/>
      <c r="M199" s="33"/>
      <c r="N199" s="33">
        <f>126000+480000</f>
        <v>606000</v>
      </c>
      <c r="O199" s="33"/>
      <c r="P199" s="33">
        <f t="shared" si="32"/>
        <v>606000</v>
      </c>
      <c r="Q199" s="91"/>
    </row>
    <row r="200" spans="1:17" s="23" customFormat="1" ht="33" customHeight="1">
      <c r="A200" s="21"/>
      <c r="B200" s="24" t="s">
        <v>321</v>
      </c>
      <c r="C200" s="24" t="s">
        <v>323</v>
      </c>
      <c r="D200" s="25" t="s">
        <v>322</v>
      </c>
      <c r="E200" s="33">
        <f t="shared" si="30"/>
        <v>0</v>
      </c>
      <c r="F200" s="34"/>
      <c r="G200" s="34"/>
      <c r="H200" s="34"/>
      <c r="I200" s="34"/>
      <c r="J200" s="33">
        <f t="shared" si="31"/>
        <v>1340330</v>
      </c>
      <c r="K200" s="33"/>
      <c r="L200" s="33"/>
      <c r="M200" s="33"/>
      <c r="N200" s="33">
        <v>1340330</v>
      </c>
      <c r="O200" s="33"/>
      <c r="P200" s="33">
        <f t="shared" si="32"/>
        <v>1340330</v>
      </c>
      <c r="Q200" s="91"/>
    </row>
    <row r="201" spans="1:17" s="23" customFormat="1" ht="33" customHeight="1">
      <c r="A201" s="21"/>
      <c r="B201" s="24" t="s">
        <v>311</v>
      </c>
      <c r="C201" s="24" t="s">
        <v>156</v>
      </c>
      <c r="D201" s="25" t="s">
        <v>81</v>
      </c>
      <c r="E201" s="33">
        <f>F201+I201</f>
        <v>0</v>
      </c>
      <c r="F201" s="34"/>
      <c r="G201" s="34"/>
      <c r="H201" s="34"/>
      <c r="I201" s="34"/>
      <c r="J201" s="33">
        <f>K201+N201</f>
        <v>400000</v>
      </c>
      <c r="K201" s="33"/>
      <c r="L201" s="33"/>
      <c r="M201" s="33"/>
      <c r="N201" s="33">
        <v>400000</v>
      </c>
      <c r="O201" s="33"/>
      <c r="P201" s="33">
        <f>E201+J201</f>
        <v>400000</v>
      </c>
      <c r="Q201" s="91"/>
    </row>
    <row r="202" spans="1:17" s="23" customFormat="1" ht="15">
      <c r="A202" s="21"/>
      <c r="B202" s="24" t="s">
        <v>58</v>
      </c>
      <c r="C202" s="24" t="s">
        <v>149</v>
      </c>
      <c r="D202" s="25" t="s">
        <v>26</v>
      </c>
      <c r="E202" s="33">
        <f t="shared" si="30"/>
        <v>188021</v>
      </c>
      <c r="F202" s="33">
        <v>188021</v>
      </c>
      <c r="G202" s="34"/>
      <c r="H202" s="34"/>
      <c r="I202" s="34"/>
      <c r="J202" s="33">
        <f t="shared" si="31"/>
        <v>0</v>
      </c>
      <c r="K202" s="33"/>
      <c r="L202" s="33"/>
      <c r="M202" s="33"/>
      <c r="N202" s="33"/>
      <c r="O202" s="33"/>
      <c r="P202" s="33">
        <f t="shared" si="32"/>
        <v>188021</v>
      </c>
      <c r="Q202" s="91"/>
    </row>
    <row r="203" spans="1:17" s="23" customFormat="1" ht="82.5" customHeight="1">
      <c r="A203" s="21"/>
      <c r="B203" s="27" t="s">
        <v>131</v>
      </c>
      <c r="C203" s="27" t="s">
        <v>165</v>
      </c>
      <c r="D203" s="25" t="s">
        <v>132</v>
      </c>
      <c r="E203" s="33">
        <f t="shared" si="30"/>
        <v>84905</v>
      </c>
      <c r="F203" s="33">
        <v>84905</v>
      </c>
      <c r="G203" s="33"/>
      <c r="H203" s="33"/>
      <c r="I203" s="33"/>
      <c r="J203" s="33">
        <f t="shared" si="31"/>
        <v>36027.53</v>
      </c>
      <c r="K203" s="33">
        <f>30069+10915.53-4957</f>
        <v>36027.53</v>
      </c>
      <c r="L203" s="34"/>
      <c r="M203" s="34"/>
      <c r="N203" s="34"/>
      <c r="O203" s="34"/>
      <c r="P203" s="33">
        <f t="shared" si="32"/>
        <v>120932.53</v>
      </c>
      <c r="Q203" s="91"/>
    </row>
    <row r="204" spans="1:17" s="23" customFormat="1" ht="45" customHeight="1">
      <c r="A204" s="21"/>
      <c r="B204" s="28"/>
      <c r="C204" s="28"/>
      <c r="D204" s="29" t="s">
        <v>179</v>
      </c>
      <c r="E204" s="34">
        <f>E205+E206+E207+E208</f>
        <v>1874762</v>
      </c>
      <c r="F204" s="34">
        <f aca="true" t="shared" si="33" ref="F204:P204">F205+F206+F207+F208</f>
        <v>1874762</v>
      </c>
      <c r="G204" s="34">
        <f t="shared" si="33"/>
        <v>1335704</v>
      </c>
      <c r="H204" s="34">
        <f t="shared" si="33"/>
        <v>84319</v>
      </c>
      <c r="I204" s="34">
        <f t="shared" si="33"/>
        <v>0</v>
      </c>
      <c r="J204" s="34">
        <f t="shared" si="33"/>
        <v>278600</v>
      </c>
      <c r="K204" s="34">
        <f t="shared" si="33"/>
        <v>108255</v>
      </c>
      <c r="L204" s="34">
        <f t="shared" si="33"/>
        <v>0</v>
      </c>
      <c r="M204" s="34">
        <f t="shared" si="33"/>
        <v>0</v>
      </c>
      <c r="N204" s="34">
        <f t="shared" si="33"/>
        <v>170345</v>
      </c>
      <c r="O204" s="34">
        <f t="shared" si="33"/>
        <v>37000</v>
      </c>
      <c r="P204" s="34">
        <f t="shared" si="33"/>
        <v>2153362</v>
      </c>
      <c r="Q204" s="91"/>
    </row>
    <row r="205" spans="1:17" s="23" customFormat="1" ht="21.75" customHeight="1">
      <c r="A205" s="21"/>
      <c r="B205" s="24" t="s">
        <v>11</v>
      </c>
      <c r="C205" s="24" t="s">
        <v>9</v>
      </c>
      <c r="D205" s="25" t="s">
        <v>16</v>
      </c>
      <c r="E205" s="33">
        <f>F205+I205</f>
        <v>1840912</v>
      </c>
      <c r="F205" s="33">
        <f>4520200-427090-2252198</f>
        <v>1840912</v>
      </c>
      <c r="G205" s="33">
        <f>2986650-1650946</f>
        <v>1335704</v>
      </c>
      <c r="H205" s="33">
        <f>167498-83179</f>
        <v>84319</v>
      </c>
      <c r="I205" s="33"/>
      <c r="J205" s="33">
        <f>K205+N205</f>
        <v>30000</v>
      </c>
      <c r="K205" s="33"/>
      <c r="L205" s="33"/>
      <c r="M205" s="33"/>
      <c r="N205" s="33">
        <f>250000-220000</f>
        <v>30000</v>
      </c>
      <c r="O205" s="33">
        <f>250000-220000</f>
        <v>30000</v>
      </c>
      <c r="P205" s="33">
        <f>E205+J205</f>
        <v>1870912</v>
      </c>
      <c r="Q205" s="91"/>
    </row>
    <row r="206" spans="1:17" s="23" customFormat="1" ht="24" customHeight="1">
      <c r="A206" s="21"/>
      <c r="B206" s="24" t="s">
        <v>123</v>
      </c>
      <c r="C206" s="24" t="s">
        <v>174</v>
      </c>
      <c r="D206" s="25" t="s">
        <v>124</v>
      </c>
      <c r="E206" s="33">
        <f>F206+I206</f>
        <v>0</v>
      </c>
      <c r="F206" s="34"/>
      <c r="G206" s="34"/>
      <c r="H206" s="34"/>
      <c r="I206" s="34"/>
      <c r="J206" s="33">
        <f>K206+N206</f>
        <v>7000</v>
      </c>
      <c r="K206" s="33"/>
      <c r="L206" s="33"/>
      <c r="M206" s="33"/>
      <c r="N206" s="33">
        <f>148000-141000</f>
        <v>7000</v>
      </c>
      <c r="O206" s="33">
        <f>148000-141000</f>
        <v>7000</v>
      </c>
      <c r="P206" s="33">
        <f>E206+J206</f>
        <v>7000</v>
      </c>
      <c r="Q206" s="91"/>
    </row>
    <row r="207" spans="1:17" s="23" customFormat="1" ht="66" customHeight="1">
      <c r="A207" s="21"/>
      <c r="B207" s="24" t="s">
        <v>56</v>
      </c>
      <c r="C207" s="24" t="s">
        <v>149</v>
      </c>
      <c r="D207" s="25" t="s">
        <v>57</v>
      </c>
      <c r="E207" s="33">
        <f>F207+I207</f>
        <v>0</v>
      </c>
      <c r="F207" s="34"/>
      <c r="G207" s="34"/>
      <c r="H207" s="34"/>
      <c r="I207" s="34"/>
      <c r="J207" s="33">
        <f>K207+N207</f>
        <v>241600</v>
      </c>
      <c r="K207" s="33">
        <f>725000-309500-307245</f>
        <v>108255</v>
      </c>
      <c r="L207" s="34"/>
      <c r="M207" s="34"/>
      <c r="N207" s="33">
        <f>309500+199000-199000-176155</f>
        <v>133345</v>
      </c>
      <c r="O207" s="34"/>
      <c r="P207" s="33">
        <f>E207+J207</f>
        <v>241600</v>
      </c>
      <c r="Q207" s="91"/>
    </row>
    <row r="208" spans="1:17" s="23" customFormat="1" ht="19.5" customHeight="1">
      <c r="A208" s="21"/>
      <c r="B208" s="24" t="s">
        <v>58</v>
      </c>
      <c r="C208" s="24" t="s">
        <v>149</v>
      </c>
      <c r="D208" s="25" t="s">
        <v>26</v>
      </c>
      <c r="E208" s="33">
        <f>F208+I208</f>
        <v>33850</v>
      </c>
      <c r="F208" s="33">
        <f>170000+15100-151250</f>
        <v>33850</v>
      </c>
      <c r="G208" s="34"/>
      <c r="H208" s="34"/>
      <c r="I208" s="34"/>
      <c r="J208" s="33">
        <f>K208+N208</f>
        <v>0</v>
      </c>
      <c r="K208" s="34"/>
      <c r="L208" s="34"/>
      <c r="M208" s="34"/>
      <c r="N208" s="34"/>
      <c r="O208" s="34"/>
      <c r="P208" s="33">
        <f>E208+J208</f>
        <v>33850</v>
      </c>
      <c r="Q208" s="91"/>
    </row>
    <row r="209" spans="1:17" s="23" customFormat="1" ht="45" customHeight="1">
      <c r="A209" s="21"/>
      <c r="B209" s="28"/>
      <c r="C209" s="28"/>
      <c r="D209" s="29" t="s">
        <v>332</v>
      </c>
      <c r="E209" s="34">
        <f>E210+E212+E213+E214+E211</f>
        <v>1372520</v>
      </c>
      <c r="F209" s="34">
        <f aca="true" t="shared" si="34" ref="F209:P209">F210+F212+F213+F214+F211</f>
        <v>1372520</v>
      </c>
      <c r="G209" s="34">
        <f t="shared" si="34"/>
        <v>867158</v>
      </c>
      <c r="H209" s="34">
        <f t="shared" si="34"/>
        <v>41590</v>
      </c>
      <c r="I209" s="34">
        <f t="shared" si="34"/>
        <v>0</v>
      </c>
      <c r="J209" s="34">
        <f t="shared" si="34"/>
        <v>621900</v>
      </c>
      <c r="K209" s="34">
        <f t="shared" si="34"/>
        <v>307245</v>
      </c>
      <c r="L209" s="34">
        <f t="shared" si="34"/>
        <v>0</v>
      </c>
      <c r="M209" s="34">
        <f t="shared" si="34"/>
        <v>0</v>
      </c>
      <c r="N209" s="34">
        <f t="shared" si="34"/>
        <v>314655</v>
      </c>
      <c r="O209" s="34">
        <f t="shared" si="34"/>
        <v>138500</v>
      </c>
      <c r="P209" s="34">
        <f t="shared" si="34"/>
        <v>1994420</v>
      </c>
      <c r="Q209" s="91"/>
    </row>
    <row r="210" spans="1:17" s="23" customFormat="1" ht="21.75" customHeight="1">
      <c r="A210" s="21"/>
      <c r="B210" s="24" t="s">
        <v>11</v>
      </c>
      <c r="C210" s="24" t="s">
        <v>9</v>
      </c>
      <c r="D210" s="25" t="s">
        <v>16</v>
      </c>
      <c r="E210" s="33">
        <f>F210+I210</f>
        <v>1221270</v>
      </c>
      <c r="F210" s="33">
        <v>1221270</v>
      </c>
      <c r="G210" s="33">
        <v>867158</v>
      </c>
      <c r="H210" s="33">
        <v>41590</v>
      </c>
      <c r="I210" s="33"/>
      <c r="J210" s="33">
        <f>K210+N210</f>
        <v>0</v>
      </c>
      <c r="K210" s="33"/>
      <c r="L210" s="33"/>
      <c r="M210" s="33"/>
      <c r="N210" s="33"/>
      <c r="O210" s="33"/>
      <c r="P210" s="33">
        <f>E210+J210</f>
        <v>1221270</v>
      </c>
      <c r="Q210" s="90"/>
    </row>
    <row r="211" spans="1:17" s="23" customFormat="1" ht="65.25" customHeight="1">
      <c r="A211" s="21"/>
      <c r="B211" s="24" t="s">
        <v>48</v>
      </c>
      <c r="C211" s="24" t="s">
        <v>145</v>
      </c>
      <c r="D211" s="25" t="s">
        <v>49</v>
      </c>
      <c r="E211" s="33">
        <f>F211+I211</f>
        <v>0</v>
      </c>
      <c r="F211" s="34"/>
      <c r="G211" s="34"/>
      <c r="H211" s="34"/>
      <c r="I211" s="34"/>
      <c r="J211" s="33">
        <f>K211+N211</f>
        <v>39000</v>
      </c>
      <c r="K211" s="33"/>
      <c r="L211" s="33"/>
      <c r="M211" s="33"/>
      <c r="N211" s="33">
        <v>39000</v>
      </c>
      <c r="O211" s="33">
        <v>39000</v>
      </c>
      <c r="P211" s="33">
        <f>E211+J211</f>
        <v>39000</v>
      </c>
      <c r="Q211" s="90"/>
    </row>
    <row r="212" spans="1:17" s="23" customFormat="1" ht="66" customHeight="1">
      <c r="A212" s="21"/>
      <c r="B212" s="24" t="s">
        <v>56</v>
      </c>
      <c r="C212" s="24" t="s">
        <v>149</v>
      </c>
      <c r="D212" s="25" t="s">
        <v>57</v>
      </c>
      <c r="E212" s="33">
        <f>F212+I212</f>
        <v>0</v>
      </c>
      <c r="F212" s="34"/>
      <c r="G212" s="34"/>
      <c r="H212" s="34"/>
      <c r="I212" s="34"/>
      <c r="J212" s="33">
        <f>K212+N212</f>
        <v>483400</v>
      </c>
      <c r="K212" s="33">
        <v>307245</v>
      </c>
      <c r="L212" s="34"/>
      <c r="M212" s="34"/>
      <c r="N212" s="33">
        <v>176155</v>
      </c>
      <c r="O212" s="34"/>
      <c r="P212" s="33">
        <f>E212+J212</f>
        <v>483400</v>
      </c>
      <c r="Q212" s="90"/>
    </row>
    <row r="213" spans="1:17" s="23" customFormat="1" ht="19.5" customHeight="1">
      <c r="A213" s="21"/>
      <c r="B213" s="24" t="s">
        <v>58</v>
      </c>
      <c r="C213" s="24" t="s">
        <v>149</v>
      </c>
      <c r="D213" s="25" t="s">
        <v>26</v>
      </c>
      <c r="E213" s="33">
        <f>F213+I213</f>
        <v>151250</v>
      </c>
      <c r="F213" s="33">
        <v>151250</v>
      </c>
      <c r="G213" s="34"/>
      <c r="H213" s="34"/>
      <c r="I213" s="34"/>
      <c r="J213" s="33">
        <f>K213+N213</f>
        <v>0</v>
      </c>
      <c r="K213" s="34"/>
      <c r="L213" s="34"/>
      <c r="M213" s="34"/>
      <c r="N213" s="34"/>
      <c r="O213" s="34"/>
      <c r="P213" s="33">
        <f>E213+J213</f>
        <v>151250</v>
      </c>
      <c r="Q213" s="90"/>
    </row>
    <row r="214" spans="1:17" s="23" customFormat="1" ht="21" customHeight="1">
      <c r="A214" s="21"/>
      <c r="B214" s="24" t="s">
        <v>135</v>
      </c>
      <c r="C214" s="24" t="s">
        <v>180</v>
      </c>
      <c r="D214" s="32" t="s">
        <v>136</v>
      </c>
      <c r="E214" s="33">
        <f>F214+I214</f>
        <v>0</v>
      </c>
      <c r="F214" s="33"/>
      <c r="G214" s="34"/>
      <c r="H214" s="34"/>
      <c r="I214" s="34"/>
      <c r="J214" s="33">
        <f>K214+N214</f>
        <v>99500</v>
      </c>
      <c r="K214" s="34"/>
      <c r="L214" s="34"/>
      <c r="M214" s="34"/>
      <c r="N214" s="33">
        <v>99500</v>
      </c>
      <c r="O214" s="33">
        <v>99500</v>
      </c>
      <c r="P214" s="33">
        <f>E214+J214</f>
        <v>99500</v>
      </c>
      <c r="Q214" s="90"/>
    </row>
    <row r="215" spans="1:17" s="23" customFormat="1" ht="47.25" customHeight="1">
      <c r="A215" s="21"/>
      <c r="B215" s="24"/>
      <c r="C215" s="35"/>
      <c r="D215" s="29" t="s">
        <v>248</v>
      </c>
      <c r="E215" s="34">
        <f>E216</f>
        <v>753630</v>
      </c>
      <c r="F215" s="34">
        <f aca="true" t="shared" si="35" ref="F215:P215">F216</f>
        <v>753630</v>
      </c>
      <c r="G215" s="34">
        <f t="shared" si="35"/>
        <v>465832</v>
      </c>
      <c r="H215" s="34">
        <f t="shared" si="35"/>
        <v>34232</v>
      </c>
      <c r="I215" s="34">
        <f t="shared" si="35"/>
        <v>0</v>
      </c>
      <c r="J215" s="34">
        <f t="shared" si="35"/>
        <v>182700</v>
      </c>
      <c r="K215" s="34">
        <f t="shared" si="35"/>
        <v>0</v>
      </c>
      <c r="L215" s="34">
        <f t="shared" si="35"/>
        <v>0</v>
      </c>
      <c r="M215" s="34">
        <f t="shared" si="35"/>
        <v>0</v>
      </c>
      <c r="N215" s="34">
        <f t="shared" si="35"/>
        <v>182700</v>
      </c>
      <c r="O215" s="34">
        <f t="shared" si="35"/>
        <v>182700</v>
      </c>
      <c r="P215" s="34">
        <f t="shared" si="35"/>
        <v>936330</v>
      </c>
      <c r="Q215" s="90"/>
    </row>
    <row r="216" spans="1:17" s="23" customFormat="1" ht="21" customHeight="1">
      <c r="A216" s="21"/>
      <c r="B216" s="24" t="s">
        <v>11</v>
      </c>
      <c r="C216" s="24" t="s">
        <v>9</v>
      </c>
      <c r="D216" s="25" t="s">
        <v>16</v>
      </c>
      <c r="E216" s="33">
        <f>F216+I216</f>
        <v>753630</v>
      </c>
      <c r="F216" s="33">
        <f>710680-62060+66138+38872</f>
        <v>753630</v>
      </c>
      <c r="G216" s="33">
        <f>433970+31862</f>
        <v>465832</v>
      </c>
      <c r="H216" s="33">
        <v>34232</v>
      </c>
      <c r="I216" s="33"/>
      <c r="J216" s="33">
        <f>K216+N216</f>
        <v>182700</v>
      </c>
      <c r="K216" s="33"/>
      <c r="L216" s="33"/>
      <c r="M216" s="33"/>
      <c r="N216" s="33">
        <f>134100+48600</f>
        <v>182700</v>
      </c>
      <c r="O216" s="33">
        <f>134100+48600</f>
        <v>182700</v>
      </c>
      <c r="P216" s="33">
        <f>E216+J216</f>
        <v>936330</v>
      </c>
      <c r="Q216" s="90"/>
    </row>
    <row r="217" spans="1:17" s="23" customFormat="1" ht="47.25" customHeight="1">
      <c r="A217" s="21"/>
      <c r="B217" s="24"/>
      <c r="C217" s="35"/>
      <c r="D217" s="29" t="s">
        <v>181</v>
      </c>
      <c r="E217" s="34">
        <f>E218+E219</f>
        <v>1941570</v>
      </c>
      <c r="F217" s="34">
        <f aca="true" t="shared" si="36" ref="F217:P217">F218+F219</f>
        <v>1941570</v>
      </c>
      <c r="G217" s="34">
        <f t="shared" si="36"/>
        <v>1146200</v>
      </c>
      <c r="H217" s="34">
        <f t="shared" si="36"/>
        <v>83538</v>
      </c>
      <c r="I217" s="34">
        <f t="shared" si="36"/>
        <v>0</v>
      </c>
      <c r="J217" s="34">
        <f t="shared" si="36"/>
        <v>30000</v>
      </c>
      <c r="K217" s="34">
        <f t="shared" si="36"/>
        <v>0</v>
      </c>
      <c r="L217" s="34">
        <f t="shared" si="36"/>
        <v>0</v>
      </c>
      <c r="M217" s="34">
        <f t="shared" si="36"/>
        <v>0</v>
      </c>
      <c r="N217" s="34">
        <f t="shared" si="36"/>
        <v>30000</v>
      </c>
      <c r="O217" s="34">
        <f t="shared" si="36"/>
        <v>30000</v>
      </c>
      <c r="P217" s="34">
        <f t="shared" si="36"/>
        <v>1971570</v>
      </c>
      <c r="Q217" s="90"/>
    </row>
    <row r="218" spans="1:17" s="23" customFormat="1" ht="21" customHeight="1">
      <c r="A218" s="21"/>
      <c r="B218" s="24" t="s">
        <v>11</v>
      </c>
      <c r="C218" s="24" t="s">
        <v>9</v>
      </c>
      <c r="D218" s="25" t="s">
        <v>16</v>
      </c>
      <c r="E218" s="33">
        <f>F218+I218</f>
        <v>1591570</v>
      </c>
      <c r="F218" s="33">
        <f>1751970-160400</f>
        <v>1591570</v>
      </c>
      <c r="G218" s="33">
        <f>1143630+2570</f>
        <v>1146200</v>
      </c>
      <c r="H218" s="33">
        <v>83538</v>
      </c>
      <c r="I218" s="33"/>
      <c r="J218" s="33">
        <f>K218+N218</f>
        <v>30000</v>
      </c>
      <c r="K218" s="33"/>
      <c r="L218" s="33"/>
      <c r="M218" s="33"/>
      <c r="N218" s="33">
        <f>30000</f>
        <v>30000</v>
      </c>
      <c r="O218" s="33">
        <f>30000</f>
        <v>30000</v>
      </c>
      <c r="P218" s="33">
        <f>E218+J218</f>
        <v>1621570</v>
      </c>
      <c r="Q218" s="90"/>
    </row>
    <row r="219" spans="1:17" s="23" customFormat="1" ht="18.75" customHeight="1">
      <c r="A219" s="21"/>
      <c r="B219" s="24" t="s">
        <v>58</v>
      </c>
      <c r="C219" s="24" t="s">
        <v>149</v>
      </c>
      <c r="D219" s="25" t="s">
        <v>26</v>
      </c>
      <c r="E219" s="33">
        <f>F219+I219</f>
        <v>350000</v>
      </c>
      <c r="F219" s="33">
        <v>350000</v>
      </c>
      <c r="G219" s="34"/>
      <c r="H219" s="34"/>
      <c r="I219" s="34"/>
      <c r="J219" s="33">
        <f>K219+N219</f>
        <v>0</v>
      </c>
      <c r="K219" s="34"/>
      <c r="L219" s="34"/>
      <c r="M219" s="34"/>
      <c r="N219" s="34"/>
      <c r="O219" s="34"/>
      <c r="P219" s="33">
        <f>E219+J219</f>
        <v>350000</v>
      </c>
      <c r="Q219" s="90"/>
    </row>
    <row r="220" spans="1:17" s="23" customFormat="1" ht="51.75" customHeight="1">
      <c r="A220" s="21"/>
      <c r="B220" s="28"/>
      <c r="C220" s="28"/>
      <c r="D220" s="29" t="s">
        <v>329</v>
      </c>
      <c r="E220" s="34">
        <f>E221+E222+E223</f>
        <v>5740184.85</v>
      </c>
      <c r="F220" s="34">
        <f aca="true" t="shared" si="37" ref="F220:P220">F221+F222+F223</f>
        <v>5740184.85</v>
      </c>
      <c r="G220" s="34">
        <f t="shared" si="37"/>
        <v>4145620</v>
      </c>
      <c r="H220" s="34">
        <f t="shared" si="37"/>
        <v>191695</v>
      </c>
      <c r="I220" s="34">
        <f t="shared" si="37"/>
        <v>0</v>
      </c>
      <c r="J220" s="34">
        <f t="shared" si="37"/>
        <v>75070</v>
      </c>
      <c r="K220" s="34">
        <f t="shared" si="37"/>
        <v>18000</v>
      </c>
      <c r="L220" s="34">
        <f t="shared" si="37"/>
        <v>0</v>
      </c>
      <c r="M220" s="34">
        <f t="shared" si="37"/>
        <v>0</v>
      </c>
      <c r="N220" s="34">
        <f t="shared" si="37"/>
        <v>57070</v>
      </c>
      <c r="O220" s="34">
        <f t="shared" si="37"/>
        <v>57070</v>
      </c>
      <c r="P220" s="34">
        <f t="shared" si="37"/>
        <v>5815254.85</v>
      </c>
      <c r="Q220" s="90"/>
    </row>
    <row r="221" spans="1:17" s="23" customFormat="1" ht="29.25" customHeight="1">
      <c r="A221" s="21"/>
      <c r="B221" s="24" t="s">
        <v>11</v>
      </c>
      <c r="C221" s="24" t="s">
        <v>9</v>
      </c>
      <c r="D221" s="25" t="s">
        <v>94</v>
      </c>
      <c r="E221" s="33">
        <f>F221+I221</f>
        <v>5609301</v>
      </c>
      <c r="F221" s="33">
        <f>5498000-286300+89090+154610+158571-4670</f>
        <v>5609301</v>
      </c>
      <c r="G221" s="33">
        <f>3629280+186610+73024+126730+129976</f>
        <v>4145620</v>
      </c>
      <c r="H221" s="33">
        <v>191695</v>
      </c>
      <c r="I221" s="33"/>
      <c r="J221" s="33">
        <f>K221+N221</f>
        <v>57070</v>
      </c>
      <c r="K221" s="33"/>
      <c r="L221" s="33"/>
      <c r="M221" s="33"/>
      <c r="N221" s="33">
        <f>40000+12400+4670</f>
        <v>57070</v>
      </c>
      <c r="O221" s="33">
        <f>40000+12400+4670</f>
        <v>57070</v>
      </c>
      <c r="P221" s="33">
        <f>E221+J221</f>
        <v>5666371</v>
      </c>
      <c r="Q221" s="90"/>
    </row>
    <row r="222" spans="1:17" s="23" customFormat="1" ht="25.5" customHeight="1">
      <c r="A222" s="21"/>
      <c r="B222" s="24" t="s">
        <v>203</v>
      </c>
      <c r="C222" s="24" t="s">
        <v>211</v>
      </c>
      <c r="D222" s="25" t="s">
        <v>204</v>
      </c>
      <c r="E222" s="33">
        <f>F222+I222</f>
        <v>130883.85</v>
      </c>
      <c r="F222" s="33">
        <f>198694.54-67810.69</f>
        <v>130883.85</v>
      </c>
      <c r="G222" s="33"/>
      <c r="H222" s="33"/>
      <c r="I222" s="33"/>
      <c r="J222" s="33">
        <f>K222+N222</f>
        <v>0</v>
      </c>
      <c r="K222" s="33"/>
      <c r="L222" s="33"/>
      <c r="M222" s="33"/>
      <c r="N222" s="33"/>
      <c r="O222" s="33"/>
      <c r="P222" s="33">
        <f>E222+J222</f>
        <v>130883.85</v>
      </c>
      <c r="Q222" s="90"/>
    </row>
    <row r="223" spans="1:17" s="23" customFormat="1" ht="36" customHeight="1">
      <c r="A223" s="21"/>
      <c r="B223" s="24" t="s">
        <v>309</v>
      </c>
      <c r="C223" s="24" t="s">
        <v>148</v>
      </c>
      <c r="D223" s="25" t="s">
        <v>310</v>
      </c>
      <c r="E223" s="33">
        <f>F223+I223</f>
        <v>0</v>
      </c>
      <c r="F223" s="33"/>
      <c r="G223" s="33"/>
      <c r="H223" s="33"/>
      <c r="I223" s="33"/>
      <c r="J223" s="33">
        <f>K223+N223</f>
        <v>18000</v>
      </c>
      <c r="K223" s="33">
        <v>18000</v>
      </c>
      <c r="L223" s="33"/>
      <c r="M223" s="33"/>
      <c r="N223" s="33"/>
      <c r="O223" s="33"/>
      <c r="P223" s="33">
        <f>E223+J223</f>
        <v>18000</v>
      </c>
      <c r="Q223" s="90"/>
    </row>
    <row r="224" spans="1:17" s="23" customFormat="1" ht="72" customHeight="1">
      <c r="A224" s="21"/>
      <c r="B224" s="28"/>
      <c r="C224" s="28"/>
      <c r="D224" s="29" t="s">
        <v>330</v>
      </c>
      <c r="E224" s="34">
        <f>E225+E226+E227+E228</f>
        <v>67868005.15</v>
      </c>
      <c r="F224" s="34">
        <f aca="true" t="shared" si="38" ref="F224:P224">F225+F226+F227+F228</f>
        <v>56741757</v>
      </c>
      <c r="G224" s="34">
        <f t="shared" si="38"/>
        <v>0</v>
      </c>
      <c r="H224" s="34">
        <f t="shared" si="38"/>
        <v>0</v>
      </c>
      <c r="I224" s="34">
        <f t="shared" si="38"/>
        <v>0</v>
      </c>
      <c r="J224" s="34">
        <f t="shared" si="38"/>
        <v>700000</v>
      </c>
      <c r="K224" s="34">
        <f t="shared" si="38"/>
        <v>0</v>
      </c>
      <c r="L224" s="34">
        <f t="shared" si="38"/>
        <v>0</v>
      </c>
      <c r="M224" s="34">
        <f t="shared" si="38"/>
        <v>0</v>
      </c>
      <c r="N224" s="34">
        <f t="shared" si="38"/>
        <v>700000</v>
      </c>
      <c r="O224" s="34">
        <f t="shared" si="38"/>
        <v>700000</v>
      </c>
      <c r="P224" s="34">
        <f t="shared" si="38"/>
        <v>68568005.15</v>
      </c>
      <c r="Q224" s="90"/>
    </row>
    <row r="225" spans="1:17" s="23" customFormat="1" ht="24.75" customHeight="1">
      <c r="A225" s="21"/>
      <c r="B225" s="24" t="s">
        <v>133</v>
      </c>
      <c r="C225" s="24" t="s">
        <v>149</v>
      </c>
      <c r="D225" s="25" t="s">
        <v>134</v>
      </c>
      <c r="E225" s="33">
        <f>9833216.06-80000-23542.6-134100-100000-670100-360000-3000000-1811608+12618382-254670-4690000-2263140-130000-7200000-420000+19000+10000000+55000-330000+67810.69</f>
        <v>11126248.15</v>
      </c>
      <c r="F225" s="33"/>
      <c r="G225" s="34"/>
      <c r="H225" s="34"/>
      <c r="I225" s="34"/>
      <c r="J225" s="33">
        <f>K225+N225</f>
        <v>0</v>
      </c>
      <c r="K225" s="34"/>
      <c r="L225" s="34"/>
      <c r="M225" s="34"/>
      <c r="N225" s="34"/>
      <c r="O225" s="34"/>
      <c r="P225" s="33">
        <f>E225+J225</f>
        <v>11126248.15</v>
      </c>
      <c r="Q225" s="90"/>
    </row>
    <row r="226" spans="1:17" s="23" customFormat="1" ht="29.25" customHeight="1">
      <c r="A226" s="21"/>
      <c r="B226" s="24" t="s">
        <v>182</v>
      </c>
      <c r="C226" s="24" t="s">
        <v>180</v>
      </c>
      <c r="D226" s="25" t="s">
        <v>183</v>
      </c>
      <c r="E226" s="33">
        <f>F226+I226</f>
        <v>56401300</v>
      </c>
      <c r="F226" s="33">
        <f>55480900+920400</f>
        <v>56401300</v>
      </c>
      <c r="G226" s="34"/>
      <c r="H226" s="34"/>
      <c r="I226" s="34"/>
      <c r="J226" s="33">
        <f>K226+N226</f>
        <v>0</v>
      </c>
      <c r="K226" s="34"/>
      <c r="L226" s="34"/>
      <c r="M226" s="34"/>
      <c r="N226" s="34"/>
      <c r="O226" s="34"/>
      <c r="P226" s="33">
        <f>E226+J226</f>
        <v>56401300</v>
      </c>
      <c r="Q226" s="90"/>
    </row>
    <row r="227" spans="1:17" s="23" customFormat="1" ht="26.25" customHeight="1">
      <c r="A227" s="21"/>
      <c r="B227" s="24" t="s">
        <v>184</v>
      </c>
      <c r="C227" s="24" t="s">
        <v>180</v>
      </c>
      <c r="D227" s="25" t="s">
        <v>186</v>
      </c>
      <c r="E227" s="33">
        <f>F227+I227</f>
        <v>141957</v>
      </c>
      <c r="F227" s="33">
        <f>164814-22857</f>
        <v>141957</v>
      </c>
      <c r="G227" s="34"/>
      <c r="H227" s="34"/>
      <c r="I227" s="34"/>
      <c r="J227" s="33">
        <f>K227+N227</f>
        <v>0</v>
      </c>
      <c r="K227" s="34"/>
      <c r="L227" s="34"/>
      <c r="M227" s="34"/>
      <c r="N227" s="34"/>
      <c r="O227" s="34"/>
      <c r="P227" s="33">
        <f>E227+J227</f>
        <v>141957</v>
      </c>
      <c r="Q227" s="90"/>
    </row>
    <row r="228" spans="1:17" s="23" customFormat="1" ht="20.25" customHeight="1">
      <c r="A228" s="21"/>
      <c r="B228" s="24" t="s">
        <v>135</v>
      </c>
      <c r="C228" s="24" t="s">
        <v>180</v>
      </c>
      <c r="D228" s="32" t="s">
        <v>136</v>
      </c>
      <c r="E228" s="33">
        <f>F228+I228</f>
        <v>198500</v>
      </c>
      <c r="F228" s="33">
        <f>190000+8500</f>
        <v>198500</v>
      </c>
      <c r="G228" s="34"/>
      <c r="H228" s="34"/>
      <c r="I228" s="34"/>
      <c r="J228" s="33">
        <f>K228+N228</f>
        <v>700000</v>
      </c>
      <c r="K228" s="34"/>
      <c r="L228" s="34"/>
      <c r="M228" s="34"/>
      <c r="N228" s="33">
        <f>500000+200000</f>
        <v>700000</v>
      </c>
      <c r="O228" s="33">
        <f>500000+200000</f>
        <v>700000</v>
      </c>
      <c r="P228" s="33">
        <f>E228+J228</f>
        <v>898500</v>
      </c>
      <c r="Q228" s="90"/>
    </row>
    <row r="229" spans="1:17" s="23" customFormat="1" ht="21" customHeight="1">
      <c r="A229" s="21"/>
      <c r="B229" s="28"/>
      <c r="C229" s="28"/>
      <c r="D229" s="29" t="s">
        <v>137</v>
      </c>
      <c r="E229" s="34">
        <f aca="true" t="shared" si="39" ref="E229:P229">E13+E45+E67+E86+E152+E155+E161+E182+E190+E204+E217+E220+E224+E215+E209+E186</f>
        <v>1668701189.1799998</v>
      </c>
      <c r="F229" s="34">
        <f t="shared" si="39"/>
        <v>1618067333.85</v>
      </c>
      <c r="G229" s="34">
        <f t="shared" si="39"/>
        <v>453040295.86</v>
      </c>
      <c r="H229" s="34">
        <f t="shared" si="39"/>
        <v>92371235.78999999</v>
      </c>
      <c r="I229" s="34">
        <f t="shared" si="39"/>
        <v>39507607.18</v>
      </c>
      <c r="J229" s="34">
        <f t="shared" si="39"/>
        <v>493870048.05</v>
      </c>
      <c r="K229" s="34">
        <f t="shared" si="39"/>
        <v>53843800</v>
      </c>
      <c r="L229" s="34">
        <f t="shared" si="39"/>
        <v>11367440</v>
      </c>
      <c r="M229" s="34">
        <f t="shared" si="39"/>
        <v>2168292</v>
      </c>
      <c r="N229" s="34">
        <f t="shared" si="39"/>
        <v>440026248.05</v>
      </c>
      <c r="O229" s="34">
        <f t="shared" si="39"/>
        <v>431946850.73</v>
      </c>
      <c r="P229" s="34">
        <f t="shared" si="39"/>
        <v>2162571237.23</v>
      </c>
      <c r="Q229" s="90"/>
    </row>
    <row r="230" spans="1:17" s="23" customFormat="1" ht="33" customHeight="1">
      <c r="A230" s="21"/>
      <c r="B230" s="28"/>
      <c r="C230" s="28"/>
      <c r="D230" s="29" t="s">
        <v>212</v>
      </c>
      <c r="E230" s="34">
        <f>E46+E68+E87</f>
        <v>1073624544.52</v>
      </c>
      <c r="F230" s="34">
        <f aca="true" t="shared" si="40" ref="F230:O230">F46+F68+F87</f>
        <v>1073624544.52</v>
      </c>
      <c r="G230" s="34">
        <f t="shared" si="40"/>
        <v>259015420</v>
      </c>
      <c r="H230" s="34">
        <f t="shared" si="40"/>
        <v>47607786</v>
      </c>
      <c r="I230" s="34">
        <f t="shared" si="40"/>
        <v>0</v>
      </c>
      <c r="J230" s="34">
        <f t="shared" si="40"/>
        <v>0</v>
      </c>
      <c r="K230" s="34">
        <f t="shared" si="40"/>
        <v>0</v>
      </c>
      <c r="L230" s="34">
        <f t="shared" si="40"/>
        <v>0</v>
      </c>
      <c r="M230" s="34">
        <f t="shared" si="40"/>
        <v>0</v>
      </c>
      <c r="N230" s="34">
        <f t="shared" si="40"/>
        <v>0</v>
      </c>
      <c r="O230" s="34">
        <f t="shared" si="40"/>
        <v>0</v>
      </c>
      <c r="P230" s="34">
        <f>P46+P68+P87</f>
        <v>1073624544.52</v>
      </c>
      <c r="Q230" s="90"/>
    </row>
    <row r="231" spans="1:17" ht="69" customHeight="1">
      <c r="A231" s="13"/>
      <c r="B231" s="13"/>
      <c r="C231" s="13"/>
      <c r="D231" s="13"/>
      <c r="E231" s="36"/>
      <c r="F231" s="36"/>
      <c r="G231" s="36"/>
      <c r="H231" s="36"/>
      <c r="I231" s="36"/>
      <c r="J231" s="36"/>
      <c r="K231" s="36"/>
      <c r="L231" s="36"/>
      <c r="M231" s="36"/>
      <c r="N231" s="36"/>
      <c r="O231" s="36"/>
      <c r="P231" s="36"/>
      <c r="Q231" s="90"/>
    </row>
    <row r="232" spans="1:19" s="43" customFormat="1" ht="24" customHeight="1">
      <c r="A232" s="40"/>
      <c r="B232" s="108" t="s">
        <v>348</v>
      </c>
      <c r="C232" s="108"/>
      <c r="D232" s="108"/>
      <c r="E232" s="88"/>
      <c r="F232" s="41"/>
      <c r="G232" s="41"/>
      <c r="H232" s="41"/>
      <c r="I232" s="41"/>
      <c r="J232" s="41"/>
      <c r="K232" s="41"/>
      <c r="L232" s="41"/>
      <c r="M232" s="93" t="s">
        <v>349</v>
      </c>
      <c r="N232" s="93"/>
      <c r="O232" s="93"/>
      <c r="P232" s="42"/>
      <c r="Q232" s="90"/>
      <c r="S232" s="55"/>
    </row>
    <row r="233" spans="1:19" s="10" customFormat="1" ht="19.5" customHeight="1">
      <c r="A233" s="8"/>
      <c r="B233" s="109"/>
      <c r="C233" s="109"/>
      <c r="D233" s="89"/>
      <c r="E233" s="9"/>
      <c r="F233" s="9"/>
      <c r="G233" s="9"/>
      <c r="H233" s="9"/>
      <c r="I233" s="9"/>
      <c r="J233" s="9"/>
      <c r="K233" s="9"/>
      <c r="L233" s="92"/>
      <c r="M233" s="92"/>
      <c r="N233" s="92"/>
      <c r="O233" s="92"/>
      <c r="P233" s="8"/>
      <c r="Q233" s="90"/>
      <c r="S233" s="56"/>
    </row>
    <row r="234" spans="1:19" s="10" customFormat="1" ht="23.25">
      <c r="A234" s="8"/>
      <c r="B234" s="10" t="s">
        <v>350</v>
      </c>
      <c r="C234" s="11"/>
      <c r="D234" s="11"/>
      <c r="E234" s="11"/>
      <c r="F234" s="11"/>
      <c r="G234" s="11"/>
      <c r="H234" s="11"/>
      <c r="I234" s="11"/>
      <c r="J234" s="11"/>
      <c r="K234" s="11"/>
      <c r="L234" s="11"/>
      <c r="M234" s="11"/>
      <c r="N234" s="8"/>
      <c r="O234" s="8"/>
      <c r="P234" s="8"/>
      <c r="Q234" s="80"/>
      <c r="S234" s="56"/>
    </row>
    <row r="235" spans="1:20" s="52" customFormat="1" ht="26.25">
      <c r="A235" s="51"/>
      <c r="D235" s="53"/>
      <c r="E235" s="54"/>
      <c r="F235" s="54"/>
      <c r="G235" s="54"/>
      <c r="H235" s="54"/>
      <c r="I235" s="54"/>
      <c r="J235" s="54"/>
      <c r="K235" s="54"/>
      <c r="L235" s="54"/>
      <c r="M235" s="54"/>
      <c r="N235" s="54"/>
      <c r="O235" s="54"/>
      <c r="P235" s="54"/>
      <c r="Q235" s="80"/>
      <c r="R235" s="54"/>
      <c r="S235" s="55"/>
      <c r="T235" s="54"/>
    </row>
    <row r="236" spans="1:20" s="52" customFormat="1" ht="26.25">
      <c r="A236" s="51"/>
      <c r="D236" s="53"/>
      <c r="E236" s="54"/>
      <c r="F236" s="54"/>
      <c r="G236" s="54"/>
      <c r="H236" s="54"/>
      <c r="I236" s="54"/>
      <c r="J236" s="54"/>
      <c r="K236" s="54"/>
      <c r="L236" s="54"/>
      <c r="M236" s="54"/>
      <c r="N236" s="54"/>
      <c r="O236" s="54"/>
      <c r="P236" s="54"/>
      <c r="Q236" s="80"/>
      <c r="R236" s="54"/>
      <c r="S236" s="55"/>
      <c r="T236" s="54"/>
    </row>
    <row r="237" spans="1:19" s="7" customFormat="1" ht="26.25">
      <c r="A237" s="6"/>
      <c r="B237" s="14"/>
      <c r="C237" s="8"/>
      <c r="D237" s="8"/>
      <c r="E237" s="8"/>
      <c r="F237" s="8"/>
      <c r="G237" s="8"/>
      <c r="H237" s="12"/>
      <c r="I237" s="8"/>
      <c r="J237" s="8"/>
      <c r="K237" s="8"/>
      <c r="L237" s="8"/>
      <c r="M237" s="8"/>
      <c r="N237" s="8"/>
      <c r="O237" s="8"/>
      <c r="P237" s="6"/>
      <c r="Q237" s="80"/>
      <c r="S237" s="55"/>
    </row>
    <row r="238" spans="1:19" ht="26.25">
      <c r="A238" s="12"/>
      <c r="B238" s="12"/>
      <c r="C238" s="12"/>
      <c r="D238" s="12"/>
      <c r="E238" s="12"/>
      <c r="F238" s="12"/>
      <c r="G238" s="12"/>
      <c r="H238" s="12"/>
      <c r="I238" s="12"/>
      <c r="J238" s="12"/>
      <c r="K238" s="12"/>
      <c r="L238" s="12"/>
      <c r="M238" s="12"/>
      <c r="N238" s="12"/>
      <c r="O238" s="12"/>
      <c r="P238" s="12"/>
      <c r="S238" s="55"/>
    </row>
    <row r="239" ht="26.25">
      <c r="S239" s="55"/>
    </row>
    <row r="240" ht="26.25">
      <c r="S240" s="55"/>
    </row>
    <row r="242" ht="12.75">
      <c r="H242" s="86"/>
    </row>
  </sheetData>
  <sheetProtection/>
  <mergeCells count="40">
    <mergeCell ref="L3:P3"/>
    <mergeCell ref="L4:P4"/>
    <mergeCell ref="B232:D232"/>
    <mergeCell ref="M232:O232"/>
    <mergeCell ref="K10:K12"/>
    <mergeCell ref="I10:I12"/>
    <mergeCell ref="J10:J12"/>
    <mergeCell ref="L11:L12"/>
    <mergeCell ref="Q166:Q190"/>
    <mergeCell ref="Q191:Q209"/>
    <mergeCell ref="Q210:Q233"/>
    <mergeCell ref="B233:C233"/>
    <mergeCell ref="L233:O233"/>
    <mergeCell ref="Q97:Q103"/>
    <mergeCell ref="Q104:Q112"/>
    <mergeCell ref="Q113:Q140"/>
    <mergeCell ref="Q141:Q165"/>
    <mergeCell ref="L5:P5"/>
    <mergeCell ref="F10:F12"/>
    <mergeCell ref="G11:G12"/>
    <mergeCell ref="Q93:Q96"/>
    <mergeCell ref="N10:N12"/>
    <mergeCell ref="G10:H10"/>
    <mergeCell ref="D9:D12"/>
    <mergeCell ref="E10:E12"/>
    <mergeCell ref="E9:I9"/>
    <mergeCell ref="H11:H12"/>
    <mergeCell ref="M11:M12"/>
    <mergeCell ref="J9:O9"/>
    <mergeCell ref="L10:M10"/>
    <mergeCell ref="Q74:Q92"/>
    <mergeCell ref="O11:O12"/>
    <mergeCell ref="Q1:Q28"/>
    <mergeCell ref="Q29:Q48"/>
    <mergeCell ref="Q49:Q73"/>
    <mergeCell ref="L1:O1"/>
    <mergeCell ref="B7:P7"/>
    <mergeCell ref="B9:B12"/>
    <mergeCell ref="C9:C12"/>
    <mergeCell ref="P9:P12"/>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headerFooter alignWithMargins="0">
    <oddFooter>&amp;RСторінка &amp;P</oddFooter>
  </headerFooter>
  <rowBreaks count="2" manualBreakCount="2">
    <brk id="208" min="1" max="15" man="1"/>
    <brk id="228"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2016-05-25T12:51:58Z</cp:lastPrinted>
  <dcterms:created xsi:type="dcterms:W3CDTF">2014-01-17T10:52:16Z</dcterms:created>
  <dcterms:modified xsi:type="dcterms:W3CDTF">2016-05-25T12:54:07Z</dcterms:modified>
  <cp:category/>
  <cp:version/>
  <cp:contentType/>
  <cp:contentStatus/>
</cp:coreProperties>
</file>