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120" windowHeight="9120" activeTab="0"/>
  </bookViews>
  <sheets>
    <sheet name="дод. 2" sheetId="1" r:id="rId1"/>
    <sheet name="дод. 3" sheetId="2" r:id="rId2"/>
  </sheets>
  <definedNames>
    <definedName name="_xlfn.AGGREGATE" hidden="1">#NAME?</definedName>
    <definedName name="_xlnm.Print_Titles" localSheetId="0">'дод. 2'!$9:$13</definedName>
    <definedName name="_xlnm.Print_Titles" localSheetId="1">'дод. 3'!$9:$13</definedName>
    <definedName name="_xlnm.Print_Area" localSheetId="0">'дод. 2'!$A$1:$W$147</definedName>
    <definedName name="_xlnm.Print_Area" localSheetId="1">'дод. 3'!$B$1:$W$178</definedName>
  </definedNames>
  <calcPr fullCalcOnLoad="1"/>
</workbook>
</file>

<file path=xl/sharedStrings.xml><?xml version="1.0" encoding="utf-8"?>
<sst xmlns="http://schemas.openxmlformats.org/spreadsheetml/2006/main" count="878" uniqueCount="338">
  <si>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</si>
  <si>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</si>
  <si>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</si>
  <si>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</si>
  <si>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</si>
  <si>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</si>
  <si>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</si>
  <si>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</si>
  <si>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</si>
  <si>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</si>
  <si>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</si>
  <si>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</si>
  <si>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</si>
  <si>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</si>
  <si>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</si>
  <si>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</si>
  <si>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</si>
  <si>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</si>
  <si>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</si>
  <si>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</si>
  <si>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</si>
  <si>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</si>
  <si>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</si>
  <si>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</si>
  <si>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</si>
  <si>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</si>
  <si>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</si>
  <si>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</si>
  <si>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</si>
  <si>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</si>
  <si>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</si>
  <si>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</si>
  <si>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</si>
  <si>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</si>
  <si>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</si>
  <si>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</si>
  <si>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</si>
  <si>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</si>
  <si>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</si>
  <si>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</si>
  <si>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</si>
  <si>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</si>
  <si>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</si>
  <si>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</si>
  <si>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</si>
  <si>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</si>
  <si>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</si>
  <si>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</si>
  <si>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</si>
  <si>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</si>
  <si>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</si>
  <si>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</si>
  <si>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</si>
  <si>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</si>
  <si>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</si>
  <si>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240604</t>
  </si>
  <si>
    <t>Інша діяльність у сфері охорони навколишнього природного середовища</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</si>
  <si>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</si>
  <si>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</si>
  <si>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</si>
  <si>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</si>
  <si>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</si>
  <si>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</si>
  <si>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</si>
  <si>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</si>
  <si>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</si>
  <si>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</si>
  <si>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</si>
  <si>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</si>
  <si>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</si>
  <si>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</si>
  <si>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</si>
  <si>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</si>
  <si>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</si>
  <si>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</si>
  <si>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</si>
  <si>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</si>
  <si>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</si>
  <si>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</si>
  <si>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</si>
  <si>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</si>
  <si>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</si>
  <si>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240605</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</si>
  <si>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</si>
  <si>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</si>
  <si>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</si>
  <si>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</si>
  <si>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</si>
  <si>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</si>
  <si>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</si>
  <si>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</si>
  <si>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</si>
  <si>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</si>
  <si>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</si>
  <si>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</si>
  <si>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</si>
  <si>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</si>
  <si>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070303</t>
  </si>
  <si>
    <t>Дитячі будинки (в т.ч.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</si>
  <si>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</si>
  <si>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</si>
  <si>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</si>
  <si>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</si>
  <si>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</si>
  <si>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</si>
  <si>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</si>
  <si>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</si>
  <si>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</si>
  <si>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</si>
  <si>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</si>
  <si>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</si>
  <si>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</si>
  <si>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</si>
  <si>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</si>
  <si>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</si>
  <si>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</si>
  <si>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</si>
  <si>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</si>
  <si>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</si>
  <si>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</si>
  <si>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</si>
  <si>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</si>
  <si>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</si>
  <si>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</si>
  <si>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</si>
  <si>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</si>
  <si>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</si>
  <si>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</si>
  <si>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</si>
  <si>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</si>
  <si>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</si>
  <si>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</si>
  <si>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090413</t>
  </si>
  <si>
    <t>Допомоги на догляд за інвалідом І чи ІІ групи внаслідок психічного розладу</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</si>
  <si>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</si>
  <si>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</si>
  <si>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</si>
  <si>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</si>
  <si>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</si>
  <si>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</si>
  <si>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</si>
  <si>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</si>
  <si>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</si>
  <si>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</si>
  <si>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</si>
  <si>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</si>
  <si>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</si>
  <si>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</si>
  <si>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</si>
  <si>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</si>
  <si>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</si>
  <si>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</si>
  <si>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</si>
  <si>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</si>
  <si>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</si>
  <si>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</si>
  <si>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</si>
  <si>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</si>
  <si>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</si>
  <si>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</si>
  <si>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</si>
  <si>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</si>
  <si>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</si>
  <si>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</si>
  <si>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</si>
  <si>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</si>
  <si>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</si>
  <si>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</si>
  <si>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</si>
  <si>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</si>
  <si>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240602</t>
  </si>
  <si>
    <t>Утилізація відходів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</si>
  <si>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</si>
  <si>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</si>
  <si>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</si>
  <si>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</si>
  <si>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</si>
  <si>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</si>
  <si>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</si>
  <si>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</si>
  <si>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</si>
  <si>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</si>
  <si>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</si>
  <si>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</si>
  <si>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</si>
  <si>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</si>
  <si>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</si>
  <si>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</si>
  <si>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</si>
  <si>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</si>
  <si>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</si>
  <si>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</si>
  <si>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</si>
  <si>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</si>
  <si>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</si>
  <si>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</si>
  <si>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</si>
  <si>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</si>
  <si>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</si>
  <si>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</si>
  <si>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</si>
  <si>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</si>
  <si>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</si>
  <si>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</si>
  <si>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</si>
  <si>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</si>
  <si>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 xml:space="preserve">15 Управління соціального захисту населення Сумської міської ради </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</si>
  <si>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</si>
  <si>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</si>
  <si>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</si>
  <si>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</si>
  <si>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</si>
  <si>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</si>
  <si>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</si>
  <si>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</si>
  <si>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</si>
  <si>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</si>
  <si>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</si>
  <si>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</si>
  <si>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</si>
  <si>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</si>
  <si>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0512</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</si>
  <si>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</si>
  <si>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</si>
  <si>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</si>
  <si>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75 Департамент фінансів, економіки та бюджетних відносин Сумської міської ради</t>
  </si>
  <si>
    <t>76 Департамент фінансів, економіки та бюджетних відносин Сумської міської ради (в частині міжбюджетних трансфертів, резервного фонду)</t>
  </si>
  <si>
    <t>0180</t>
  </si>
  <si>
    <t>50 Управління «Інспекція з благоустрою міста Суми» Сумської міської ради</t>
  </si>
  <si>
    <t xml:space="preserve">Допомога до досягнення дитиною трирічного віку </t>
  </si>
  <si>
    <t>250301</t>
  </si>
  <si>
    <t>Реверсна дотація</t>
  </si>
  <si>
    <t>250315</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</si>
  <si>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</si>
  <si>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</si>
  <si>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Найменування
згідно з типовою відомчою / тимчасовою класифікацією видатків та кредитування місцевого бюджету</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</si>
  <si>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</si>
  <si>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</si>
  <si>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</si>
  <si>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</si>
  <si>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</si>
  <si>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</si>
  <si>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Міський голова</t>
  </si>
  <si>
    <t>О.М. Лисенко</t>
  </si>
  <si>
    <t>090417</t>
  </si>
  <si>
    <t>Витрати на поховання учасників бойових дій та інвалідів війни</t>
  </si>
  <si>
    <t>10303</t>
  </si>
  <si>
    <t>091212</t>
  </si>
  <si>
    <t>Обробка інформації з нарахування та виплати допомог і компенсацій</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</si>
  <si>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</si>
  <si>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</si>
  <si>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</si>
  <si>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</si>
  <si>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081009</t>
  </si>
  <si>
    <t>Забезпечення централізованих заходів з лікування хворих на цукровий та нецукровий діабет</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</si>
  <si>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</si>
  <si>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</si>
  <si>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</si>
  <si>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</si>
  <si>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</si>
  <si>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</si>
  <si>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</si>
  <si>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</si>
  <si>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</si>
  <si>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</si>
  <si>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</si>
  <si>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</si>
  <si>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</si>
  <si>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</si>
  <si>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</si>
  <si>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</si>
  <si>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</si>
  <si>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</si>
  <si>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</si>
  <si>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</si>
  <si>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</si>
  <si>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</si>
  <si>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</si>
  <si>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</si>
  <si>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</si>
  <si>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</si>
  <si>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</si>
  <si>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</si>
  <si>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</si>
  <si>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Затверджено по бюджету з урахуванням змін</t>
  </si>
  <si>
    <t>Касові видатки</t>
  </si>
  <si>
    <t>до   рішення  Сумської  міської   ради</t>
  </si>
  <si>
    <t>«Про  звіт   про   виконання   міського</t>
  </si>
  <si>
    <t>«Про  звіт  про   виконання   міського</t>
  </si>
  <si>
    <t>до  рішення  Сумської  міської   ради</t>
  </si>
  <si>
    <t>120300</t>
  </si>
  <si>
    <t>0830</t>
  </si>
  <si>
    <t>Книговидання</t>
  </si>
  <si>
    <t>200600</t>
  </si>
  <si>
    <t>150202</t>
  </si>
  <si>
    <t>0443</t>
  </si>
  <si>
    <t>Розробка схем та проектних рішень масового застосування</t>
  </si>
  <si>
    <t>200000</t>
  </si>
  <si>
    <t>Охорона навколишнього природного середовища та ядерна безпека</t>
  </si>
  <si>
    <t>120000</t>
  </si>
  <si>
    <t>Засоби масової інформації</t>
  </si>
  <si>
    <t>49 Управління «Інспекція державного архітектурно - будівельного контролю» Сумської міської ради</t>
  </si>
  <si>
    <t>090501</t>
  </si>
  <si>
    <t>1050</t>
  </si>
  <si>
    <t>Організація та проведення громадських робіт</t>
  </si>
  <si>
    <t>170101</t>
  </si>
  <si>
    <t>170601</t>
  </si>
  <si>
    <t>451</t>
  </si>
  <si>
    <t>Регулювання цін на послуги місцевого автотранспорту</t>
  </si>
  <si>
    <t>Регулювання цін на послуги міського електротранспорту</t>
  </si>
  <si>
    <t>453</t>
  </si>
  <si>
    <t>100208</t>
  </si>
  <si>
    <t>620</t>
  </si>
  <si>
    <t>Видатки на впровадження засобів обліку витрат та регулювання споживання води та теплової енергії</t>
  </si>
  <si>
    <t>Звіт про виконання видаткової частини міського бюджету міста Суми                                                                                                                                                                                                                                                                                                                                                           за І квартал 2016 року за головними розпорядниками коштів</t>
  </si>
  <si>
    <t>170103</t>
  </si>
  <si>
    <t>443</t>
  </si>
  <si>
    <t>Інші заходи у сфері автомобільного транспорту</t>
  </si>
  <si>
    <t>070501</t>
  </si>
  <si>
    <t>Професійно - технічні заклади</t>
  </si>
  <si>
    <t>0930</t>
  </si>
  <si>
    <t xml:space="preserve">Звіт про виконання видаткової частини міського бюджету міста Суми                                                                                                                                                                                                                                                                                                                                                           за І квартал  2016 року за тимчасовою класифікацією видатків та кредитування місцевих бюджетів                                                                                                                                                                          </t>
  </si>
  <si>
    <t xml:space="preserve">                Додаток № 3</t>
  </si>
  <si>
    <t>бюджету   за   І квартал  2016   року»</t>
  </si>
  <si>
    <t>бюджету  за   І квартал   2016  року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</si>
  <si>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</si>
  <si>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</si>
  <si>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100101</t>
  </si>
  <si>
    <t>Житлово-експлуатаційне господарство</t>
  </si>
  <si>
    <t>230000</t>
  </si>
  <si>
    <t>0170</t>
  </si>
  <si>
    <t>Обслуговування боргу</t>
  </si>
  <si>
    <t xml:space="preserve">                Додаток № 2</t>
  </si>
  <si>
    <t>% виконання до затвердженого по бюджету</t>
  </si>
  <si>
    <t>% вико-нання до затвердженого по бюджету</t>
  </si>
  <si>
    <r>
      <t xml:space="preserve">від </t>
    </r>
    <r>
      <rPr>
        <sz val="20"/>
        <rFont val="Times New Roman"/>
        <family val="1"/>
      </rPr>
      <t xml:space="preserve">25  травня </t>
    </r>
    <r>
      <rPr>
        <sz val="20"/>
        <rFont val="Times New Roman"/>
        <family val="0"/>
      </rPr>
      <t>2016 року № 804 - МР</t>
    </r>
  </si>
  <si>
    <t>Виконавець: Липова С.А.</t>
  </si>
  <si>
    <t>від  25 травня  2016 року № 804 - МР</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</si>
</sst>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000"/>
  </numFmts>
  <fonts count="45">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sz val="10"/>
      <name val="Arial"/>
      <family val="0"/>
    </font>
    <font>
      <b/>
      <sz val="20"/>
      <name val="Times New Roman"/>
      <family val="0"/>
    </font>
    <font>
      <sz val="22"/>
      <name val="Times New Roman"/>
      <family val="0"/>
    </font>
    <font>
      <sz val="12"/>
      <name val="Times New Roman"/>
      <family val="0"/>
    </font>
    <font>
      <b/>
      <sz val="11"/>
      <color indexed="10"/>
      <name val="Times New Roman"/>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40"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77">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3" fontId="33" fillId="0" borderId="0" xfId="0" applyNumberFormat="1" applyFont="1" applyFill="1" applyBorder="1" applyAlignment="1">
      <alignment vertical="center" wrapText="1"/>
    </xf>
    <xf numFmtId="3" fontId="33" fillId="0" borderId="0" xfId="0" applyNumberFormat="1" applyFont="1" applyFill="1" applyBorder="1" applyAlignment="1">
      <alignment horizontal="center" vertical="center" wrapText="1"/>
    </xf>
    <xf numFmtId="0" fontId="33" fillId="0" borderId="0" xfId="0" applyFont="1" applyFill="1" applyAlignment="1">
      <alignment/>
    </xf>
    <xf numFmtId="3" fontId="34" fillId="0" borderId="0" xfId="0" applyNumberFormat="1" applyFont="1" applyFill="1" applyBorder="1" applyAlignment="1">
      <alignment horizontal="center" vertical="center" wrapText="1"/>
    </xf>
    <xf numFmtId="3" fontId="33" fillId="0" borderId="0" xfId="0" applyNumberFormat="1" applyFont="1"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0" xfId="0" applyFont="1" applyFill="1" applyAlignment="1">
      <alignment/>
    </xf>
    <xf numFmtId="0" fontId="35" fillId="0" borderId="14" xfId="0" applyNumberFormat="1" applyFont="1" applyFill="1" applyBorder="1" applyAlignment="1" applyProtection="1">
      <alignment/>
      <protection/>
    </xf>
    <xf numFmtId="0" fontId="35" fillId="0" borderId="15"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6" xfId="0" applyFont="1" applyFill="1" applyBorder="1" applyAlignment="1">
      <alignment vertical="center" wrapText="1"/>
    </xf>
    <xf numFmtId="0" fontId="35" fillId="0" borderId="0" xfId="0" applyFont="1" applyFill="1" applyAlignment="1">
      <alignment vertical="center"/>
    </xf>
    <xf numFmtId="49" fontId="35" fillId="0" borderId="17" xfId="0" applyNumberFormat="1" applyFont="1" applyFill="1" applyBorder="1" applyAlignment="1">
      <alignment horizontal="center" vertical="center"/>
    </xf>
    <xf numFmtId="0" fontId="35" fillId="0" borderId="17" xfId="0" applyFont="1" applyFill="1" applyBorder="1" applyAlignment="1">
      <alignment horizontal="left" vertical="center" wrapText="1"/>
    </xf>
    <xf numFmtId="0" fontId="35" fillId="0" borderId="0" xfId="0" applyFont="1" applyFill="1" applyAlignment="1">
      <alignment vertical="center" wrapText="1"/>
    </xf>
    <xf numFmtId="49" fontId="35" fillId="0" borderId="17" xfId="0" applyNumberFormat="1" applyFont="1" applyFill="1" applyBorder="1" applyAlignment="1">
      <alignment horizontal="center" vertical="center" wrapText="1"/>
    </xf>
    <xf numFmtId="49" fontId="36" fillId="0" borderId="17" xfId="0" applyNumberFormat="1" applyFont="1" applyFill="1" applyBorder="1" applyAlignment="1">
      <alignment horizontal="center" vertical="center"/>
    </xf>
    <xf numFmtId="0" fontId="36" fillId="0" borderId="17" xfId="0" applyFont="1" applyFill="1" applyBorder="1" applyAlignment="1">
      <alignment horizontal="left" vertical="center" wrapText="1"/>
    </xf>
    <xf numFmtId="49" fontId="35" fillId="0" borderId="17" xfId="0" applyNumberFormat="1" applyFont="1" applyFill="1" applyBorder="1" applyAlignment="1">
      <alignment horizontal="center" vertical="center"/>
    </xf>
    <xf numFmtId="0" fontId="35" fillId="0" borderId="17" xfId="0" applyFont="1" applyFill="1" applyBorder="1" applyAlignment="1">
      <alignment horizontal="left" vertical="center" wrapText="1"/>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vertical="center"/>
    </xf>
    <xf numFmtId="49" fontId="35" fillId="0" borderId="19" xfId="0" applyNumberFormat="1" applyFont="1" applyFill="1" applyBorder="1" applyAlignment="1">
      <alignment horizontal="center" vertical="center"/>
    </xf>
    <xf numFmtId="49" fontId="35" fillId="0" borderId="16" xfId="0" applyNumberFormat="1" applyFont="1" applyFill="1" applyBorder="1" applyAlignment="1">
      <alignment horizontal="center" vertical="center"/>
    </xf>
    <xf numFmtId="0" fontId="35" fillId="0" borderId="17" xfId="0" applyFont="1" applyFill="1" applyBorder="1" applyAlignment="1">
      <alignment vertical="center" wrapText="1"/>
    </xf>
    <xf numFmtId="0" fontId="35" fillId="0" borderId="0" xfId="0" applyFont="1" applyFill="1" applyBorder="1" applyAlignment="1">
      <alignment vertical="center"/>
    </xf>
    <xf numFmtId="4" fontId="35" fillId="0" borderId="17" xfId="95" applyNumberFormat="1" applyFont="1" applyFill="1" applyBorder="1" applyAlignment="1">
      <alignment vertical="center"/>
      <protection/>
    </xf>
    <xf numFmtId="0" fontId="0" fillId="0" borderId="12" xfId="0" applyFont="1" applyFill="1" applyBorder="1" applyAlignment="1">
      <alignment horizontal="center"/>
    </xf>
    <xf numFmtId="4" fontId="36" fillId="0" borderId="17" xfId="95" applyNumberFormat="1" applyFont="1" applyFill="1" applyBorder="1" applyAlignment="1">
      <alignment vertical="center"/>
      <protection/>
    </xf>
    <xf numFmtId="49" fontId="5" fillId="0" borderId="17"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5" fillId="0" borderId="17" xfId="0" applyFont="1" applyFill="1" applyBorder="1" applyAlignment="1">
      <alignment horizontal="left" vertical="center" wrapText="1"/>
    </xf>
    <xf numFmtId="0" fontId="38" fillId="0" borderId="12" xfId="0" applyNumberFormat="1" applyFont="1" applyFill="1" applyBorder="1" applyAlignment="1" applyProtection="1">
      <alignment horizontal="right" vertical="center"/>
      <protection/>
    </xf>
    <xf numFmtId="0" fontId="39" fillId="0" borderId="0" xfId="0" applyFont="1" applyFill="1" applyAlignment="1">
      <alignment vertical="center"/>
    </xf>
    <xf numFmtId="0" fontId="39" fillId="0" borderId="0" xfId="0" applyFont="1" applyFill="1" applyAlignment="1">
      <alignment vertical="center"/>
    </xf>
    <xf numFmtId="0" fontId="39" fillId="0" borderId="0" xfId="0" applyNumberFormat="1" applyFont="1" applyFill="1" applyAlignment="1" applyProtection="1">
      <alignment/>
      <protection/>
    </xf>
    <xf numFmtId="0" fontId="39" fillId="0" borderId="0" xfId="0" applyFont="1" applyFill="1" applyAlignment="1">
      <alignment/>
    </xf>
    <xf numFmtId="49" fontId="38" fillId="0" borderId="0" xfId="0" applyNumberFormat="1" applyFont="1" applyFill="1" applyAlignment="1">
      <alignment horizontal="center" vertical="center" textRotation="180" wrapText="1"/>
    </xf>
    <xf numFmtId="49" fontId="35" fillId="0" borderId="17" xfId="0" applyNumberFormat="1" applyFont="1" applyFill="1" applyBorder="1" applyAlignment="1">
      <alignment horizontal="center" vertical="center"/>
    </xf>
    <xf numFmtId="49" fontId="38" fillId="0" borderId="0" xfId="0" applyNumberFormat="1" applyFont="1" applyFill="1" applyAlignment="1">
      <alignment vertical="center" textRotation="180" wrapText="1"/>
    </xf>
    <xf numFmtId="4" fontId="35" fillId="0" borderId="0" xfId="0" applyNumberFormat="1" applyFont="1" applyFill="1" applyAlignment="1">
      <alignment vertical="center"/>
    </xf>
    <xf numFmtId="0" fontId="35" fillId="0" borderId="16"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36" fillId="0" borderId="17" xfId="105" applyNumberFormat="1" applyFont="1" applyFill="1" applyBorder="1" applyAlignment="1">
      <alignment horizontal="center" vertical="center" wrapText="1"/>
      <protection/>
    </xf>
    <xf numFmtId="0" fontId="36" fillId="0" borderId="17" xfId="105" applyFont="1" applyFill="1" applyBorder="1" applyAlignment="1">
      <alignment horizontal="left" vertical="center" wrapText="1"/>
      <protection/>
    </xf>
    <xf numFmtId="0" fontId="35" fillId="0" borderId="17" xfId="105" applyFont="1" applyFill="1" applyBorder="1" applyAlignment="1">
      <alignment horizontal="left" vertical="center" wrapText="1"/>
      <protection/>
    </xf>
    <xf numFmtId="49" fontId="36" fillId="0" borderId="17" xfId="105" applyNumberFormat="1" applyFont="1" applyFill="1" applyBorder="1" applyAlignment="1">
      <alignment horizontal="center" vertical="center" wrapText="1"/>
      <protection/>
    </xf>
    <xf numFmtId="0" fontId="36" fillId="0" borderId="17" xfId="105" applyFont="1" applyFill="1" applyBorder="1" applyAlignment="1">
      <alignment horizontal="left" vertical="center" wrapText="1"/>
      <protection/>
    </xf>
    <xf numFmtId="0" fontId="36" fillId="0" borderId="17" xfId="105" applyFont="1" applyFill="1" applyBorder="1" applyAlignment="1">
      <alignment horizontal="center" vertical="center" wrapText="1"/>
      <protection/>
    </xf>
    <xf numFmtId="4" fontId="36" fillId="0" borderId="16" xfId="0" applyNumberFormat="1" applyFont="1" applyFill="1" applyBorder="1" applyAlignment="1" applyProtection="1">
      <alignment horizontal="right" vertical="center" wrapText="1"/>
      <protection/>
    </xf>
    <xf numFmtId="4" fontId="35" fillId="0" borderId="16" xfId="0" applyNumberFormat="1" applyFont="1" applyFill="1" applyBorder="1" applyAlignment="1" applyProtection="1">
      <alignment horizontal="right" vertical="center" wrapText="1"/>
      <protection/>
    </xf>
    <xf numFmtId="49" fontId="35" fillId="0" borderId="16" xfId="0" applyNumberFormat="1" applyFont="1" applyFill="1" applyBorder="1" applyAlignment="1">
      <alignment vertical="center"/>
    </xf>
    <xf numFmtId="0" fontId="35" fillId="0" borderId="14" xfId="0" applyFont="1" applyFill="1" applyBorder="1" applyAlignment="1">
      <alignment vertical="top" wrapText="1"/>
    </xf>
    <xf numFmtId="0" fontId="35" fillId="0" borderId="15" xfId="0" applyFont="1" applyFill="1" applyBorder="1" applyAlignment="1">
      <alignment vertical="top" wrapText="1"/>
    </xf>
    <xf numFmtId="4" fontId="35" fillId="0" borderId="19" xfId="0" applyNumberFormat="1" applyFont="1" applyFill="1" applyBorder="1" applyAlignment="1" applyProtection="1">
      <alignment horizontal="right" vertical="center" wrapText="1"/>
      <protection/>
    </xf>
    <xf numFmtId="4" fontId="35" fillId="0" borderId="18" xfId="0" applyNumberFormat="1" applyFont="1" applyFill="1" applyBorder="1" applyAlignment="1" applyProtection="1">
      <alignment horizontal="right" vertical="center" wrapText="1"/>
      <protection/>
    </xf>
    <xf numFmtId="3" fontId="33" fillId="0" borderId="0" xfId="0" applyNumberFormat="1" applyFont="1" applyFill="1" applyBorder="1" applyAlignment="1">
      <alignment horizontal="left" vertical="center" wrapText="1"/>
    </xf>
    <xf numFmtId="0" fontId="39" fillId="0" borderId="0" xfId="0" applyFont="1" applyFill="1" applyAlignment="1">
      <alignment horizontal="center" vertical="center"/>
    </xf>
    <xf numFmtId="0" fontId="0" fillId="0" borderId="0" xfId="0" applyFont="1" applyFill="1" applyBorder="1" applyAlignment="1">
      <alignment horizontal="center"/>
    </xf>
    <xf numFmtId="0" fontId="39" fillId="0" borderId="0" xfId="0" applyFont="1" applyFill="1" applyAlignment="1">
      <alignment vertical="center" wrapText="1"/>
    </xf>
    <xf numFmtId="0" fontId="0" fillId="0" borderId="0" xfId="0" applyFont="1" applyFill="1" applyBorder="1" applyAlignment="1">
      <alignment horizontal="center"/>
    </xf>
    <xf numFmtId="4" fontId="35" fillId="0" borderId="17" xfId="95" applyNumberFormat="1" applyFont="1" applyFill="1" applyBorder="1" applyAlignment="1">
      <alignment vertical="center"/>
      <protection/>
    </xf>
    <xf numFmtId="4" fontId="35" fillId="0" borderId="18"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6" xfId="95" applyNumberFormat="1" applyFont="1" applyFill="1" applyBorder="1" applyAlignment="1">
      <alignment vertical="center"/>
      <protection/>
    </xf>
    <xf numFmtId="4" fontId="35" fillId="0" borderId="17" xfId="95" applyNumberFormat="1" applyFont="1" applyFill="1" applyBorder="1" applyAlignment="1">
      <alignment horizontal="right" vertical="center"/>
      <protection/>
    </xf>
    <xf numFmtId="4" fontId="36" fillId="0" borderId="17" xfId="95" applyNumberFormat="1" applyFont="1" applyFill="1" applyBorder="1" applyAlignment="1">
      <alignment horizontal="right" vertical="center"/>
      <protection/>
    </xf>
    <xf numFmtId="4" fontId="35" fillId="0" borderId="20" xfId="95" applyNumberFormat="1" applyFont="1" applyFill="1" applyBorder="1" applyAlignment="1">
      <alignment vertical="center"/>
      <protection/>
    </xf>
    <xf numFmtId="4" fontId="35" fillId="0" borderId="21" xfId="95" applyNumberFormat="1" applyFont="1" applyFill="1" applyBorder="1" applyAlignment="1">
      <alignment vertical="center"/>
      <protection/>
    </xf>
    <xf numFmtId="4" fontId="35" fillId="0" borderId="22" xfId="95" applyNumberFormat="1" applyFont="1" applyFill="1" applyBorder="1" applyAlignment="1">
      <alignment vertical="center"/>
      <protection/>
    </xf>
    <xf numFmtId="0" fontId="42" fillId="0" borderId="0" xfId="0" applyNumberFormat="1" applyFont="1" applyFill="1" applyAlignment="1" applyProtection="1">
      <alignment/>
      <protection/>
    </xf>
    <xf numFmtId="3" fontId="42" fillId="0" borderId="0" xfId="0" applyNumberFormat="1" applyFont="1" applyFill="1" applyBorder="1" applyAlignment="1">
      <alignment vertical="center" wrapText="1"/>
    </xf>
    <xf numFmtId="3" fontId="42" fillId="0" borderId="0" xfId="0" applyNumberFormat="1" applyFont="1" applyFill="1" applyBorder="1" applyAlignment="1">
      <alignment horizontal="center" vertical="center" wrapText="1"/>
    </xf>
    <xf numFmtId="0" fontId="42" fillId="0" borderId="0" xfId="0" applyNumberFormat="1" applyFont="1" applyFill="1" applyBorder="1" applyAlignment="1" applyProtection="1">
      <alignment vertical="center" wrapText="1"/>
      <protection/>
    </xf>
    <xf numFmtId="0" fontId="42" fillId="0" borderId="0" xfId="0" applyFont="1" applyFill="1" applyAlignment="1">
      <alignment/>
    </xf>
    <xf numFmtId="3" fontId="41" fillId="0" borderId="0" xfId="0" applyNumberFormat="1" applyFont="1" applyFill="1" applyBorder="1" applyAlignment="1">
      <alignment horizontal="center" vertical="center" wrapText="1"/>
    </xf>
    <xf numFmtId="49" fontId="38" fillId="0" borderId="14" xfId="0" applyNumberFormat="1" applyFont="1" applyFill="1" applyBorder="1" applyAlignment="1">
      <alignment horizontal="center" vertical="center" textRotation="180" wrapText="1"/>
    </xf>
    <xf numFmtId="4" fontId="0" fillId="0" borderId="0" xfId="0" applyNumberFormat="1" applyFont="1" applyFill="1" applyAlignment="1" applyProtection="1">
      <alignment/>
      <protection/>
    </xf>
    <xf numFmtId="4" fontId="0" fillId="0" borderId="0" xfId="0" applyNumberFormat="1" applyFont="1" applyFill="1" applyBorder="1" applyAlignment="1">
      <alignment horizontal="center"/>
    </xf>
    <xf numFmtId="4" fontId="33" fillId="0" borderId="0" xfId="0" applyNumberFormat="1" applyFont="1" applyFill="1" applyBorder="1" applyAlignment="1">
      <alignment horizontal="center" vertical="center" wrapText="1"/>
    </xf>
    <xf numFmtId="4" fontId="41" fillId="0" borderId="0" xfId="0" applyNumberFormat="1" applyFont="1" applyFill="1" applyBorder="1" applyAlignment="1">
      <alignment horizontal="center" vertical="center" wrapText="1"/>
    </xf>
    <xf numFmtId="4" fontId="33" fillId="0" borderId="0" xfId="0" applyNumberFormat="1" applyFont="1" applyFill="1" applyAlignment="1">
      <alignment/>
    </xf>
    <xf numFmtId="4" fontId="33" fillId="0" borderId="0" xfId="0" applyNumberFormat="1" applyFont="1" applyFill="1" applyAlignment="1" applyProtection="1">
      <alignment/>
      <protection/>
    </xf>
    <xf numFmtId="49" fontId="36" fillId="0" borderId="17" xfId="0" applyNumberFormat="1" applyFont="1" applyFill="1" applyBorder="1" applyAlignment="1">
      <alignment horizontal="center" vertical="center" wrapText="1"/>
    </xf>
    <xf numFmtId="3" fontId="43" fillId="0" borderId="0" xfId="0" applyNumberFormat="1" applyFont="1" applyFill="1" applyBorder="1" applyAlignment="1">
      <alignment horizontal="center" vertical="center" wrapText="1"/>
    </xf>
    <xf numFmtId="49" fontId="35" fillId="0" borderId="17" xfId="105" applyNumberFormat="1" applyFont="1" applyFill="1" applyBorder="1" applyAlignment="1">
      <alignment horizontal="center" vertical="center" wrapText="1"/>
      <protection/>
    </xf>
    <xf numFmtId="0" fontId="35" fillId="0" borderId="17" xfId="105" applyFont="1" applyFill="1" applyBorder="1" applyAlignment="1">
      <alignment horizontal="left" vertical="center" wrapText="1"/>
      <protection/>
    </xf>
    <xf numFmtId="4" fontId="35" fillId="0" borderId="16" xfId="0" applyNumberFormat="1" applyFont="1" applyFill="1" applyBorder="1" applyAlignment="1" applyProtection="1">
      <alignment horizontal="right" vertical="center" wrapText="1"/>
      <protection/>
    </xf>
    <xf numFmtId="0" fontId="35" fillId="27" borderId="0" xfId="0" applyNumberFormat="1" applyFont="1" applyFill="1" applyAlignment="1" applyProtection="1">
      <alignment vertical="center"/>
      <protection/>
    </xf>
    <xf numFmtId="49" fontId="38" fillId="0" borderId="0" xfId="0" applyNumberFormat="1" applyFont="1" applyFill="1" applyBorder="1" applyAlignment="1">
      <alignment horizontal="center" vertical="center" textRotation="180" wrapText="1"/>
    </xf>
    <xf numFmtId="0" fontId="35" fillId="27" borderId="0" xfId="0" applyFont="1" applyFill="1" applyAlignment="1">
      <alignment vertical="center"/>
    </xf>
    <xf numFmtId="4" fontId="44" fillId="0" borderId="17" xfId="95" applyNumberFormat="1" applyFont="1" applyFill="1" applyBorder="1" applyAlignment="1">
      <alignment vertical="center"/>
      <protection/>
    </xf>
    <xf numFmtId="0" fontId="36" fillId="0" borderId="0" xfId="0" applyNumberFormat="1" applyFont="1" applyFill="1" applyBorder="1" applyAlignment="1" applyProtection="1">
      <alignment/>
      <protection/>
    </xf>
    <xf numFmtId="49" fontId="36" fillId="0" borderId="17" xfId="0" applyNumberFormat="1" applyFont="1" applyFill="1" applyBorder="1" applyAlignment="1">
      <alignment horizontal="center" vertical="center"/>
    </xf>
    <xf numFmtId="0" fontId="36" fillId="0" borderId="17" xfId="0" applyFont="1" applyFill="1" applyBorder="1" applyAlignment="1">
      <alignment horizontal="left" vertical="center" wrapText="1"/>
    </xf>
    <xf numFmtId="0" fontId="36" fillId="0" borderId="0" xfId="0" applyFont="1" applyFill="1" applyAlignment="1">
      <alignment/>
    </xf>
    <xf numFmtId="0" fontId="35" fillId="0" borderId="0" xfId="0" applyNumberFormat="1" applyFont="1" applyFill="1" applyBorder="1" applyAlignment="1" applyProtection="1">
      <alignment/>
      <protection/>
    </xf>
    <xf numFmtId="0" fontId="35" fillId="0" borderId="0" xfId="0" applyFont="1" applyFill="1" applyAlignment="1">
      <alignment/>
    </xf>
    <xf numFmtId="184" fontId="36" fillId="0" borderId="17" xfId="95" applyNumberFormat="1" applyFont="1" applyFill="1" applyBorder="1" applyAlignment="1">
      <alignment horizontal="right" vertical="center"/>
      <protection/>
    </xf>
    <xf numFmtId="184" fontId="35" fillId="0" borderId="16" xfId="0" applyNumberFormat="1" applyFont="1" applyFill="1" applyBorder="1" applyAlignment="1" applyProtection="1">
      <alignment horizontal="right" vertical="center" wrapText="1"/>
      <protection/>
    </xf>
    <xf numFmtId="184" fontId="36" fillId="0" borderId="16" xfId="0" applyNumberFormat="1" applyFont="1" applyFill="1" applyBorder="1" applyAlignment="1" applyProtection="1">
      <alignment horizontal="right" vertical="center" wrapText="1"/>
      <protection/>
    </xf>
    <xf numFmtId="184" fontId="35" fillId="0" borderId="18" xfId="0" applyNumberFormat="1" applyFont="1" applyFill="1" applyBorder="1" applyAlignment="1" applyProtection="1">
      <alignment horizontal="right" vertical="center" wrapText="1"/>
      <protection/>
    </xf>
    <xf numFmtId="184" fontId="35" fillId="0" borderId="19" xfId="0" applyNumberFormat="1" applyFont="1" applyFill="1" applyBorder="1" applyAlignment="1" applyProtection="1">
      <alignment horizontal="right" vertical="center" wrapText="1"/>
      <protection/>
    </xf>
    <xf numFmtId="184" fontId="35" fillId="0" borderId="16" xfId="0" applyNumberFormat="1" applyFont="1" applyFill="1" applyBorder="1" applyAlignment="1" applyProtection="1">
      <alignment horizontal="right" vertical="center" wrapText="1"/>
      <protection/>
    </xf>
    <xf numFmtId="184" fontId="0" fillId="0" borderId="0" xfId="0" applyNumberFormat="1" applyFont="1" applyFill="1" applyAlignment="1" applyProtection="1">
      <alignment/>
      <protection/>
    </xf>
    <xf numFmtId="184" fontId="39" fillId="0" borderId="0" xfId="0" applyNumberFormat="1" applyFont="1" applyFill="1" applyBorder="1" applyAlignment="1">
      <alignment horizontal="center" vertical="center" wrapText="1"/>
    </xf>
    <xf numFmtId="184" fontId="33" fillId="0" borderId="0" xfId="0" applyNumberFormat="1" applyFont="1" applyFill="1" applyBorder="1" applyAlignment="1">
      <alignment horizontal="center" vertical="center" wrapText="1"/>
    </xf>
    <xf numFmtId="184" fontId="34" fillId="0" borderId="0" xfId="0" applyNumberFormat="1" applyFont="1" applyFill="1" applyBorder="1" applyAlignment="1">
      <alignment horizontal="center" vertical="center" wrapText="1"/>
    </xf>
    <xf numFmtId="184" fontId="33" fillId="0" borderId="0" xfId="0" applyNumberFormat="1" applyFont="1" applyFill="1" applyAlignment="1">
      <alignment/>
    </xf>
    <xf numFmtId="184" fontId="33" fillId="0" borderId="0" xfId="0" applyNumberFormat="1" applyFont="1" applyFill="1" applyAlignment="1" applyProtection="1">
      <alignment/>
      <protection/>
    </xf>
    <xf numFmtId="4" fontId="39" fillId="0" borderId="0" xfId="0" applyNumberFormat="1" applyFont="1" applyFill="1" applyBorder="1" applyAlignment="1">
      <alignment vertical="center" wrapText="1"/>
    </xf>
    <xf numFmtId="4" fontId="39" fillId="0" borderId="0" xfId="0" applyNumberFormat="1" applyFont="1" applyFill="1" applyBorder="1" applyAlignment="1">
      <alignment horizontal="center" vertical="center" wrapText="1"/>
    </xf>
    <xf numFmtId="4" fontId="39" fillId="0" borderId="0" xfId="0" applyNumberFormat="1" applyFont="1" applyFill="1" applyBorder="1" applyAlignment="1" applyProtection="1">
      <alignment vertical="center" wrapText="1"/>
      <protection/>
    </xf>
    <xf numFmtId="4" fontId="33" fillId="0" borderId="0" xfId="0" applyNumberFormat="1" applyFont="1" applyFill="1" applyBorder="1" applyAlignment="1">
      <alignment horizontal="left" vertical="center" wrapText="1"/>
    </xf>
    <xf numFmtId="4" fontId="34" fillId="0" borderId="0" xfId="0" applyNumberFormat="1" applyFont="1" applyFill="1" applyBorder="1" applyAlignment="1">
      <alignment horizontal="center" vertical="center" wrapText="1"/>
    </xf>
    <xf numFmtId="184" fontId="36" fillId="0" borderId="17" xfId="95" applyNumberFormat="1" applyFont="1" applyFill="1" applyBorder="1" applyAlignment="1">
      <alignment vertical="center"/>
      <protection/>
    </xf>
    <xf numFmtId="184" fontId="35" fillId="0" borderId="17" xfId="95" applyNumberFormat="1" applyFont="1" applyFill="1" applyBorder="1" applyAlignment="1">
      <alignment vertical="center"/>
      <protection/>
    </xf>
    <xf numFmtId="184" fontId="35" fillId="0" borderId="17" xfId="95" applyNumberFormat="1" applyFont="1" applyFill="1" applyBorder="1" applyAlignment="1">
      <alignment vertical="center"/>
      <protection/>
    </xf>
    <xf numFmtId="184" fontId="35" fillId="0" borderId="18" xfId="95" applyNumberFormat="1" applyFont="1" applyFill="1" applyBorder="1" applyAlignment="1">
      <alignment vertical="center"/>
      <protection/>
    </xf>
    <xf numFmtId="184" fontId="35" fillId="0" borderId="19" xfId="95" applyNumberFormat="1" applyFont="1" applyFill="1" applyBorder="1" applyAlignment="1">
      <alignment vertical="center"/>
      <protection/>
    </xf>
    <xf numFmtId="184" fontId="35" fillId="0" borderId="16" xfId="95" applyNumberFormat="1" applyFont="1" applyFill="1" applyBorder="1" applyAlignment="1">
      <alignment vertical="center"/>
      <protection/>
    </xf>
    <xf numFmtId="184" fontId="0" fillId="0" borderId="0" xfId="0" applyNumberFormat="1" applyFont="1" applyFill="1" applyAlignment="1" applyProtection="1">
      <alignment/>
      <protection/>
    </xf>
    <xf numFmtId="184" fontId="42" fillId="0" borderId="0" xfId="0" applyNumberFormat="1" applyFont="1" applyFill="1" applyBorder="1" applyAlignment="1">
      <alignment horizontal="center" vertical="center" wrapText="1"/>
    </xf>
    <xf numFmtId="184" fontId="41" fillId="0" borderId="0" xfId="0" applyNumberFormat="1" applyFont="1" applyFill="1" applyBorder="1" applyAlignment="1">
      <alignment horizontal="center" vertical="center" wrapText="1"/>
    </xf>
    <xf numFmtId="184" fontId="0" fillId="0" borderId="0" xfId="0" applyNumberFormat="1" applyFont="1" applyFill="1" applyAlignment="1" applyProtection="1">
      <alignment/>
      <protection/>
    </xf>
    <xf numFmtId="0" fontId="34" fillId="0" borderId="0" xfId="0" applyNumberFormat="1" applyFont="1" applyFill="1" applyBorder="1" applyAlignment="1" applyProtection="1">
      <alignment horizontal="center" vertical="top" wrapText="1"/>
      <protection/>
    </xf>
    <xf numFmtId="0" fontId="35" fillId="0" borderId="18" xfId="0" applyNumberFormat="1" applyFont="1" applyFill="1" applyBorder="1" applyAlignment="1" applyProtection="1">
      <alignment horizontal="center" vertical="center" wrapText="1"/>
      <protection/>
    </xf>
    <xf numFmtId="0" fontId="35" fillId="0" borderId="16" xfId="0" applyNumberFormat="1" applyFont="1" applyFill="1" applyBorder="1" applyAlignment="1" applyProtection="1">
      <alignment horizontal="center" vertical="center" wrapText="1"/>
      <protection/>
    </xf>
    <xf numFmtId="3" fontId="33"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0" fontId="39" fillId="0" borderId="0" xfId="0" applyFont="1" applyFill="1" applyAlignment="1">
      <alignment horizontal="left" vertical="center"/>
    </xf>
    <xf numFmtId="4" fontId="39" fillId="0" borderId="0" xfId="0" applyNumberFormat="1" applyFont="1" applyFill="1" applyBorder="1" applyAlignment="1">
      <alignment horizontal="center" vertical="center" wrapText="1"/>
    </xf>
    <xf numFmtId="0" fontId="39" fillId="0" borderId="0" xfId="0" applyFont="1" applyFill="1" applyAlignment="1">
      <alignment horizontal="left" vertical="center" wrapText="1"/>
    </xf>
    <xf numFmtId="0" fontId="35" fillId="0" borderId="17" xfId="0" applyNumberFormat="1" applyFont="1" applyFill="1" applyBorder="1" applyAlignment="1" applyProtection="1">
      <alignment horizontal="center" vertical="center" wrapText="1"/>
      <protection/>
    </xf>
    <xf numFmtId="0" fontId="35" fillId="0" borderId="18" xfId="0" applyNumberFormat="1" applyFont="1" applyFill="1" applyBorder="1" applyAlignment="1" applyProtection="1">
      <alignment horizontal="center" vertical="center" textRotation="90" wrapText="1"/>
      <protection/>
    </xf>
    <xf numFmtId="0" fontId="35" fillId="0" borderId="19" xfId="0" applyNumberFormat="1" applyFont="1" applyFill="1" applyBorder="1" applyAlignment="1" applyProtection="1">
      <alignment horizontal="center" vertical="center" textRotation="90" wrapText="1"/>
      <protection/>
    </xf>
    <xf numFmtId="0" fontId="35" fillId="0" borderId="16" xfId="0" applyNumberFormat="1" applyFont="1" applyFill="1" applyBorder="1" applyAlignment="1" applyProtection="1">
      <alignment horizontal="center" vertical="center" textRotation="90" wrapText="1"/>
      <protection/>
    </xf>
    <xf numFmtId="0" fontId="37" fillId="0" borderId="18"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5" fillId="0" borderId="24" xfId="0" applyNumberFormat="1" applyFont="1" applyFill="1" applyBorder="1" applyAlignment="1" applyProtection="1">
      <alignment horizontal="center" vertical="center" wrapText="1"/>
      <protection/>
    </xf>
    <xf numFmtId="0" fontId="35" fillId="0" borderId="18" xfId="0" applyNumberFormat="1" applyFont="1" applyFill="1" applyBorder="1" applyAlignment="1" applyProtection="1">
      <alignment horizontal="center" vertical="center" wrapText="1"/>
      <protection/>
    </xf>
    <xf numFmtId="0" fontId="35" fillId="0" borderId="16"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49" fontId="38" fillId="0" borderId="0" xfId="0" applyNumberFormat="1" applyFont="1" applyFill="1" applyBorder="1" applyAlignment="1">
      <alignment horizontal="center" vertical="center" textRotation="180" wrapText="1"/>
    </xf>
    <xf numFmtId="49" fontId="33" fillId="0" borderId="0" xfId="0" applyNumberFormat="1" applyFont="1" applyFill="1" applyBorder="1" applyAlignment="1">
      <alignment horizontal="left" vertical="center" wrapText="1"/>
    </xf>
    <xf numFmtId="4" fontId="33" fillId="0" borderId="0" xfId="0" applyNumberFormat="1" applyFont="1" applyFill="1" applyBorder="1" applyAlignment="1">
      <alignment horizontal="left" vertical="center" wrapText="1"/>
    </xf>
    <xf numFmtId="49" fontId="39" fillId="0" borderId="0" xfId="0" applyNumberFormat="1" applyFont="1" applyFill="1" applyBorder="1" applyAlignment="1">
      <alignment horizontal="left" vertical="center" wrapText="1"/>
    </xf>
    <xf numFmtId="0" fontId="35" fillId="0" borderId="13" xfId="0" applyFont="1" applyFill="1" applyBorder="1" applyAlignment="1">
      <alignment vertical="center" wrapText="1"/>
    </xf>
    <xf numFmtId="0" fontId="35" fillId="0" borderId="14" xfId="0" applyFont="1" applyFill="1" applyBorder="1" applyAlignment="1">
      <alignment vertical="center" wrapText="1"/>
    </xf>
    <xf numFmtId="49" fontId="38" fillId="0" borderId="0" xfId="0" applyNumberFormat="1" applyFont="1" applyFill="1" applyAlignment="1">
      <alignment horizontal="center" vertical="center" textRotation="180" wrapText="1"/>
    </xf>
    <xf numFmtId="4" fontId="35" fillId="0" borderId="18" xfId="0" applyNumberFormat="1" applyFont="1" applyFill="1" applyBorder="1" applyAlignment="1" applyProtection="1">
      <alignment horizontal="center" vertical="center" wrapText="1"/>
      <protection/>
    </xf>
    <xf numFmtId="4" fontId="35" fillId="0" borderId="16" xfId="0" applyNumberFormat="1" applyFont="1" applyFill="1" applyBorder="1" applyAlignment="1" applyProtection="1">
      <alignment horizontal="center" vertical="center" wrapText="1"/>
      <protection/>
    </xf>
    <xf numFmtId="49" fontId="38" fillId="0" borderId="14" xfId="0" applyNumberFormat="1" applyFont="1" applyFill="1" applyBorder="1" applyAlignment="1">
      <alignment horizontal="center" vertical="center" textRotation="180" wrapText="1"/>
    </xf>
    <xf numFmtId="0" fontId="35" fillId="0" borderId="19"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5" fillId="0" borderId="24" xfId="0" applyNumberFormat="1" applyFont="1" applyFill="1" applyBorder="1" applyAlignment="1" applyProtection="1">
      <alignment horizontal="center" vertical="center" wrapText="1"/>
      <protection/>
    </xf>
    <xf numFmtId="3" fontId="42" fillId="0" borderId="0" xfId="0" applyNumberFormat="1" applyFont="1" applyFill="1" applyBorder="1" applyAlignment="1">
      <alignment horizontal="center" vertical="center"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 2,3    (с)"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X208"/>
  <sheetViews>
    <sheetView showGridLines="0" showZeros="0" tabSelected="1" view="pageBreakPreview" zoomScale="85" zoomScaleNormal="70" zoomScaleSheetLayoutView="85" workbookViewId="0" topLeftCell="B137">
      <selection activeCell="B148" sqref="B148"/>
    </sheetView>
  </sheetViews>
  <sheetFormatPr defaultColWidth="9.16015625" defaultRowHeight="12.75"/>
  <cols>
    <col min="1" max="1" width="3.83203125" style="1" hidden="1" customWidth="1"/>
    <col min="2" max="3" width="11.66015625" style="1" customWidth="1"/>
    <col min="4" max="4" width="46" style="1" customWidth="1"/>
    <col min="5" max="5" width="18.83203125" style="1" customWidth="1"/>
    <col min="6" max="6" width="17.16015625" style="1" customWidth="1"/>
    <col min="7" max="7" width="15.33203125" style="1" customWidth="1"/>
    <col min="8" max="8" width="19" style="1" customWidth="1"/>
    <col min="9" max="9" width="17.5" style="1" customWidth="1"/>
    <col min="10" max="10" width="18.66015625" style="1" customWidth="1"/>
    <col min="11" max="11" width="6.33203125" style="1" customWidth="1"/>
    <col min="12" max="12" width="16.33203125" style="1" customWidth="1"/>
    <col min="13" max="13" width="15.83203125" style="1" customWidth="1"/>
    <col min="14" max="14" width="14.5" style="1" customWidth="1"/>
    <col min="15" max="15" width="12.5" style="1" customWidth="1"/>
    <col min="16" max="16" width="16.83203125" style="1" customWidth="1"/>
    <col min="17" max="17" width="17" style="1" customWidth="1"/>
    <col min="18" max="18" width="15.33203125" style="1" customWidth="1"/>
    <col min="19" max="19" width="14" style="1" customWidth="1"/>
    <col min="20" max="20" width="13" style="1" customWidth="1"/>
    <col min="21" max="21" width="18" style="1" customWidth="1"/>
    <col min="22" max="22" width="7.16015625" style="1" customWidth="1"/>
    <col min="23" max="23" width="21.33203125" style="1" customWidth="1"/>
    <col min="24" max="24" width="6.16015625" style="52" customWidth="1"/>
    <col min="25" max="25" width="9.16015625" style="57" customWidth="1"/>
    <col min="26" max="26" width="14.16015625" style="57" bestFit="1" customWidth="1"/>
    <col min="27" max="16384" width="9.16015625" style="57" customWidth="1"/>
  </cols>
  <sheetData>
    <row r="1" spans="14:24" ht="26.25">
      <c r="N1" s="48"/>
      <c r="O1" s="48"/>
      <c r="P1" s="48"/>
      <c r="Q1" s="48"/>
      <c r="R1" s="148" t="s">
        <v>332</v>
      </c>
      <c r="S1" s="148"/>
      <c r="T1" s="148"/>
      <c r="U1" s="148"/>
      <c r="V1" s="148"/>
      <c r="W1" s="148"/>
      <c r="X1" s="169"/>
    </row>
    <row r="2" spans="14:24" ht="26.25">
      <c r="N2" s="75"/>
      <c r="O2" s="48"/>
      <c r="P2" s="48"/>
      <c r="Q2" s="48"/>
      <c r="R2" s="148" t="s">
        <v>286</v>
      </c>
      <c r="S2" s="148"/>
      <c r="T2" s="148"/>
      <c r="U2" s="148"/>
      <c r="V2" s="148"/>
      <c r="W2" s="148"/>
      <c r="X2" s="169"/>
    </row>
    <row r="3" spans="14:24" ht="26.25" customHeight="1">
      <c r="N3" s="77"/>
      <c r="O3" s="77"/>
      <c r="P3" s="77"/>
      <c r="Q3" s="77"/>
      <c r="R3" s="150" t="s">
        <v>287</v>
      </c>
      <c r="S3" s="150"/>
      <c r="T3" s="150"/>
      <c r="U3" s="150"/>
      <c r="V3" s="150"/>
      <c r="W3" s="150"/>
      <c r="X3" s="169"/>
    </row>
    <row r="4" spans="14:24" ht="26.25" customHeight="1">
      <c r="N4" s="77"/>
      <c r="O4" s="77"/>
      <c r="P4" s="77"/>
      <c r="Q4" s="77"/>
      <c r="R4" s="150" t="s">
        <v>323</v>
      </c>
      <c r="S4" s="150"/>
      <c r="T4" s="150"/>
      <c r="U4" s="150"/>
      <c r="V4" s="150"/>
      <c r="W4" s="150"/>
      <c r="X4" s="169"/>
    </row>
    <row r="5" spans="14:24" ht="26.25">
      <c r="N5" s="48"/>
      <c r="O5" s="48"/>
      <c r="P5" s="48"/>
      <c r="Q5" s="48"/>
      <c r="R5" s="148" t="s">
        <v>337</v>
      </c>
      <c r="S5" s="148"/>
      <c r="T5" s="148"/>
      <c r="U5" s="148"/>
      <c r="V5" s="148"/>
      <c r="W5" s="148"/>
      <c r="X5" s="169"/>
    </row>
    <row r="6" spans="14:24" ht="55.5" customHeight="1">
      <c r="N6" s="48"/>
      <c r="O6" s="48"/>
      <c r="P6" s="49"/>
      <c r="Q6" s="49"/>
      <c r="R6" s="49"/>
      <c r="S6" s="49"/>
      <c r="T6" s="49"/>
      <c r="U6" s="49"/>
      <c r="V6" s="49"/>
      <c r="W6" s="49"/>
      <c r="X6" s="169"/>
    </row>
    <row r="7" spans="2:24" ht="57" customHeight="1">
      <c r="B7" s="143" t="s">
        <v>321</v>
      </c>
      <c r="C7" s="143"/>
      <c r="D7" s="143"/>
      <c r="E7" s="143"/>
      <c r="F7" s="143"/>
      <c r="G7" s="143"/>
      <c r="H7" s="143"/>
      <c r="I7" s="143"/>
      <c r="J7" s="143"/>
      <c r="K7" s="143"/>
      <c r="L7" s="143"/>
      <c r="M7" s="143"/>
      <c r="N7" s="143"/>
      <c r="O7" s="143"/>
      <c r="P7" s="143"/>
      <c r="Q7" s="143"/>
      <c r="R7" s="143"/>
      <c r="S7" s="143"/>
      <c r="T7" s="143"/>
      <c r="U7" s="143"/>
      <c r="V7" s="143"/>
      <c r="W7" s="143"/>
      <c r="X7" s="169"/>
    </row>
    <row r="8" spans="2:24" ht="18.75">
      <c r="B8" s="58"/>
      <c r="C8" s="58"/>
      <c r="D8" s="58"/>
      <c r="E8" s="58"/>
      <c r="F8" s="5"/>
      <c r="G8" s="58"/>
      <c r="H8" s="78"/>
      <c r="I8" s="78"/>
      <c r="J8" s="78"/>
      <c r="K8" s="78"/>
      <c r="L8" s="3"/>
      <c r="M8" s="59"/>
      <c r="N8" s="59"/>
      <c r="O8" s="59"/>
      <c r="P8" s="59"/>
      <c r="Q8" s="59"/>
      <c r="R8" s="59"/>
      <c r="S8" s="59"/>
      <c r="T8" s="59"/>
      <c r="U8" s="59"/>
      <c r="V8" s="59"/>
      <c r="W8" s="47" t="s">
        <v>13</v>
      </c>
      <c r="X8" s="169"/>
    </row>
    <row r="9" spans="1:24" s="20" customFormat="1" ht="21.75" customHeight="1">
      <c r="A9" s="19"/>
      <c r="B9" s="160" t="s">
        <v>12</v>
      </c>
      <c r="C9" s="160" t="s">
        <v>10</v>
      </c>
      <c r="D9" s="160" t="s">
        <v>235</v>
      </c>
      <c r="E9" s="151" t="s">
        <v>0</v>
      </c>
      <c r="F9" s="151"/>
      <c r="G9" s="151"/>
      <c r="H9" s="151"/>
      <c r="I9" s="151"/>
      <c r="J9" s="151"/>
      <c r="K9" s="152" t="s">
        <v>333</v>
      </c>
      <c r="L9" s="151" t="s">
        <v>1</v>
      </c>
      <c r="M9" s="151"/>
      <c r="N9" s="151"/>
      <c r="O9" s="151"/>
      <c r="P9" s="151"/>
      <c r="Q9" s="151"/>
      <c r="R9" s="151"/>
      <c r="S9" s="151"/>
      <c r="T9" s="151"/>
      <c r="U9" s="151"/>
      <c r="V9" s="152" t="s">
        <v>334</v>
      </c>
      <c r="W9" s="160" t="s">
        <v>2</v>
      </c>
      <c r="X9" s="169"/>
    </row>
    <row r="10" spans="1:24" s="20" customFormat="1" ht="21.75" customHeight="1">
      <c r="A10" s="21"/>
      <c r="B10" s="162"/>
      <c r="C10" s="162"/>
      <c r="D10" s="162"/>
      <c r="E10" s="151" t="s">
        <v>284</v>
      </c>
      <c r="F10" s="151"/>
      <c r="G10" s="151"/>
      <c r="H10" s="151" t="s">
        <v>285</v>
      </c>
      <c r="I10" s="151"/>
      <c r="J10" s="151"/>
      <c r="K10" s="153"/>
      <c r="L10" s="151" t="s">
        <v>284</v>
      </c>
      <c r="M10" s="151"/>
      <c r="N10" s="151"/>
      <c r="O10" s="151"/>
      <c r="P10" s="151"/>
      <c r="Q10" s="151" t="s">
        <v>285</v>
      </c>
      <c r="R10" s="151"/>
      <c r="S10" s="151"/>
      <c r="T10" s="151"/>
      <c r="U10" s="151"/>
      <c r="V10" s="153"/>
      <c r="W10" s="162"/>
      <c r="X10" s="169"/>
    </row>
    <row r="11" spans="1:24" s="20" customFormat="1" ht="16.5" customHeight="1">
      <c r="A11" s="21"/>
      <c r="B11" s="162"/>
      <c r="C11" s="162"/>
      <c r="D11" s="162"/>
      <c r="E11" s="160" t="s">
        <v>3</v>
      </c>
      <c r="F11" s="158" t="s">
        <v>5</v>
      </c>
      <c r="G11" s="159"/>
      <c r="H11" s="160" t="s">
        <v>3</v>
      </c>
      <c r="I11" s="158" t="s">
        <v>5</v>
      </c>
      <c r="J11" s="159"/>
      <c r="K11" s="153"/>
      <c r="L11" s="160" t="s">
        <v>3</v>
      </c>
      <c r="M11" s="155" t="s">
        <v>4</v>
      </c>
      <c r="N11" s="158" t="s">
        <v>5</v>
      </c>
      <c r="O11" s="159"/>
      <c r="P11" s="155" t="s">
        <v>6</v>
      </c>
      <c r="Q11" s="160" t="s">
        <v>3</v>
      </c>
      <c r="R11" s="155" t="s">
        <v>4</v>
      </c>
      <c r="S11" s="158" t="s">
        <v>5</v>
      </c>
      <c r="T11" s="159"/>
      <c r="U11" s="155" t="s">
        <v>6</v>
      </c>
      <c r="V11" s="153"/>
      <c r="W11" s="162"/>
      <c r="X11" s="169"/>
    </row>
    <row r="12" spans="1:24" s="20" customFormat="1" ht="20.25" customHeight="1">
      <c r="A12" s="22"/>
      <c r="B12" s="162"/>
      <c r="C12" s="162"/>
      <c r="D12" s="162"/>
      <c r="E12" s="162"/>
      <c r="F12" s="160" t="s">
        <v>7</v>
      </c>
      <c r="G12" s="160" t="s">
        <v>8</v>
      </c>
      <c r="H12" s="162"/>
      <c r="I12" s="160" t="s">
        <v>7</v>
      </c>
      <c r="J12" s="160" t="s">
        <v>8</v>
      </c>
      <c r="K12" s="153"/>
      <c r="L12" s="162"/>
      <c r="M12" s="156"/>
      <c r="N12" s="160" t="s">
        <v>7</v>
      </c>
      <c r="O12" s="160" t="s">
        <v>8</v>
      </c>
      <c r="P12" s="156"/>
      <c r="Q12" s="162"/>
      <c r="R12" s="156"/>
      <c r="S12" s="160" t="s">
        <v>7</v>
      </c>
      <c r="T12" s="160" t="s">
        <v>8</v>
      </c>
      <c r="U12" s="156"/>
      <c r="V12" s="153"/>
      <c r="W12" s="162"/>
      <c r="X12" s="169"/>
    </row>
    <row r="13" spans="1:24" s="20" customFormat="1" ht="110.25" customHeight="1">
      <c r="A13" s="23"/>
      <c r="B13" s="161"/>
      <c r="C13" s="161"/>
      <c r="D13" s="161"/>
      <c r="E13" s="161"/>
      <c r="F13" s="161"/>
      <c r="G13" s="161"/>
      <c r="H13" s="161"/>
      <c r="I13" s="161"/>
      <c r="J13" s="161"/>
      <c r="K13" s="154"/>
      <c r="L13" s="161"/>
      <c r="M13" s="157"/>
      <c r="N13" s="161"/>
      <c r="O13" s="161"/>
      <c r="P13" s="157"/>
      <c r="Q13" s="161"/>
      <c r="R13" s="157"/>
      <c r="S13" s="161"/>
      <c r="T13" s="161"/>
      <c r="U13" s="157"/>
      <c r="V13" s="154"/>
      <c r="W13" s="161"/>
      <c r="X13" s="169"/>
    </row>
    <row r="14" spans="1:24" s="20" customFormat="1" ht="15">
      <c r="A14" s="23"/>
      <c r="B14" s="61" t="s">
        <v>255</v>
      </c>
      <c r="C14" s="56"/>
      <c r="D14" s="62" t="s">
        <v>256</v>
      </c>
      <c r="E14" s="84">
        <f aca="true" t="shared" si="0" ref="E14:J14">E15</f>
        <v>61586070</v>
      </c>
      <c r="F14" s="84">
        <f t="shared" si="0"/>
        <v>43596730</v>
      </c>
      <c r="G14" s="84">
        <f t="shared" si="0"/>
        <v>2728341</v>
      </c>
      <c r="H14" s="84">
        <f t="shared" si="0"/>
        <v>13702097.73</v>
      </c>
      <c r="I14" s="84">
        <f t="shared" si="0"/>
        <v>9857565.14</v>
      </c>
      <c r="J14" s="84">
        <f t="shared" si="0"/>
        <v>849325.8</v>
      </c>
      <c r="K14" s="116">
        <f>H14/E14*100</f>
        <v>22.24869638540014</v>
      </c>
      <c r="L14" s="84">
        <f>L15</f>
        <v>4712964</v>
      </c>
      <c r="M14" s="84">
        <f aca="true" t="shared" si="1" ref="M14:U14">M15</f>
        <v>2280164</v>
      </c>
      <c r="N14" s="84">
        <f t="shared" si="1"/>
        <v>1413770</v>
      </c>
      <c r="O14" s="84">
        <f t="shared" si="1"/>
        <v>50946</v>
      </c>
      <c r="P14" s="84">
        <f t="shared" si="1"/>
        <v>2432800</v>
      </c>
      <c r="Q14" s="84">
        <f>Q15</f>
        <v>784864.4</v>
      </c>
      <c r="R14" s="84">
        <f t="shared" si="1"/>
        <v>455245.87</v>
      </c>
      <c r="S14" s="84">
        <f t="shared" si="1"/>
        <v>338789.86</v>
      </c>
      <c r="T14" s="84">
        <f t="shared" si="1"/>
        <v>22906.33</v>
      </c>
      <c r="U14" s="84">
        <f t="shared" si="1"/>
        <v>329618.53</v>
      </c>
      <c r="V14" s="116">
        <f>Q14/L14*100</f>
        <v>16.653307769802613</v>
      </c>
      <c r="W14" s="84">
        <f>W15</f>
        <v>14486962.13</v>
      </c>
      <c r="X14" s="169"/>
    </row>
    <row r="15" spans="1:24" s="20" customFormat="1" ht="15">
      <c r="A15" s="23"/>
      <c r="B15" s="27" t="s">
        <v>11</v>
      </c>
      <c r="C15" s="27" t="s">
        <v>9</v>
      </c>
      <c r="D15" s="63" t="s">
        <v>15</v>
      </c>
      <c r="E15" s="68">
        <f>'дод. 3'!E15+'дод. 3'!E45+'дод. 3'!E63+'дод. 3'!E73+'дод. 3'!E113+'дод. 3'!E116+'дод. 3'!E122+'дод. 3'!E142+'дод. 3'!E146+'дод. 3'!E155+'дод. 3'!E160+'дод. 3'!E162+'дод. 3'!E165</f>
        <v>61586070</v>
      </c>
      <c r="F15" s="68">
        <f>'дод. 3'!F15+'дод. 3'!F45+'дод. 3'!F63+'дод. 3'!F73+'дод. 3'!F113+'дод. 3'!F116+'дод. 3'!F122+'дод. 3'!F142+'дод. 3'!F146+'дод. 3'!F155+'дод. 3'!F160+'дод. 3'!F162+'дод. 3'!F165</f>
        <v>43596730</v>
      </c>
      <c r="G15" s="68">
        <f>'дод. 3'!G15+'дод. 3'!G45+'дод. 3'!G63+'дод. 3'!G73+'дод. 3'!G113+'дод. 3'!G116+'дод. 3'!G122+'дод. 3'!G142+'дод. 3'!G146+'дод. 3'!G155+'дод. 3'!G160+'дод. 3'!G162+'дод. 3'!G165</f>
        <v>2728341</v>
      </c>
      <c r="H15" s="68">
        <f>'дод. 3'!H15+'дод. 3'!H45+'дод. 3'!H63+'дод. 3'!H73+'дод. 3'!H113+'дод. 3'!H116+'дод. 3'!H122+'дод. 3'!H142+'дод. 3'!H146+'дод. 3'!H155+'дод. 3'!H160+'дод. 3'!H162+'дод. 3'!H165</f>
        <v>13702097.73</v>
      </c>
      <c r="I15" s="68">
        <f>'дод. 3'!I15+'дод. 3'!I45+'дод. 3'!I63+'дод. 3'!I73+'дод. 3'!I113+'дод. 3'!I116+'дод. 3'!I122+'дод. 3'!I142+'дод. 3'!I146+'дод. 3'!I155+'дод. 3'!I160+'дод. 3'!I162+'дод. 3'!I165</f>
        <v>9857565.14</v>
      </c>
      <c r="J15" s="68">
        <f>'дод. 3'!J15+'дод. 3'!J45+'дод. 3'!J63+'дод. 3'!J73+'дод. 3'!J113+'дод. 3'!J116+'дод. 3'!J122+'дод. 3'!J142+'дод. 3'!J146+'дод. 3'!J155+'дод. 3'!J160+'дод. 3'!J162+'дод. 3'!J165</f>
        <v>849325.8</v>
      </c>
      <c r="K15" s="117">
        <f aca="true" t="shared" si="2" ref="K15:K78">H15/E15*100</f>
        <v>22.24869638540014</v>
      </c>
      <c r="L15" s="68">
        <f>M15+P15</f>
        <v>4712964</v>
      </c>
      <c r="M15" s="68">
        <f>'дод. 3'!M15+'дод. 3'!M45+'дод. 3'!M63+'дод. 3'!M73+'дод. 3'!M113+'дод. 3'!M116+'дод. 3'!M122+'дод. 3'!M142+'дод. 3'!M146+'дод. 3'!M155+'дод. 3'!M160+'дод. 3'!M162+'дод. 3'!M165</f>
        <v>2280164</v>
      </c>
      <c r="N15" s="68">
        <f>'дод. 3'!N15+'дод. 3'!N45+'дод. 3'!N63+'дод. 3'!N73+'дод. 3'!N113+'дод. 3'!N116+'дод. 3'!N122+'дод. 3'!N142+'дод. 3'!N146+'дод. 3'!N155+'дод. 3'!N160+'дод. 3'!N162+'дод. 3'!N165</f>
        <v>1413770</v>
      </c>
      <c r="O15" s="68">
        <f>'дод. 3'!O15+'дод. 3'!O45+'дод. 3'!O63+'дод. 3'!O73+'дод. 3'!O113+'дод. 3'!O116+'дод. 3'!O122+'дод. 3'!O142+'дод. 3'!O146+'дод. 3'!O155+'дод. 3'!O160+'дод. 3'!O162+'дод. 3'!O165</f>
        <v>50946</v>
      </c>
      <c r="P15" s="68">
        <f>'дод. 3'!P15+'дод. 3'!P45+'дод. 3'!P63+'дод. 3'!P73+'дод. 3'!P113+'дод. 3'!P116+'дод. 3'!P122+'дод. 3'!P142+'дод. 3'!P146+'дод. 3'!P155+'дод. 3'!P160+'дод. 3'!P162+'дод. 3'!P165</f>
        <v>2432800</v>
      </c>
      <c r="Q15" s="68">
        <f>R15+U15</f>
        <v>784864.4</v>
      </c>
      <c r="R15" s="68">
        <f>'дод. 3'!R15+'дод. 3'!R45+'дод. 3'!R63+'дод. 3'!R73+'дод. 3'!R113+'дод. 3'!R116+'дод. 3'!R122+'дод. 3'!R142+'дод. 3'!R146+'дод. 3'!R155+'дод. 3'!R160+'дод. 3'!R162+'дод. 3'!R165</f>
        <v>455245.87</v>
      </c>
      <c r="S15" s="68">
        <f>'дод. 3'!S15+'дод. 3'!S45+'дод. 3'!S63+'дод. 3'!S73+'дод. 3'!S113+'дод. 3'!S116+'дод. 3'!S122+'дод. 3'!S142+'дод. 3'!S146+'дод. 3'!S155+'дод. 3'!S160+'дод. 3'!S162+'дод. 3'!S165</f>
        <v>338789.86</v>
      </c>
      <c r="T15" s="68">
        <f>'дод. 3'!T15+'дод. 3'!T45+'дод. 3'!T63+'дод. 3'!T73+'дод. 3'!T113+'дод. 3'!T116+'дод. 3'!T122+'дод. 3'!T142+'дод. 3'!T146+'дод. 3'!T155+'дод. 3'!T160+'дод. 3'!T162+'дод. 3'!T165</f>
        <v>22906.33</v>
      </c>
      <c r="U15" s="68">
        <f>'дод. 3'!U15+'дод. 3'!U45+'дод. 3'!U63+'дод. 3'!U73+'дод. 3'!U113+'дод. 3'!U116+'дод. 3'!U122+'дод. 3'!U142+'дод. 3'!U146+'дод. 3'!U155+'дод. 3'!U160+'дод. 3'!U162+'дод. 3'!U165</f>
        <v>329618.53</v>
      </c>
      <c r="V15" s="117">
        <f>Q15/L15*100</f>
        <v>16.653307769802613</v>
      </c>
      <c r="W15" s="68">
        <f>H15+Q15</f>
        <v>14486962.13</v>
      </c>
      <c r="X15" s="169"/>
    </row>
    <row r="16" spans="1:24" s="20" customFormat="1" ht="15">
      <c r="A16" s="23"/>
      <c r="B16" s="64" t="s">
        <v>257</v>
      </c>
      <c r="C16" s="56"/>
      <c r="D16" s="62" t="s">
        <v>258</v>
      </c>
      <c r="E16" s="84">
        <f>SUM(E17:E29)</f>
        <v>417056032</v>
      </c>
      <c r="F16" s="84">
        <f aca="true" t="shared" si="3" ref="F16:W16">SUM(F17:F29)</f>
        <v>246806082</v>
      </c>
      <c r="G16" s="84">
        <f t="shared" si="3"/>
        <v>59693086</v>
      </c>
      <c r="H16" s="84">
        <f t="shared" si="3"/>
        <v>91523972.21000002</v>
      </c>
      <c r="I16" s="84">
        <f t="shared" si="3"/>
        <v>54211236.620000005</v>
      </c>
      <c r="J16" s="84">
        <f t="shared" si="3"/>
        <v>15373717.219999999</v>
      </c>
      <c r="K16" s="116">
        <f t="shared" si="2"/>
        <v>21.945246007136042</v>
      </c>
      <c r="L16" s="84">
        <f t="shared" si="3"/>
        <v>49586117</v>
      </c>
      <c r="M16" s="84">
        <f t="shared" si="3"/>
        <v>36241117</v>
      </c>
      <c r="N16" s="84">
        <f t="shared" si="3"/>
        <v>2470383</v>
      </c>
      <c r="O16" s="84">
        <f t="shared" si="3"/>
        <v>1518188</v>
      </c>
      <c r="P16" s="84">
        <f t="shared" si="3"/>
        <v>13345000</v>
      </c>
      <c r="Q16" s="84">
        <f t="shared" si="3"/>
        <v>9456840.379999999</v>
      </c>
      <c r="R16" s="84">
        <f t="shared" si="3"/>
        <v>7516783.91</v>
      </c>
      <c r="S16" s="84">
        <f t="shared" si="3"/>
        <v>480791.66</v>
      </c>
      <c r="T16" s="84">
        <f t="shared" si="3"/>
        <v>264000.26</v>
      </c>
      <c r="U16" s="84">
        <f t="shared" si="3"/>
        <v>1940056.47</v>
      </c>
      <c r="V16" s="116">
        <f>Q16/L16*100</f>
        <v>19.07154855460854</v>
      </c>
      <c r="W16" s="84">
        <f t="shared" si="3"/>
        <v>100980812.59</v>
      </c>
      <c r="X16" s="169"/>
    </row>
    <row r="17" spans="1:24" s="20" customFormat="1" ht="15">
      <c r="A17" s="23"/>
      <c r="B17" s="27" t="s">
        <v>60</v>
      </c>
      <c r="C17" s="27" t="s">
        <v>194</v>
      </c>
      <c r="D17" s="28" t="s">
        <v>61</v>
      </c>
      <c r="E17" s="68">
        <f>'дод. 3'!E46</f>
        <v>109836820</v>
      </c>
      <c r="F17" s="68">
        <f>'дод. 3'!F46</f>
        <v>63819890</v>
      </c>
      <c r="G17" s="68">
        <f>'дод. 3'!G46</f>
        <v>19789563</v>
      </c>
      <c r="H17" s="68">
        <f>'дод. 3'!H46</f>
        <v>27195636.84</v>
      </c>
      <c r="I17" s="68">
        <f>'дод. 3'!I46</f>
        <v>13964653.97</v>
      </c>
      <c r="J17" s="68">
        <f>'дод. 3'!J46</f>
        <v>7645510.55</v>
      </c>
      <c r="K17" s="117">
        <f t="shared" si="2"/>
        <v>24.76003660703214</v>
      </c>
      <c r="L17" s="68">
        <f aca="true" t="shared" si="4" ref="L17:L29">M17+P17</f>
        <v>14884686</v>
      </c>
      <c r="M17" s="68">
        <f>'дод. 3'!M46</f>
        <v>11284686</v>
      </c>
      <c r="N17" s="68">
        <f>'дод. 3'!N46</f>
        <v>0</v>
      </c>
      <c r="O17" s="68">
        <f>'дод. 3'!O46</f>
        <v>0</v>
      </c>
      <c r="P17" s="68">
        <f>'дод. 3'!P46</f>
        <v>3600000</v>
      </c>
      <c r="Q17" s="68">
        <f aca="true" t="shared" si="5" ref="Q17:Q29">R17+U17</f>
        <v>2793713.56</v>
      </c>
      <c r="R17" s="68">
        <f>'дод. 3'!R46</f>
        <v>2641126.24</v>
      </c>
      <c r="S17" s="68">
        <f>'дод. 3'!S46</f>
        <v>0</v>
      </c>
      <c r="T17" s="68">
        <f>'дод. 3'!T46</f>
        <v>0</v>
      </c>
      <c r="U17" s="68">
        <f>'дод. 3'!U46</f>
        <v>152587.32</v>
      </c>
      <c r="V17" s="117">
        <f>Q17/L17*100</f>
        <v>18.769045984577705</v>
      </c>
      <c r="W17" s="68">
        <f aca="true" t="shared" si="6" ref="W17:W29">H17+Q17</f>
        <v>29989350.4</v>
      </c>
      <c r="X17" s="169"/>
    </row>
    <row r="18" spans="1:24" s="20" customFormat="1" ht="60">
      <c r="A18" s="23"/>
      <c r="B18" s="27" t="s">
        <v>62</v>
      </c>
      <c r="C18" s="27" t="s">
        <v>195</v>
      </c>
      <c r="D18" s="28" t="s">
        <v>63</v>
      </c>
      <c r="E18" s="68">
        <f>'дод. 3'!E47</f>
        <v>226643741</v>
      </c>
      <c r="F18" s="68">
        <f>'дод. 3'!F47</f>
        <v>140528799</v>
      </c>
      <c r="G18" s="68">
        <f>'дод. 3'!G47</f>
        <v>31014749</v>
      </c>
      <c r="H18" s="68">
        <f>'дод. 3'!H47</f>
        <v>46509353.6</v>
      </c>
      <c r="I18" s="68">
        <f>'дод. 3'!I47</f>
        <v>31184132.98</v>
      </c>
      <c r="J18" s="68">
        <f>'дод. 3'!J47</f>
        <v>4668209.04</v>
      </c>
      <c r="K18" s="117">
        <f t="shared" si="2"/>
        <v>20.52090800954437</v>
      </c>
      <c r="L18" s="68">
        <f t="shared" si="4"/>
        <v>26927171</v>
      </c>
      <c r="M18" s="68">
        <f>'дод. 3'!M47</f>
        <v>18497171</v>
      </c>
      <c r="N18" s="68">
        <f>'дод. 3'!N47</f>
        <v>740455</v>
      </c>
      <c r="O18" s="68">
        <f>'дод. 3'!O47</f>
        <v>47940</v>
      </c>
      <c r="P18" s="68">
        <f>'дод. 3'!P47</f>
        <v>8430000</v>
      </c>
      <c r="Q18" s="68">
        <f t="shared" si="5"/>
        <v>5408502.22</v>
      </c>
      <c r="R18" s="68">
        <f>'дод. 3'!R47</f>
        <v>3813780.48</v>
      </c>
      <c r="S18" s="68">
        <f>'дод. 3'!S47</f>
        <v>173160.49</v>
      </c>
      <c r="T18" s="68">
        <f>'дод. 3'!T47</f>
        <v>14334.59</v>
      </c>
      <c r="U18" s="68">
        <f>'дод. 3'!U47</f>
        <v>1594721.74</v>
      </c>
      <c r="V18" s="117">
        <f>Q18/L18*100</f>
        <v>20.08566818994836</v>
      </c>
      <c r="W18" s="68">
        <f t="shared" si="6"/>
        <v>51917855.82</v>
      </c>
      <c r="X18" s="169"/>
    </row>
    <row r="19" spans="1:24" s="20" customFormat="1" ht="15">
      <c r="A19" s="23"/>
      <c r="B19" s="27" t="s">
        <v>64</v>
      </c>
      <c r="C19" s="27" t="s">
        <v>195</v>
      </c>
      <c r="D19" s="28" t="s">
        <v>65</v>
      </c>
      <c r="E19" s="68">
        <f>'дод. 3'!E48</f>
        <v>357724</v>
      </c>
      <c r="F19" s="68">
        <f>'дод. 3'!F48</f>
        <v>292913</v>
      </c>
      <c r="G19" s="68">
        <f>'дод. 3'!G48</f>
        <v>0</v>
      </c>
      <c r="H19" s="68">
        <f>'дод. 3'!H48</f>
        <v>77470.48</v>
      </c>
      <c r="I19" s="68">
        <f>'дод. 3'!I48</f>
        <v>64511.72</v>
      </c>
      <c r="J19" s="68">
        <f>'дод. 3'!J48</f>
        <v>0</v>
      </c>
      <c r="K19" s="117">
        <f t="shared" si="2"/>
        <v>21.656494951415056</v>
      </c>
      <c r="L19" s="68">
        <f t="shared" si="4"/>
        <v>0</v>
      </c>
      <c r="M19" s="68">
        <f>'дод. 3'!M48</f>
        <v>0</v>
      </c>
      <c r="N19" s="68">
        <f>'дод. 3'!N48</f>
        <v>0</v>
      </c>
      <c r="O19" s="68">
        <f>'дод. 3'!O48</f>
        <v>0</v>
      </c>
      <c r="P19" s="68">
        <f>'дод. 3'!P48</f>
        <v>0</v>
      </c>
      <c r="Q19" s="68">
        <f t="shared" si="5"/>
        <v>0</v>
      </c>
      <c r="R19" s="68">
        <f>'дод. 3'!R48</f>
        <v>0</v>
      </c>
      <c r="S19" s="68">
        <f>'дод. 3'!S48</f>
        <v>0</v>
      </c>
      <c r="T19" s="68">
        <f>'дод. 3'!T48</f>
        <v>0</v>
      </c>
      <c r="U19" s="68">
        <f>'дод. 3'!U48</f>
        <v>0</v>
      </c>
      <c r="V19" s="117"/>
      <c r="W19" s="68">
        <f t="shared" si="6"/>
        <v>77470.48</v>
      </c>
      <c r="X19" s="169"/>
    </row>
    <row r="20" spans="1:24" s="20" customFormat="1" ht="30">
      <c r="A20" s="23"/>
      <c r="B20" s="27" t="s">
        <v>97</v>
      </c>
      <c r="C20" s="27" t="s">
        <v>194</v>
      </c>
      <c r="D20" s="28" t="s">
        <v>98</v>
      </c>
      <c r="E20" s="68">
        <f>'дод. 3'!E74</f>
        <v>1678900</v>
      </c>
      <c r="F20" s="68">
        <f>'дод. 3'!F74</f>
        <v>0</v>
      </c>
      <c r="G20" s="68">
        <f>'дод. 3'!G74</f>
        <v>0</v>
      </c>
      <c r="H20" s="68">
        <f>'дод. 3'!H74</f>
        <v>329648.04</v>
      </c>
      <c r="I20" s="68">
        <f>'дод. 3'!I74</f>
        <v>0</v>
      </c>
      <c r="J20" s="68">
        <f>'дод. 3'!J74</f>
        <v>0</v>
      </c>
      <c r="K20" s="117">
        <f t="shared" si="2"/>
        <v>19.634763237834296</v>
      </c>
      <c r="L20" s="68">
        <f t="shared" si="4"/>
        <v>0</v>
      </c>
      <c r="M20" s="68">
        <f>'дод. 3'!M74</f>
        <v>0</v>
      </c>
      <c r="N20" s="68">
        <f>'дод. 3'!N74</f>
        <v>0</v>
      </c>
      <c r="O20" s="68">
        <f>'дод. 3'!O74</f>
        <v>0</v>
      </c>
      <c r="P20" s="68">
        <f>'дод. 3'!P74</f>
        <v>0</v>
      </c>
      <c r="Q20" s="68">
        <f t="shared" si="5"/>
        <v>0</v>
      </c>
      <c r="R20" s="68">
        <f>'дод. 3'!R74</f>
        <v>0</v>
      </c>
      <c r="S20" s="68">
        <f>'дод. 3'!S74</f>
        <v>0</v>
      </c>
      <c r="T20" s="68">
        <f>'дод. 3'!T74</f>
        <v>0</v>
      </c>
      <c r="U20" s="68">
        <f>'дод. 3'!U74</f>
        <v>0</v>
      </c>
      <c r="V20" s="117"/>
      <c r="W20" s="68">
        <f t="shared" si="6"/>
        <v>329648.04</v>
      </c>
      <c r="X20" s="169"/>
    </row>
    <row r="21" spans="1:24" s="20" customFormat="1" ht="60">
      <c r="A21" s="23"/>
      <c r="B21" s="27" t="s">
        <v>66</v>
      </c>
      <c r="C21" s="27" t="s">
        <v>196</v>
      </c>
      <c r="D21" s="28" t="s">
        <v>67</v>
      </c>
      <c r="E21" s="68">
        <f>'дод. 3'!E49</f>
        <v>4343883</v>
      </c>
      <c r="F21" s="68">
        <f>'дод. 3'!F49</f>
        <v>2830865</v>
      </c>
      <c r="G21" s="68">
        <f>'дод. 3'!G49</f>
        <v>517072</v>
      </c>
      <c r="H21" s="68">
        <f>'дод. 3'!H49</f>
        <v>1038312.11</v>
      </c>
      <c r="I21" s="68">
        <f>'дод. 3'!I49</f>
        <v>611148.67</v>
      </c>
      <c r="J21" s="68">
        <f>'дод. 3'!J49</f>
        <v>224417.95</v>
      </c>
      <c r="K21" s="117">
        <f t="shared" si="2"/>
        <v>23.902856269379264</v>
      </c>
      <c r="L21" s="68">
        <f t="shared" si="4"/>
        <v>150000</v>
      </c>
      <c r="M21" s="68">
        <f>'дод. 3'!M49</f>
        <v>0</v>
      </c>
      <c r="N21" s="68">
        <f>'дод. 3'!N49</f>
        <v>0</v>
      </c>
      <c r="O21" s="68">
        <f>'дод. 3'!O49</f>
        <v>0</v>
      </c>
      <c r="P21" s="68">
        <f>'дод. 3'!P49</f>
        <v>150000</v>
      </c>
      <c r="Q21" s="68">
        <f t="shared" si="5"/>
        <v>4543.0199999999995</v>
      </c>
      <c r="R21" s="68">
        <f>'дод. 3'!R49</f>
        <v>3985.6</v>
      </c>
      <c r="S21" s="68">
        <f>'дод. 3'!S49</f>
        <v>0</v>
      </c>
      <c r="T21" s="68">
        <f>'дод. 3'!T49</f>
        <v>0</v>
      </c>
      <c r="U21" s="68">
        <f>'дод. 3'!U49</f>
        <v>557.42</v>
      </c>
      <c r="V21" s="117">
        <f>Q21/L21*100</f>
        <v>3.0286799999999996</v>
      </c>
      <c r="W21" s="68">
        <f t="shared" si="6"/>
        <v>1042855.13</v>
      </c>
      <c r="X21" s="169"/>
    </row>
    <row r="22" spans="1:24" s="20" customFormat="1" ht="30">
      <c r="A22" s="23"/>
      <c r="B22" s="27" t="s">
        <v>68</v>
      </c>
      <c r="C22" s="27" t="s">
        <v>197</v>
      </c>
      <c r="D22" s="28" t="s">
        <v>69</v>
      </c>
      <c r="E22" s="68">
        <f>'дод. 3'!E50</f>
        <v>12192993</v>
      </c>
      <c r="F22" s="68">
        <f>'дод. 3'!F50</f>
        <v>8473152</v>
      </c>
      <c r="G22" s="68">
        <f>'дод. 3'!G50</f>
        <v>1785662</v>
      </c>
      <c r="H22" s="68">
        <f>'дод. 3'!H50</f>
        <v>3105436.11</v>
      </c>
      <c r="I22" s="68">
        <f>'дод. 3'!I50</f>
        <v>1873481.66</v>
      </c>
      <c r="J22" s="68">
        <f>'дод. 3'!J50</f>
        <v>814460.76</v>
      </c>
      <c r="K22" s="117">
        <f t="shared" si="2"/>
        <v>25.46902233110443</v>
      </c>
      <c r="L22" s="68">
        <f t="shared" si="4"/>
        <v>525000</v>
      </c>
      <c r="M22" s="68">
        <f>'дод. 3'!M50</f>
        <v>0</v>
      </c>
      <c r="N22" s="68">
        <f>'дод. 3'!N50</f>
        <v>0</v>
      </c>
      <c r="O22" s="68">
        <f>'дод. 3'!O50</f>
        <v>0</v>
      </c>
      <c r="P22" s="68">
        <f>'дод. 3'!P50</f>
        <v>525000</v>
      </c>
      <c r="Q22" s="68">
        <f t="shared" si="5"/>
        <v>138540.97</v>
      </c>
      <c r="R22" s="68">
        <f>'дод. 3'!R50</f>
        <v>64125.97</v>
      </c>
      <c r="S22" s="68">
        <f>'дод. 3'!S50</f>
        <v>0</v>
      </c>
      <c r="T22" s="68">
        <f>'дод. 3'!T50</f>
        <v>0</v>
      </c>
      <c r="U22" s="68">
        <f>'дод. 3'!U50</f>
        <v>74415</v>
      </c>
      <c r="V22" s="117">
        <f>Q22/L22*100</f>
        <v>26.388756190476194</v>
      </c>
      <c r="W22" s="68">
        <f t="shared" si="6"/>
        <v>3243977.08</v>
      </c>
      <c r="X22" s="169"/>
    </row>
    <row r="23" spans="1:24" s="20" customFormat="1" ht="15">
      <c r="A23" s="23"/>
      <c r="B23" s="27" t="s">
        <v>318</v>
      </c>
      <c r="C23" s="27" t="s">
        <v>320</v>
      </c>
      <c r="D23" s="28" t="s">
        <v>319</v>
      </c>
      <c r="E23" s="68">
        <f>'дод. 3'!E51</f>
        <v>55886018</v>
      </c>
      <c r="F23" s="68">
        <f>'дод. 3'!F51</f>
        <v>26608329</v>
      </c>
      <c r="G23" s="68">
        <f>'дод. 3'!G51</f>
        <v>6083140</v>
      </c>
      <c r="H23" s="68">
        <f>'дод. 3'!H51</f>
        <v>11952691.95</v>
      </c>
      <c r="I23" s="68">
        <f>'дод. 3'!I51</f>
        <v>5607803.86</v>
      </c>
      <c r="J23" s="68">
        <f>'дод. 3'!J51</f>
        <v>1874099.89</v>
      </c>
      <c r="K23" s="117">
        <f t="shared" si="2"/>
        <v>21.387624986986907</v>
      </c>
      <c r="L23" s="68">
        <f t="shared" si="4"/>
        <v>6764260</v>
      </c>
      <c r="M23" s="68">
        <f>'дод. 3'!M51</f>
        <v>6459260</v>
      </c>
      <c r="N23" s="68">
        <f>'дод. 3'!N51</f>
        <v>1729928</v>
      </c>
      <c r="O23" s="68">
        <f>'дод. 3'!O51</f>
        <v>1470248</v>
      </c>
      <c r="P23" s="68">
        <f>'дод. 3'!P51</f>
        <v>305000</v>
      </c>
      <c r="Q23" s="68">
        <f t="shared" si="5"/>
        <v>953503.12</v>
      </c>
      <c r="R23" s="68">
        <f>'дод. 3'!R51</f>
        <v>911550.12</v>
      </c>
      <c r="S23" s="68">
        <f>'дод. 3'!S51</f>
        <v>307631.17</v>
      </c>
      <c r="T23" s="68">
        <f>'дод. 3'!T51</f>
        <v>249665.67</v>
      </c>
      <c r="U23" s="68">
        <f>'дод. 3'!U51</f>
        <v>41953</v>
      </c>
      <c r="V23" s="117">
        <f>Q23/L23*100</f>
        <v>14.096192636001573</v>
      </c>
      <c r="W23" s="68">
        <f t="shared" si="6"/>
        <v>12906195.069999998</v>
      </c>
      <c r="X23" s="169"/>
    </row>
    <row r="24" spans="1:24" s="20" customFormat="1" ht="30">
      <c r="A24" s="23"/>
      <c r="B24" s="27" t="s">
        <v>70</v>
      </c>
      <c r="C24" s="27" t="s">
        <v>198</v>
      </c>
      <c r="D24" s="28" t="s">
        <v>71</v>
      </c>
      <c r="E24" s="68">
        <f>'дод. 3'!E52</f>
        <v>1764624</v>
      </c>
      <c r="F24" s="68">
        <f>'дод. 3'!F52</f>
        <v>1350518</v>
      </c>
      <c r="G24" s="68">
        <f>'дод. 3'!G52</f>
        <v>79885</v>
      </c>
      <c r="H24" s="68">
        <f>'дод. 3'!H52</f>
        <v>375064.45</v>
      </c>
      <c r="I24" s="68">
        <f>'дод. 3'!I52</f>
        <v>273273.25</v>
      </c>
      <c r="J24" s="68">
        <f>'дод. 3'!J52</f>
        <v>37197.29</v>
      </c>
      <c r="K24" s="117">
        <f t="shared" si="2"/>
        <v>21.254638381887585</v>
      </c>
      <c r="L24" s="68">
        <f t="shared" si="4"/>
        <v>110000</v>
      </c>
      <c r="M24" s="68">
        <f>'дод. 3'!M52</f>
        <v>0</v>
      </c>
      <c r="N24" s="68">
        <f>'дод. 3'!N52</f>
        <v>0</v>
      </c>
      <c r="O24" s="68">
        <f>'дод. 3'!O52</f>
        <v>0</v>
      </c>
      <c r="P24" s="68">
        <f>'дод. 3'!P52</f>
        <v>110000</v>
      </c>
      <c r="Q24" s="68">
        <f t="shared" si="5"/>
        <v>8019.17</v>
      </c>
      <c r="R24" s="68">
        <f>'дод. 3'!R52</f>
        <v>6447.18</v>
      </c>
      <c r="S24" s="68">
        <f>'дод. 3'!S52</f>
        <v>0</v>
      </c>
      <c r="T24" s="68">
        <f>'дод. 3'!T52</f>
        <v>0</v>
      </c>
      <c r="U24" s="68">
        <f>'дод. 3'!U52</f>
        <v>1571.99</v>
      </c>
      <c r="V24" s="117">
        <f>Q24/L24*100</f>
        <v>7.290154545454546</v>
      </c>
      <c r="W24" s="68">
        <f t="shared" si="6"/>
        <v>383083.62</v>
      </c>
      <c r="X24" s="169"/>
    </row>
    <row r="25" spans="1:24" s="20" customFormat="1" ht="30">
      <c r="A25" s="23"/>
      <c r="B25" s="27" t="s">
        <v>72</v>
      </c>
      <c r="C25" s="27" t="s">
        <v>198</v>
      </c>
      <c r="D25" s="28" t="s">
        <v>73</v>
      </c>
      <c r="E25" s="68">
        <f>'дод. 3'!E53</f>
        <v>1540670</v>
      </c>
      <c r="F25" s="68">
        <f>'дод. 3'!F53</f>
        <v>1083438</v>
      </c>
      <c r="G25" s="68">
        <f>'дод. 3'!G53</f>
        <v>82225</v>
      </c>
      <c r="H25" s="68">
        <f>'дод. 3'!H53</f>
        <v>340181.95</v>
      </c>
      <c r="I25" s="68">
        <f>'дод. 3'!I53</f>
        <v>237108.74</v>
      </c>
      <c r="J25" s="68">
        <f>'дод. 3'!J53</f>
        <v>27743.11</v>
      </c>
      <c r="K25" s="117">
        <f t="shared" si="2"/>
        <v>22.08013072234807</v>
      </c>
      <c r="L25" s="68">
        <f t="shared" si="4"/>
        <v>75000</v>
      </c>
      <c r="M25" s="68">
        <f>'дод. 3'!M53</f>
        <v>0</v>
      </c>
      <c r="N25" s="68">
        <f>'дод. 3'!N53</f>
        <v>0</v>
      </c>
      <c r="O25" s="68">
        <f>'дод. 3'!O53</f>
        <v>0</v>
      </c>
      <c r="P25" s="68">
        <f>'дод. 3'!P53</f>
        <v>75000</v>
      </c>
      <c r="Q25" s="68">
        <f t="shared" si="5"/>
        <v>74250</v>
      </c>
      <c r="R25" s="68">
        <f>'дод. 3'!R53</f>
        <v>0</v>
      </c>
      <c r="S25" s="68">
        <f>'дод. 3'!S53</f>
        <v>0</v>
      </c>
      <c r="T25" s="68">
        <f>'дод. 3'!T53</f>
        <v>0</v>
      </c>
      <c r="U25" s="68">
        <f>'дод. 3'!U53</f>
        <v>74250</v>
      </c>
      <c r="V25" s="117">
        <f>Q25/L25*100</f>
        <v>99</v>
      </c>
      <c r="W25" s="68">
        <f t="shared" si="6"/>
        <v>414431.95</v>
      </c>
      <c r="X25" s="169"/>
    </row>
    <row r="26" spans="1:24" s="20" customFormat="1" ht="30">
      <c r="A26" s="23"/>
      <c r="B26" s="27" t="s">
        <v>74</v>
      </c>
      <c r="C26" s="27" t="s">
        <v>198</v>
      </c>
      <c r="D26" s="28" t="s">
        <v>75</v>
      </c>
      <c r="E26" s="68">
        <f>'дод. 3'!E54</f>
        <v>162138</v>
      </c>
      <c r="F26" s="68">
        <f>'дод. 3'!F54</f>
        <v>126390</v>
      </c>
      <c r="G26" s="68">
        <f>'дод. 3'!G54</f>
        <v>5147</v>
      </c>
      <c r="H26" s="68">
        <f>'дод. 3'!H54</f>
        <v>28313.59</v>
      </c>
      <c r="I26" s="68">
        <f>'дод. 3'!I54</f>
        <v>21178.75</v>
      </c>
      <c r="J26" s="68">
        <f>'дод. 3'!J54</f>
        <v>1747.5</v>
      </c>
      <c r="K26" s="117">
        <f t="shared" si="2"/>
        <v>17.462649101382773</v>
      </c>
      <c r="L26" s="68">
        <f t="shared" si="4"/>
        <v>0</v>
      </c>
      <c r="M26" s="68">
        <f>'дод. 3'!M54</f>
        <v>0</v>
      </c>
      <c r="N26" s="68">
        <f>'дод. 3'!N54</f>
        <v>0</v>
      </c>
      <c r="O26" s="68">
        <f>'дод. 3'!O54</f>
        <v>0</v>
      </c>
      <c r="P26" s="68">
        <f>'дод. 3'!P54</f>
        <v>0</v>
      </c>
      <c r="Q26" s="68">
        <f t="shared" si="5"/>
        <v>0</v>
      </c>
      <c r="R26" s="68">
        <f>'дод. 3'!R54</f>
        <v>0</v>
      </c>
      <c r="S26" s="68">
        <f>'дод. 3'!S54</f>
        <v>0</v>
      </c>
      <c r="T26" s="68">
        <f>'дод. 3'!T54</f>
        <v>0</v>
      </c>
      <c r="U26" s="68">
        <f>'дод. 3'!U54</f>
        <v>0</v>
      </c>
      <c r="V26" s="117"/>
      <c r="W26" s="68">
        <f t="shared" si="6"/>
        <v>28313.59</v>
      </c>
      <c r="X26" s="169"/>
    </row>
    <row r="27" spans="1:24" s="20" customFormat="1" ht="15">
      <c r="A27" s="23"/>
      <c r="B27" s="27" t="s">
        <v>76</v>
      </c>
      <c r="C27" s="27" t="s">
        <v>198</v>
      </c>
      <c r="D27" s="28" t="s">
        <v>77</v>
      </c>
      <c r="E27" s="68">
        <f>'дод. 3'!E55</f>
        <v>2530123</v>
      </c>
      <c r="F27" s="68">
        <f>'дод. 3'!F55</f>
        <v>1691788</v>
      </c>
      <c r="G27" s="68">
        <f>'дод. 3'!G55</f>
        <v>335643</v>
      </c>
      <c r="H27" s="68">
        <f>'дод. 3'!H55</f>
        <v>566433.09</v>
      </c>
      <c r="I27" s="68">
        <f>'дод. 3'!I55</f>
        <v>373943.02</v>
      </c>
      <c r="J27" s="68">
        <f>'дод. 3'!J55</f>
        <v>80331.13</v>
      </c>
      <c r="K27" s="117">
        <f t="shared" si="2"/>
        <v>22.38757127617906</v>
      </c>
      <c r="L27" s="68">
        <f t="shared" si="4"/>
        <v>150000</v>
      </c>
      <c r="M27" s="68">
        <f>'дод. 3'!M55</f>
        <v>0</v>
      </c>
      <c r="N27" s="68">
        <f>'дод. 3'!N55</f>
        <v>0</v>
      </c>
      <c r="O27" s="68">
        <f>'дод. 3'!O55</f>
        <v>0</v>
      </c>
      <c r="P27" s="68">
        <f>'дод. 3'!P55</f>
        <v>150000</v>
      </c>
      <c r="Q27" s="68">
        <f t="shared" si="5"/>
        <v>75768.32</v>
      </c>
      <c r="R27" s="68">
        <f>'дод. 3'!R55</f>
        <v>75768.32</v>
      </c>
      <c r="S27" s="68">
        <f>'дод. 3'!S55</f>
        <v>0</v>
      </c>
      <c r="T27" s="68">
        <f>'дод. 3'!T55</f>
        <v>0</v>
      </c>
      <c r="U27" s="68">
        <f>'дод. 3'!U55</f>
        <v>0</v>
      </c>
      <c r="V27" s="117">
        <f>Q27/L27*100</f>
        <v>50.512213333333335</v>
      </c>
      <c r="W27" s="68">
        <f t="shared" si="6"/>
        <v>642201.4099999999</v>
      </c>
      <c r="X27" s="169"/>
    </row>
    <row r="28" spans="1:24" s="20" customFormat="1" ht="15">
      <c r="A28" s="23"/>
      <c r="B28" s="27" t="s">
        <v>78</v>
      </c>
      <c r="C28" s="27" t="s">
        <v>198</v>
      </c>
      <c r="D28" s="28" t="s">
        <v>79</v>
      </c>
      <c r="E28" s="68">
        <f>'дод. 3'!E56</f>
        <v>73148</v>
      </c>
      <c r="F28" s="68">
        <f>'дод. 3'!F56</f>
        <v>0</v>
      </c>
      <c r="G28" s="68">
        <f>'дод. 3'!G56</f>
        <v>0</v>
      </c>
      <c r="H28" s="68">
        <f>'дод. 3'!H56</f>
        <v>0</v>
      </c>
      <c r="I28" s="68">
        <f>'дод. 3'!I56</f>
        <v>0</v>
      </c>
      <c r="J28" s="68">
        <f>'дод. 3'!J56</f>
        <v>0</v>
      </c>
      <c r="K28" s="117">
        <f t="shared" si="2"/>
        <v>0</v>
      </c>
      <c r="L28" s="68">
        <f t="shared" si="4"/>
        <v>0</v>
      </c>
      <c r="M28" s="68">
        <f>'дод. 3'!M56</f>
        <v>0</v>
      </c>
      <c r="N28" s="68">
        <f>'дод. 3'!N56</f>
        <v>0</v>
      </c>
      <c r="O28" s="68">
        <f>'дод. 3'!O56</f>
        <v>0</v>
      </c>
      <c r="P28" s="68">
        <f>'дод. 3'!P56</f>
        <v>0</v>
      </c>
      <c r="Q28" s="68">
        <f t="shared" si="5"/>
        <v>0</v>
      </c>
      <c r="R28" s="68">
        <f>'дод. 3'!R56</f>
        <v>0</v>
      </c>
      <c r="S28" s="68">
        <f>'дод. 3'!S56</f>
        <v>0</v>
      </c>
      <c r="T28" s="68">
        <f>'дод. 3'!T56</f>
        <v>0</v>
      </c>
      <c r="U28" s="68">
        <f>'дод. 3'!U56</f>
        <v>0</v>
      </c>
      <c r="V28" s="117"/>
      <c r="W28" s="68">
        <f t="shared" si="6"/>
        <v>0</v>
      </c>
      <c r="X28" s="169"/>
    </row>
    <row r="29" spans="1:24" s="20" customFormat="1" ht="45">
      <c r="A29" s="23"/>
      <c r="B29" s="27" t="s">
        <v>80</v>
      </c>
      <c r="C29" s="27" t="s">
        <v>198</v>
      </c>
      <c r="D29" s="28" t="s">
        <v>81</v>
      </c>
      <c r="E29" s="68">
        <f>'дод. 3'!E57</f>
        <v>45250</v>
      </c>
      <c r="F29" s="68">
        <f>'дод. 3'!F57</f>
        <v>0</v>
      </c>
      <c r="G29" s="68">
        <f>'дод. 3'!G57</f>
        <v>0</v>
      </c>
      <c r="H29" s="68">
        <f>'дод. 3'!H57</f>
        <v>5430</v>
      </c>
      <c r="I29" s="68">
        <f>'дод. 3'!I57</f>
        <v>0</v>
      </c>
      <c r="J29" s="68">
        <f>'дод. 3'!J57</f>
        <v>0</v>
      </c>
      <c r="K29" s="117">
        <f t="shared" si="2"/>
        <v>12</v>
      </c>
      <c r="L29" s="68">
        <f t="shared" si="4"/>
        <v>0</v>
      </c>
      <c r="M29" s="68">
        <f>'дод. 3'!M57</f>
        <v>0</v>
      </c>
      <c r="N29" s="68">
        <f>'дод. 3'!N57</f>
        <v>0</v>
      </c>
      <c r="O29" s="68">
        <f>'дод. 3'!O57</f>
        <v>0</v>
      </c>
      <c r="P29" s="68">
        <f>'дод. 3'!P57</f>
        <v>0</v>
      </c>
      <c r="Q29" s="68">
        <f t="shared" si="5"/>
        <v>0</v>
      </c>
      <c r="R29" s="68">
        <f>'дод. 3'!R57</f>
        <v>0</v>
      </c>
      <c r="S29" s="68">
        <f>'дод. 3'!S57</f>
        <v>0</v>
      </c>
      <c r="T29" s="68">
        <f>'дод. 3'!T57</f>
        <v>0</v>
      </c>
      <c r="U29" s="68">
        <f>'дод. 3'!U57</f>
        <v>0</v>
      </c>
      <c r="V29" s="117"/>
      <c r="W29" s="68">
        <f t="shared" si="6"/>
        <v>5430</v>
      </c>
      <c r="X29" s="169"/>
    </row>
    <row r="30" spans="1:24" s="20" customFormat="1" ht="15">
      <c r="A30" s="23"/>
      <c r="B30" s="61" t="s">
        <v>259</v>
      </c>
      <c r="C30" s="56"/>
      <c r="D30" s="62" t="s">
        <v>260</v>
      </c>
      <c r="E30" s="84">
        <f>SUM(E31:E38)</f>
        <v>209568967</v>
      </c>
      <c r="F30" s="84">
        <f aca="true" t="shared" si="7" ref="F30:W30">SUM(F31:F38)</f>
        <v>126307359</v>
      </c>
      <c r="G30" s="84">
        <f t="shared" si="7"/>
        <v>19115405</v>
      </c>
      <c r="H30" s="84">
        <f t="shared" si="7"/>
        <v>47291299.49000001</v>
      </c>
      <c r="I30" s="84">
        <f t="shared" si="7"/>
        <v>28002616.11</v>
      </c>
      <c r="J30" s="84">
        <f t="shared" si="7"/>
        <v>6863879.67</v>
      </c>
      <c r="K30" s="116">
        <f t="shared" si="2"/>
        <v>22.565983965555365</v>
      </c>
      <c r="L30" s="84">
        <f t="shared" si="7"/>
        <v>30415514</v>
      </c>
      <c r="M30" s="84">
        <f t="shared" si="7"/>
        <v>11785214</v>
      </c>
      <c r="N30" s="84">
        <f t="shared" si="7"/>
        <v>6366242</v>
      </c>
      <c r="O30" s="84">
        <f t="shared" si="7"/>
        <v>500810</v>
      </c>
      <c r="P30" s="84">
        <f t="shared" si="7"/>
        <v>18630300</v>
      </c>
      <c r="Q30" s="84">
        <f t="shared" si="7"/>
        <v>4080276.1900000004</v>
      </c>
      <c r="R30" s="84">
        <f t="shared" si="7"/>
        <v>3108630.0700000003</v>
      </c>
      <c r="S30" s="84">
        <f t="shared" si="7"/>
        <v>1217657.4000000001</v>
      </c>
      <c r="T30" s="84">
        <f t="shared" si="7"/>
        <v>194295.66000000003</v>
      </c>
      <c r="U30" s="84">
        <f t="shared" si="7"/>
        <v>971646.12</v>
      </c>
      <c r="V30" s="116">
        <f aca="true" t="shared" si="8" ref="V30:V37">Q30/L30*100</f>
        <v>13.415115029783815</v>
      </c>
      <c r="W30" s="84">
        <f t="shared" si="7"/>
        <v>51371575.68</v>
      </c>
      <c r="X30" s="169"/>
    </row>
    <row r="31" spans="1:24" s="20" customFormat="1" ht="18" customHeight="1">
      <c r="A31" s="23"/>
      <c r="B31" s="27" t="s">
        <v>84</v>
      </c>
      <c r="C31" s="27" t="s">
        <v>201</v>
      </c>
      <c r="D31" s="28" t="s">
        <v>85</v>
      </c>
      <c r="E31" s="68">
        <f>'дод. 3'!E64+'дод. 3'!E147</f>
        <v>168445288</v>
      </c>
      <c r="F31" s="68">
        <f>'дод. 3'!F64+'дод. 3'!F147</f>
        <v>103400916</v>
      </c>
      <c r="G31" s="68">
        <f>'дод. 3'!G64+'дод. 3'!G147</f>
        <v>15447851</v>
      </c>
      <c r="H31" s="68">
        <f>'дод. 3'!H64+'дод. 3'!H147</f>
        <v>38356212</v>
      </c>
      <c r="I31" s="68">
        <f>'дод. 3'!I64+'дод. 3'!I147</f>
        <v>23028179.31</v>
      </c>
      <c r="J31" s="68">
        <f>'дод. 3'!J64+'дод. 3'!J147</f>
        <v>5516924.45</v>
      </c>
      <c r="K31" s="117">
        <f t="shared" si="2"/>
        <v>22.770724224710875</v>
      </c>
      <c r="L31" s="68">
        <f aca="true" t="shared" si="9" ref="L31:L38">M31+P31</f>
        <v>22214482</v>
      </c>
      <c r="M31" s="68">
        <f>'дод. 3'!M64+'дод. 3'!M147</f>
        <v>7844182</v>
      </c>
      <c r="N31" s="68">
        <f>'дод. 3'!N64+'дод. 3'!N147</f>
        <v>4083407</v>
      </c>
      <c r="O31" s="68">
        <f>'дод. 3'!O64+'дод. 3'!O147</f>
        <v>177480</v>
      </c>
      <c r="P31" s="68">
        <f>'дод. 3'!P64+'дод. 3'!P147</f>
        <v>14370300</v>
      </c>
      <c r="Q31" s="68">
        <f aca="true" t="shared" si="10" ref="Q31:Q38">R31+U31</f>
        <v>3085684.08</v>
      </c>
      <c r="R31" s="68">
        <f>'дод. 3'!R64+'дод. 3'!R147</f>
        <v>2198037.96</v>
      </c>
      <c r="S31" s="68">
        <f>'дод. 3'!S64+'дод. 3'!S147</f>
        <v>797727.89</v>
      </c>
      <c r="T31" s="68">
        <f>'дод. 3'!T64+'дод. 3'!T147</f>
        <v>76255.02</v>
      </c>
      <c r="U31" s="68">
        <f>'дод. 3'!U64+'дод. 3'!U147</f>
        <v>887646.12</v>
      </c>
      <c r="V31" s="117">
        <f t="shared" si="8"/>
        <v>13.890416530981906</v>
      </c>
      <c r="W31" s="68">
        <f aca="true" t="shared" si="11" ref="W31:W38">H31+Q31</f>
        <v>41441896.08</v>
      </c>
      <c r="X31" s="169"/>
    </row>
    <row r="32" spans="1:24" s="20" customFormat="1" ht="15">
      <c r="A32" s="23"/>
      <c r="B32" s="33" t="s">
        <v>86</v>
      </c>
      <c r="C32" s="33" t="s">
        <v>202</v>
      </c>
      <c r="D32" s="34" t="s">
        <v>87</v>
      </c>
      <c r="E32" s="68">
        <f>'дод. 3'!E65</f>
        <v>18265764</v>
      </c>
      <c r="F32" s="68">
        <f>'дод. 3'!F65</f>
        <v>11745230</v>
      </c>
      <c r="G32" s="68">
        <f>'дод. 3'!G65</f>
        <v>2655803</v>
      </c>
      <c r="H32" s="68">
        <f>'дод. 3'!H65</f>
        <v>4342490.21</v>
      </c>
      <c r="I32" s="68">
        <f>'дод. 3'!I65</f>
        <v>2625811.88</v>
      </c>
      <c r="J32" s="68">
        <f>'дод. 3'!J65</f>
        <v>942573.07</v>
      </c>
      <c r="K32" s="117">
        <f t="shared" si="2"/>
        <v>23.773931438071795</v>
      </c>
      <c r="L32" s="68">
        <f t="shared" si="9"/>
        <v>1525240</v>
      </c>
      <c r="M32" s="68">
        <f>'дод. 3'!M65</f>
        <v>25240</v>
      </c>
      <c r="N32" s="68">
        <f>'дод. 3'!N65</f>
        <v>9460</v>
      </c>
      <c r="O32" s="68">
        <f>'дод. 3'!O65</f>
        <v>4150</v>
      </c>
      <c r="P32" s="68">
        <f>'дод. 3'!P65</f>
        <v>1500000</v>
      </c>
      <c r="Q32" s="68">
        <f t="shared" si="10"/>
        <v>16565.75</v>
      </c>
      <c r="R32" s="68">
        <f>'дод. 3'!R65</f>
        <v>16565.75</v>
      </c>
      <c r="S32" s="68">
        <f>'дод. 3'!S65</f>
        <v>4041.11</v>
      </c>
      <c r="T32" s="68">
        <f>'дод. 3'!T65</f>
        <v>0</v>
      </c>
      <c r="U32" s="68">
        <f>'дод. 3'!U65</f>
        <v>0</v>
      </c>
      <c r="V32" s="117">
        <f t="shared" si="8"/>
        <v>1.0861077600902154</v>
      </c>
      <c r="W32" s="68">
        <f t="shared" si="11"/>
        <v>4359055.96</v>
      </c>
      <c r="X32" s="169"/>
    </row>
    <row r="33" spans="1:24" s="20" customFormat="1" ht="60">
      <c r="A33" s="23"/>
      <c r="B33" s="53" t="s">
        <v>239</v>
      </c>
      <c r="C33" s="53" t="s">
        <v>240</v>
      </c>
      <c r="D33" s="46" t="s">
        <v>241</v>
      </c>
      <c r="E33" s="68">
        <f>'дод. 3'!E66</f>
        <v>1611438</v>
      </c>
      <c r="F33" s="68">
        <f>'дод. 3'!F66</f>
        <v>1227889</v>
      </c>
      <c r="G33" s="68">
        <f>'дод. 3'!G66</f>
        <v>76813</v>
      </c>
      <c r="H33" s="68">
        <f>'дод. 3'!H66</f>
        <v>379074.17</v>
      </c>
      <c r="I33" s="68">
        <f>'дод. 3'!I66</f>
        <v>273311.05</v>
      </c>
      <c r="J33" s="68">
        <f>'дод. 3'!J66</f>
        <v>38196.62</v>
      </c>
      <c r="K33" s="117">
        <f t="shared" si="2"/>
        <v>23.523968654084115</v>
      </c>
      <c r="L33" s="68">
        <f t="shared" si="9"/>
        <v>407000</v>
      </c>
      <c r="M33" s="68">
        <f>'дод. 3'!M66</f>
        <v>407000</v>
      </c>
      <c r="N33" s="68">
        <f>'дод. 3'!N66</f>
        <v>98000</v>
      </c>
      <c r="O33" s="68">
        <f>'дод. 3'!O66</f>
        <v>132800</v>
      </c>
      <c r="P33" s="68">
        <f>'дод. 3'!P66</f>
        <v>0</v>
      </c>
      <c r="Q33" s="68">
        <f t="shared" si="10"/>
        <v>188087.14</v>
      </c>
      <c r="R33" s="68">
        <f>'дод. 3'!R66</f>
        <v>188087.14</v>
      </c>
      <c r="S33" s="68">
        <f>'дод. 3'!S66</f>
        <v>24745.97</v>
      </c>
      <c r="T33" s="68">
        <f>'дод. 3'!T66</f>
        <v>63610.18</v>
      </c>
      <c r="U33" s="68">
        <f>'дод. 3'!U66</f>
        <v>0</v>
      </c>
      <c r="V33" s="117">
        <f t="shared" si="8"/>
        <v>46.213056511056514</v>
      </c>
      <c r="W33" s="68">
        <f t="shared" si="11"/>
        <v>567161.31</v>
      </c>
      <c r="X33" s="169"/>
    </row>
    <row r="34" spans="1:24" s="20" customFormat="1" ht="30">
      <c r="A34" s="23"/>
      <c r="B34" s="27" t="s">
        <v>88</v>
      </c>
      <c r="C34" s="27" t="s">
        <v>203</v>
      </c>
      <c r="D34" s="28" t="s">
        <v>89</v>
      </c>
      <c r="E34" s="68">
        <f>'дод. 3'!E67</f>
        <v>4278280</v>
      </c>
      <c r="F34" s="68">
        <f>'дод. 3'!F67</f>
        <v>3017148</v>
      </c>
      <c r="G34" s="68">
        <f>'дод. 3'!G67</f>
        <v>339954</v>
      </c>
      <c r="H34" s="68">
        <f>'дод. 3'!H67</f>
        <v>968531.09</v>
      </c>
      <c r="I34" s="68">
        <f>'дод. 3'!I67</f>
        <v>630013.86</v>
      </c>
      <c r="J34" s="68">
        <f>'дод. 3'!J67</f>
        <v>143088.49</v>
      </c>
      <c r="K34" s="117">
        <f t="shared" si="2"/>
        <v>22.63832872088783</v>
      </c>
      <c r="L34" s="68">
        <f t="shared" si="9"/>
        <v>4353292</v>
      </c>
      <c r="M34" s="68">
        <f>'дод. 3'!M67</f>
        <v>3353292</v>
      </c>
      <c r="N34" s="68">
        <f>'дод. 3'!N67</f>
        <v>2153375</v>
      </c>
      <c r="O34" s="68">
        <f>'дод. 3'!O67</f>
        <v>166719</v>
      </c>
      <c r="P34" s="68">
        <f>'дод. 3'!P67</f>
        <v>1000000</v>
      </c>
      <c r="Q34" s="68">
        <f t="shared" si="10"/>
        <v>668260.39</v>
      </c>
      <c r="R34" s="68">
        <f>'дод. 3'!R67</f>
        <v>644200.39</v>
      </c>
      <c r="S34" s="68">
        <f>'дод. 3'!S67</f>
        <v>383559.58</v>
      </c>
      <c r="T34" s="68">
        <f>'дод. 3'!T67</f>
        <v>47703.08</v>
      </c>
      <c r="U34" s="68">
        <f>'дод. 3'!U67</f>
        <v>24060</v>
      </c>
      <c r="V34" s="117">
        <f t="shared" si="8"/>
        <v>15.350690695685012</v>
      </c>
      <c r="W34" s="68">
        <f t="shared" si="11"/>
        <v>1636791.48</v>
      </c>
      <c r="X34" s="169"/>
    </row>
    <row r="35" spans="1:24" s="20" customFormat="1" ht="30">
      <c r="A35" s="23"/>
      <c r="B35" s="27" t="s">
        <v>90</v>
      </c>
      <c r="C35" s="27" t="s">
        <v>204</v>
      </c>
      <c r="D35" s="34" t="s">
        <v>91</v>
      </c>
      <c r="E35" s="68">
        <f>'дод. 3'!E68</f>
        <v>9270774</v>
      </c>
      <c r="F35" s="68">
        <f>'дод. 3'!F68</f>
        <v>6060985</v>
      </c>
      <c r="G35" s="68">
        <f>'дод. 3'!G68</f>
        <v>564989</v>
      </c>
      <c r="H35" s="68">
        <f>'дод. 3'!H68</f>
        <v>2016393.34</v>
      </c>
      <c r="I35" s="68">
        <f>'дод. 3'!I68</f>
        <v>1260051</v>
      </c>
      <c r="J35" s="68">
        <f>'дод. 3'!J68</f>
        <v>214020.77</v>
      </c>
      <c r="K35" s="117">
        <f t="shared" si="2"/>
        <v>21.74999994606707</v>
      </c>
      <c r="L35" s="68">
        <f t="shared" si="9"/>
        <v>1855500</v>
      </c>
      <c r="M35" s="68">
        <f>'дод. 3'!M68</f>
        <v>155500</v>
      </c>
      <c r="N35" s="68">
        <f>'дод. 3'!N68</f>
        <v>22000</v>
      </c>
      <c r="O35" s="68">
        <f>'дод. 3'!O68</f>
        <v>19661</v>
      </c>
      <c r="P35" s="68">
        <f>'дод. 3'!P68</f>
        <v>1700000</v>
      </c>
      <c r="Q35" s="68">
        <f t="shared" si="10"/>
        <v>61738.83</v>
      </c>
      <c r="R35" s="68">
        <f>'дод. 3'!R68</f>
        <v>61738.83</v>
      </c>
      <c r="S35" s="68">
        <f>'дод. 3'!S68</f>
        <v>7582.85</v>
      </c>
      <c r="T35" s="68">
        <f>'дод. 3'!T68</f>
        <v>6727.38</v>
      </c>
      <c r="U35" s="68">
        <f>'дод. 3'!U68</f>
        <v>0</v>
      </c>
      <c r="V35" s="117">
        <f t="shared" si="8"/>
        <v>3.3273419563459985</v>
      </c>
      <c r="W35" s="68">
        <f t="shared" si="11"/>
        <v>2078132.1700000002</v>
      </c>
      <c r="X35" s="169"/>
    </row>
    <row r="36" spans="1:24" s="20" customFormat="1" ht="15">
      <c r="A36" s="23"/>
      <c r="B36" s="27" t="s">
        <v>92</v>
      </c>
      <c r="C36" s="27" t="s">
        <v>205</v>
      </c>
      <c r="D36" s="28" t="s">
        <v>93</v>
      </c>
      <c r="E36" s="68">
        <f>'дод. 3'!E69</f>
        <v>1829149</v>
      </c>
      <c r="F36" s="68">
        <f>'дод. 3'!F69</f>
        <v>419377</v>
      </c>
      <c r="G36" s="68">
        <f>'дод. 3'!G69</f>
        <v>11415</v>
      </c>
      <c r="H36" s="68">
        <f>'дод. 3'!H69</f>
        <v>439797.77</v>
      </c>
      <c r="I36" s="68">
        <f>'дод. 3'!I69</f>
        <v>94144.91</v>
      </c>
      <c r="J36" s="68">
        <f>'дод. 3'!J69</f>
        <v>3695.46</v>
      </c>
      <c r="K36" s="117">
        <f t="shared" si="2"/>
        <v>24.043846072681887</v>
      </c>
      <c r="L36" s="68">
        <f t="shared" si="9"/>
        <v>20000</v>
      </c>
      <c r="M36" s="68">
        <f>'дод. 3'!M69</f>
        <v>0</v>
      </c>
      <c r="N36" s="68">
        <f>'дод. 3'!N69</f>
        <v>0</v>
      </c>
      <c r="O36" s="68">
        <f>'дод. 3'!O69</f>
        <v>0</v>
      </c>
      <c r="P36" s="68">
        <f>'дод. 3'!P69</f>
        <v>20000</v>
      </c>
      <c r="Q36" s="68">
        <f t="shared" si="10"/>
        <v>19980</v>
      </c>
      <c r="R36" s="68">
        <f>'дод. 3'!R69</f>
        <v>0</v>
      </c>
      <c r="S36" s="68">
        <f>'дод. 3'!S69</f>
        <v>0</v>
      </c>
      <c r="T36" s="68">
        <f>'дод. 3'!T69</f>
        <v>0</v>
      </c>
      <c r="U36" s="68">
        <f>'дод. 3'!U69</f>
        <v>19980</v>
      </c>
      <c r="V36" s="117">
        <f t="shared" si="8"/>
        <v>99.9</v>
      </c>
      <c r="W36" s="68">
        <f t="shared" si="11"/>
        <v>459777.77</v>
      </c>
      <c r="X36" s="169"/>
    </row>
    <row r="37" spans="1:24" s="20" customFormat="1" ht="75">
      <c r="A37" s="23"/>
      <c r="B37" s="33" t="s">
        <v>94</v>
      </c>
      <c r="C37" s="33" t="s">
        <v>205</v>
      </c>
      <c r="D37" s="34" t="s">
        <v>95</v>
      </c>
      <c r="E37" s="68">
        <f>'дод. 3'!E70</f>
        <v>650274</v>
      </c>
      <c r="F37" s="68">
        <f>'дод. 3'!F70</f>
        <v>435814</v>
      </c>
      <c r="G37" s="68">
        <f>'дод. 3'!G70</f>
        <v>18580</v>
      </c>
      <c r="H37" s="68">
        <f>'дод. 3'!H70</f>
        <v>142451.55</v>
      </c>
      <c r="I37" s="68">
        <f>'дод. 3'!I70</f>
        <v>91104.1</v>
      </c>
      <c r="J37" s="68">
        <f>'дод. 3'!J70</f>
        <v>5380.81</v>
      </c>
      <c r="K37" s="117">
        <f t="shared" si="2"/>
        <v>21.906388691536183</v>
      </c>
      <c r="L37" s="68">
        <f t="shared" si="9"/>
        <v>40000</v>
      </c>
      <c r="M37" s="68">
        <f>'дод. 3'!M70</f>
        <v>0</v>
      </c>
      <c r="N37" s="68">
        <f>'дод. 3'!N70</f>
        <v>0</v>
      </c>
      <c r="O37" s="68">
        <f>'дод. 3'!O70</f>
        <v>0</v>
      </c>
      <c r="P37" s="68">
        <f>'дод. 3'!P70</f>
        <v>40000</v>
      </c>
      <c r="Q37" s="68">
        <f t="shared" si="10"/>
        <v>39960</v>
      </c>
      <c r="R37" s="68">
        <f>'дод. 3'!R70</f>
        <v>0</v>
      </c>
      <c r="S37" s="68">
        <f>'дод. 3'!S70</f>
        <v>0</v>
      </c>
      <c r="T37" s="68">
        <f>'дод. 3'!T70</f>
        <v>0</v>
      </c>
      <c r="U37" s="68">
        <f>'дод. 3'!U70</f>
        <v>39960</v>
      </c>
      <c r="V37" s="117">
        <f t="shared" si="8"/>
        <v>99.9</v>
      </c>
      <c r="W37" s="68">
        <f t="shared" si="11"/>
        <v>182411.55</v>
      </c>
      <c r="X37" s="169"/>
    </row>
    <row r="38" spans="1:24" s="20" customFormat="1" ht="45">
      <c r="A38" s="23"/>
      <c r="B38" s="33" t="s">
        <v>253</v>
      </c>
      <c r="C38" s="33" t="s">
        <v>205</v>
      </c>
      <c r="D38" s="28" t="s">
        <v>254</v>
      </c>
      <c r="E38" s="68">
        <f>'дод. 3'!E71</f>
        <v>5218000</v>
      </c>
      <c r="F38" s="68">
        <f>'дод. 3'!F71</f>
        <v>0</v>
      </c>
      <c r="G38" s="68">
        <f>'дод. 3'!G71</f>
        <v>0</v>
      </c>
      <c r="H38" s="68">
        <f>'дод. 3'!H71</f>
        <v>646349.36</v>
      </c>
      <c r="I38" s="68">
        <f>'дод. 3'!I71</f>
        <v>0</v>
      </c>
      <c r="J38" s="68">
        <f>'дод. 3'!J71</f>
        <v>0</v>
      </c>
      <c r="K38" s="117">
        <f t="shared" si="2"/>
        <v>12.38691759294749</v>
      </c>
      <c r="L38" s="68">
        <f t="shared" si="9"/>
        <v>0</v>
      </c>
      <c r="M38" s="68">
        <f>'дод. 3'!M71</f>
        <v>0</v>
      </c>
      <c r="N38" s="68">
        <f>'дод. 3'!N71</f>
        <v>0</v>
      </c>
      <c r="O38" s="68">
        <f>'дод. 3'!O71</f>
        <v>0</v>
      </c>
      <c r="P38" s="68">
        <f>'дод. 3'!P71</f>
        <v>0</v>
      </c>
      <c r="Q38" s="68">
        <f t="shared" si="10"/>
        <v>0</v>
      </c>
      <c r="R38" s="68">
        <f>'дод. 3'!R71</f>
        <v>0</v>
      </c>
      <c r="S38" s="68">
        <f>'дод. 3'!S71</f>
        <v>0</v>
      </c>
      <c r="T38" s="68">
        <f>'дод. 3'!T71</f>
        <v>0</v>
      </c>
      <c r="U38" s="68">
        <f>'дод. 3'!U71</f>
        <v>0</v>
      </c>
      <c r="V38" s="117"/>
      <c r="W38" s="68">
        <f t="shared" si="11"/>
        <v>646349.36</v>
      </c>
      <c r="X38" s="169"/>
    </row>
    <row r="39" spans="1:24" s="20" customFormat="1" ht="28.5">
      <c r="A39" s="23"/>
      <c r="B39" s="64" t="s">
        <v>261</v>
      </c>
      <c r="C39" s="64"/>
      <c r="D39" s="65" t="s">
        <v>262</v>
      </c>
      <c r="E39" s="67">
        <f>E40+E41+E42+E46+E47+E48+E49+E50+E51+E52+E53+E54+E55+E56+E57+E58+E59+E60+E61+E62+E63+E64+E65+E66+E67+E68+E69+E70+E71+E72+E73+E74+E75+E76+E77+E78+E79+E80+E81</f>
        <v>693126419</v>
      </c>
      <c r="F39" s="67">
        <f aca="true" t="shared" si="12" ref="F39:W39">F40+F41+F42+F46+F47+F48+F49+F50+F51+F52+F53+F54+F55+F56+F57+F58+F59+F60+F61+F62+F63+F64+F65+F66+F67+F68+F69+F70+F71+F72+F73+F74+F75+F76+F77+F78+F79+F80+F81</f>
        <v>5773753</v>
      </c>
      <c r="G39" s="67">
        <f t="shared" si="12"/>
        <v>412126</v>
      </c>
      <c r="H39" s="67">
        <f t="shared" si="12"/>
        <v>193888028.52000004</v>
      </c>
      <c r="I39" s="67">
        <f t="shared" si="12"/>
        <v>1315616.91</v>
      </c>
      <c r="J39" s="67">
        <f t="shared" si="12"/>
        <v>160583.48</v>
      </c>
      <c r="K39" s="118">
        <f t="shared" si="2"/>
        <v>27.972967586451215</v>
      </c>
      <c r="L39" s="67">
        <f t="shared" si="12"/>
        <v>534445</v>
      </c>
      <c r="M39" s="67">
        <f t="shared" si="12"/>
        <v>27800</v>
      </c>
      <c r="N39" s="67">
        <f t="shared" si="12"/>
        <v>18822</v>
      </c>
      <c r="O39" s="67">
        <f t="shared" si="12"/>
        <v>0</v>
      </c>
      <c r="P39" s="67">
        <f t="shared" si="12"/>
        <v>506645</v>
      </c>
      <c r="Q39" s="67">
        <f t="shared" si="12"/>
        <v>30957.28</v>
      </c>
      <c r="R39" s="67">
        <f t="shared" si="12"/>
        <v>18977.28</v>
      </c>
      <c r="S39" s="67">
        <f t="shared" si="12"/>
        <v>6571.32</v>
      </c>
      <c r="T39" s="67">
        <f t="shared" si="12"/>
        <v>0</v>
      </c>
      <c r="U39" s="67">
        <f t="shared" si="12"/>
        <v>11980</v>
      </c>
      <c r="V39" s="118">
        <f>Q39/L39*100</f>
        <v>5.792416431999551</v>
      </c>
      <c r="W39" s="67">
        <f t="shared" si="12"/>
        <v>193918985.80000004</v>
      </c>
      <c r="X39" s="169"/>
    </row>
    <row r="40" spans="1:24" s="20" customFormat="1" ht="270">
      <c r="A40" s="23"/>
      <c r="B40" s="27" t="s">
        <v>99</v>
      </c>
      <c r="C40" s="27" t="s">
        <v>207</v>
      </c>
      <c r="D40" s="28" t="s">
        <v>100</v>
      </c>
      <c r="E40" s="68">
        <f>'дод. 3'!E75</f>
        <v>35619200</v>
      </c>
      <c r="F40" s="68">
        <f>'дод. 3'!F75</f>
        <v>0</v>
      </c>
      <c r="G40" s="68">
        <f>'дод. 3'!G75</f>
        <v>0</v>
      </c>
      <c r="H40" s="68">
        <f>'дод. 3'!H75</f>
        <v>6208682.38</v>
      </c>
      <c r="I40" s="68">
        <f>'дод. 3'!I75</f>
        <v>0</v>
      </c>
      <c r="J40" s="68">
        <f>'дод. 3'!J75</f>
        <v>0</v>
      </c>
      <c r="K40" s="117">
        <f t="shared" si="2"/>
        <v>17.430718208157398</v>
      </c>
      <c r="L40" s="68">
        <f>M40+P40</f>
        <v>0</v>
      </c>
      <c r="M40" s="68">
        <f>'дод. 3'!M75</f>
        <v>0</v>
      </c>
      <c r="N40" s="68">
        <f>'дод. 3'!N75</f>
        <v>0</v>
      </c>
      <c r="O40" s="68">
        <f>'дод. 3'!O75</f>
        <v>0</v>
      </c>
      <c r="P40" s="68">
        <f>'дод. 3'!P75</f>
        <v>0</v>
      </c>
      <c r="Q40" s="68">
        <f>R40+U40</f>
        <v>0</v>
      </c>
      <c r="R40" s="68">
        <f>'дод. 3'!R75</f>
        <v>0</v>
      </c>
      <c r="S40" s="68">
        <f>'дод. 3'!S75</f>
        <v>0</v>
      </c>
      <c r="T40" s="68">
        <f>'дод. 3'!T75</f>
        <v>0</v>
      </c>
      <c r="U40" s="68">
        <f>'дод. 3'!U75</f>
        <v>0</v>
      </c>
      <c r="V40" s="117"/>
      <c r="W40" s="68">
        <f>H40+Q40</f>
        <v>6208682.38</v>
      </c>
      <c r="X40" s="169"/>
    </row>
    <row r="41" spans="1:24" s="20" customFormat="1" ht="225">
      <c r="A41" s="23"/>
      <c r="B41" s="27" t="s">
        <v>101</v>
      </c>
      <c r="C41" s="27" t="s">
        <v>207</v>
      </c>
      <c r="D41" s="28" t="s">
        <v>102</v>
      </c>
      <c r="E41" s="68">
        <f>'дод. 3'!E76</f>
        <v>16975</v>
      </c>
      <c r="F41" s="68">
        <f>'дод. 3'!F76</f>
        <v>0</v>
      </c>
      <c r="G41" s="68">
        <f>'дод. 3'!G76</f>
        <v>0</v>
      </c>
      <c r="H41" s="68">
        <f>'дод. 3'!H76</f>
        <v>0</v>
      </c>
      <c r="I41" s="68">
        <f>'дод. 3'!I76</f>
        <v>0</v>
      </c>
      <c r="J41" s="68">
        <f>'дод. 3'!J76</f>
        <v>0</v>
      </c>
      <c r="K41" s="117">
        <f t="shared" si="2"/>
        <v>0</v>
      </c>
      <c r="L41" s="68">
        <f>M41+P41</f>
        <v>0</v>
      </c>
      <c r="M41" s="68">
        <f>'дод. 3'!M76</f>
        <v>0</v>
      </c>
      <c r="N41" s="68">
        <f>'дод. 3'!N76</f>
        <v>0</v>
      </c>
      <c r="O41" s="68">
        <f>'дод. 3'!O76</f>
        <v>0</v>
      </c>
      <c r="P41" s="68">
        <f>'дод. 3'!P76</f>
        <v>0</v>
      </c>
      <c r="Q41" s="68">
        <f>R41+U41</f>
        <v>0</v>
      </c>
      <c r="R41" s="68">
        <f>'дод. 3'!R76</f>
        <v>0</v>
      </c>
      <c r="S41" s="68">
        <f>'дод. 3'!S76</f>
        <v>0</v>
      </c>
      <c r="T41" s="68">
        <f>'дод. 3'!T76</f>
        <v>0</v>
      </c>
      <c r="U41" s="68">
        <f>'дод. 3'!U76</f>
        <v>0</v>
      </c>
      <c r="V41" s="117"/>
      <c r="W41" s="68">
        <f>H41+Q41</f>
        <v>0</v>
      </c>
      <c r="X41" s="169"/>
    </row>
    <row r="42" spans="1:24" s="20" customFormat="1" ht="142.5" customHeight="1">
      <c r="A42" s="23"/>
      <c r="B42" s="35" t="s">
        <v>103</v>
      </c>
      <c r="C42" s="35" t="s">
        <v>207</v>
      </c>
      <c r="D42" s="167" t="s">
        <v>233</v>
      </c>
      <c r="E42" s="73">
        <f>'дод. 3'!E77</f>
        <v>5469100</v>
      </c>
      <c r="F42" s="73">
        <f>'дод. 3'!F77</f>
        <v>0</v>
      </c>
      <c r="G42" s="73">
        <f>'дод. 3'!G77</f>
        <v>0</v>
      </c>
      <c r="H42" s="73">
        <f>'дод. 3'!H77</f>
        <v>935973.22</v>
      </c>
      <c r="I42" s="73">
        <f>'дод. 3'!I77</f>
        <v>0</v>
      </c>
      <c r="J42" s="73">
        <f>'дод. 3'!J77</f>
        <v>0</v>
      </c>
      <c r="K42" s="119">
        <f t="shared" si="2"/>
        <v>17.113843594009985</v>
      </c>
      <c r="L42" s="73">
        <f>M42+P42</f>
        <v>0</v>
      </c>
      <c r="M42" s="73">
        <f>'дод. 3'!M77</f>
        <v>0</v>
      </c>
      <c r="N42" s="73">
        <f>'дод. 3'!N77</f>
        <v>0</v>
      </c>
      <c r="O42" s="73">
        <f>'дод. 3'!O77</f>
        <v>0</v>
      </c>
      <c r="P42" s="73">
        <f>'дод. 3'!P77</f>
        <v>0</v>
      </c>
      <c r="Q42" s="73">
        <f>R42+U42</f>
        <v>0</v>
      </c>
      <c r="R42" s="73">
        <f>'дод. 3'!R77</f>
        <v>0</v>
      </c>
      <c r="S42" s="73">
        <f>'дод. 3'!S77</f>
        <v>0</v>
      </c>
      <c r="T42" s="73">
        <f>'дод. 3'!T77</f>
        <v>0</v>
      </c>
      <c r="U42" s="73">
        <f>'дод. 3'!U77</f>
        <v>0</v>
      </c>
      <c r="V42" s="119"/>
      <c r="W42" s="73">
        <f>Q42+H42</f>
        <v>935973.22</v>
      </c>
      <c r="X42" s="169"/>
    </row>
    <row r="43" spans="1:24" s="20" customFormat="1" ht="154.5" customHeight="1">
      <c r="A43" s="23"/>
      <c r="B43" s="36"/>
      <c r="C43" s="36"/>
      <c r="D43" s="168"/>
      <c r="E43" s="72"/>
      <c r="F43" s="72"/>
      <c r="G43" s="72"/>
      <c r="H43" s="72"/>
      <c r="I43" s="72"/>
      <c r="J43" s="72"/>
      <c r="K43" s="120"/>
      <c r="L43" s="72"/>
      <c r="M43" s="72"/>
      <c r="N43" s="72"/>
      <c r="O43" s="72"/>
      <c r="P43" s="72"/>
      <c r="Q43" s="72"/>
      <c r="R43" s="72"/>
      <c r="S43" s="72"/>
      <c r="T43" s="72"/>
      <c r="U43" s="72"/>
      <c r="V43" s="120"/>
      <c r="W43" s="72"/>
      <c r="X43" s="169"/>
    </row>
    <row r="44" spans="1:24" s="20" customFormat="1" ht="169.5" customHeight="1">
      <c r="A44" s="23"/>
      <c r="B44" s="36"/>
      <c r="C44" s="36"/>
      <c r="D44" s="70" t="s">
        <v>234</v>
      </c>
      <c r="E44" s="72"/>
      <c r="F44" s="72"/>
      <c r="G44" s="72"/>
      <c r="H44" s="72"/>
      <c r="I44" s="72"/>
      <c r="J44" s="72"/>
      <c r="K44" s="120"/>
      <c r="L44" s="72"/>
      <c r="M44" s="72"/>
      <c r="N44" s="72"/>
      <c r="O44" s="72"/>
      <c r="P44" s="72"/>
      <c r="Q44" s="72"/>
      <c r="R44" s="72"/>
      <c r="S44" s="72"/>
      <c r="T44" s="72"/>
      <c r="U44" s="72"/>
      <c r="V44" s="120"/>
      <c r="W44" s="72"/>
      <c r="X44" s="169"/>
    </row>
    <row r="45" spans="1:24" s="20" customFormat="1" ht="267" customHeight="1">
      <c r="A45" s="23"/>
      <c r="B45" s="69"/>
      <c r="C45" s="69"/>
      <c r="D45" s="71" t="s">
        <v>237</v>
      </c>
      <c r="E45" s="68"/>
      <c r="F45" s="68"/>
      <c r="G45" s="68"/>
      <c r="H45" s="68"/>
      <c r="I45" s="68"/>
      <c r="J45" s="68"/>
      <c r="K45" s="117"/>
      <c r="L45" s="68"/>
      <c r="M45" s="68"/>
      <c r="N45" s="68"/>
      <c r="O45" s="68"/>
      <c r="P45" s="68"/>
      <c r="Q45" s="68"/>
      <c r="R45" s="68"/>
      <c r="S45" s="68"/>
      <c r="T45" s="68"/>
      <c r="U45" s="68"/>
      <c r="V45" s="117"/>
      <c r="W45" s="68"/>
      <c r="X45" s="169"/>
    </row>
    <row r="46" spans="1:24" s="20" customFormat="1" ht="105">
      <c r="A46" s="23"/>
      <c r="B46" s="27" t="s">
        <v>104</v>
      </c>
      <c r="C46" s="27" t="s">
        <v>208</v>
      </c>
      <c r="D46" s="28" t="s">
        <v>105</v>
      </c>
      <c r="E46" s="68">
        <f>'дод. 3'!E81</f>
        <v>4278400</v>
      </c>
      <c r="F46" s="68">
        <f>'дод. 3'!F81</f>
        <v>0</v>
      </c>
      <c r="G46" s="68">
        <f>'дод. 3'!G81</f>
        <v>0</v>
      </c>
      <c r="H46" s="68">
        <f>'дод. 3'!H81</f>
        <v>867482.12</v>
      </c>
      <c r="I46" s="68">
        <f>'дод. 3'!I81</f>
        <v>0</v>
      </c>
      <c r="J46" s="68">
        <f>'дод. 3'!J81</f>
        <v>0</v>
      </c>
      <c r="K46" s="117">
        <f t="shared" si="2"/>
        <v>20.27585359012715</v>
      </c>
      <c r="L46" s="68">
        <f aca="true" t="shared" si="13" ref="L46:L62">M46+P46</f>
        <v>0</v>
      </c>
      <c r="M46" s="68">
        <f>'дод. 3'!M81</f>
        <v>0</v>
      </c>
      <c r="N46" s="68">
        <f>'дод. 3'!L81</f>
        <v>0</v>
      </c>
      <c r="O46" s="68">
        <f>'дод. 3'!M81</f>
        <v>0</v>
      </c>
      <c r="P46" s="68">
        <f>'дод. 3'!N81</f>
        <v>0</v>
      </c>
      <c r="Q46" s="68">
        <f aca="true" t="shared" si="14" ref="Q46:Q62">R46+U46</f>
        <v>0</v>
      </c>
      <c r="R46" s="68">
        <f>'дод. 3'!P81</f>
        <v>0</v>
      </c>
      <c r="S46" s="68">
        <f>'дод. 3'!Q81</f>
        <v>0</v>
      </c>
      <c r="T46" s="68">
        <f>'дод. 3'!R81</f>
        <v>0</v>
      </c>
      <c r="U46" s="68">
        <f>'дод. 3'!S81</f>
        <v>0</v>
      </c>
      <c r="V46" s="117"/>
      <c r="W46" s="68">
        <f>Q46+H46</f>
        <v>867482.12</v>
      </c>
      <c r="X46" s="169"/>
    </row>
    <row r="47" spans="1:24" s="20" customFormat="1" ht="105">
      <c r="A47" s="23"/>
      <c r="B47" s="27" t="s">
        <v>325</v>
      </c>
      <c r="C47" s="27" t="s">
        <v>208</v>
      </c>
      <c r="D47" s="28" t="s">
        <v>326</v>
      </c>
      <c r="E47" s="68">
        <f>'дод. 3'!E82</f>
        <v>788</v>
      </c>
      <c r="F47" s="68">
        <f>'дод. 3'!F82</f>
        <v>0</v>
      </c>
      <c r="G47" s="68">
        <f>'дод. 3'!G82</f>
        <v>0</v>
      </c>
      <c r="H47" s="68">
        <f>'дод. 3'!H82</f>
        <v>0</v>
      </c>
      <c r="I47" s="68">
        <f>'дод. 3'!I82</f>
        <v>0</v>
      </c>
      <c r="J47" s="68">
        <f>'дод. 3'!J82</f>
        <v>0</v>
      </c>
      <c r="K47" s="117">
        <f t="shared" si="2"/>
        <v>0</v>
      </c>
      <c r="L47" s="68">
        <f t="shared" si="13"/>
        <v>0</v>
      </c>
      <c r="M47" s="68">
        <f>'дод. 3'!M82</f>
        <v>0</v>
      </c>
      <c r="N47" s="68">
        <f>'дод. 3'!N82</f>
        <v>0</v>
      </c>
      <c r="O47" s="68">
        <f>'дод. 3'!O82</f>
        <v>0</v>
      </c>
      <c r="P47" s="68">
        <f>'дод. 3'!P82</f>
        <v>0</v>
      </c>
      <c r="Q47" s="68">
        <f t="shared" si="14"/>
        <v>0</v>
      </c>
      <c r="R47" s="68">
        <f>'дод. 3'!R82</f>
        <v>0</v>
      </c>
      <c r="S47" s="68">
        <f>'дод. 3'!S82</f>
        <v>0</v>
      </c>
      <c r="T47" s="68">
        <f>'дод. 3'!T82</f>
        <v>0</v>
      </c>
      <c r="U47" s="68">
        <f>'дод. 3'!U82</f>
        <v>0</v>
      </c>
      <c r="V47" s="117"/>
      <c r="W47" s="68">
        <f aca="true" t="shared" si="15" ref="W47:W88">Q47+H47</f>
        <v>0</v>
      </c>
      <c r="X47" s="169"/>
    </row>
    <row r="48" spans="1:24" s="20" customFormat="1" ht="210">
      <c r="A48" s="23"/>
      <c r="B48" s="27" t="s">
        <v>106</v>
      </c>
      <c r="C48" s="27" t="s">
        <v>208</v>
      </c>
      <c r="D48" s="28" t="s">
        <v>236</v>
      </c>
      <c r="E48" s="68">
        <f>'дод. 3'!E83</f>
        <v>110300</v>
      </c>
      <c r="F48" s="68">
        <f>'дод. 3'!F83</f>
        <v>0</v>
      </c>
      <c r="G48" s="68">
        <f>'дод. 3'!G83</f>
        <v>0</v>
      </c>
      <c r="H48" s="68">
        <f>'дод. 3'!H83</f>
        <v>25150</v>
      </c>
      <c r="I48" s="68">
        <f>'дод. 3'!I83</f>
        <v>0</v>
      </c>
      <c r="J48" s="68">
        <f>'дод. 3'!J83</f>
        <v>0</v>
      </c>
      <c r="K48" s="117">
        <f t="shared" si="2"/>
        <v>22.801450589301904</v>
      </c>
      <c r="L48" s="68">
        <f t="shared" si="13"/>
        <v>0</v>
      </c>
      <c r="M48" s="68">
        <f>'дод. 3'!M83</f>
        <v>0</v>
      </c>
      <c r="N48" s="68">
        <f>'дод. 3'!N83</f>
        <v>0</v>
      </c>
      <c r="O48" s="68">
        <f>'дод. 3'!O83</f>
        <v>0</v>
      </c>
      <c r="P48" s="68">
        <f>'дод. 3'!P83</f>
        <v>0</v>
      </c>
      <c r="Q48" s="68">
        <f t="shared" si="14"/>
        <v>0</v>
      </c>
      <c r="R48" s="68">
        <f>'дод. 3'!R83</f>
        <v>0</v>
      </c>
      <c r="S48" s="68">
        <f>'дод. 3'!S83</f>
        <v>0</v>
      </c>
      <c r="T48" s="68">
        <f>'дод. 3'!T83</f>
        <v>0</v>
      </c>
      <c r="U48" s="68">
        <f>'дод. 3'!U83</f>
        <v>0</v>
      </c>
      <c r="V48" s="117"/>
      <c r="W48" s="68">
        <f t="shared" si="15"/>
        <v>25150</v>
      </c>
      <c r="X48" s="169"/>
    </row>
    <row r="49" spans="1:24" s="20" customFormat="1" ht="45">
      <c r="A49" s="23"/>
      <c r="B49" s="27" t="s">
        <v>107</v>
      </c>
      <c r="C49" s="27" t="s">
        <v>208</v>
      </c>
      <c r="D49" s="28" t="s">
        <v>108</v>
      </c>
      <c r="E49" s="68">
        <f>'дод. 3'!E84</f>
        <v>632700</v>
      </c>
      <c r="F49" s="68">
        <f>'дод. 3'!F84</f>
        <v>0</v>
      </c>
      <c r="G49" s="68">
        <f>'дод. 3'!G84</f>
        <v>0</v>
      </c>
      <c r="H49" s="68">
        <f>'дод. 3'!H84</f>
        <v>102466.42</v>
      </c>
      <c r="I49" s="68">
        <f>'дод. 3'!I84</f>
        <v>0</v>
      </c>
      <c r="J49" s="68">
        <f>'дод. 3'!J84</f>
        <v>0</v>
      </c>
      <c r="K49" s="117">
        <f t="shared" si="2"/>
        <v>16.19510352457721</v>
      </c>
      <c r="L49" s="68">
        <f t="shared" si="13"/>
        <v>0</v>
      </c>
      <c r="M49" s="68">
        <f>'дод. 3'!M84</f>
        <v>0</v>
      </c>
      <c r="N49" s="68">
        <f>'дод. 3'!N84</f>
        <v>0</v>
      </c>
      <c r="O49" s="68">
        <f>'дод. 3'!O84</f>
        <v>0</v>
      </c>
      <c r="P49" s="68">
        <f>'дод. 3'!P84</f>
        <v>0</v>
      </c>
      <c r="Q49" s="68">
        <f t="shared" si="14"/>
        <v>0</v>
      </c>
      <c r="R49" s="68">
        <f>'дод. 3'!R84</f>
        <v>0</v>
      </c>
      <c r="S49" s="68">
        <f>'дод. 3'!S84</f>
        <v>0</v>
      </c>
      <c r="T49" s="68">
        <f>'дод. 3'!T84</f>
        <v>0</v>
      </c>
      <c r="U49" s="68">
        <f>'дод. 3'!U84</f>
        <v>0</v>
      </c>
      <c r="V49" s="117"/>
      <c r="W49" s="68">
        <f t="shared" si="15"/>
        <v>102466.42</v>
      </c>
      <c r="X49" s="169"/>
    </row>
    <row r="50" spans="1:24" s="20" customFormat="1" ht="150">
      <c r="A50" s="23"/>
      <c r="B50" s="27" t="s">
        <v>109</v>
      </c>
      <c r="C50" s="27" t="s">
        <v>208</v>
      </c>
      <c r="D50" s="28" t="s">
        <v>110</v>
      </c>
      <c r="E50" s="68">
        <f>'дод. 3'!E85</f>
        <v>2195200</v>
      </c>
      <c r="F50" s="68">
        <f>'дод. 3'!F85</f>
        <v>0</v>
      </c>
      <c r="G50" s="68">
        <f>'дод. 3'!G85</f>
        <v>0</v>
      </c>
      <c r="H50" s="68">
        <f>'дод. 3'!H85</f>
        <v>427775.04</v>
      </c>
      <c r="I50" s="68">
        <f>'дод. 3'!I85</f>
        <v>0</v>
      </c>
      <c r="J50" s="68">
        <f>'дод. 3'!J85</f>
        <v>0</v>
      </c>
      <c r="K50" s="117">
        <f t="shared" si="2"/>
        <v>19.486836734693878</v>
      </c>
      <c r="L50" s="68">
        <f t="shared" si="13"/>
        <v>0</v>
      </c>
      <c r="M50" s="68">
        <f>'дод. 3'!M85</f>
        <v>0</v>
      </c>
      <c r="N50" s="68">
        <f>'дод. 3'!N85</f>
        <v>0</v>
      </c>
      <c r="O50" s="68">
        <f>'дод. 3'!O85</f>
        <v>0</v>
      </c>
      <c r="P50" s="68">
        <f>'дод. 3'!P85</f>
        <v>0</v>
      </c>
      <c r="Q50" s="68">
        <f t="shared" si="14"/>
        <v>0</v>
      </c>
      <c r="R50" s="68">
        <f>'дод. 3'!R85</f>
        <v>0</v>
      </c>
      <c r="S50" s="68">
        <f>'дод. 3'!S85</f>
        <v>0</v>
      </c>
      <c r="T50" s="68">
        <f>'дод. 3'!T85</f>
        <v>0</v>
      </c>
      <c r="U50" s="68">
        <f>'дод. 3'!U85</f>
        <v>0</v>
      </c>
      <c r="V50" s="117"/>
      <c r="W50" s="68">
        <f t="shared" si="15"/>
        <v>427775.04</v>
      </c>
      <c r="X50" s="169"/>
    </row>
    <row r="51" spans="1:24" s="20" customFormat="1" ht="150">
      <c r="A51" s="23"/>
      <c r="B51" s="30" t="s">
        <v>111</v>
      </c>
      <c r="C51" s="30" t="s">
        <v>208</v>
      </c>
      <c r="D51" s="28" t="s">
        <v>112</v>
      </c>
      <c r="E51" s="68">
        <f>'дод. 3'!E86</f>
        <v>4412</v>
      </c>
      <c r="F51" s="68">
        <f>'дод. 3'!F86</f>
        <v>0</v>
      </c>
      <c r="G51" s="68">
        <f>'дод. 3'!G86</f>
        <v>0</v>
      </c>
      <c r="H51" s="68">
        <f>'дод. 3'!H86</f>
        <v>0</v>
      </c>
      <c r="I51" s="68">
        <f>'дод. 3'!I86</f>
        <v>0</v>
      </c>
      <c r="J51" s="68">
        <f>'дод. 3'!J86</f>
        <v>0</v>
      </c>
      <c r="K51" s="117">
        <f t="shared" si="2"/>
        <v>0</v>
      </c>
      <c r="L51" s="68">
        <f t="shared" si="13"/>
        <v>0</v>
      </c>
      <c r="M51" s="68">
        <f>'дод. 3'!M86</f>
        <v>0</v>
      </c>
      <c r="N51" s="68">
        <f>'дод. 3'!N86</f>
        <v>0</v>
      </c>
      <c r="O51" s="68">
        <f>'дод. 3'!O86</f>
        <v>0</v>
      </c>
      <c r="P51" s="68">
        <f>'дод. 3'!P86</f>
        <v>0</v>
      </c>
      <c r="Q51" s="68">
        <f t="shared" si="14"/>
        <v>0</v>
      </c>
      <c r="R51" s="68">
        <f>'дод. 3'!R86</f>
        <v>0</v>
      </c>
      <c r="S51" s="68">
        <f>'дод. 3'!S86</f>
        <v>0</v>
      </c>
      <c r="T51" s="68">
        <f>'дод. 3'!T86</f>
        <v>0</v>
      </c>
      <c r="U51" s="68">
        <f>'дод. 3'!U86</f>
        <v>0</v>
      </c>
      <c r="V51" s="117"/>
      <c r="W51" s="68">
        <f t="shared" si="15"/>
        <v>0</v>
      </c>
      <c r="X51" s="169"/>
    </row>
    <row r="52" spans="1:24" s="20" customFormat="1" ht="30">
      <c r="A52" s="23"/>
      <c r="B52" s="27" t="s">
        <v>113</v>
      </c>
      <c r="C52" s="27" t="s">
        <v>182</v>
      </c>
      <c r="D52" s="28" t="s">
        <v>114</v>
      </c>
      <c r="E52" s="68">
        <f>'дод. 3'!E87</f>
        <v>2957400</v>
      </c>
      <c r="F52" s="68">
        <f>'дод. 3'!F87</f>
        <v>0</v>
      </c>
      <c r="G52" s="68">
        <f>'дод. 3'!G87</f>
        <v>0</v>
      </c>
      <c r="H52" s="68">
        <f>'дод. 3'!H87</f>
        <v>485165.32</v>
      </c>
      <c r="I52" s="68">
        <f>'дод. 3'!I87</f>
        <v>0</v>
      </c>
      <c r="J52" s="68">
        <f>'дод. 3'!J87</f>
        <v>0</v>
      </c>
      <c r="K52" s="117">
        <f t="shared" si="2"/>
        <v>16.40513018191655</v>
      </c>
      <c r="L52" s="68">
        <f t="shared" si="13"/>
        <v>0</v>
      </c>
      <c r="M52" s="68">
        <f>'дод. 3'!M87</f>
        <v>0</v>
      </c>
      <c r="N52" s="68">
        <f>'дод. 3'!N87</f>
        <v>0</v>
      </c>
      <c r="O52" s="68">
        <f>'дод. 3'!O87</f>
        <v>0</v>
      </c>
      <c r="P52" s="68">
        <f>'дод. 3'!P87</f>
        <v>0</v>
      </c>
      <c r="Q52" s="68">
        <f t="shared" si="14"/>
        <v>0</v>
      </c>
      <c r="R52" s="68">
        <f>'дод. 3'!R87</f>
        <v>0</v>
      </c>
      <c r="S52" s="68">
        <f>'дод. 3'!S87</f>
        <v>0</v>
      </c>
      <c r="T52" s="68">
        <f>'дод. 3'!T87</f>
        <v>0</v>
      </c>
      <c r="U52" s="68">
        <f>'дод. 3'!U87</f>
        <v>0</v>
      </c>
      <c r="V52" s="117"/>
      <c r="W52" s="68">
        <f t="shared" si="15"/>
        <v>485165.32</v>
      </c>
      <c r="X52" s="169"/>
    </row>
    <row r="53" spans="1:24" s="20" customFormat="1" ht="30">
      <c r="A53" s="23"/>
      <c r="B53" s="27" t="s">
        <v>115</v>
      </c>
      <c r="C53" s="27" t="s">
        <v>182</v>
      </c>
      <c r="D53" s="28" t="s">
        <v>229</v>
      </c>
      <c r="E53" s="68">
        <f>'дод. 3'!E88</f>
        <v>2340000</v>
      </c>
      <c r="F53" s="68">
        <f>'дод. 3'!F88</f>
        <v>0</v>
      </c>
      <c r="G53" s="68">
        <f>'дод. 3'!G88</f>
        <v>0</v>
      </c>
      <c r="H53" s="68">
        <f>'дод. 3'!H88</f>
        <v>582169.27</v>
      </c>
      <c r="I53" s="68">
        <f>'дод. 3'!I88</f>
        <v>0</v>
      </c>
      <c r="J53" s="68">
        <f>'дод. 3'!J88</f>
        <v>0</v>
      </c>
      <c r="K53" s="117">
        <f t="shared" si="2"/>
        <v>24.879028632478633</v>
      </c>
      <c r="L53" s="68">
        <f t="shared" si="13"/>
        <v>0</v>
      </c>
      <c r="M53" s="68">
        <f>'дод. 3'!M88</f>
        <v>0</v>
      </c>
      <c r="N53" s="68">
        <f>'дод. 3'!N88</f>
        <v>0</v>
      </c>
      <c r="O53" s="68">
        <f>'дод. 3'!O88</f>
        <v>0</v>
      </c>
      <c r="P53" s="68">
        <f>'дод. 3'!P88</f>
        <v>0</v>
      </c>
      <c r="Q53" s="68">
        <f t="shared" si="14"/>
        <v>0</v>
      </c>
      <c r="R53" s="68">
        <f>'дод. 3'!R88</f>
        <v>0</v>
      </c>
      <c r="S53" s="68">
        <f>'дод. 3'!S88</f>
        <v>0</v>
      </c>
      <c r="T53" s="68">
        <f>'дод. 3'!T88</f>
        <v>0</v>
      </c>
      <c r="U53" s="68">
        <f>'дод. 3'!U88</f>
        <v>0</v>
      </c>
      <c r="V53" s="117"/>
      <c r="W53" s="68">
        <f t="shared" si="15"/>
        <v>582169.27</v>
      </c>
      <c r="X53" s="169"/>
    </row>
    <row r="54" spans="1:24" s="20" customFormat="1" ht="15">
      <c r="A54" s="23"/>
      <c r="B54" s="27" t="s">
        <v>116</v>
      </c>
      <c r="C54" s="27" t="s">
        <v>182</v>
      </c>
      <c r="D54" s="28" t="s">
        <v>117</v>
      </c>
      <c r="E54" s="68">
        <f>'дод. 3'!E89</f>
        <v>132914300</v>
      </c>
      <c r="F54" s="68">
        <f>'дод. 3'!F89</f>
        <v>0</v>
      </c>
      <c r="G54" s="68">
        <f>'дод. 3'!G89</f>
        <v>0</v>
      </c>
      <c r="H54" s="68">
        <f>'дод. 3'!H89</f>
        <v>33351821.63</v>
      </c>
      <c r="I54" s="68">
        <f>'дод. 3'!I89</f>
        <v>0</v>
      </c>
      <c r="J54" s="68">
        <f>'дод. 3'!J89</f>
        <v>0</v>
      </c>
      <c r="K54" s="117">
        <f t="shared" si="2"/>
        <v>25.092726388357008</v>
      </c>
      <c r="L54" s="68">
        <f t="shared" si="13"/>
        <v>0</v>
      </c>
      <c r="M54" s="68">
        <f>'дод. 3'!M89</f>
        <v>0</v>
      </c>
      <c r="N54" s="68">
        <f>'дод. 3'!N89</f>
        <v>0</v>
      </c>
      <c r="O54" s="68">
        <f>'дод. 3'!O89</f>
        <v>0</v>
      </c>
      <c r="P54" s="68">
        <f>'дод. 3'!P89</f>
        <v>0</v>
      </c>
      <c r="Q54" s="68">
        <f t="shared" si="14"/>
        <v>0</v>
      </c>
      <c r="R54" s="68">
        <f>'дод. 3'!R89</f>
        <v>0</v>
      </c>
      <c r="S54" s="68">
        <f>'дод. 3'!S89</f>
        <v>0</v>
      </c>
      <c r="T54" s="68">
        <f>'дод. 3'!T89</f>
        <v>0</v>
      </c>
      <c r="U54" s="68">
        <f>'дод. 3'!U89</f>
        <v>0</v>
      </c>
      <c r="V54" s="117"/>
      <c r="W54" s="68">
        <f t="shared" si="15"/>
        <v>33351821.63</v>
      </c>
      <c r="X54" s="169"/>
    </row>
    <row r="55" spans="1:24" s="20" customFormat="1" ht="30">
      <c r="A55" s="23"/>
      <c r="B55" s="27" t="s">
        <v>118</v>
      </c>
      <c r="C55" s="27" t="s">
        <v>182</v>
      </c>
      <c r="D55" s="28" t="s">
        <v>119</v>
      </c>
      <c r="E55" s="68">
        <f>'дод. 3'!E90</f>
        <v>4769000</v>
      </c>
      <c r="F55" s="68">
        <f>'дод. 3'!F90</f>
        <v>0</v>
      </c>
      <c r="G55" s="68">
        <f>'дод. 3'!G90</f>
        <v>0</v>
      </c>
      <c r="H55" s="68">
        <f>'дод. 3'!H90</f>
        <v>1552154.19</v>
      </c>
      <c r="I55" s="68">
        <f>'дод. 3'!I90</f>
        <v>0</v>
      </c>
      <c r="J55" s="68">
        <f>'дод. 3'!J90</f>
        <v>0</v>
      </c>
      <c r="K55" s="117">
        <f t="shared" si="2"/>
        <v>32.546743342419795</v>
      </c>
      <c r="L55" s="68">
        <f t="shared" si="13"/>
        <v>0</v>
      </c>
      <c r="M55" s="68">
        <f>'дод. 3'!M90</f>
        <v>0</v>
      </c>
      <c r="N55" s="68">
        <f>'дод. 3'!N90</f>
        <v>0</v>
      </c>
      <c r="O55" s="68">
        <f>'дод. 3'!O90</f>
        <v>0</v>
      </c>
      <c r="P55" s="68">
        <f>'дод. 3'!P90</f>
        <v>0</v>
      </c>
      <c r="Q55" s="68">
        <f t="shared" si="14"/>
        <v>0</v>
      </c>
      <c r="R55" s="68">
        <f>'дод. 3'!R90</f>
        <v>0</v>
      </c>
      <c r="S55" s="68">
        <f>'дод. 3'!S90</f>
        <v>0</v>
      </c>
      <c r="T55" s="68">
        <f>'дод. 3'!T90</f>
        <v>0</v>
      </c>
      <c r="U55" s="68">
        <f>'дод. 3'!U90</f>
        <v>0</v>
      </c>
      <c r="V55" s="117"/>
      <c r="W55" s="68">
        <f t="shared" si="15"/>
        <v>1552154.19</v>
      </c>
      <c r="X55" s="169"/>
    </row>
    <row r="56" spans="1:24" s="20" customFormat="1" ht="15">
      <c r="A56" s="23"/>
      <c r="B56" s="27" t="s">
        <v>120</v>
      </c>
      <c r="C56" s="27" t="s">
        <v>182</v>
      </c>
      <c r="D56" s="28" t="s">
        <v>121</v>
      </c>
      <c r="E56" s="68">
        <f>'дод. 3'!E91</f>
        <v>22750500</v>
      </c>
      <c r="F56" s="68">
        <f>'дод. 3'!F91</f>
        <v>0</v>
      </c>
      <c r="G56" s="68">
        <f>'дод. 3'!G91</f>
        <v>0</v>
      </c>
      <c r="H56" s="68">
        <f>'дод. 3'!H91</f>
        <v>4678595.17</v>
      </c>
      <c r="I56" s="68">
        <f>'дод. 3'!I91</f>
        <v>0</v>
      </c>
      <c r="J56" s="68">
        <f>'дод. 3'!J91</f>
        <v>0</v>
      </c>
      <c r="K56" s="117">
        <f t="shared" si="2"/>
        <v>20.564801520845695</v>
      </c>
      <c r="L56" s="68">
        <f t="shared" si="13"/>
        <v>0</v>
      </c>
      <c r="M56" s="68">
        <f>'дод. 3'!M91</f>
        <v>0</v>
      </c>
      <c r="N56" s="68">
        <f>'дод. 3'!N91</f>
        <v>0</v>
      </c>
      <c r="O56" s="68">
        <f>'дод. 3'!O91</f>
        <v>0</v>
      </c>
      <c r="P56" s="68">
        <f>'дод. 3'!P91</f>
        <v>0</v>
      </c>
      <c r="Q56" s="68">
        <f t="shared" si="14"/>
        <v>0</v>
      </c>
      <c r="R56" s="68">
        <f>'дод. 3'!R91</f>
        <v>0</v>
      </c>
      <c r="S56" s="68">
        <f>'дод. 3'!S91</f>
        <v>0</v>
      </c>
      <c r="T56" s="68">
        <f>'дод. 3'!T91</f>
        <v>0</v>
      </c>
      <c r="U56" s="68">
        <f>'дод. 3'!U91</f>
        <v>0</v>
      </c>
      <c r="V56" s="117"/>
      <c r="W56" s="68">
        <f t="shared" si="15"/>
        <v>4678595.17</v>
      </c>
      <c r="X56" s="169"/>
    </row>
    <row r="57" spans="1:24" s="20" customFormat="1" ht="15">
      <c r="A57" s="23"/>
      <c r="B57" s="27" t="s">
        <v>122</v>
      </c>
      <c r="C57" s="27" t="s">
        <v>182</v>
      </c>
      <c r="D57" s="28" t="s">
        <v>123</v>
      </c>
      <c r="E57" s="68">
        <f>'дод. 3'!E92</f>
        <v>2174200</v>
      </c>
      <c r="F57" s="68">
        <f>'дод. 3'!F92</f>
        <v>0</v>
      </c>
      <c r="G57" s="68">
        <f>'дод. 3'!G92</f>
        <v>0</v>
      </c>
      <c r="H57" s="68">
        <f>'дод. 3'!H92</f>
        <v>224558.87</v>
      </c>
      <c r="I57" s="68">
        <f>'дод. 3'!I92</f>
        <v>0</v>
      </c>
      <c r="J57" s="68">
        <f>'дод. 3'!J92</f>
        <v>0</v>
      </c>
      <c r="K57" s="117">
        <f t="shared" si="2"/>
        <v>10.328344678502438</v>
      </c>
      <c r="L57" s="68">
        <f t="shared" si="13"/>
        <v>0</v>
      </c>
      <c r="M57" s="68">
        <f>'дод. 3'!M92</f>
        <v>0</v>
      </c>
      <c r="N57" s="68">
        <f>'дод. 3'!N92</f>
        <v>0</v>
      </c>
      <c r="O57" s="68">
        <f>'дод. 3'!O92</f>
        <v>0</v>
      </c>
      <c r="P57" s="68">
        <f>'дод. 3'!P92</f>
        <v>0</v>
      </c>
      <c r="Q57" s="68">
        <f t="shared" si="14"/>
        <v>0</v>
      </c>
      <c r="R57" s="68">
        <f>'дод. 3'!R92</f>
        <v>0</v>
      </c>
      <c r="S57" s="68">
        <f>'дод. 3'!S92</f>
        <v>0</v>
      </c>
      <c r="T57" s="68">
        <f>'дод. 3'!T92</f>
        <v>0</v>
      </c>
      <c r="U57" s="68">
        <f>'дод. 3'!U92</f>
        <v>0</v>
      </c>
      <c r="V57" s="117"/>
      <c r="W57" s="68">
        <f t="shared" si="15"/>
        <v>224558.87</v>
      </c>
      <c r="X57" s="169"/>
    </row>
    <row r="58" spans="1:24" s="20" customFormat="1" ht="15">
      <c r="A58" s="23"/>
      <c r="B58" s="27" t="s">
        <v>124</v>
      </c>
      <c r="C58" s="27" t="s">
        <v>182</v>
      </c>
      <c r="D58" s="28" t="s">
        <v>125</v>
      </c>
      <c r="E58" s="68">
        <f>'дод. 3'!E93</f>
        <v>312200</v>
      </c>
      <c r="F58" s="68">
        <f>'дод. 3'!F93</f>
        <v>0</v>
      </c>
      <c r="G58" s="68">
        <f>'дод. 3'!G93</f>
        <v>0</v>
      </c>
      <c r="H58" s="68">
        <f>'дод. 3'!H93</f>
        <v>47300</v>
      </c>
      <c r="I58" s="68">
        <f>'дод. 3'!I93</f>
        <v>0</v>
      </c>
      <c r="J58" s="68">
        <f>'дод. 3'!J93</f>
        <v>0</v>
      </c>
      <c r="K58" s="117">
        <f t="shared" si="2"/>
        <v>15.150544522741832</v>
      </c>
      <c r="L58" s="68">
        <f t="shared" si="13"/>
        <v>0</v>
      </c>
      <c r="M58" s="68">
        <f>'дод. 3'!M93</f>
        <v>0</v>
      </c>
      <c r="N58" s="68">
        <f>'дод. 3'!N93</f>
        <v>0</v>
      </c>
      <c r="O58" s="68">
        <f>'дод. 3'!O93</f>
        <v>0</v>
      </c>
      <c r="P58" s="68">
        <f>'дод. 3'!P93</f>
        <v>0</v>
      </c>
      <c r="Q58" s="68">
        <f t="shared" si="14"/>
        <v>0</v>
      </c>
      <c r="R58" s="68">
        <f>'дод. 3'!R93</f>
        <v>0</v>
      </c>
      <c r="S58" s="68">
        <f>'дод. 3'!S93</f>
        <v>0</v>
      </c>
      <c r="T58" s="68">
        <f>'дод. 3'!T93</f>
        <v>0</v>
      </c>
      <c r="U58" s="68">
        <f>'дод. 3'!U93</f>
        <v>0</v>
      </c>
      <c r="V58" s="117"/>
      <c r="W58" s="68">
        <f t="shared" si="15"/>
        <v>47300</v>
      </c>
      <c r="X58" s="169"/>
    </row>
    <row r="59" spans="1:24" s="20" customFormat="1" ht="30">
      <c r="A59" s="23"/>
      <c r="B59" s="27" t="s">
        <v>126</v>
      </c>
      <c r="C59" s="27" t="s">
        <v>182</v>
      </c>
      <c r="D59" s="28" t="s">
        <v>127</v>
      </c>
      <c r="E59" s="68">
        <f>'дод. 3'!E94</f>
        <v>41101000</v>
      </c>
      <c r="F59" s="68">
        <f>'дод. 3'!F94</f>
        <v>0</v>
      </c>
      <c r="G59" s="68">
        <f>'дод. 3'!G94</f>
        <v>0</v>
      </c>
      <c r="H59" s="68">
        <f>'дод. 3'!H94</f>
        <v>10125859.17</v>
      </c>
      <c r="I59" s="68">
        <f>'дод. 3'!I94</f>
        <v>0</v>
      </c>
      <c r="J59" s="68">
        <f>'дод. 3'!J94</f>
        <v>0</v>
      </c>
      <c r="K59" s="117">
        <f t="shared" si="2"/>
        <v>24.636527505413493</v>
      </c>
      <c r="L59" s="68">
        <f t="shared" si="13"/>
        <v>0</v>
      </c>
      <c r="M59" s="68">
        <f>'дод. 3'!M94</f>
        <v>0</v>
      </c>
      <c r="N59" s="68">
        <f>'дод. 3'!N94</f>
        <v>0</v>
      </c>
      <c r="O59" s="68">
        <f>'дод. 3'!O94</f>
        <v>0</v>
      </c>
      <c r="P59" s="68">
        <f>'дод. 3'!P94</f>
        <v>0</v>
      </c>
      <c r="Q59" s="68">
        <f t="shared" si="14"/>
        <v>0</v>
      </c>
      <c r="R59" s="68">
        <f>'дод. 3'!R94</f>
        <v>0</v>
      </c>
      <c r="S59" s="68">
        <f>'дод. 3'!S94</f>
        <v>0</v>
      </c>
      <c r="T59" s="68">
        <f>'дод. 3'!T94</f>
        <v>0</v>
      </c>
      <c r="U59" s="68">
        <f>'дод. 3'!U94</f>
        <v>0</v>
      </c>
      <c r="V59" s="117"/>
      <c r="W59" s="68">
        <f t="shared" si="15"/>
        <v>10125859.17</v>
      </c>
      <c r="X59" s="169"/>
    </row>
    <row r="60" spans="1:24" s="20" customFormat="1" ht="45">
      <c r="A60" s="23"/>
      <c r="B60" s="27" t="s">
        <v>128</v>
      </c>
      <c r="C60" s="27" t="s">
        <v>209</v>
      </c>
      <c r="D60" s="28" t="s">
        <v>129</v>
      </c>
      <c r="E60" s="68">
        <f>'дод. 3'!E95</f>
        <v>365245700</v>
      </c>
      <c r="F60" s="68">
        <f>'дод. 3'!F95</f>
        <v>0</v>
      </c>
      <c r="G60" s="68">
        <f>'дод. 3'!G95</f>
        <v>0</v>
      </c>
      <c r="H60" s="68">
        <f>'дод. 3'!H95</f>
        <v>118922386.18</v>
      </c>
      <c r="I60" s="68">
        <f>'дод. 3'!I95</f>
        <v>0</v>
      </c>
      <c r="J60" s="68">
        <f>'дод. 3'!J95</f>
        <v>0</v>
      </c>
      <c r="K60" s="117">
        <f t="shared" si="2"/>
        <v>32.55955817686561</v>
      </c>
      <c r="L60" s="68">
        <f t="shared" si="13"/>
        <v>0</v>
      </c>
      <c r="M60" s="68">
        <f>'дод. 3'!M95</f>
        <v>0</v>
      </c>
      <c r="N60" s="68">
        <f>'дод. 3'!N95</f>
        <v>0</v>
      </c>
      <c r="O60" s="68">
        <f>'дод. 3'!O95</f>
        <v>0</v>
      </c>
      <c r="P60" s="68">
        <f>'дод. 3'!P95</f>
        <v>0</v>
      </c>
      <c r="Q60" s="68">
        <f t="shared" si="14"/>
        <v>0</v>
      </c>
      <c r="R60" s="68">
        <f>'дод. 3'!R95</f>
        <v>0</v>
      </c>
      <c r="S60" s="68">
        <f>'дод. 3'!S95</f>
        <v>0</v>
      </c>
      <c r="T60" s="68">
        <f>'дод. 3'!T95</f>
        <v>0</v>
      </c>
      <c r="U60" s="68">
        <f>'дод. 3'!U95</f>
        <v>0</v>
      </c>
      <c r="V60" s="117"/>
      <c r="W60" s="68">
        <f t="shared" si="15"/>
        <v>118922386.18</v>
      </c>
      <c r="X60" s="169"/>
    </row>
    <row r="61" spans="1:24" s="20" customFormat="1" ht="60">
      <c r="A61" s="23"/>
      <c r="B61" s="27" t="s">
        <v>130</v>
      </c>
      <c r="C61" s="27" t="s">
        <v>209</v>
      </c>
      <c r="D61" s="28" t="s">
        <v>131</v>
      </c>
      <c r="E61" s="68">
        <f>'дод. 3'!E96</f>
        <v>82655</v>
      </c>
      <c r="F61" s="68">
        <f>'дод. 3'!F96</f>
        <v>0</v>
      </c>
      <c r="G61" s="68">
        <f>'дод. 3'!G96</f>
        <v>0</v>
      </c>
      <c r="H61" s="68">
        <f>'дод. 3'!H96</f>
        <v>37176.15</v>
      </c>
      <c r="I61" s="68">
        <f>'дод. 3'!I96</f>
        <v>0</v>
      </c>
      <c r="J61" s="68">
        <f>'дод. 3'!J96</f>
        <v>0</v>
      </c>
      <c r="K61" s="117">
        <f t="shared" si="2"/>
        <v>44.977496824148574</v>
      </c>
      <c r="L61" s="68">
        <f t="shared" si="13"/>
        <v>0</v>
      </c>
      <c r="M61" s="68">
        <f>'дод. 3'!M96</f>
        <v>0</v>
      </c>
      <c r="N61" s="68">
        <f>'дод. 3'!N96</f>
        <v>0</v>
      </c>
      <c r="O61" s="68">
        <f>'дод. 3'!O96</f>
        <v>0</v>
      </c>
      <c r="P61" s="68">
        <f>'дод. 3'!P96</f>
        <v>0</v>
      </c>
      <c r="Q61" s="68">
        <f t="shared" si="14"/>
        <v>0</v>
      </c>
      <c r="R61" s="68">
        <f>'дод. 3'!R96</f>
        <v>0</v>
      </c>
      <c r="S61" s="68">
        <f>'дод. 3'!S96</f>
        <v>0</v>
      </c>
      <c r="T61" s="68">
        <f>'дод. 3'!T96</f>
        <v>0</v>
      </c>
      <c r="U61" s="68">
        <f>'дод. 3'!U96</f>
        <v>0</v>
      </c>
      <c r="V61" s="117"/>
      <c r="W61" s="68">
        <f t="shared" si="15"/>
        <v>37176.15</v>
      </c>
      <c r="X61" s="169"/>
    </row>
    <row r="62" spans="1:24" s="20" customFormat="1" ht="30">
      <c r="A62" s="23"/>
      <c r="B62" s="27" t="s">
        <v>16</v>
      </c>
      <c r="C62" s="27" t="s">
        <v>181</v>
      </c>
      <c r="D62" s="28" t="s">
        <v>17</v>
      </c>
      <c r="E62" s="68">
        <f>'дод. 3'!E97+'дод. 3'!E16</f>
        <v>2603155</v>
      </c>
      <c r="F62" s="68">
        <f>'дод. 3'!F97+'дод. 3'!F16</f>
        <v>0</v>
      </c>
      <c r="G62" s="68">
        <f>'дод. 3'!G97+'дод. 3'!G16</f>
        <v>0</v>
      </c>
      <c r="H62" s="68">
        <f>'дод. 3'!H97+'дод. 3'!H16</f>
        <v>865030.46</v>
      </c>
      <c r="I62" s="68">
        <f>'дод. 3'!I97+'дод. 3'!I16</f>
        <v>0</v>
      </c>
      <c r="J62" s="68">
        <f>'дод. 3'!J97+'дод. 3'!J16</f>
        <v>0</v>
      </c>
      <c r="K62" s="117">
        <f t="shared" si="2"/>
        <v>33.23007888504526</v>
      </c>
      <c r="L62" s="68">
        <f t="shared" si="13"/>
        <v>0</v>
      </c>
      <c r="M62" s="68">
        <f>'дод. 3'!M97+'дод. 3'!M16</f>
        <v>0</v>
      </c>
      <c r="N62" s="68">
        <f>'дод. 3'!N97+'дод. 3'!N16</f>
        <v>0</v>
      </c>
      <c r="O62" s="68">
        <f>'дод. 3'!O97+'дод. 3'!O16</f>
        <v>0</v>
      </c>
      <c r="P62" s="68">
        <f>'дод. 3'!P97+'дод. 3'!P16</f>
        <v>0</v>
      </c>
      <c r="Q62" s="68">
        <f t="shared" si="14"/>
        <v>0</v>
      </c>
      <c r="R62" s="68">
        <f>'дод. 3'!R97+'дод. 3'!R16</f>
        <v>0</v>
      </c>
      <c r="S62" s="68">
        <f>'дод. 3'!S97+'дод. 3'!S16</f>
        <v>0</v>
      </c>
      <c r="T62" s="68">
        <f>'дод. 3'!T97+'дод. 3'!T16</f>
        <v>0</v>
      </c>
      <c r="U62" s="68">
        <f>'дод. 3'!U97+'дод. 3'!U16</f>
        <v>0</v>
      </c>
      <c r="V62" s="117"/>
      <c r="W62" s="68">
        <f t="shared" si="15"/>
        <v>865030.46</v>
      </c>
      <c r="X62" s="169"/>
    </row>
    <row r="63" spans="1:24" s="20" customFormat="1" ht="30">
      <c r="A63" s="23"/>
      <c r="B63" s="27" t="s">
        <v>132</v>
      </c>
      <c r="C63" s="27" t="s">
        <v>210</v>
      </c>
      <c r="D63" s="28" t="s">
        <v>133</v>
      </c>
      <c r="E63" s="68">
        <f>'дод. 3'!E98</f>
        <v>7229000</v>
      </c>
      <c r="F63" s="68">
        <f>'дод. 3'!F98</f>
        <v>0</v>
      </c>
      <c r="G63" s="68">
        <f>'дод. 3'!G98</f>
        <v>0</v>
      </c>
      <c r="H63" s="68">
        <f>'дод. 3'!H98</f>
        <v>2025491.75</v>
      </c>
      <c r="I63" s="68">
        <f>'дод. 3'!I98</f>
        <v>0</v>
      </c>
      <c r="J63" s="68">
        <f>'дод. 3'!J98</f>
        <v>0</v>
      </c>
      <c r="K63" s="117">
        <f t="shared" si="2"/>
        <v>28.018975653617375</v>
      </c>
      <c r="L63" s="68">
        <f aca="true" t="shared" si="16" ref="L63:L81">M63+P63</f>
        <v>0</v>
      </c>
      <c r="M63" s="68">
        <f>'дод. 3'!M98</f>
        <v>0</v>
      </c>
      <c r="N63" s="68">
        <f>'дод. 3'!N98</f>
        <v>0</v>
      </c>
      <c r="O63" s="68">
        <f>'дод. 3'!O98</f>
        <v>0</v>
      </c>
      <c r="P63" s="68">
        <f>'дод. 3'!P98</f>
        <v>0</v>
      </c>
      <c r="Q63" s="68">
        <f aca="true" t="shared" si="17" ref="Q63:Q81">R63+U63</f>
        <v>0</v>
      </c>
      <c r="R63" s="68">
        <f>'дод. 3'!R98</f>
        <v>0</v>
      </c>
      <c r="S63" s="68">
        <f>'дод. 3'!S98</f>
        <v>0</v>
      </c>
      <c r="T63" s="68">
        <f>'дод. 3'!T98</f>
        <v>0</v>
      </c>
      <c r="U63" s="68">
        <f>'дод. 3'!U98</f>
        <v>0</v>
      </c>
      <c r="V63" s="117"/>
      <c r="W63" s="68">
        <f t="shared" si="15"/>
        <v>2025491.75</v>
      </c>
      <c r="X63" s="169"/>
    </row>
    <row r="64" spans="1:24" s="20" customFormat="1" ht="30">
      <c r="A64" s="23"/>
      <c r="B64" s="27" t="s">
        <v>134</v>
      </c>
      <c r="C64" s="27" t="s">
        <v>207</v>
      </c>
      <c r="D64" s="28" t="s">
        <v>135</v>
      </c>
      <c r="E64" s="68">
        <f>'дод. 3'!E99</f>
        <v>991405</v>
      </c>
      <c r="F64" s="68">
        <f>'дод. 3'!F99</f>
        <v>0</v>
      </c>
      <c r="G64" s="68">
        <f>'дод. 3'!G99</f>
        <v>0</v>
      </c>
      <c r="H64" s="68">
        <f>'дод. 3'!H99</f>
        <v>130226.93</v>
      </c>
      <c r="I64" s="68">
        <f>'дод. 3'!I99</f>
        <v>0</v>
      </c>
      <c r="J64" s="68">
        <f>'дод. 3'!J99</f>
        <v>0</v>
      </c>
      <c r="K64" s="117">
        <f t="shared" si="2"/>
        <v>13.135593425492104</v>
      </c>
      <c r="L64" s="68">
        <f t="shared" si="16"/>
        <v>0</v>
      </c>
      <c r="M64" s="68">
        <f>'дод. 3'!M99</f>
        <v>0</v>
      </c>
      <c r="N64" s="68">
        <f>'дод. 3'!N99</f>
        <v>0</v>
      </c>
      <c r="O64" s="68">
        <f>'дод. 3'!O99</f>
        <v>0</v>
      </c>
      <c r="P64" s="68">
        <f>'дод. 3'!P99</f>
        <v>0</v>
      </c>
      <c r="Q64" s="68">
        <f t="shared" si="17"/>
        <v>0</v>
      </c>
      <c r="R64" s="68">
        <f>'дод. 3'!R99</f>
        <v>0</v>
      </c>
      <c r="S64" s="68">
        <f>'дод. 3'!S99</f>
        <v>0</v>
      </c>
      <c r="T64" s="68">
        <f>'дод. 3'!T99</f>
        <v>0</v>
      </c>
      <c r="U64" s="68">
        <f>'дод. 3'!U99</f>
        <v>0</v>
      </c>
      <c r="V64" s="117"/>
      <c r="W64" s="68">
        <f t="shared" si="15"/>
        <v>130226.93</v>
      </c>
      <c r="X64" s="169"/>
    </row>
    <row r="65" spans="1:24" s="20" customFormat="1" ht="30">
      <c r="A65" s="23"/>
      <c r="B65" s="27" t="s">
        <v>244</v>
      </c>
      <c r="C65" s="27" t="s">
        <v>246</v>
      </c>
      <c r="D65" s="28" t="s">
        <v>245</v>
      </c>
      <c r="E65" s="68">
        <f>'дод. 3'!E100</f>
        <v>181400</v>
      </c>
      <c r="F65" s="68">
        <f>'дод. 3'!F100</f>
        <v>0</v>
      </c>
      <c r="G65" s="68">
        <f>'дод. 3'!G100</f>
        <v>0</v>
      </c>
      <c r="H65" s="68">
        <f>'дод. 3'!H100</f>
        <v>32359.39</v>
      </c>
      <c r="I65" s="68">
        <f>'дод. 3'!I100</f>
        <v>0</v>
      </c>
      <c r="J65" s="68">
        <f>'дод. 3'!J100</f>
        <v>0</v>
      </c>
      <c r="K65" s="117">
        <f t="shared" si="2"/>
        <v>17.838693495038587</v>
      </c>
      <c r="L65" s="68">
        <f t="shared" si="16"/>
        <v>0</v>
      </c>
      <c r="M65" s="68">
        <f>'дод. 3'!M100</f>
        <v>0</v>
      </c>
      <c r="N65" s="68">
        <f>'дод. 3'!N100</f>
        <v>0</v>
      </c>
      <c r="O65" s="68">
        <f>'дод. 3'!O100</f>
        <v>0</v>
      </c>
      <c r="P65" s="68">
        <f>'дод. 3'!P100</f>
        <v>0</v>
      </c>
      <c r="Q65" s="68">
        <f t="shared" si="17"/>
        <v>0</v>
      </c>
      <c r="R65" s="68">
        <f>'дод. 3'!R100</f>
        <v>0</v>
      </c>
      <c r="S65" s="68">
        <f>'дод. 3'!S100</f>
        <v>0</v>
      </c>
      <c r="T65" s="68">
        <f>'дод. 3'!T100</f>
        <v>0</v>
      </c>
      <c r="U65" s="68">
        <f>'дод. 3'!U100</f>
        <v>0</v>
      </c>
      <c r="V65" s="117"/>
      <c r="W65" s="68">
        <f t="shared" si="15"/>
        <v>32359.39</v>
      </c>
      <c r="X65" s="169"/>
    </row>
    <row r="66" spans="1:24" s="20" customFormat="1" ht="30">
      <c r="A66" s="23"/>
      <c r="B66" s="27" t="s">
        <v>302</v>
      </c>
      <c r="C66" s="27" t="s">
        <v>303</v>
      </c>
      <c r="D66" s="28" t="s">
        <v>304</v>
      </c>
      <c r="E66" s="68">
        <f>'дод. 3'!E101</f>
        <v>143598</v>
      </c>
      <c r="F66" s="68">
        <f>'дод. 3'!F101</f>
        <v>117703</v>
      </c>
      <c r="G66" s="68">
        <f>'дод. 3'!G101</f>
        <v>0</v>
      </c>
      <c r="H66" s="68">
        <f>'дод. 3'!H101</f>
        <v>82567.07</v>
      </c>
      <c r="I66" s="68">
        <f>'дод. 3'!I101</f>
        <v>67593.4</v>
      </c>
      <c r="J66" s="68">
        <f>'дод. 3'!J101</f>
        <v>0</v>
      </c>
      <c r="K66" s="117">
        <f t="shared" si="2"/>
        <v>57.49876042841823</v>
      </c>
      <c r="L66" s="68">
        <f t="shared" si="16"/>
        <v>0</v>
      </c>
      <c r="M66" s="68">
        <f>'дод. 3'!M101</f>
        <v>0</v>
      </c>
      <c r="N66" s="68">
        <f>'дод. 3'!N101</f>
        <v>0</v>
      </c>
      <c r="O66" s="68">
        <f>'дод. 3'!O101</f>
        <v>0</v>
      </c>
      <c r="P66" s="68">
        <f>'дод. 3'!P101</f>
        <v>0</v>
      </c>
      <c r="Q66" s="68">
        <f t="shared" si="17"/>
        <v>0</v>
      </c>
      <c r="R66" s="68">
        <f>'дод. 3'!R101</f>
        <v>0</v>
      </c>
      <c r="S66" s="68">
        <f>'дод. 3'!S101</f>
        <v>0</v>
      </c>
      <c r="T66" s="68">
        <f>'дод. 3'!T101</f>
        <v>0</v>
      </c>
      <c r="U66" s="68">
        <f>'дод. 3'!U101</f>
        <v>0</v>
      </c>
      <c r="V66" s="117"/>
      <c r="W66" s="68">
        <f t="shared" si="15"/>
        <v>82567.07</v>
      </c>
      <c r="X66" s="169"/>
    </row>
    <row r="67" spans="1:24" s="20" customFormat="1" ht="15">
      <c r="A67" s="23"/>
      <c r="B67" s="27" t="s">
        <v>150</v>
      </c>
      <c r="C67" s="27" t="s">
        <v>182</v>
      </c>
      <c r="D67" s="28" t="s">
        <v>151</v>
      </c>
      <c r="E67" s="68">
        <f>'дод. 3'!E114</f>
        <v>50000</v>
      </c>
      <c r="F67" s="68">
        <f>'дод. 3'!F114</f>
        <v>0</v>
      </c>
      <c r="G67" s="68">
        <f>'дод. 3'!G114</f>
        <v>0</v>
      </c>
      <c r="H67" s="68">
        <f>'дод. 3'!H114</f>
        <v>0</v>
      </c>
      <c r="I67" s="68">
        <f>'дод. 3'!I114</f>
        <v>0</v>
      </c>
      <c r="J67" s="68">
        <f>'дод. 3'!J114</f>
        <v>0</v>
      </c>
      <c r="K67" s="117">
        <f t="shared" si="2"/>
        <v>0</v>
      </c>
      <c r="L67" s="68">
        <f t="shared" si="16"/>
        <v>0</v>
      </c>
      <c r="M67" s="68">
        <f>'дод. 3'!M114</f>
        <v>0</v>
      </c>
      <c r="N67" s="68">
        <f>'дод. 3'!N114</f>
        <v>0</v>
      </c>
      <c r="O67" s="68">
        <f>'дод. 3'!O114</f>
        <v>0</v>
      </c>
      <c r="P67" s="68">
        <f>'дод. 3'!P114</f>
        <v>0</v>
      </c>
      <c r="Q67" s="68">
        <f t="shared" si="17"/>
        <v>0</v>
      </c>
      <c r="R67" s="68">
        <f>'дод. 3'!R114</f>
        <v>0</v>
      </c>
      <c r="S67" s="68">
        <f>'дод. 3'!S114</f>
        <v>0</v>
      </c>
      <c r="T67" s="68">
        <f>'дод. 3'!T114</f>
        <v>0</v>
      </c>
      <c r="U67" s="68">
        <f>'дод. 3'!U114</f>
        <v>0</v>
      </c>
      <c r="V67" s="117"/>
      <c r="W67" s="68">
        <f t="shared" si="15"/>
        <v>0</v>
      </c>
      <c r="X67" s="169"/>
    </row>
    <row r="68" spans="1:24" s="20" customFormat="1" ht="30">
      <c r="A68" s="23"/>
      <c r="B68" s="27" t="s">
        <v>18</v>
      </c>
      <c r="C68" s="27" t="s">
        <v>182</v>
      </c>
      <c r="D68" s="28" t="s">
        <v>19</v>
      </c>
      <c r="E68" s="68">
        <f>'дод. 3'!E17</f>
        <v>687000</v>
      </c>
      <c r="F68" s="68">
        <f>'дод. 3'!F17</f>
        <v>492950</v>
      </c>
      <c r="G68" s="68">
        <f>'дод. 3'!G17</f>
        <v>55897</v>
      </c>
      <c r="H68" s="68">
        <f>'дод. 3'!H17</f>
        <v>157427.76</v>
      </c>
      <c r="I68" s="68">
        <f>'дод. 3'!I17</f>
        <v>111029.79</v>
      </c>
      <c r="J68" s="68">
        <f>'дод. 3'!J17</f>
        <v>20943.18</v>
      </c>
      <c r="K68" s="117">
        <f t="shared" si="2"/>
        <v>22.915248908296945</v>
      </c>
      <c r="L68" s="68">
        <f t="shared" si="16"/>
        <v>0</v>
      </c>
      <c r="M68" s="68">
        <f>'дод. 3'!M17</f>
        <v>0</v>
      </c>
      <c r="N68" s="68">
        <f>'дод. 3'!N17</f>
        <v>0</v>
      </c>
      <c r="O68" s="68">
        <f>'дод. 3'!O17</f>
        <v>0</v>
      </c>
      <c r="P68" s="68">
        <f>'дод. 3'!P17</f>
        <v>0</v>
      </c>
      <c r="Q68" s="68">
        <f t="shared" si="17"/>
        <v>0</v>
      </c>
      <c r="R68" s="68">
        <f>'дод. 3'!R17</f>
        <v>0</v>
      </c>
      <c r="S68" s="68">
        <f>'дод. 3'!S17</f>
        <v>0</v>
      </c>
      <c r="T68" s="68">
        <f>'дод. 3'!T17</f>
        <v>0</v>
      </c>
      <c r="U68" s="68">
        <f>'дод. 3'!U17</f>
        <v>0</v>
      </c>
      <c r="V68" s="117"/>
      <c r="W68" s="68">
        <f t="shared" si="15"/>
        <v>157427.76</v>
      </c>
      <c r="X68" s="169"/>
    </row>
    <row r="69" spans="1:24" s="20" customFormat="1" ht="30">
      <c r="A69" s="23"/>
      <c r="B69" s="27" t="s">
        <v>20</v>
      </c>
      <c r="C69" s="27" t="s">
        <v>182</v>
      </c>
      <c r="D69" s="28" t="s">
        <v>21</v>
      </c>
      <c r="E69" s="68">
        <f>'дод. 3'!E18</f>
        <v>40000</v>
      </c>
      <c r="F69" s="68">
        <f>'дод. 3'!F18</f>
        <v>0</v>
      </c>
      <c r="G69" s="68">
        <f>'дод. 3'!G18</f>
        <v>0</v>
      </c>
      <c r="H69" s="68">
        <f>'дод. 3'!H18</f>
        <v>1500</v>
      </c>
      <c r="I69" s="68">
        <f>'дод. 3'!I18</f>
        <v>0</v>
      </c>
      <c r="J69" s="68">
        <f>'дод. 3'!J18</f>
        <v>0</v>
      </c>
      <c r="K69" s="117">
        <f t="shared" si="2"/>
        <v>3.75</v>
      </c>
      <c r="L69" s="68">
        <f t="shared" si="16"/>
        <v>0</v>
      </c>
      <c r="M69" s="68">
        <f>'дод. 3'!M18</f>
        <v>0</v>
      </c>
      <c r="N69" s="68">
        <f>'дод. 3'!N18</f>
        <v>0</v>
      </c>
      <c r="O69" s="68">
        <f>'дод. 3'!O18</f>
        <v>0</v>
      </c>
      <c r="P69" s="68">
        <f>'дод. 3'!P18</f>
        <v>0</v>
      </c>
      <c r="Q69" s="68">
        <f t="shared" si="17"/>
        <v>0</v>
      </c>
      <c r="R69" s="68">
        <f>'дод. 3'!R18</f>
        <v>0</v>
      </c>
      <c r="S69" s="68">
        <f>'дод. 3'!S18</f>
        <v>0</v>
      </c>
      <c r="T69" s="68">
        <f>'дод. 3'!T18</f>
        <v>0</v>
      </c>
      <c r="U69" s="68">
        <f>'дод. 3'!U18</f>
        <v>0</v>
      </c>
      <c r="V69" s="117"/>
      <c r="W69" s="68">
        <f t="shared" si="15"/>
        <v>1500</v>
      </c>
      <c r="X69" s="169"/>
    </row>
    <row r="70" spans="1:24" s="20" customFormat="1" ht="30">
      <c r="A70" s="23"/>
      <c r="B70" s="27" t="s">
        <v>22</v>
      </c>
      <c r="C70" s="27" t="s">
        <v>182</v>
      </c>
      <c r="D70" s="28" t="s">
        <v>23</v>
      </c>
      <c r="E70" s="68">
        <f>'дод. 3'!E19</f>
        <v>605000</v>
      </c>
      <c r="F70" s="68">
        <f>'дод. 3'!F19</f>
        <v>0</v>
      </c>
      <c r="G70" s="68">
        <f>'дод. 3'!G19</f>
        <v>0</v>
      </c>
      <c r="H70" s="68">
        <f>'дод. 3'!H19</f>
        <v>16922.86</v>
      </c>
      <c r="I70" s="68">
        <f>'дод. 3'!I19</f>
        <v>0</v>
      </c>
      <c r="J70" s="68">
        <f>'дод. 3'!J19</f>
        <v>0</v>
      </c>
      <c r="K70" s="117">
        <f t="shared" si="2"/>
        <v>2.79716694214876</v>
      </c>
      <c r="L70" s="68">
        <f t="shared" si="16"/>
        <v>0</v>
      </c>
      <c r="M70" s="68">
        <f>'дод. 3'!M19</f>
        <v>0</v>
      </c>
      <c r="N70" s="68">
        <f>'дод. 3'!N19</f>
        <v>0</v>
      </c>
      <c r="O70" s="68">
        <f>'дод. 3'!O19</f>
        <v>0</v>
      </c>
      <c r="P70" s="68">
        <f>'дод. 3'!P19</f>
        <v>0</v>
      </c>
      <c r="Q70" s="68">
        <f t="shared" si="17"/>
        <v>0</v>
      </c>
      <c r="R70" s="68">
        <f>'дод. 3'!R19</f>
        <v>0</v>
      </c>
      <c r="S70" s="68">
        <f>'дод. 3'!S19</f>
        <v>0</v>
      </c>
      <c r="T70" s="68">
        <f>'дод. 3'!T19</f>
        <v>0</v>
      </c>
      <c r="U70" s="68">
        <f>'дод. 3'!U19</f>
        <v>0</v>
      </c>
      <c r="V70" s="117"/>
      <c r="W70" s="68">
        <f t="shared" si="15"/>
        <v>16922.86</v>
      </c>
      <c r="X70" s="169"/>
    </row>
    <row r="71" spans="1:24" s="20" customFormat="1" ht="15">
      <c r="A71" s="23"/>
      <c r="B71" s="27" t="s">
        <v>24</v>
      </c>
      <c r="C71" s="27" t="s">
        <v>182</v>
      </c>
      <c r="D71" s="28" t="s">
        <v>25</v>
      </c>
      <c r="E71" s="68">
        <f>'дод. 3'!E20</f>
        <v>509900</v>
      </c>
      <c r="F71" s="68">
        <f>'дод. 3'!F20</f>
        <v>337300</v>
      </c>
      <c r="G71" s="68">
        <f>'дод. 3'!G20</f>
        <v>72433</v>
      </c>
      <c r="H71" s="68">
        <f>'дод. 3'!H20</f>
        <v>128529.3</v>
      </c>
      <c r="I71" s="68">
        <f>'дод. 3'!I20</f>
        <v>76303.91</v>
      </c>
      <c r="J71" s="68">
        <f>'дод. 3'!J20</f>
        <v>30500.75</v>
      </c>
      <c r="K71" s="117">
        <f t="shared" si="2"/>
        <v>25.206766032555407</v>
      </c>
      <c r="L71" s="68">
        <f t="shared" si="16"/>
        <v>9645</v>
      </c>
      <c r="M71" s="68">
        <f>'дод. 3'!M20</f>
        <v>0</v>
      </c>
      <c r="N71" s="68">
        <f>'дод. 3'!N20</f>
        <v>0</v>
      </c>
      <c r="O71" s="68">
        <f>'дод. 3'!O20</f>
        <v>0</v>
      </c>
      <c r="P71" s="68">
        <f>'дод. 3'!P20</f>
        <v>9645</v>
      </c>
      <c r="Q71" s="68">
        <f t="shared" si="17"/>
        <v>1665</v>
      </c>
      <c r="R71" s="68">
        <f>'дод. 3'!R20</f>
        <v>1665</v>
      </c>
      <c r="S71" s="68">
        <f>'дод. 3'!S20</f>
        <v>0</v>
      </c>
      <c r="T71" s="68">
        <f>'дод. 3'!T20</f>
        <v>0</v>
      </c>
      <c r="U71" s="68">
        <f>'дод. 3'!U20</f>
        <v>0</v>
      </c>
      <c r="V71" s="117">
        <f>Q71/L71*100</f>
        <v>17.262830482115085</v>
      </c>
      <c r="W71" s="68">
        <f t="shared" si="15"/>
        <v>130194.3</v>
      </c>
      <c r="X71" s="169"/>
    </row>
    <row r="72" spans="1:24" s="20" customFormat="1" ht="75">
      <c r="A72" s="23"/>
      <c r="B72" s="27" t="s">
        <v>26</v>
      </c>
      <c r="C72" s="27" t="s">
        <v>182</v>
      </c>
      <c r="D72" s="29" t="s">
        <v>27</v>
      </c>
      <c r="E72" s="68">
        <f>'дод. 3'!E21+'дод. 3'!E58</f>
        <v>2189000</v>
      </c>
      <c r="F72" s="68">
        <f>'дод. 3'!F21+'дод. 3'!F58</f>
        <v>0</v>
      </c>
      <c r="G72" s="68">
        <f>'дод. 3'!G21+'дод. 3'!G58</f>
        <v>0</v>
      </c>
      <c r="H72" s="68">
        <f>'дод. 3'!H21+'дод. 3'!H58</f>
        <v>0</v>
      </c>
      <c r="I72" s="68">
        <f>'дод. 3'!I21+'дод. 3'!I58</f>
        <v>0</v>
      </c>
      <c r="J72" s="68">
        <f>'дод. 3'!J21+'дод. 3'!J58</f>
        <v>0</v>
      </c>
      <c r="K72" s="117">
        <f t="shared" si="2"/>
        <v>0</v>
      </c>
      <c r="L72" s="68">
        <f t="shared" si="16"/>
        <v>0</v>
      </c>
      <c r="M72" s="68">
        <f>'дод. 3'!M21+'дод. 3'!M58</f>
        <v>0</v>
      </c>
      <c r="N72" s="68">
        <f>'дод. 3'!N21+'дод. 3'!N58</f>
        <v>0</v>
      </c>
      <c r="O72" s="68">
        <f>'дод. 3'!O21+'дод. 3'!O58</f>
        <v>0</v>
      </c>
      <c r="P72" s="68">
        <f>'дод. 3'!P21+'дод. 3'!P58</f>
        <v>0</v>
      </c>
      <c r="Q72" s="68">
        <f t="shared" si="17"/>
        <v>0</v>
      </c>
      <c r="R72" s="68">
        <f>'дод. 3'!R21+'дод. 3'!R58</f>
        <v>0</v>
      </c>
      <c r="S72" s="68">
        <f>'дод. 3'!S21+'дод. 3'!S58</f>
        <v>0</v>
      </c>
      <c r="T72" s="68">
        <f>'дод. 3'!T21+'дод. 3'!T58</f>
        <v>0</v>
      </c>
      <c r="U72" s="68">
        <f>'дод. 3'!U21+'дод. 3'!U58</f>
        <v>0</v>
      </c>
      <c r="V72" s="117"/>
      <c r="W72" s="68">
        <f t="shared" si="15"/>
        <v>0</v>
      </c>
      <c r="X72" s="169"/>
    </row>
    <row r="73" spans="1:24" s="20" customFormat="1" ht="45">
      <c r="A73" s="23"/>
      <c r="B73" s="27" t="s">
        <v>136</v>
      </c>
      <c r="C73" s="27" t="s">
        <v>211</v>
      </c>
      <c r="D73" s="28" t="s">
        <v>137</v>
      </c>
      <c r="E73" s="68">
        <f>'дод. 3'!E102</f>
        <v>5505100</v>
      </c>
      <c r="F73" s="68">
        <f>'дод. 3'!F102</f>
        <v>4076600</v>
      </c>
      <c r="G73" s="68">
        <f>'дод. 3'!G102</f>
        <v>156566</v>
      </c>
      <c r="H73" s="68">
        <f>'дод. 3'!H102</f>
        <v>1225452.62</v>
      </c>
      <c r="I73" s="68">
        <f>'дод. 3'!I102</f>
        <v>891356.6</v>
      </c>
      <c r="J73" s="68">
        <f>'дод. 3'!J102</f>
        <v>65337.68</v>
      </c>
      <c r="K73" s="117">
        <f t="shared" si="2"/>
        <v>22.260315343953792</v>
      </c>
      <c r="L73" s="68">
        <f t="shared" si="16"/>
        <v>324800</v>
      </c>
      <c r="M73" s="68">
        <f>'дод. 3'!M102</f>
        <v>27800</v>
      </c>
      <c r="N73" s="68">
        <f>'дод. 3'!N102</f>
        <v>18822</v>
      </c>
      <c r="O73" s="68">
        <f>'дод. 3'!O102</f>
        <v>0</v>
      </c>
      <c r="P73" s="68">
        <f>'дод. 3'!P102</f>
        <v>297000</v>
      </c>
      <c r="Q73" s="68">
        <f t="shared" si="17"/>
        <v>12387.58</v>
      </c>
      <c r="R73" s="68">
        <f>'дод. 3'!R102</f>
        <v>12387.58</v>
      </c>
      <c r="S73" s="68">
        <f>'дод. 3'!S102</f>
        <v>6571.32</v>
      </c>
      <c r="T73" s="68">
        <f>'дод. 3'!T102</f>
        <v>0</v>
      </c>
      <c r="U73" s="68">
        <f>'дод. 3'!U102</f>
        <v>0</v>
      </c>
      <c r="V73" s="117">
        <f>Q73/L73*100</f>
        <v>3.8139100985221677</v>
      </c>
      <c r="W73" s="68">
        <f t="shared" si="15"/>
        <v>1237840.2000000002</v>
      </c>
      <c r="X73" s="169"/>
    </row>
    <row r="74" spans="1:24" s="20" customFormat="1" ht="90">
      <c r="A74" s="23"/>
      <c r="B74" s="27" t="s">
        <v>138</v>
      </c>
      <c r="C74" s="27" t="s">
        <v>210</v>
      </c>
      <c r="D74" s="28" t="s">
        <v>139</v>
      </c>
      <c r="E74" s="68">
        <f>'дод. 3'!E103</f>
        <v>1397200</v>
      </c>
      <c r="F74" s="68">
        <f>'дод. 3'!F103</f>
        <v>0</v>
      </c>
      <c r="G74" s="68">
        <f>'дод. 3'!G103</f>
        <v>0</v>
      </c>
      <c r="H74" s="68">
        <f>'дод. 3'!H103</f>
        <v>206736.84</v>
      </c>
      <c r="I74" s="68">
        <f>'дод. 3'!I103</f>
        <v>0</v>
      </c>
      <c r="J74" s="68">
        <f>'дод. 3'!J103</f>
        <v>0</v>
      </c>
      <c r="K74" s="117">
        <f t="shared" si="2"/>
        <v>14.79651016318351</v>
      </c>
      <c r="L74" s="68">
        <f t="shared" si="16"/>
        <v>0</v>
      </c>
      <c r="M74" s="68">
        <f>'дод. 3'!M103</f>
        <v>0</v>
      </c>
      <c r="N74" s="68">
        <f>'дод. 3'!N103</f>
        <v>0</v>
      </c>
      <c r="O74" s="68">
        <f>'дод. 3'!O103</f>
        <v>0</v>
      </c>
      <c r="P74" s="68">
        <f>'дод. 3'!P103</f>
        <v>0</v>
      </c>
      <c r="Q74" s="68">
        <f t="shared" si="17"/>
        <v>0</v>
      </c>
      <c r="R74" s="68">
        <f>'дод. 3'!R103</f>
        <v>0</v>
      </c>
      <c r="S74" s="68">
        <f>'дод. 3'!S103</f>
        <v>0</v>
      </c>
      <c r="T74" s="68">
        <f>'дод. 3'!T103</f>
        <v>0</v>
      </c>
      <c r="U74" s="68">
        <f>'дод. 3'!U103</f>
        <v>0</v>
      </c>
      <c r="V74" s="117"/>
      <c r="W74" s="68">
        <f t="shared" si="15"/>
        <v>206736.84</v>
      </c>
      <c r="X74" s="169"/>
    </row>
    <row r="75" spans="1:24" s="20" customFormat="1" ht="90">
      <c r="A75" s="23"/>
      <c r="B75" s="27" t="s">
        <v>140</v>
      </c>
      <c r="C75" s="27" t="s">
        <v>209</v>
      </c>
      <c r="D75" s="28" t="s">
        <v>141</v>
      </c>
      <c r="E75" s="68">
        <f>'дод. 3'!E104</f>
        <v>2482439</v>
      </c>
      <c r="F75" s="68">
        <f>'дод. 3'!F104</f>
        <v>0</v>
      </c>
      <c r="G75" s="68">
        <f>'дод. 3'!G104</f>
        <v>0</v>
      </c>
      <c r="H75" s="68">
        <f>'дод. 3'!H104</f>
        <v>8176.51</v>
      </c>
      <c r="I75" s="68">
        <f>'дод. 3'!I104</f>
        <v>0</v>
      </c>
      <c r="J75" s="68">
        <f>'дод. 3'!J104</f>
        <v>0</v>
      </c>
      <c r="K75" s="117">
        <f t="shared" si="2"/>
        <v>0.3293740551127339</v>
      </c>
      <c r="L75" s="68">
        <f t="shared" si="16"/>
        <v>0</v>
      </c>
      <c r="M75" s="68">
        <f>'дод. 3'!M104</f>
        <v>0</v>
      </c>
      <c r="N75" s="68">
        <f>'дод. 3'!N104</f>
        <v>0</v>
      </c>
      <c r="O75" s="68">
        <f>'дод. 3'!O104</f>
        <v>0</v>
      </c>
      <c r="P75" s="68">
        <f>'дод. 3'!P104</f>
        <v>0</v>
      </c>
      <c r="Q75" s="68">
        <f t="shared" si="17"/>
        <v>0</v>
      </c>
      <c r="R75" s="68">
        <f>'дод. 3'!R104</f>
        <v>0</v>
      </c>
      <c r="S75" s="68">
        <f>'дод. 3'!S104</f>
        <v>0</v>
      </c>
      <c r="T75" s="68">
        <f>'дод. 3'!T104</f>
        <v>0</v>
      </c>
      <c r="U75" s="68">
        <f>'дод. 3'!U104</f>
        <v>0</v>
      </c>
      <c r="V75" s="117"/>
      <c r="W75" s="68">
        <f t="shared" si="15"/>
        <v>8176.51</v>
      </c>
      <c r="X75" s="169"/>
    </row>
    <row r="76" spans="1:24" s="20" customFormat="1" ht="30">
      <c r="A76" s="23"/>
      <c r="B76" s="27" t="s">
        <v>142</v>
      </c>
      <c r="C76" s="27" t="s">
        <v>207</v>
      </c>
      <c r="D76" s="28" t="s">
        <v>143</v>
      </c>
      <c r="E76" s="68">
        <f>'дод. 3'!E105</f>
        <v>798900</v>
      </c>
      <c r="F76" s="68">
        <f>'дод. 3'!F105</f>
        <v>0</v>
      </c>
      <c r="G76" s="68">
        <f>'дод. 3'!G105</f>
        <v>0</v>
      </c>
      <c r="H76" s="68">
        <f>'дод. 3'!H105</f>
        <v>123013.35</v>
      </c>
      <c r="I76" s="68">
        <f>'дод. 3'!I105</f>
        <v>0</v>
      </c>
      <c r="J76" s="68">
        <f>'дод. 3'!J105</f>
        <v>0</v>
      </c>
      <c r="K76" s="117">
        <f t="shared" si="2"/>
        <v>15.397840781073976</v>
      </c>
      <c r="L76" s="68">
        <f t="shared" si="16"/>
        <v>0</v>
      </c>
      <c r="M76" s="68">
        <f>'дод. 3'!M105</f>
        <v>0</v>
      </c>
      <c r="N76" s="68">
        <f>'дод. 3'!N105</f>
        <v>0</v>
      </c>
      <c r="O76" s="68">
        <f>'дод. 3'!O105</f>
        <v>0</v>
      </c>
      <c r="P76" s="68">
        <f>'дод. 3'!P105</f>
        <v>0</v>
      </c>
      <c r="Q76" s="68">
        <f t="shared" si="17"/>
        <v>0</v>
      </c>
      <c r="R76" s="68">
        <f>'дод. 3'!R105</f>
        <v>0</v>
      </c>
      <c r="S76" s="68">
        <f>'дод. 3'!S105</f>
        <v>0</v>
      </c>
      <c r="T76" s="68">
        <f>'дод. 3'!T105</f>
        <v>0</v>
      </c>
      <c r="U76" s="68">
        <f>'дод. 3'!U105</f>
        <v>0</v>
      </c>
      <c r="V76" s="117"/>
      <c r="W76" s="68">
        <f t="shared" si="15"/>
        <v>123013.35</v>
      </c>
      <c r="X76" s="169"/>
    </row>
    <row r="77" spans="1:24" s="20" customFormat="1" ht="30">
      <c r="A77" s="23"/>
      <c r="B77" s="27" t="s">
        <v>247</v>
      </c>
      <c r="C77" s="27" t="s">
        <v>181</v>
      </c>
      <c r="D77" s="28" t="s">
        <v>248</v>
      </c>
      <c r="E77" s="68">
        <f>'дод. 3'!E106</f>
        <v>111717</v>
      </c>
      <c r="F77" s="68">
        <f>'дод. 3'!F106</f>
        <v>0</v>
      </c>
      <c r="G77" s="68">
        <f>'дод. 3'!G106</f>
        <v>0</v>
      </c>
      <c r="H77" s="68">
        <f>'дод. 3'!H106</f>
        <v>53580</v>
      </c>
      <c r="I77" s="68">
        <f>'дод. 3'!I106</f>
        <v>0</v>
      </c>
      <c r="J77" s="68">
        <f>'дод. 3'!J106</f>
        <v>0</v>
      </c>
      <c r="K77" s="117">
        <f t="shared" si="2"/>
        <v>47.96047154864524</v>
      </c>
      <c r="L77" s="68">
        <f t="shared" si="16"/>
        <v>0</v>
      </c>
      <c r="M77" s="68">
        <f>'дод. 3'!M106</f>
        <v>0</v>
      </c>
      <c r="N77" s="68">
        <f>'дод. 3'!N106</f>
        <v>0</v>
      </c>
      <c r="O77" s="68">
        <f>'дод. 3'!O106</f>
        <v>0</v>
      </c>
      <c r="P77" s="68">
        <f>'дод. 3'!P106</f>
        <v>0</v>
      </c>
      <c r="Q77" s="68">
        <f t="shared" si="17"/>
        <v>0</v>
      </c>
      <c r="R77" s="68">
        <f>'дод. 3'!R106</f>
        <v>0</v>
      </c>
      <c r="S77" s="68">
        <f>'дод. 3'!S106</f>
        <v>0</v>
      </c>
      <c r="T77" s="68">
        <f>'дод. 3'!T106</f>
        <v>0</v>
      </c>
      <c r="U77" s="68">
        <f>'дод. 3'!U106</f>
        <v>0</v>
      </c>
      <c r="V77" s="117"/>
      <c r="W77" s="68">
        <f t="shared" si="15"/>
        <v>53580</v>
      </c>
      <c r="X77" s="169"/>
    </row>
    <row r="78" spans="1:24" s="20" customFormat="1" ht="15">
      <c r="A78" s="23"/>
      <c r="B78" s="27" t="s">
        <v>144</v>
      </c>
      <c r="C78" s="27" t="s">
        <v>181</v>
      </c>
      <c r="D78" s="28" t="s">
        <v>145</v>
      </c>
      <c r="E78" s="68">
        <f>'дод. 3'!E107</f>
        <v>1215000</v>
      </c>
      <c r="F78" s="68">
        <f>'дод. 3'!F107</f>
        <v>749200</v>
      </c>
      <c r="G78" s="68">
        <f>'дод. 3'!G107</f>
        <v>127230</v>
      </c>
      <c r="H78" s="68">
        <f>'дод. 3'!H107</f>
        <v>279211.41</v>
      </c>
      <c r="I78" s="68">
        <f>'дод. 3'!I107</f>
        <v>169333.21</v>
      </c>
      <c r="J78" s="68">
        <f>'дод. 3'!J107</f>
        <v>43801.87</v>
      </c>
      <c r="K78" s="117">
        <f t="shared" si="2"/>
        <v>22.98036296296296</v>
      </c>
      <c r="L78" s="68">
        <f t="shared" si="16"/>
        <v>200000</v>
      </c>
      <c r="M78" s="68">
        <f>'дод. 3'!M107</f>
        <v>0</v>
      </c>
      <c r="N78" s="68">
        <f>'дод. 3'!N107</f>
        <v>0</v>
      </c>
      <c r="O78" s="68">
        <f>'дод. 3'!O107</f>
        <v>0</v>
      </c>
      <c r="P78" s="68">
        <f>'дод. 3'!P107</f>
        <v>200000</v>
      </c>
      <c r="Q78" s="68">
        <f t="shared" si="17"/>
        <v>16904.7</v>
      </c>
      <c r="R78" s="68">
        <f>'дод. 3'!R107</f>
        <v>4924.7</v>
      </c>
      <c r="S78" s="68">
        <f>'дод. 3'!S107</f>
        <v>0</v>
      </c>
      <c r="T78" s="68">
        <f>'дод. 3'!T107</f>
        <v>0</v>
      </c>
      <c r="U78" s="68">
        <f>'дод. 3'!U107</f>
        <v>11980</v>
      </c>
      <c r="V78" s="117">
        <f>Q78/L78*100</f>
        <v>8.452350000000001</v>
      </c>
      <c r="W78" s="68">
        <f t="shared" si="15"/>
        <v>296116.11</v>
      </c>
      <c r="X78" s="169"/>
    </row>
    <row r="79" spans="1:24" s="20" customFormat="1" ht="30">
      <c r="A79" s="23"/>
      <c r="B79" s="27" t="s">
        <v>146</v>
      </c>
      <c r="C79" s="27" t="s">
        <v>210</v>
      </c>
      <c r="D79" s="28" t="s">
        <v>147</v>
      </c>
      <c r="E79" s="68">
        <f>'дод. 3'!E108</f>
        <v>43245500</v>
      </c>
      <c r="F79" s="68">
        <f>'дод. 3'!F108</f>
        <v>0</v>
      </c>
      <c r="G79" s="68">
        <f>'дод. 3'!G108</f>
        <v>0</v>
      </c>
      <c r="H79" s="68">
        <f>'дод. 3'!H108</f>
        <v>9905549.03</v>
      </c>
      <c r="I79" s="68">
        <f>'дод. 3'!I108</f>
        <v>0</v>
      </c>
      <c r="J79" s="68">
        <f>'дод. 3'!J108</f>
        <v>0</v>
      </c>
      <c r="K79" s="117">
        <f aca="true" t="shared" si="18" ref="K79:K141">H79/E79*100</f>
        <v>22.90538675700362</v>
      </c>
      <c r="L79" s="68">
        <f t="shared" si="16"/>
        <v>0</v>
      </c>
      <c r="M79" s="68">
        <f>'дод. 3'!M108</f>
        <v>0</v>
      </c>
      <c r="N79" s="68">
        <f>'дод. 3'!N108</f>
        <v>0</v>
      </c>
      <c r="O79" s="68">
        <f>'дод. 3'!O108</f>
        <v>0</v>
      </c>
      <c r="P79" s="68">
        <f>'дод. 3'!P108</f>
        <v>0</v>
      </c>
      <c r="Q79" s="68">
        <f t="shared" si="17"/>
        <v>0</v>
      </c>
      <c r="R79" s="68">
        <f>'дод. 3'!R108</f>
        <v>0</v>
      </c>
      <c r="S79" s="68">
        <f>'дод. 3'!S108</f>
        <v>0</v>
      </c>
      <c r="T79" s="68">
        <f>'дод. 3'!T108</f>
        <v>0</v>
      </c>
      <c r="U79" s="68">
        <f>'дод. 3'!U108</f>
        <v>0</v>
      </c>
      <c r="V79" s="117"/>
      <c r="W79" s="68">
        <f t="shared" si="15"/>
        <v>9905549.03</v>
      </c>
      <c r="X79" s="169"/>
    </row>
    <row r="80" spans="1:24" s="20" customFormat="1" ht="60">
      <c r="A80" s="23"/>
      <c r="B80" s="27" t="s">
        <v>249</v>
      </c>
      <c r="C80" s="27" t="s">
        <v>210</v>
      </c>
      <c r="D80" s="28" t="s">
        <v>250</v>
      </c>
      <c r="E80" s="68">
        <f>'дод. 3'!E109</f>
        <v>162275</v>
      </c>
      <c r="F80" s="68">
        <f>'дод. 3'!F109</f>
        <v>0</v>
      </c>
      <c r="G80" s="68">
        <f>'дод. 3'!G109</f>
        <v>0</v>
      </c>
      <c r="H80" s="68">
        <f>'дод. 3'!H109</f>
        <v>70866.11</v>
      </c>
      <c r="I80" s="68">
        <f>'дод. 3'!I109</f>
        <v>0</v>
      </c>
      <c r="J80" s="68">
        <f>'дод. 3'!J109</f>
        <v>0</v>
      </c>
      <c r="K80" s="117">
        <f t="shared" si="18"/>
        <v>43.67038052688338</v>
      </c>
      <c r="L80" s="68">
        <f t="shared" si="16"/>
        <v>0</v>
      </c>
      <c r="M80" s="68">
        <f>'дод. 3'!M109</f>
        <v>0</v>
      </c>
      <c r="N80" s="68">
        <f>'дод. 3'!N109</f>
        <v>0</v>
      </c>
      <c r="O80" s="68">
        <f>'дод. 3'!O109</f>
        <v>0</v>
      </c>
      <c r="P80" s="68">
        <f>'дод. 3'!P109</f>
        <v>0</v>
      </c>
      <c r="Q80" s="68">
        <f t="shared" si="17"/>
        <v>0</v>
      </c>
      <c r="R80" s="68">
        <f>'дод. 3'!R109</f>
        <v>0</v>
      </c>
      <c r="S80" s="68">
        <f>'дод. 3'!S109</f>
        <v>0</v>
      </c>
      <c r="T80" s="68">
        <f>'дод. 3'!T109</f>
        <v>0</v>
      </c>
      <c r="U80" s="68">
        <f>'дод. 3'!U109</f>
        <v>0</v>
      </c>
      <c r="V80" s="117"/>
      <c r="W80" s="68">
        <f t="shared" si="15"/>
        <v>70866.11</v>
      </c>
      <c r="X80" s="169"/>
    </row>
    <row r="81" spans="1:24" s="20" customFormat="1" ht="30">
      <c r="A81" s="23"/>
      <c r="B81" s="27" t="s">
        <v>251</v>
      </c>
      <c r="C81" s="27" t="s">
        <v>210</v>
      </c>
      <c r="D81" s="28" t="s">
        <v>252</v>
      </c>
      <c r="E81" s="68">
        <f>'дод. 3'!E110</f>
        <v>4800</v>
      </c>
      <c r="F81" s="68">
        <f>'дод. 3'!F110</f>
        <v>0</v>
      </c>
      <c r="G81" s="68">
        <f>'дод. 3'!G110</f>
        <v>0</v>
      </c>
      <c r="H81" s="68">
        <f>'дод. 3'!H110</f>
        <v>672</v>
      </c>
      <c r="I81" s="68">
        <f>'дод. 3'!I110</f>
        <v>0</v>
      </c>
      <c r="J81" s="68">
        <f>'дод. 3'!J110</f>
        <v>0</v>
      </c>
      <c r="K81" s="117">
        <f t="shared" si="18"/>
        <v>14.000000000000002</v>
      </c>
      <c r="L81" s="68">
        <f t="shared" si="16"/>
        <v>0</v>
      </c>
      <c r="M81" s="68">
        <f>'дод. 3'!M110</f>
        <v>0</v>
      </c>
      <c r="N81" s="68">
        <f>'дод. 3'!N110</f>
        <v>0</v>
      </c>
      <c r="O81" s="68">
        <f>'дод. 3'!O110</f>
        <v>0</v>
      </c>
      <c r="P81" s="68">
        <f>'дод. 3'!P110</f>
        <v>0</v>
      </c>
      <c r="Q81" s="68">
        <f t="shared" si="17"/>
        <v>0</v>
      </c>
      <c r="R81" s="68">
        <f>'дод. 3'!R110</f>
        <v>0</v>
      </c>
      <c r="S81" s="68">
        <f>'дод. 3'!S110</f>
        <v>0</v>
      </c>
      <c r="T81" s="68">
        <f>'дод. 3'!T110</f>
        <v>0</v>
      </c>
      <c r="U81" s="68">
        <f>'дод. 3'!U110</f>
        <v>0</v>
      </c>
      <c r="V81" s="117"/>
      <c r="W81" s="68">
        <f t="shared" si="15"/>
        <v>672</v>
      </c>
      <c r="X81" s="169"/>
    </row>
    <row r="82" spans="1:24" s="20" customFormat="1" ht="15">
      <c r="A82" s="23"/>
      <c r="B82" s="64" t="s">
        <v>263</v>
      </c>
      <c r="C82" s="64"/>
      <c r="D82" s="65" t="s">
        <v>264</v>
      </c>
      <c r="E82" s="67">
        <f>SUM(E83:E88)</f>
        <v>89826594.78999999</v>
      </c>
      <c r="F82" s="67">
        <f aca="true" t="shared" si="19" ref="F82:U82">SUM(F83:F88)</f>
        <v>0</v>
      </c>
      <c r="G82" s="67">
        <f t="shared" si="19"/>
        <v>4231240</v>
      </c>
      <c r="H82" s="67">
        <f t="shared" si="19"/>
        <v>13954711.63</v>
      </c>
      <c r="I82" s="67">
        <f t="shared" si="19"/>
        <v>0</v>
      </c>
      <c r="J82" s="67">
        <f t="shared" si="19"/>
        <v>1657738.24</v>
      </c>
      <c r="K82" s="118">
        <f t="shared" si="18"/>
        <v>15.535167132433164</v>
      </c>
      <c r="L82" s="67">
        <f t="shared" si="19"/>
        <v>115004423.14</v>
      </c>
      <c r="M82" s="67">
        <f t="shared" si="19"/>
        <v>0</v>
      </c>
      <c r="N82" s="67">
        <f t="shared" si="19"/>
        <v>0</v>
      </c>
      <c r="O82" s="67">
        <f t="shared" si="19"/>
        <v>0</v>
      </c>
      <c r="P82" s="67">
        <f t="shared" si="19"/>
        <v>115004423.14</v>
      </c>
      <c r="Q82" s="67">
        <f t="shared" si="19"/>
        <v>6369085.779999999</v>
      </c>
      <c r="R82" s="67">
        <f t="shared" si="19"/>
        <v>0</v>
      </c>
      <c r="S82" s="67">
        <f t="shared" si="19"/>
        <v>0</v>
      </c>
      <c r="T82" s="67">
        <f t="shared" si="19"/>
        <v>0</v>
      </c>
      <c r="U82" s="67">
        <f t="shared" si="19"/>
        <v>6369085.779999999</v>
      </c>
      <c r="V82" s="118">
        <f aca="true" t="shared" si="20" ref="V82:V141">Q82/L82*100</f>
        <v>5.538122453122197</v>
      </c>
      <c r="W82" s="68">
        <f t="shared" si="15"/>
        <v>20323797.41</v>
      </c>
      <c r="X82" s="169"/>
    </row>
    <row r="83" spans="1:24" s="115" customFormat="1" ht="15">
      <c r="A83" s="114"/>
      <c r="B83" s="53" t="s">
        <v>327</v>
      </c>
      <c r="C83" s="53" t="s">
        <v>217</v>
      </c>
      <c r="D83" s="46" t="s">
        <v>328</v>
      </c>
      <c r="E83" s="105">
        <f>'дод. 3'!E123</f>
        <v>180000</v>
      </c>
      <c r="F83" s="105">
        <f>'дод. 3'!F123</f>
        <v>0</v>
      </c>
      <c r="G83" s="105">
        <f>'дод. 3'!G123</f>
        <v>0</v>
      </c>
      <c r="H83" s="105">
        <f>'дод. 3'!H123</f>
        <v>0</v>
      </c>
      <c r="I83" s="105">
        <f>'дод. 3'!I123</f>
        <v>0</v>
      </c>
      <c r="J83" s="105">
        <f>'дод. 3'!J123</f>
        <v>0</v>
      </c>
      <c r="K83" s="121">
        <f t="shared" si="18"/>
        <v>0</v>
      </c>
      <c r="L83" s="68">
        <f aca="true" t="shared" si="21" ref="L83:L88">M83+P83</f>
        <v>0</v>
      </c>
      <c r="M83" s="105">
        <f>'дод. 3'!M123</f>
        <v>0</v>
      </c>
      <c r="N83" s="105">
        <f>'дод. 3'!N123</f>
        <v>0</v>
      </c>
      <c r="O83" s="105">
        <f>'дод. 3'!O123</f>
        <v>0</v>
      </c>
      <c r="P83" s="105">
        <f>'дод. 3'!P123</f>
        <v>0</v>
      </c>
      <c r="Q83" s="68">
        <f aca="true" t="shared" si="22" ref="Q83:Q88">R83+U83</f>
        <v>0</v>
      </c>
      <c r="R83" s="105">
        <f>'дод. 3'!R123</f>
        <v>0</v>
      </c>
      <c r="S83" s="105">
        <f>'дод. 3'!S123</f>
        <v>0</v>
      </c>
      <c r="T83" s="105">
        <f>'дод. 3'!T123</f>
        <v>0</v>
      </c>
      <c r="U83" s="105">
        <f>'дод. 3'!U123</f>
        <v>0</v>
      </c>
      <c r="V83" s="121"/>
      <c r="W83" s="68">
        <f t="shared" si="15"/>
        <v>0</v>
      </c>
      <c r="X83" s="169"/>
    </row>
    <row r="84" spans="1:24" s="20" customFormat="1" ht="30">
      <c r="A84" s="23"/>
      <c r="B84" s="27" t="s">
        <v>158</v>
      </c>
      <c r="C84" s="27" t="s">
        <v>217</v>
      </c>
      <c r="D84" s="28" t="s">
        <v>159</v>
      </c>
      <c r="E84" s="68">
        <f>'дод. 3'!E124</f>
        <v>195000</v>
      </c>
      <c r="F84" s="68">
        <f>'дод. 3'!F124</f>
        <v>0</v>
      </c>
      <c r="G84" s="68">
        <f>'дод. 3'!G124</f>
        <v>0</v>
      </c>
      <c r="H84" s="68">
        <f>'дод. 3'!H124</f>
        <v>0</v>
      </c>
      <c r="I84" s="68">
        <f>'дод. 3'!I124</f>
        <v>0</v>
      </c>
      <c r="J84" s="68">
        <f>'дод. 3'!J124</f>
        <v>0</v>
      </c>
      <c r="K84" s="117">
        <f t="shared" si="18"/>
        <v>0</v>
      </c>
      <c r="L84" s="68">
        <f t="shared" si="21"/>
        <v>37156285.14</v>
      </c>
      <c r="M84" s="68">
        <f>'дод. 3'!M124</f>
        <v>0</v>
      </c>
      <c r="N84" s="68">
        <f>'дод. 3'!N124</f>
        <v>0</v>
      </c>
      <c r="O84" s="68">
        <f>'дод. 3'!O124</f>
        <v>0</v>
      </c>
      <c r="P84" s="68">
        <f>'дод. 3'!P124</f>
        <v>37156285.14</v>
      </c>
      <c r="Q84" s="68">
        <f t="shared" si="22"/>
        <v>3488631.78</v>
      </c>
      <c r="R84" s="68">
        <f>'дод. 3'!R124</f>
        <v>0</v>
      </c>
      <c r="S84" s="68">
        <f>'дод. 3'!S124</f>
        <v>0</v>
      </c>
      <c r="T84" s="68">
        <f>'дод. 3'!T124</f>
        <v>0</v>
      </c>
      <c r="U84" s="68">
        <f>'дод. 3'!U124</f>
        <v>3488631.78</v>
      </c>
      <c r="V84" s="117">
        <f t="shared" si="20"/>
        <v>9.389075810068993</v>
      </c>
      <c r="W84" s="68">
        <f t="shared" si="15"/>
        <v>3488631.78</v>
      </c>
      <c r="X84" s="169"/>
    </row>
    <row r="85" spans="1:24" s="20" customFormat="1" ht="45">
      <c r="A85" s="23"/>
      <c r="B85" s="27" t="s">
        <v>160</v>
      </c>
      <c r="C85" s="27" t="s">
        <v>217</v>
      </c>
      <c r="D85" s="28" t="s">
        <v>161</v>
      </c>
      <c r="E85" s="68">
        <f>'дод. 3'!E125</f>
        <v>0</v>
      </c>
      <c r="F85" s="68">
        <f>'дод. 3'!F125</f>
        <v>0</v>
      </c>
      <c r="G85" s="68">
        <f>'дод. 3'!G125</f>
        <v>0</v>
      </c>
      <c r="H85" s="68">
        <f>'дод. 3'!H125</f>
        <v>0</v>
      </c>
      <c r="I85" s="68">
        <f>'дод. 3'!I125</f>
        <v>0</v>
      </c>
      <c r="J85" s="68">
        <f>'дод. 3'!J125</f>
        <v>0</v>
      </c>
      <c r="K85" s="117"/>
      <c r="L85" s="68">
        <f t="shared" si="21"/>
        <v>3000000</v>
      </c>
      <c r="M85" s="68">
        <f>'дод. 3'!M125</f>
        <v>0</v>
      </c>
      <c r="N85" s="68">
        <f>'дод. 3'!N125</f>
        <v>0</v>
      </c>
      <c r="O85" s="68">
        <f>'дод. 3'!O125</f>
        <v>0</v>
      </c>
      <c r="P85" s="68">
        <f>'дод. 3'!P125</f>
        <v>3000000</v>
      </c>
      <c r="Q85" s="68">
        <f t="shared" si="22"/>
        <v>0</v>
      </c>
      <c r="R85" s="68">
        <f>'дод. 3'!R125</f>
        <v>0</v>
      </c>
      <c r="S85" s="68">
        <f>'дод. 3'!S125</f>
        <v>0</v>
      </c>
      <c r="T85" s="68">
        <f>'дод. 3'!T125</f>
        <v>0</v>
      </c>
      <c r="U85" s="68">
        <f>'дод. 3'!U125</f>
        <v>0</v>
      </c>
      <c r="V85" s="117">
        <f t="shared" si="20"/>
        <v>0</v>
      </c>
      <c r="W85" s="68">
        <f t="shared" si="15"/>
        <v>0</v>
      </c>
      <c r="X85" s="169"/>
    </row>
    <row r="86" spans="1:24" s="20" customFormat="1" ht="15">
      <c r="A86" s="23"/>
      <c r="B86" s="27" t="s">
        <v>162</v>
      </c>
      <c r="C86" s="27" t="s">
        <v>183</v>
      </c>
      <c r="D86" s="28" t="s">
        <v>163</v>
      </c>
      <c r="E86" s="68">
        <f>'дод. 3'!E126</f>
        <v>2445103</v>
      </c>
      <c r="F86" s="68">
        <f>'дод. 3'!F126</f>
        <v>0</v>
      </c>
      <c r="G86" s="68">
        <f>'дод. 3'!G126</f>
        <v>0</v>
      </c>
      <c r="H86" s="68">
        <f>'дод. 3'!H126</f>
        <v>892392</v>
      </c>
      <c r="I86" s="68">
        <f>'дод. 3'!I126</f>
        <v>0</v>
      </c>
      <c r="J86" s="68">
        <f>'дод. 3'!J126</f>
        <v>0</v>
      </c>
      <c r="K86" s="117">
        <f t="shared" si="18"/>
        <v>36.49711280056505</v>
      </c>
      <c r="L86" s="68">
        <f t="shared" si="21"/>
        <v>0</v>
      </c>
      <c r="M86" s="68">
        <f>'дод. 3'!M126</f>
        <v>0</v>
      </c>
      <c r="N86" s="68">
        <f>'дод. 3'!N126</f>
        <v>0</v>
      </c>
      <c r="O86" s="68">
        <f>'дод. 3'!O126</f>
        <v>0</v>
      </c>
      <c r="P86" s="68">
        <f>'дод. 3'!P126</f>
        <v>0</v>
      </c>
      <c r="Q86" s="68">
        <f t="shared" si="22"/>
        <v>0</v>
      </c>
      <c r="R86" s="68">
        <f>'дод. 3'!R126</f>
        <v>0</v>
      </c>
      <c r="S86" s="68">
        <f>'дод. 3'!S126</f>
        <v>0</v>
      </c>
      <c r="T86" s="68">
        <f>'дод. 3'!T126</f>
        <v>0</v>
      </c>
      <c r="U86" s="68">
        <f>'дод. 3'!U126</f>
        <v>0</v>
      </c>
      <c r="V86" s="117"/>
      <c r="W86" s="68">
        <f t="shared" si="15"/>
        <v>892392</v>
      </c>
      <c r="X86" s="169"/>
    </row>
    <row r="87" spans="1:24" s="20" customFormat="1" ht="15">
      <c r="A87" s="23"/>
      <c r="B87" s="27" t="s">
        <v>28</v>
      </c>
      <c r="C87" s="27" t="s">
        <v>183</v>
      </c>
      <c r="D87" s="28" t="s">
        <v>29</v>
      </c>
      <c r="E87" s="68">
        <f>'дод. 3'!E22+'дод. 3'!E127+'дод. 3'!E148</f>
        <v>87006491.78999999</v>
      </c>
      <c r="F87" s="68">
        <f>'дод. 3'!F22+'дод. 3'!F127+'дод. 3'!F148</f>
        <v>0</v>
      </c>
      <c r="G87" s="68">
        <f>'дод. 3'!G22+'дод. 3'!G127+'дод. 3'!G148</f>
        <v>4231240</v>
      </c>
      <c r="H87" s="68">
        <f>'дод. 3'!H22+'дод. 3'!H127+'дод. 3'!H148</f>
        <v>13062319.63</v>
      </c>
      <c r="I87" s="68">
        <f>'дод. 3'!I22+'дод. 3'!I127+'дод. 3'!I148</f>
        <v>0</v>
      </c>
      <c r="J87" s="68">
        <f>'дод. 3'!J22+'дод. 3'!J127+'дод. 3'!J148</f>
        <v>1657738.24</v>
      </c>
      <c r="K87" s="117">
        <f t="shared" si="18"/>
        <v>15.01304024707419</v>
      </c>
      <c r="L87" s="68">
        <f t="shared" si="21"/>
        <v>74002200</v>
      </c>
      <c r="M87" s="68">
        <f>'дод. 3'!M22+'дод. 3'!M127+'дод. 3'!M148</f>
        <v>0</v>
      </c>
      <c r="N87" s="68">
        <f>'дод. 3'!N22+'дод. 3'!N127+'дод. 3'!N148</f>
        <v>0</v>
      </c>
      <c r="O87" s="68">
        <f>'дод. 3'!O22+'дод. 3'!O127+'дод. 3'!O148</f>
        <v>0</v>
      </c>
      <c r="P87" s="68">
        <f>'дод. 3'!P22+'дод. 3'!P127+'дод. 3'!P148</f>
        <v>74002200</v>
      </c>
      <c r="Q87" s="68">
        <f t="shared" si="22"/>
        <v>2880454</v>
      </c>
      <c r="R87" s="68">
        <f>'дод. 3'!R22+'дод. 3'!R127+'дод. 3'!R148</f>
        <v>0</v>
      </c>
      <c r="S87" s="68">
        <f>'дод. 3'!S22+'дод. 3'!S127+'дод. 3'!S148</f>
        <v>0</v>
      </c>
      <c r="T87" s="68">
        <f>'дод. 3'!T22+'дод. 3'!T127+'дод. 3'!T148</f>
        <v>0</v>
      </c>
      <c r="U87" s="68">
        <f>'дод. 3'!U22+'дод. 3'!U127+'дод. 3'!U148</f>
        <v>2880454</v>
      </c>
      <c r="V87" s="117">
        <f t="shared" si="20"/>
        <v>3.8923896857120464</v>
      </c>
      <c r="W87" s="68">
        <f t="shared" si="15"/>
        <v>15942773.63</v>
      </c>
      <c r="X87" s="169"/>
    </row>
    <row r="88" spans="1:24" s="20" customFormat="1" ht="45">
      <c r="A88" s="23"/>
      <c r="B88" s="27" t="s">
        <v>311</v>
      </c>
      <c r="C88" s="27" t="s">
        <v>312</v>
      </c>
      <c r="D88" s="28" t="s">
        <v>313</v>
      </c>
      <c r="E88" s="68">
        <f>'дод. 3'!E128</f>
        <v>0</v>
      </c>
      <c r="F88" s="68">
        <f>'дод. 3'!F128</f>
        <v>0</v>
      </c>
      <c r="G88" s="68">
        <f>'дод. 3'!G128</f>
        <v>0</v>
      </c>
      <c r="H88" s="68">
        <f>'дод. 3'!H128</f>
        <v>0</v>
      </c>
      <c r="I88" s="68">
        <f>'дод. 3'!I128</f>
        <v>0</v>
      </c>
      <c r="J88" s="68">
        <f>'дод. 3'!J128</f>
        <v>0</v>
      </c>
      <c r="K88" s="117"/>
      <c r="L88" s="68">
        <f t="shared" si="21"/>
        <v>845938</v>
      </c>
      <c r="M88" s="68">
        <f>'дод. 3'!M128</f>
        <v>0</v>
      </c>
      <c r="N88" s="68">
        <f>'дод. 3'!N128</f>
        <v>0</v>
      </c>
      <c r="O88" s="68">
        <f>'дод. 3'!O128</f>
        <v>0</v>
      </c>
      <c r="P88" s="68">
        <f>'дод. 3'!P128</f>
        <v>845938</v>
      </c>
      <c r="Q88" s="68">
        <f t="shared" si="22"/>
        <v>0</v>
      </c>
      <c r="R88" s="68">
        <f>'дод. 3'!R128</f>
        <v>0</v>
      </c>
      <c r="S88" s="68">
        <f>'дод. 3'!S128</f>
        <v>0</v>
      </c>
      <c r="T88" s="68">
        <f>'дод. 3'!T128</f>
        <v>0</v>
      </c>
      <c r="U88" s="68">
        <f>'дод. 3'!U128</f>
        <v>0</v>
      </c>
      <c r="V88" s="117">
        <f t="shared" si="20"/>
        <v>0</v>
      </c>
      <c r="W88" s="68">
        <f t="shared" si="15"/>
        <v>0</v>
      </c>
      <c r="X88" s="169"/>
    </row>
    <row r="89" spans="1:24" s="20" customFormat="1" ht="15">
      <c r="A89" s="23"/>
      <c r="B89" s="64" t="s">
        <v>265</v>
      </c>
      <c r="C89" s="64"/>
      <c r="D89" s="65" t="s">
        <v>266</v>
      </c>
      <c r="E89" s="67">
        <f aca="true" t="shared" si="23" ref="E89:W89">E90+E91+E92+E93</f>
        <v>30524655</v>
      </c>
      <c r="F89" s="67">
        <f t="shared" si="23"/>
        <v>21670640</v>
      </c>
      <c r="G89" s="67">
        <f t="shared" si="23"/>
        <v>1855080</v>
      </c>
      <c r="H89" s="67">
        <f t="shared" si="23"/>
        <v>6681250.78</v>
      </c>
      <c r="I89" s="67">
        <f t="shared" si="23"/>
        <v>4846888.119999999</v>
      </c>
      <c r="J89" s="67">
        <f t="shared" si="23"/>
        <v>625924.72</v>
      </c>
      <c r="K89" s="118">
        <f t="shared" si="18"/>
        <v>21.888046826409667</v>
      </c>
      <c r="L89" s="67">
        <f t="shared" si="23"/>
        <v>2394920</v>
      </c>
      <c r="M89" s="67">
        <f t="shared" si="23"/>
        <v>1320320</v>
      </c>
      <c r="N89" s="67">
        <f t="shared" si="23"/>
        <v>953732</v>
      </c>
      <c r="O89" s="67">
        <f t="shared" si="23"/>
        <v>0</v>
      </c>
      <c r="P89" s="67">
        <f t="shared" si="23"/>
        <v>1074600</v>
      </c>
      <c r="Q89" s="67">
        <f>Q90+Q91+Q92+Q93</f>
        <v>406971.1599999999</v>
      </c>
      <c r="R89" s="67">
        <f t="shared" si="23"/>
        <v>298201.73</v>
      </c>
      <c r="S89" s="67">
        <f t="shared" si="23"/>
        <v>226091.93</v>
      </c>
      <c r="T89" s="67">
        <f t="shared" si="23"/>
        <v>0</v>
      </c>
      <c r="U89" s="67">
        <f t="shared" si="23"/>
        <v>108769.43</v>
      </c>
      <c r="V89" s="118">
        <f t="shared" si="20"/>
        <v>16.993100395837853</v>
      </c>
      <c r="W89" s="67">
        <f t="shared" si="23"/>
        <v>7088221.9399999995</v>
      </c>
      <c r="X89" s="169"/>
    </row>
    <row r="90" spans="1:24" s="20" customFormat="1" ht="30">
      <c r="A90" s="23"/>
      <c r="B90" s="27" t="s">
        <v>152</v>
      </c>
      <c r="C90" s="27" t="s">
        <v>214</v>
      </c>
      <c r="D90" s="28" t="s">
        <v>153</v>
      </c>
      <c r="E90" s="68">
        <f>'дод. 3'!E117</f>
        <v>1000000</v>
      </c>
      <c r="F90" s="68">
        <f>'дод. 3'!F117</f>
        <v>0</v>
      </c>
      <c r="G90" s="68">
        <f>'дод. 3'!G117</f>
        <v>0</v>
      </c>
      <c r="H90" s="68">
        <f>'дод. 3'!H117</f>
        <v>43671.2</v>
      </c>
      <c r="I90" s="68">
        <f>'дод. 3'!I117</f>
        <v>0</v>
      </c>
      <c r="J90" s="68">
        <f>'дод. 3'!J117</f>
        <v>0</v>
      </c>
      <c r="K90" s="117">
        <f t="shared" si="18"/>
        <v>4.36712</v>
      </c>
      <c r="L90" s="68">
        <f aca="true" t="shared" si="24" ref="L90:L95">M90+P90</f>
        <v>0</v>
      </c>
      <c r="M90" s="68">
        <f>'дод. 3'!M117</f>
        <v>0</v>
      </c>
      <c r="N90" s="68">
        <f>'дод. 3'!N117</f>
        <v>0</v>
      </c>
      <c r="O90" s="68">
        <f>'дод. 3'!O117</f>
        <v>0</v>
      </c>
      <c r="P90" s="68">
        <f>'дод. 3'!P117</f>
        <v>0</v>
      </c>
      <c r="Q90" s="68">
        <f aca="true" t="shared" si="25" ref="Q90:Q95">R90+U90</f>
        <v>0</v>
      </c>
      <c r="R90" s="68">
        <f>'дод. 3'!R117</f>
        <v>0</v>
      </c>
      <c r="S90" s="68">
        <f>'дод. 3'!S117</f>
        <v>0</v>
      </c>
      <c r="T90" s="68">
        <f>'дод. 3'!T117</f>
        <v>0</v>
      </c>
      <c r="U90" s="68">
        <f>'дод. 3'!U117</f>
        <v>0</v>
      </c>
      <c r="V90" s="117"/>
      <c r="W90" s="68">
        <f>Q90+H90</f>
        <v>43671.2</v>
      </c>
      <c r="X90" s="169"/>
    </row>
    <row r="91" spans="1:24" s="20" customFormat="1" ht="15">
      <c r="A91" s="23"/>
      <c r="B91" s="27" t="s">
        <v>154</v>
      </c>
      <c r="C91" s="27" t="s">
        <v>215</v>
      </c>
      <c r="D91" s="28" t="s">
        <v>155</v>
      </c>
      <c r="E91" s="68">
        <f>'дод. 3'!E118</f>
        <v>10340731</v>
      </c>
      <c r="F91" s="68">
        <f>'дод. 3'!F118</f>
        <v>7077480</v>
      </c>
      <c r="G91" s="68">
        <f>'дод. 3'!G118</f>
        <v>1039633</v>
      </c>
      <c r="H91" s="68">
        <f>'дод. 3'!H118</f>
        <v>2355240.73</v>
      </c>
      <c r="I91" s="68">
        <f>'дод. 3'!I118</f>
        <v>1597710.1</v>
      </c>
      <c r="J91" s="68">
        <f>'дод. 3'!J118</f>
        <v>362016.14</v>
      </c>
      <c r="K91" s="117">
        <f t="shared" si="18"/>
        <v>22.77634656582789</v>
      </c>
      <c r="L91" s="68">
        <f t="shared" si="24"/>
        <v>555500</v>
      </c>
      <c r="M91" s="68">
        <f>'дод. 3'!M118</f>
        <v>21000</v>
      </c>
      <c r="N91" s="68">
        <f>'дод. 3'!N118</f>
        <v>5000</v>
      </c>
      <c r="O91" s="68">
        <f>'дод. 3'!O118</f>
        <v>0</v>
      </c>
      <c r="P91" s="68">
        <f>'дод. 3'!P118</f>
        <v>534500</v>
      </c>
      <c r="Q91" s="68">
        <f t="shared" si="25"/>
        <v>59777.53</v>
      </c>
      <c r="R91" s="68">
        <f>'дод. 3'!R118</f>
        <v>2672.82</v>
      </c>
      <c r="S91" s="68">
        <f>'дод. 3'!S118</f>
        <v>200</v>
      </c>
      <c r="T91" s="68">
        <f>'дод. 3'!T118</f>
        <v>0</v>
      </c>
      <c r="U91" s="68">
        <f>'дод. 3'!U118</f>
        <v>57104.71</v>
      </c>
      <c r="V91" s="117">
        <f t="shared" si="20"/>
        <v>10.761031503150315</v>
      </c>
      <c r="W91" s="68">
        <f>Q91+H91</f>
        <v>2415018.26</v>
      </c>
      <c r="X91" s="169"/>
    </row>
    <row r="92" spans="1:24" s="20" customFormat="1" ht="15">
      <c r="A92" s="23"/>
      <c r="B92" s="27" t="s">
        <v>156</v>
      </c>
      <c r="C92" s="27" t="s">
        <v>197</v>
      </c>
      <c r="D92" s="28" t="s">
        <v>157</v>
      </c>
      <c r="E92" s="68">
        <f>'дод. 3'!E119</f>
        <v>16900076</v>
      </c>
      <c r="F92" s="68">
        <f>'дод. 3'!F119</f>
        <v>13068040</v>
      </c>
      <c r="G92" s="68">
        <f>'дод. 3'!G119</f>
        <v>702306</v>
      </c>
      <c r="H92" s="68">
        <f>'дод. 3'!H119</f>
        <v>3816428.64</v>
      </c>
      <c r="I92" s="68">
        <f>'дод. 3'!I119</f>
        <v>2930443.51</v>
      </c>
      <c r="J92" s="68">
        <f>'дод. 3'!J119</f>
        <v>231874.57</v>
      </c>
      <c r="K92" s="117">
        <f t="shared" si="18"/>
        <v>22.582316434553313</v>
      </c>
      <c r="L92" s="68">
        <f t="shared" si="24"/>
        <v>1739420</v>
      </c>
      <c r="M92" s="68">
        <f>'дод. 3'!M119</f>
        <v>1299320</v>
      </c>
      <c r="N92" s="68">
        <f>'дод. 3'!N119</f>
        <v>948732</v>
      </c>
      <c r="O92" s="68">
        <f>'дод. 3'!O119</f>
        <v>0</v>
      </c>
      <c r="P92" s="68">
        <f>'дод. 3'!P119</f>
        <v>440100</v>
      </c>
      <c r="Q92" s="68">
        <f t="shared" si="25"/>
        <v>282733.91</v>
      </c>
      <c r="R92" s="68">
        <f>'дод. 3'!R119</f>
        <v>281068.91</v>
      </c>
      <c r="S92" s="68">
        <f>'дод. 3'!S119</f>
        <v>225891.93</v>
      </c>
      <c r="T92" s="68">
        <f>'дод. 3'!T119</f>
        <v>0</v>
      </c>
      <c r="U92" s="68">
        <f>'дод. 3'!U119</f>
        <v>1665</v>
      </c>
      <c r="V92" s="117">
        <f t="shared" si="20"/>
        <v>16.25449345184027</v>
      </c>
      <c r="W92" s="68">
        <f>Q92+H92</f>
        <v>4099162.5500000003</v>
      </c>
      <c r="X92" s="169"/>
    </row>
    <row r="93" spans="1:24" s="20" customFormat="1" ht="15">
      <c r="A93" s="23"/>
      <c r="B93" s="27" t="s">
        <v>30</v>
      </c>
      <c r="C93" s="27" t="s">
        <v>184</v>
      </c>
      <c r="D93" s="28" t="s">
        <v>31</v>
      </c>
      <c r="E93" s="68">
        <f>'дод. 3'!E120+'дод. 3'!E23</f>
        <v>2283848</v>
      </c>
      <c r="F93" s="68">
        <f>'дод. 3'!F120+'дод. 3'!F23</f>
        <v>1525120</v>
      </c>
      <c r="G93" s="68">
        <f>'дод. 3'!G120+'дод. 3'!G23</f>
        <v>113141</v>
      </c>
      <c r="H93" s="68">
        <f>'дод. 3'!H120+'дод. 3'!H23</f>
        <v>465910.20999999996</v>
      </c>
      <c r="I93" s="68">
        <f>'дод. 3'!I120+'дод. 3'!I23</f>
        <v>318734.51</v>
      </c>
      <c r="J93" s="68">
        <f>'дод. 3'!J120+'дод. 3'!J23</f>
        <v>32034.010000000002</v>
      </c>
      <c r="K93" s="117">
        <f t="shared" si="18"/>
        <v>20.400228474049058</v>
      </c>
      <c r="L93" s="68">
        <f t="shared" si="24"/>
        <v>100000</v>
      </c>
      <c r="M93" s="68">
        <f>'дод. 3'!M120+'дод. 3'!M23</f>
        <v>0</v>
      </c>
      <c r="N93" s="68">
        <f>'дод. 3'!N120+'дод. 3'!N23</f>
        <v>0</v>
      </c>
      <c r="O93" s="68">
        <f>'дод. 3'!O120+'дод. 3'!O23</f>
        <v>0</v>
      </c>
      <c r="P93" s="68">
        <f>'дод. 3'!P120+'дод. 3'!P23</f>
        <v>100000</v>
      </c>
      <c r="Q93" s="68">
        <f t="shared" si="25"/>
        <v>64459.72</v>
      </c>
      <c r="R93" s="68">
        <f>'дод. 3'!R120+'дод. 3'!R23</f>
        <v>14460</v>
      </c>
      <c r="S93" s="68">
        <f>'дод. 3'!S120+'дод. 3'!S23</f>
        <v>0</v>
      </c>
      <c r="T93" s="68">
        <f>'дод. 3'!T120+'дод. 3'!T23</f>
        <v>0</v>
      </c>
      <c r="U93" s="68">
        <f>'дод. 3'!U120+'дод. 3'!U23</f>
        <v>49999.72</v>
      </c>
      <c r="V93" s="117">
        <f t="shared" si="20"/>
        <v>64.45972</v>
      </c>
      <c r="W93" s="68">
        <f>Q93+H93</f>
        <v>530369.9299999999</v>
      </c>
      <c r="X93" s="169"/>
    </row>
    <row r="94" spans="1:24" s="20" customFormat="1" ht="15">
      <c r="A94" s="23"/>
      <c r="B94" s="64" t="s">
        <v>299</v>
      </c>
      <c r="C94" s="64"/>
      <c r="D94" s="65" t="s">
        <v>300</v>
      </c>
      <c r="E94" s="67">
        <f aca="true" t="shared" si="26" ref="E94:J94">E95</f>
        <v>90300</v>
      </c>
      <c r="F94" s="67">
        <f t="shared" si="26"/>
        <v>0</v>
      </c>
      <c r="G94" s="67">
        <f t="shared" si="26"/>
        <v>0</v>
      </c>
      <c r="H94" s="67">
        <f t="shared" si="26"/>
        <v>6249</v>
      </c>
      <c r="I94" s="67">
        <f t="shared" si="26"/>
        <v>0</v>
      </c>
      <c r="J94" s="67">
        <f t="shared" si="26"/>
        <v>0</v>
      </c>
      <c r="K94" s="118">
        <f t="shared" si="18"/>
        <v>6.920265780730897</v>
      </c>
      <c r="L94" s="68">
        <f t="shared" si="24"/>
        <v>0</v>
      </c>
      <c r="M94" s="67">
        <f aca="true" t="shared" si="27" ref="M94:U94">M95</f>
        <v>0</v>
      </c>
      <c r="N94" s="67">
        <f t="shared" si="27"/>
        <v>0</v>
      </c>
      <c r="O94" s="67">
        <f t="shared" si="27"/>
        <v>0</v>
      </c>
      <c r="P94" s="67">
        <f t="shared" si="27"/>
        <v>0</v>
      </c>
      <c r="Q94" s="68">
        <f t="shared" si="25"/>
        <v>0</v>
      </c>
      <c r="R94" s="67">
        <f t="shared" si="27"/>
        <v>0</v>
      </c>
      <c r="S94" s="67">
        <f t="shared" si="27"/>
        <v>0</v>
      </c>
      <c r="T94" s="67">
        <f t="shared" si="27"/>
        <v>0</v>
      </c>
      <c r="U94" s="67">
        <f t="shared" si="27"/>
        <v>0</v>
      </c>
      <c r="V94" s="118"/>
      <c r="W94" s="67">
        <f>W95</f>
        <v>6249</v>
      </c>
      <c r="X94" s="169"/>
    </row>
    <row r="95" spans="1:24" s="20" customFormat="1" ht="15">
      <c r="A95" s="23"/>
      <c r="B95" s="27" t="s">
        <v>290</v>
      </c>
      <c r="C95" s="27" t="s">
        <v>291</v>
      </c>
      <c r="D95" s="28" t="s">
        <v>292</v>
      </c>
      <c r="E95" s="68">
        <f>'дод. 3'!E24</f>
        <v>90300</v>
      </c>
      <c r="F95" s="68">
        <f>'дод. 3'!F24</f>
        <v>0</v>
      </c>
      <c r="G95" s="68">
        <f>'дод. 3'!G24</f>
        <v>0</v>
      </c>
      <c r="H95" s="68">
        <f>'дод. 3'!H24</f>
        <v>6249</v>
      </c>
      <c r="I95" s="68">
        <f>'дод. 3'!I24</f>
        <v>0</v>
      </c>
      <c r="J95" s="68">
        <f>'дод. 3'!J24</f>
        <v>0</v>
      </c>
      <c r="K95" s="117">
        <f t="shared" si="18"/>
        <v>6.920265780730897</v>
      </c>
      <c r="L95" s="68">
        <f t="shared" si="24"/>
        <v>0</v>
      </c>
      <c r="M95" s="68">
        <f>'дод. 3'!M24</f>
        <v>0</v>
      </c>
      <c r="N95" s="68">
        <f>'дод. 3'!N24</f>
        <v>0</v>
      </c>
      <c r="O95" s="68">
        <f>'дод. 3'!O24</f>
        <v>0</v>
      </c>
      <c r="P95" s="68">
        <f>'дод. 3'!P24</f>
        <v>0</v>
      </c>
      <c r="Q95" s="68">
        <f t="shared" si="25"/>
        <v>0</v>
      </c>
      <c r="R95" s="68">
        <f>'дод. 3'!R24</f>
        <v>0</v>
      </c>
      <c r="S95" s="68">
        <f>'дод. 3'!S24</f>
        <v>0</v>
      </c>
      <c r="T95" s="68">
        <f>'дод. 3'!T24</f>
        <v>0</v>
      </c>
      <c r="U95" s="68">
        <f>'дод. 3'!U24</f>
        <v>0</v>
      </c>
      <c r="V95" s="117"/>
      <c r="W95" s="68">
        <f>Q95+H95</f>
        <v>6249</v>
      </c>
      <c r="X95" s="169"/>
    </row>
    <row r="96" spans="1:24" s="20" customFormat="1" ht="15">
      <c r="A96" s="23"/>
      <c r="B96" s="64" t="s">
        <v>267</v>
      </c>
      <c r="C96" s="64"/>
      <c r="D96" s="65" t="s">
        <v>268</v>
      </c>
      <c r="E96" s="67">
        <f aca="true" t="shared" si="28" ref="E96:J96">E97+E98+E99+E100+E101+E102</f>
        <v>16767950</v>
      </c>
      <c r="F96" s="67">
        <f t="shared" si="28"/>
        <v>6280345</v>
      </c>
      <c r="G96" s="67">
        <f t="shared" si="28"/>
        <v>976907</v>
      </c>
      <c r="H96" s="67">
        <f t="shared" si="28"/>
        <v>3593145.88</v>
      </c>
      <c r="I96" s="67">
        <f t="shared" si="28"/>
        <v>1371232.8000000003</v>
      </c>
      <c r="J96" s="67">
        <f t="shared" si="28"/>
        <v>333139.37</v>
      </c>
      <c r="K96" s="118">
        <f t="shared" si="18"/>
        <v>21.42865335357035</v>
      </c>
      <c r="L96" s="67">
        <f aca="true" t="shared" si="29" ref="L96:U96">L97+L98+L99+L100+L101+L102</f>
        <v>1017714</v>
      </c>
      <c r="M96" s="67">
        <f t="shared" si="29"/>
        <v>317714</v>
      </c>
      <c r="N96" s="67">
        <f t="shared" si="29"/>
        <v>144491</v>
      </c>
      <c r="O96" s="67">
        <f t="shared" si="29"/>
        <v>97628</v>
      </c>
      <c r="P96" s="67">
        <f t="shared" si="29"/>
        <v>700000</v>
      </c>
      <c r="Q96" s="67">
        <f>Q97+Q98+Q99+Q100+Q101+Q102</f>
        <v>72088.27</v>
      </c>
      <c r="R96" s="67">
        <f t="shared" si="29"/>
        <v>72088.27</v>
      </c>
      <c r="S96" s="67">
        <f t="shared" si="29"/>
        <v>21663.62</v>
      </c>
      <c r="T96" s="67">
        <f t="shared" si="29"/>
        <v>21129.43</v>
      </c>
      <c r="U96" s="67">
        <f t="shared" si="29"/>
        <v>0</v>
      </c>
      <c r="V96" s="118">
        <f t="shared" si="20"/>
        <v>7.0833524939226535</v>
      </c>
      <c r="W96" s="67">
        <f>W97+W98+W99+W100+W101+W102</f>
        <v>3665234.1500000004</v>
      </c>
      <c r="X96" s="169"/>
    </row>
    <row r="97" spans="1:24" s="20" customFormat="1" ht="30">
      <c r="A97" s="23"/>
      <c r="B97" s="27" t="s">
        <v>32</v>
      </c>
      <c r="C97" s="27" t="s">
        <v>185</v>
      </c>
      <c r="D97" s="28" t="s">
        <v>33</v>
      </c>
      <c r="E97" s="68">
        <f>'дод. 3'!E25</f>
        <v>500000</v>
      </c>
      <c r="F97" s="68">
        <f>'дод. 3'!F25</f>
        <v>0</v>
      </c>
      <c r="G97" s="68">
        <f>'дод. 3'!G25</f>
        <v>0</v>
      </c>
      <c r="H97" s="68">
        <f>'дод. 3'!H25</f>
        <v>41900.62</v>
      </c>
      <c r="I97" s="68">
        <f>'дод. 3'!I25</f>
        <v>0</v>
      </c>
      <c r="J97" s="68">
        <f>'дод. 3'!J25</f>
        <v>0</v>
      </c>
      <c r="K97" s="117">
        <f t="shared" si="18"/>
        <v>8.380124</v>
      </c>
      <c r="L97" s="68">
        <f aca="true" t="shared" si="30" ref="L97:L102">M97+P97</f>
        <v>0</v>
      </c>
      <c r="M97" s="68">
        <f>'дод. 3'!M25</f>
        <v>0</v>
      </c>
      <c r="N97" s="68">
        <f>'дод. 3'!N25</f>
        <v>0</v>
      </c>
      <c r="O97" s="68">
        <f>'дод. 3'!O25</f>
        <v>0</v>
      </c>
      <c r="P97" s="68">
        <f>'дод. 3'!P25</f>
        <v>0</v>
      </c>
      <c r="Q97" s="68">
        <f aca="true" t="shared" si="31" ref="Q97:Q102">R97+U97</f>
        <v>0</v>
      </c>
      <c r="R97" s="68">
        <f>'дод. 3'!R25</f>
        <v>0</v>
      </c>
      <c r="S97" s="68">
        <f>'дод. 3'!S25</f>
        <v>0</v>
      </c>
      <c r="T97" s="68">
        <f>'дод. 3'!T25</f>
        <v>0</v>
      </c>
      <c r="U97" s="68">
        <f>'дод. 3'!U25</f>
        <v>0</v>
      </c>
      <c r="V97" s="117"/>
      <c r="W97" s="68">
        <f aca="true" t="shared" si="32" ref="W97:W102">Q97+H97</f>
        <v>41900.62</v>
      </c>
      <c r="X97" s="169"/>
    </row>
    <row r="98" spans="1:24" s="20" customFormat="1" ht="45">
      <c r="A98" s="23"/>
      <c r="B98" s="27" t="s">
        <v>34</v>
      </c>
      <c r="C98" s="27" t="s">
        <v>185</v>
      </c>
      <c r="D98" s="28" t="s">
        <v>35</v>
      </c>
      <c r="E98" s="68">
        <f>'дод. 3'!E26</f>
        <v>500000</v>
      </c>
      <c r="F98" s="68">
        <f>'дод. 3'!F26</f>
        <v>0</v>
      </c>
      <c r="G98" s="68">
        <f>'дод. 3'!G26</f>
        <v>0</v>
      </c>
      <c r="H98" s="68">
        <f>'дод. 3'!H26</f>
        <v>26432.98</v>
      </c>
      <c r="I98" s="68">
        <f>'дод. 3'!I26</f>
        <v>0</v>
      </c>
      <c r="J98" s="68">
        <f>'дод. 3'!J26</f>
        <v>0</v>
      </c>
      <c r="K98" s="117">
        <f t="shared" si="18"/>
        <v>5.286595999999999</v>
      </c>
      <c r="L98" s="68">
        <f t="shared" si="30"/>
        <v>0</v>
      </c>
      <c r="M98" s="68">
        <f>'дод. 3'!M26</f>
        <v>0</v>
      </c>
      <c r="N98" s="68">
        <f>'дод. 3'!N26</f>
        <v>0</v>
      </c>
      <c r="O98" s="68">
        <f>'дод. 3'!O26</f>
        <v>0</v>
      </c>
      <c r="P98" s="68">
        <f>'дод. 3'!P26</f>
        <v>0</v>
      </c>
      <c r="Q98" s="68">
        <f t="shared" si="31"/>
        <v>0</v>
      </c>
      <c r="R98" s="68">
        <f>'дод. 3'!R26</f>
        <v>0</v>
      </c>
      <c r="S98" s="68">
        <f>'дод. 3'!S26</f>
        <v>0</v>
      </c>
      <c r="T98" s="68">
        <f>'дод. 3'!T26</f>
        <v>0</v>
      </c>
      <c r="U98" s="68">
        <f>'дод. 3'!U26</f>
        <v>0</v>
      </c>
      <c r="V98" s="117"/>
      <c r="W98" s="68">
        <f t="shared" si="32"/>
        <v>26432.98</v>
      </c>
      <c r="X98" s="169"/>
    </row>
    <row r="99" spans="1:24" s="20" customFormat="1" ht="45">
      <c r="A99" s="23"/>
      <c r="B99" s="27" t="s">
        <v>36</v>
      </c>
      <c r="C99" s="27" t="s">
        <v>185</v>
      </c>
      <c r="D99" s="28" t="s">
        <v>37</v>
      </c>
      <c r="E99" s="68">
        <f>'дод. 3'!E27+'дод. 3'!E59</f>
        <v>7647225</v>
      </c>
      <c r="F99" s="68">
        <f>'дод. 3'!F27+'дод. 3'!F59</f>
        <v>5350039</v>
      </c>
      <c r="G99" s="68">
        <f>'дод. 3'!G27+'дод. 3'!G59</f>
        <v>592617</v>
      </c>
      <c r="H99" s="68">
        <f>'дод. 3'!H27+'дод. 3'!H59</f>
        <v>1727539.62</v>
      </c>
      <c r="I99" s="68">
        <f>'дод. 3'!I27+'дод. 3'!I59</f>
        <v>1170851.6600000001</v>
      </c>
      <c r="J99" s="68">
        <f>'дод. 3'!J27+'дод. 3'!J59</f>
        <v>237936.26</v>
      </c>
      <c r="K99" s="117">
        <f t="shared" si="18"/>
        <v>22.590411816050924</v>
      </c>
      <c r="L99" s="68">
        <f t="shared" si="30"/>
        <v>200000</v>
      </c>
      <c r="M99" s="68">
        <f>'дод. 3'!M27+'дод. 3'!M59</f>
        <v>0</v>
      </c>
      <c r="N99" s="68">
        <f>'дод. 3'!N27+'дод. 3'!N59</f>
        <v>0</v>
      </c>
      <c r="O99" s="68">
        <f>'дод. 3'!O27+'дод. 3'!O59</f>
        <v>0</v>
      </c>
      <c r="P99" s="68">
        <f>'дод. 3'!P27+'дод. 3'!P59</f>
        <v>200000</v>
      </c>
      <c r="Q99" s="68">
        <f t="shared" si="31"/>
        <v>0</v>
      </c>
      <c r="R99" s="68">
        <f>'дод. 3'!R27+'дод. 3'!R59</f>
        <v>0</v>
      </c>
      <c r="S99" s="68">
        <f>'дод. 3'!S27+'дод. 3'!S59</f>
        <v>0</v>
      </c>
      <c r="T99" s="68">
        <f>'дод. 3'!T27+'дод. 3'!T59</f>
        <v>0</v>
      </c>
      <c r="U99" s="68">
        <f>'дод. 3'!U27+'дод. 3'!U59</f>
        <v>0</v>
      </c>
      <c r="V99" s="117"/>
      <c r="W99" s="68">
        <f t="shared" si="32"/>
        <v>1727539.62</v>
      </c>
      <c r="X99" s="169"/>
    </row>
    <row r="100" spans="1:24" s="20" customFormat="1" ht="15">
      <c r="A100" s="23"/>
      <c r="B100" s="27" t="s">
        <v>38</v>
      </c>
      <c r="C100" s="27" t="s">
        <v>185</v>
      </c>
      <c r="D100" s="28" t="s">
        <v>25</v>
      </c>
      <c r="E100" s="68">
        <f>'дод. 3'!E28</f>
        <v>2347168</v>
      </c>
      <c r="F100" s="68">
        <f>'дод. 3'!F28</f>
        <v>0</v>
      </c>
      <c r="G100" s="68">
        <f>'дод. 3'!G28</f>
        <v>0</v>
      </c>
      <c r="H100" s="68">
        <f>'дод. 3'!H28</f>
        <v>584253.44</v>
      </c>
      <c r="I100" s="68">
        <f>'дод. 3'!I28</f>
        <v>0</v>
      </c>
      <c r="J100" s="68">
        <f>'дод. 3'!J28</f>
        <v>0</v>
      </c>
      <c r="K100" s="117">
        <f t="shared" si="18"/>
        <v>24.891845832935687</v>
      </c>
      <c r="L100" s="68">
        <f t="shared" si="30"/>
        <v>0</v>
      </c>
      <c r="M100" s="68">
        <f>'дод. 3'!M28</f>
        <v>0</v>
      </c>
      <c r="N100" s="68">
        <f>'дод. 3'!N28</f>
        <v>0</v>
      </c>
      <c r="O100" s="68">
        <f>'дод. 3'!O28</f>
        <v>0</v>
      </c>
      <c r="P100" s="68">
        <f>'дод. 3'!P28</f>
        <v>0</v>
      </c>
      <c r="Q100" s="68">
        <f t="shared" si="31"/>
        <v>0</v>
      </c>
      <c r="R100" s="68">
        <f>'дод. 3'!R28</f>
        <v>0</v>
      </c>
      <c r="S100" s="68">
        <f>'дод. 3'!S28</f>
        <v>0</v>
      </c>
      <c r="T100" s="68">
        <f>'дод. 3'!T28</f>
        <v>0</v>
      </c>
      <c r="U100" s="68">
        <f>'дод. 3'!U28</f>
        <v>0</v>
      </c>
      <c r="V100" s="117"/>
      <c r="W100" s="68">
        <f t="shared" si="32"/>
        <v>584253.44</v>
      </c>
      <c r="X100" s="169"/>
    </row>
    <row r="101" spans="1:24" s="20" customFormat="1" ht="30">
      <c r="A101" s="23"/>
      <c r="B101" s="27" t="s">
        <v>39</v>
      </c>
      <c r="C101" s="27" t="s">
        <v>185</v>
      </c>
      <c r="D101" s="28" t="s">
        <v>40</v>
      </c>
      <c r="E101" s="68">
        <f>'дод. 3'!E29</f>
        <v>1687339</v>
      </c>
      <c r="F101" s="68">
        <f>'дод. 3'!F29</f>
        <v>930306</v>
      </c>
      <c r="G101" s="68">
        <f>'дод. 3'!G29</f>
        <v>384290</v>
      </c>
      <c r="H101" s="68">
        <f>'дод. 3'!H29</f>
        <v>348803</v>
      </c>
      <c r="I101" s="68">
        <f>'дод. 3'!I29</f>
        <v>200381.14</v>
      </c>
      <c r="J101" s="68">
        <f>'дод. 3'!J29</f>
        <v>95203.11</v>
      </c>
      <c r="K101" s="117">
        <f t="shared" si="18"/>
        <v>20.67177964831015</v>
      </c>
      <c r="L101" s="68">
        <f t="shared" si="30"/>
        <v>817714</v>
      </c>
      <c r="M101" s="68">
        <f>'дод. 3'!M29</f>
        <v>317714</v>
      </c>
      <c r="N101" s="68">
        <f>'дод. 3'!N29</f>
        <v>144491</v>
      </c>
      <c r="O101" s="68">
        <f>'дод. 3'!O29</f>
        <v>97628</v>
      </c>
      <c r="P101" s="68">
        <f>'дод. 3'!P29</f>
        <v>500000</v>
      </c>
      <c r="Q101" s="68">
        <f t="shared" si="31"/>
        <v>72088.27</v>
      </c>
      <c r="R101" s="68">
        <f>'дод. 3'!R29</f>
        <v>72088.27</v>
      </c>
      <c r="S101" s="68">
        <f>'дод. 3'!S29</f>
        <v>21663.62</v>
      </c>
      <c r="T101" s="68">
        <f>'дод. 3'!T29</f>
        <v>21129.43</v>
      </c>
      <c r="U101" s="68">
        <f>'дод. 3'!U29</f>
        <v>0</v>
      </c>
      <c r="V101" s="117">
        <f t="shared" si="20"/>
        <v>8.815829250813854</v>
      </c>
      <c r="W101" s="68">
        <f t="shared" si="32"/>
        <v>420891.27</v>
      </c>
      <c r="X101" s="169"/>
    </row>
    <row r="102" spans="1:24" s="20" customFormat="1" ht="75">
      <c r="A102" s="23"/>
      <c r="B102" s="27" t="s">
        <v>41</v>
      </c>
      <c r="C102" s="27" t="s">
        <v>185</v>
      </c>
      <c r="D102" s="28" t="s">
        <v>42</v>
      </c>
      <c r="E102" s="68">
        <f>'дод. 3'!E30</f>
        <v>4086218</v>
      </c>
      <c r="F102" s="68">
        <f>'дод. 3'!F30</f>
        <v>0</v>
      </c>
      <c r="G102" s="68">
        <f>'дод. 3'!G30</f>
        <v>0</v>
      </c>
      <c r="H102" s="68">
        <f>'дод. 3'!H30</f>
        <v>864216.22</v>
      </c>
      <c r="I102" s="68">
        <f>'дод. 3'!I30</f>
        <v>0</v>
      </c>
      <c r="J102" s="68">
        <f>'дод. 3'!J30</f>
        <v>0</v>
      </c>
      <c r="K102" s="117">
        <f t="shared" si="18"/>
        <v>21.149537787753857</v>
      </c>
      <c r="L102" s="68">
        <f t="shared" si="30"/>
        <v>0</v>
      </c>
      <c r="M102" s="68">
        <f>'дод. 3'!M30</f>
        <v>0</v>
      </c>
      <c r="N102" s="68">
        <f>'дод. 3'!N30</f>
        <v>0</v>
      </c>
      <c r="O102" s="68">
        <f>'дод. 3'!O30</f>
        <v>0</v>
      </c>
      <c r="P102" s="68">
        <f>'дод. 3'!P30</f>
        <v>0</v>
      </c>
      <c r="Q102" s="68">
        <f t="shared" si="31"/>
        <v>0</v>
      </c>
      <c r="R102" s="68">
        <f>'дод. 3'!R30</f>
        <v>0</v>
      </c>
      <c r="S102" s="68">
        <f>'дод. 3'!S30</f>
        <v>0</v>
      </c>
      <c r="T102" s="68">
        <f>'дод. 3'!T30</f>
        <v>0</v>
      </c>
      <c r="U102" s="68">
        <f>'дод. 3'!U30</f>
        <v>0</v>
      </c>
      <c r="V102" s="117"/>
      <c r="W102" s="68">
        <f t="shared" si="32"/>
        <v>864216.22</v>
      </c>
      <c r="X102" s="169"/>
    </row>
    <row r="103" spans="1:24" s="20" customFormat="1" ht="15">
      <c r="A103" s="23"/>
      <c r="B103" s="64" t="s">
        <v>269</v>
      </c>
      <c r="C103" s="64"/>
      <c r="D103" s="65" t="s">
        <v>270</v>
      </c>
      <c r="E103" s="67">
        <f>SUM(E104:E105)</f>
        <v>564000</v>
      </c>
      <c r="F103" s="67">
        <f aca="true" t="shared" si="33" ref="F103:W103">SUM(F104:F105)</f>
        <v>0</v>
      </c>
      <c r="G103" s="67">
        <f t="shared" si="33"/>
        <v>0</v>
      </c>
      <c r="H103" s="67">
        <f t="shared" si="33"/>
        <v>0</v>
      </c>
      <c r="I103" s="67">
        <f t="shared" si="33"/>
        <v>0</v>
      </c>
      <c r="J103" s="67">
        <f t="shared" si="33"/>
        <v>0</v>
      </c>
      <c r="K103" s="118">
        <f t="shared" si="18"/>
        <v>0</v>
      </c>
      <c r="L103" s="67">
        <f t="shared" si="33"/>
        <v>91999041.94</v>
      </c>
      <c r="M103" s="67">
        <f t="shared" si="33"/>
        <v>0</v>
      </c>
      <c r="N103" s="67">
        <f t="shared" si="33"/>
        <v>0</v>
      </c>
      <c r="O103" s="67">
        <f t="shared" si="33"/>
        <v>0</v>
      </c>
      <c r="P103" s="67">
        <f t="shared" si="33"/>
        <v>91999041.94</v>
      </c>
      <c r="Q103" s="67">
        <f t="shared" si="33"/>
        <v>7058615</v>
      </c>
      <c r="R103" s="67">
        <f t="shared" si="33"/>
        <v>0</v>
      </c>
      <c r="S103" s="67">
        <f t="shared" si="33"/>
        <v>0</v>
      </c>
      <c r="T103" s="67">
        <f t="shared" si="33"/>
        <v>0</v>
      </c>
      <c r="U103" s="67">
        <f t="shared" si="33"/>
        <v>7058615</v>
      </c>
      <c r="V103" s="118">
        <f t="shared" si="20"/>
        <v>7.672487507645452</v>
      </c>
      <c r="W103" s="67">
        <f t="shared" si="33"/>
        <v>7058615</v>
      </c>
      <c r="X103" s="169"/>
    </row>
    <row r="104" spans="1:24" s="20" customFormat="1" ht="15">
      <c r="A104" s="23"/>
      <c r="B104" s="27" t="s">
        <v>172</v>
      </c>
      <c r="C104" s="27" t="s">
        <v>188</v>
      </c>
      <c r="D104" s="28" t="s">
        <v>173</v>
      </c>
      <c r="E104" s="68">
        <f>'дод. 3'!E149</f>
        <v>0</v>
      </c>
      <c r="F104" s="68">
        <f>'дод. 3'!F149</f>
        <v>0</v>
      </c>
      <c r="G104" s="68">
        <f>'дод. 3'!G149</f>
        <v>0</v>
      </c>
      <c r="H104" s="68">
        <f>'дод. 3'!H149</f>
        <v>0</v>
      </c>
      <c r="I104" s="68">
        <f>'дод. 3'!I149</f>
        <v>0</v>
      </c>
      <c r="J104" s="68">
        <f>'дод. 3'!J149</f>
        <v>0</v>
      </c>
      <c r="K104" s="117"/>
      <c r="L104" s="68">
        <f>M104+P104</f>
        <v>91999041.94</v>
      </c>
      <c r="M104" s="68">
        <f>'дод. 3'!M149</f>
        <v>0</v>
      </c>
      <c r="N104" s="68">
        <f>'дод. 3'!N149</f>
        <v>0</v>
      </c>
      <c r="O104" s="68">
        <f>'дод. 3'!O149</f>
        <v>0</v>
      </c>
      <c r="P104" s="68">
        <f>'дод. 3'!P149</f>
        <v>91999041.94</v>
      </c>
      <c r="Q104" s="68">
        <f>R104+U104</f>
        <v>7058615</v>
      </c>
      <c r="R104" s="68">
        <f>'дод. 3'!R149</f>
        <v>0</v>
      </c>
      <c r="S104" s="68">
        <f>'дод. 3'!S149</f>
        <v>0</v>
      </c>
      <c r="T104" s="68">
        <f>'дод. 3'!T149</f>
        <v>0</v>
      </c>
      <c r="U104" s="68">
        <f>'дод. 3'!U149</f>
        <v>7058615</v>
      </c>
      <c r="V104" s="117">
        <f t="shared" si="20"/>
        <v>7.672487507645452</v>
      </c>
      <c r="W104" s="68">
        <f>Q104+H104</f>
        <v>7058615</v>
      </c>
      <c r="X104" s="169"/>
    </row>
    <row r="105" spans="1:24" s="20" customFormat="1" ht="30">
      <c r="A105" s="23"/>
      <c r="B105" s="27" t="s">
        <v>294</v>
      </c>
      <c r="C105" s="27" t="s">
        <v>295</v>
      </c>
      <c r="D105" s="28" t="s">
        <v>296</v>
      </c>
      <c r="E105" s="68">
        <f>'дод. 3'!E31+'дод. 3'!E129</f>
        <v>564000</v>
      </c>
      <c r="F105" s="68">
        <f>'дод. 3'!F31+'дод. 3'!F129</f>
        <v>0</v>
      </c>
      <c r="G105" s="68">
        <f>'дод. 3'!G31+'дод. 3'!G129</f>
        <v>0</v>
      </c>
      <c r="H105" s="68">
        <f>'дод. 3'!H31+'дод. 3'!H129</f>
        <v>0</v>
      </c>
      <c r="I105" s="68">
        <f>'дод. 3'!I31+'дод. 3'!I129</f>
        <v>0</v>
      </c>
      <c r="J105" s="68">
        <f>'дод. 3'!J31+'дод. 3'!J129</f>
        <v>0</v>
      </c>
      <c r="K105" s="117">
        <f t="shared" si="18"/>
        <v>0</v>
      </c>
      <c r="L105" s="68">
        <f>M105+P105</f>
        <v>0</v>
      </c>
      <c r="M105" s="68">
        <f>'дод. 3'!M31+'дод. 3'!M129</f>
        <v>0</v>
      </c>
      <c r="N105" s="68">
        <f>'дод. 3'!N31+'дод. 3'!N129</f>
        <v>0</v>
      </c>
      <c r="O105" s="68">
        <f>'дод. 3'!O31+'дод. 3'!O129</f>
        <v>0</v>
      </c>
      <c r="P105" s="68">
        <f>'дод. 3'!P31+'дод. 3'!P129</f>
        <v>0</v>
      </c>
      <c r="Q105" s="68">
        <f>R105+U105</f>
        <v>0</v>
      </c>
      <c r="R105" s="68">
        <f>'дод. 3'!R31+'дод. 3'!R129</f>
        <v>0</v>
      </c>
      <c r="S105" s="68">
        <f>'дод. 3'!S31+'дод. 3'!S129</f>
        <v>0</v>
      </c>
      <c r="T105" s="68">
        <f>'дод. 3'!T31+'дод. 3'!T129</f>
        <v>0</v>
      </c>
      <c r="U105" s="68">
        <f>'дод. 3'!U31+'дод. 3'!U129</f>
        <v>0</v>
      </c>
      <c r="V105" s="117"/>
      <c r="W105" s="68">
        <f>Q105+H105</f>
        <v>0</v>
      </c>
      <c r="X105" s="169"/>
    </row>
    <row r="106" spans="1:24" s="20" customFormat="1" ht="28.5">
      <c r="A106" s="23"/>
      <c r="B106" s="64" t="s">
        <v>271</v>
      </c>
      <c r="C106" s="64"/>
      <c r="D106" s="65" t="s">
        <v>272</v>
      </c>
      <c r="E106" s="67">
        <f aca="true" t="shared" si="34" ref="E106:J106">E107</f>
        <v>190500</v>
      </c>
      <c r="F106" s="67">
        <f t="shared" si="34"/>
        <v>0</v>
      </c>
      <c r="G106" s="67">
        <f t="shared" si="34"/>
        <v>0</v>
      </c>
      <c r="H106" s="67">
        <f t="shared" si="34"/>
        <v>0</v>
      </c>
      <c r="I106" s="67">
        <f t="shared" si="34"/>
        <v>0</v>
      </c>
      <c r="J106" s="67">
        <f t="shared" si="34"/>
        <v>0</v>
      </c>
      <c r="K106" s="118">
        <f t="shared" si="18"/>
        <v>0</v>
      </c>
      <c r="L106" s="67">
        <f>L107</f>
        <v>148000</v>
      </c>
      <c r="M106" s="67">
        <f aca="true" t="shared" si="35" ref="M106:U106">M107</f>
        <v>0</v>
      </c>
      <c r="N106" s="67">
        <f t="shared" si="35"/>
        <v>0</v>
      </c>
      <c r="O106" s="67">
        <f t="shared" si="35"/>
        <v>0</v>
      </c>
      <c r="P106" s="67">
        <f t="shared" si="35"/>
        <v>148000</v>
      </c>
      <c r="Q106" s="67">
        <f>Q107</f>
        <v>3500</v>
      </c>
      <c r="R106" s="67">
        <f t="shared" si="35"/>
        <v>0</v>
      </c>
      <c r="S106" s="67">
        <f t="shared" si="35"/>
        <v>0</v>
      </c>
      <c r="T106" s="67">
        <f t="shared" si="35"/>
        <v>0</v>
      </c>
      <c r="U106" s="67">
        <f t="shared" si="35"/>
        <v>3500</v>
      </c>
      <c r="V106" s="118">
        <f t="shared" si="20"/>
        <v>2.364864864864865</v>
      </c>
      <c r="W106" s="67">
        <f>W107</f>
        <v>3500</v>
      </c>
      <c r="X106" s="169"/>
    </row>
    <row r="107" spans="1:24" s="20" customFormat="1" ht="15">
      <c r="A107" s="23"/>
      <c r="B107" s="27" t="s">
        <v>164</v>
      </c>
      <c r="C107" s="27" t="s">
        <v>218</v>
      </c>
      <c r="D107" s="28" t="s">
        <v>165</v>
      </c>
      <c r="E107" s="68">
        <f>'дод. 3'!E130+'дод. 3'!E143+'дод. 3'!E156</f>
        <v>190500</v>
      </c>
      <c r="F107" s="68">
        <f>'дод. 3'!F130+'дод. 3'!F143+'дод. 3'!F156</f>
        <v>0</v>
      </c>
      <c r="G107" s="68">
        <f>'дод. 3'!G130+'дод. 3'!G143+'дод. 3'!G156</f>
        <v>0</v>
      </c>
      <c r="H107" s="68">
        <f>'дод. 3'!H130+'дод. 3'!H143+'дод. 3'!H156</f>
        <v>0</v>
      </c>
      <c r="I107" s="68">
        <f>'дод. 3'!I130+'дод. 3'!I143+'дод. 3'!I156</f>
        <v>0</v>
      </c>
      <c r="J107" s="68">
        <f>'дод. 3'!J130+'дод. 3'!J143+'дод. 3'!J156</f>
        <v>0</v>
      </c>
      <c r="K107" s="117">
        <f t="shared" si="18"/>
        <v>0</v>
      </c>
      <c r="L107" s="68">
        <f>M107+P107</f>
        <v>148000</v>
      </c>
      <c r="M107" s="68">
        <f>'дод. 3'!M130+'дод. 3'!M143+'дод. 3'!M156</f>
        <v>0</v>
      </c>
      <c r="N107" s="68">
        <f>'дод. 3'!N130+'дод. 3'!N143+'дод. 3'!N156</f>
        <v>0</v>
      </c>
      <c r="O107" s="68">
        <f>'дод. 3'!O130+'дод. 3'!O143+'дод. 3'!O156</f>
        <v>0</v>
      </c>
      <c r="P107" s="68">
        <f>'дод. 3'!P130+'дод. 3'!P143+'дод. 3'!P156</f>
        <v>148000</v>
      </c>
      <c r="Q107" s="68">
        <f>R107+U107</f>
        <v>3500</v>
      </c>
      <c r="R107" s="68">
        <f>'дод. 3'!R130+'дод. 3'!R143+'дод. 3'!R156</f>
        <v>0</v>
      </c>
      <c r="S107" s="68">
        <f>'дод. 3'!S130+'дод. 3'!S143+'дод. 3'!S156</f>
        <v>0</v>
      </c>
      <c r="T107" s="68">
        <f>'дод. 3'!T130+'дод. 3'!T143+'дод. 3'!T156</f>
        <v>0</v>
      </c>
      <c r="U107" s="68">
        <f>'дод. 3'!U130+'дод. 3'!U143+'дод. 3'!U156</f>
        <v>3500</v>
      </c>
      <c r="V107" s="117">
        <f t="shared" si="20"/>
        <v>2.364864864864865</v>
      </c>
      <c r="W107" s="68">
        <f>Q107+H107</f>
        <v>3500</v>
      </c>
      <c r="X107" s="169"/>
    </row>
    <row r="108" spans="1:24" s="20" customFormat="1" ht="42.75">
      <c r="A108" s="23"/>
      <c r="B108" s="64" t="s">
        <v>273</v>
      </c>
      <c r="C108" s="64"/>
      <c r="D108" s="65" t="s">
        <v>274</v>
      </c>
      <c r="E108" s="67">
        <f>SUM(E109:E113)</f>
        <v>13511340</v>
      </c>
      <c r="F108" s="67">
        <f aca="true" t="shared" si="36" ref="F108:W108">SUM(F109:F113)</f>
        <v>0</v>
      </c>
      <c r="G108" s="67">
        <f t="shared" si="36"/>
        <v>0</v>
      </c>
      <c r="H108" s="67">
        <f t="shared" si="36"/>
        <v>8362405.7299999995</v>
      </c>
      <c r="I108" s="67">
        <f t="shared" si="36"/>
        <v>0</v>
      </c>
      <c r="J108" s="67">
        <f t="shared" si="36"/>
        <v>0</v>
      </c>
      <c r="K108" s="118">
        <f t="shared" si="18"/>
        <v>61.89175707220749</v>
      </c>
      <c r="L108" s="67">
        <f t="shared" si="36"/>
        <v>0</v>
      </c>
      <c r="M108" s="67">
        <f t="shared" si="36"/>
        <v>0</v>
      </c>
      <c r="N108" s="67">
        <f t="shared" si="36"/>
        <v>0</v>
      </c>
      <c r="O108" s="67">
        <f t="shared" si="36"/>
        <v>0</v>
      </c>
      <c r="P108" s="67">
        <f t="shared" si="36"/>
        <v>0</v>
      </c>
      <c r="Q108" s="67">
        <f t="shared" si="36"/>
        <v>0</v>
      </c>
      <c r="R108" s="67">
        <f t="shared" si="36"/>
        <v>0</v>
      </c>
      <c r="S108" s="67">
        <f t="shared" si="36"/>
        <v>0</v>
      </c>
      <c r="T108" s="67">
        <f t="shared" si="36"/>
        <v>0</v>
      </c>
      <c r="U108" s="67">
        <f t="shared" si="36"/>
        <v>0</v>
      </c>
      <c r="V108" s="118"/>
      <c r="W108" s="67">
        <f t="shared" si="36"/>
        <v>8362405.7299999995</v>
      </c>
      <c r="X108" s="169"/>
    </row>
    <row r="109" spans="1:24" s="20" customFormat="1" ht="35.25" customHeight="1">
      <c r="A109" s="23"/>
      <c r="B109" s="103" t="s">
        <v>305</v>
      </c>
      <c r="C109" s="103" t="s">
        <v>307</v>
      </c>
      <c r="D109" s="104" t="s">
        <v>308</v>
      </c>
      <c r="E109" s="105">
        <f>'дод. 3'!E32</f>
        <v>1642000</v>
      </c>
      <c r="F109" s="67">
        <f>'дод. 3'!F32</f>
        <v>0</v>
      </c>
      <c r="G109" s="67">
        <f>'дод. 3'!G32</f>
        <v>0</v>
      </c>
      <c r="H109" s="105">
        <f>'дод. 3'!H32</f>
        <v>109595.5</v>
      </c>
      <c r="I109" s="67">
        <f>'дод. 3'!I32</f>
        <v>0</v>
      </c>
      <c r="J109" s="67">
        <f>'дод. 3'!J32</f>
        <v>0</v>
      </c>
      <c r="K109" s="121">
        <f t="shared" si="18"/>
        <v>6.674512789281365</v>
      </c>
      <c r="L109" s="68">
        <f>M109+P109</f>
        <v>0</v>
      </c>
      <c r="M109" s="105">
        <f>'дод. 3'!M32</f>
        <v>0</v>
      </c>
      <c r="N109" s="105">
        <f>'дод. 3'!N32</f>
        <v>0</v>
      </c>
      <c r="O109" s="105">
        <f>'дод. 3'!O32</f>
        <v>0</v>
      </c>
      <c r="P109" s="105">
        <f>'дод. 3'!P32</f>
        <v>0</v>
      </c>
      <c r="Q109" s="68">
        <f>R109+U109</f>
        <v>0</v>
      </c>
      <c r="R109" s="105">
        <f>'дод. 3'!R32</f>
        <v>0</v>
      </c>
      <c r="S109" s="105">
        <f>'дод. 3'!S32</f>
        <v>0</v>
      </c>
      <c r="T109" s="105">
        <f>'дод. 3'!T32</f>
        <v>0</v>
      </c>
      <c r="U109" s="105">
        <f>'дод. 3'!U32</f>
        <v>0</v>
      </c>
      <c r="V109" s="121"/>
      <c r="W109" s="68">
        <f>Q109+H109</f>
        <v>109595.5</v>
      </c>
      <c r="X109" s="169"/>
    </row>
    <row r="110" spans="1:24" s="20" customFormat="1" ht="30">
      <c r="A110" s="23"/>
      <c r="B110" s="27" t="s">
        <v>315</v>
      </c>
      <c r="C110" s="27" t="s">
        <v>307</v>
      </c>
      <c r="D110" s="28" t="s">
        <v>317</v>
      </c>
      <c r="E110" s="68">
        <f>'дод. 3'!E33</f>
        <v>506400</v>
      </c>
      <c r="F110" s="68">
        <f>'дод. 3'!F33</f>
        <v>0</v>
      </c>
      <c r="G110" s="68">
        <f>'дод. 3'!G33</f>
        <v>0</v>
      </c>
      <c r="H110" s="68">
        <f>'дод. 3'!H33</f>
        <v>490215.42</v>
      </c>
      <c r="I110" s="68">
        <f>'дод. 3'!I33</f>
        <v>0</v>
      </c>
      <c r="J110" s="68">
        <f>'дод. 3'!J33</f>
        <v>0</v>
      </c>
      <c r="K110" s="117">
        <f t="shared" si="18"/>
        <v>96.80399289099526</v>
      </c>
      <c r="L110" s="68">
        <f>M110+P110</f>
        <v>0</v>
      </c>
      <c r="M110" s="68">
        <f>'дод. 3'!M33</f>
        <v>0</v>
      </c>
      <c r="N110" s="68">
        <f>'дод. 3'!N33</f>
        <v>0</v>
      </c>
      <c r="O110" s="68">
        <f>'дод. 3'!O33</f>
        <v>0</v>
      </c>
      <c r="P110" s="68">
        <f>'дод. 3'!P33</f>
        <v>0</v>
      </c>
      <c r="Q110" s="68">
        <f>R110+U110</f>
        <v>0</v>
      </c>
      <c r="R110" s="68">
        <f>'дод. 3'!R33</f>
        <v>0</v>
      </c>
      <c r="S110" s="68">
        <f>'дод. 3'!S33</f>
        <v>0</v>
      </c>
      <c r="T110" s="68">
        <f>'дод. 3'!T33</f>
        <v>0</v>
      </c>
      <c r="U110" s="68">
        <f>'дод. 3'!U33</f>
        <v>0</v>
      </c>
      <c r="V110" s="117"/>
      <c r="W110" s="68">
        <f>Q110+H110</f>
        <v>490215.42</v>
      </c>
      <c r="X110" s="169"/>
    </row>
    <row r="111" spans="1:24" s="20" customFormat="1" ht="30">
      <c r="A111" s="23"/>
      <c r="B111" s="27" t="s">
        <v>306</v>
      </c>
      <c r="C111" s="27" t="s">
        <v>310</v>
      </c>
      <c r="D111" s="28" t="s">
        <v>309</v>
      </c>
      <c r="E111" s="68">
        <f>'дод. 3'!E34</f>
        <v>3607600</v>
      </c>
      <c r="F111" s="68">
        <f>'дод. 3'!F34</f>
        <v>0</v>
      </c>
      <c r="G111" s="68">
        <f>'дод. 3'!G34</f>
        <v>0</v>
      </c>
      <c r="H111" s="68">
        <f>'дод. 3'!H34</f>
        <v>303741.5</v>
      </c>
      <c r="I111" s="68">
        <f>'дод. 3'!I34</f>
        <v>0</v>
      </c>
      <c r="J111" s="68">
        <f>'дод. 3'!J34</f>
        <v>0</v>
      </c>
      <c r="K111" s="117">
        <f t="shared" si="18"/>
        <v>8.419489411242932</v>
      </c>
      <c r="L111" s="68">
        <f>M111+P111</f>
        <v>0</v>
      </c>
      <c r="M111" s="68">
        <f>'дод. 3'!M34</f>
        <v>0</v>
      </c>
      <c r="N111" s="68">
        <f>'дод. 3'!N34</f>
        <v>0</v>
      </c>
      <c r="O111" s="68">
        <f>'дод. 3'!O34</f>
        <v>0</v>
      </c>
      <c r="P111" s="68">
        <f>'дод. 3'!P34</f>
        <v>0</v>
      </c>
      <c r="Q111" s="68">
        <f>R111+U111</f>
        <v>0</v>
      </c>
      <c r="R111" s="68">
        <f>'дод. 3'!R34</f>
        <v>0</v>
      </c>
      <c r="S111" s="68">
        <f>'дод. 3'!S34</f>
        <v>0</v>
      </c>
      <c r="T111" s="68">
        <f>'дод. 3'!T34</f>
        <v>0</v>
      </c>
      <c r="U111" s="68">
        <f>'дод. 3'!U34</f>
        <v>0</v>
      </c>
      <c r="V111" s="117"/>
      <c r="W111" s="68">
        <f>Q111+H111</f>
        <v>303741.5</v>
      </c>
      <c r="X111" s="169"/>
    </row>
    <row r="112" spans="1:24" s="20" customFormat="1" ht="45">
      <c r="A112" s="23"/>
      <c r="B112" s="27" t="s">
        <v>148</v>
      </c>
      <c r="C112" s="27" t="s">
        <v>208</v>
      </c>
      <c r="D112" s="28" t="s">
        <v>149</v>
      </c>
      <c r="E112" s="68">
        <f>'дод. 3'!E111+'дод. 3'!E35</f>
        <v>162500</v>
      </c>
      <c r="F112" s="68">
        <f>'дод. 3'!F111+'дод. 3'!F35</f>
        <v>0</v>
      </c>
      <c r="G112" s="68">
        <f>'дод. 3'!G111+'дод. 3'!G35</f>
        <v>0</v>
      </c>
      <c r="H112" s="68">
        <f>'дод. 3'!H111+'дод. 3'!H35</f>
        <v>2892.5</v>
      </c>
      <c r="I112" s="68">
        <f>'дод. 3'!I111+'дод. 3'!I35</f>
        <v>0</v>
      </c>
      <c r="J112" s="68">
        <f>'дод. 3'!J111+'дод. 3'!J35</f>
        <v>0</v>
      </c>
      <c r="K112" s="117">
        <f t="shared" si="18"/>
        <v>1.78</v>
      </c>
      <c r="L112" s="68">
        <f>M112+P112</f>
        <v>0</v>
      </c>
      <c r="M112" s="68">
        <f>'дод. 3'!M111+'дод. 3'!M35</f>
        <v>0</v>
      </c>
      <c r="N112" s="68">
        <f>'дод. 3'!N111+'дод. 3'!N35</f>
        <v>0</v>
      </c>
      <c r="O112" s="68">
        <f>'дод. 3'!O111+'дод. 3'!O35</f>
        <v>0</v>
      </c>
      <c r="P112" s="68">
        <f>'дод. 3'!P111+'дод. 3'!P35</f>
        <v>0</v>
      </c>
      <c r="Q112" s="68">
        <f>R112+U112</f>
        <v>0</v>
      </c>
      <c r="R112" s="68">
        <f>'дод. 3'!R111+'дод. 3'!R35</f>
        <v>0</v>
      </c>
      <c r="S112" s="68">
        <f>'дод. 3'!S111+'дод. 3'!S35</f>
        <v>0</v>
      </c>
      <c r="T112" s="68">
        <f>'дод. 3'!T111+'дод. 3'!T35</f>
        <v>0</v>
      </c>
      <c r="U112" s="68">
        <f>'дод. 3'!U111+'дод. 3'!U35</f>
        <v>0</v>
      </c>
      <c r="V112" s="117"/>
      <c r="W112" s="68">
        <f>Q112+H112</f>
        <v>2892.5</v>
      </c>
      <c r="X112" s="169"/>
    </row>
    <row r="113" spans="1:24" s="20" customFormat="1" ht="15">
      <c r="A113" s="23"/>
      <c r="B113" s="27" t="s">
        <v>43</v>
      </c>
      <c r="C113" s="27" t="s">
        <v>186</v>
      </c>
      <c r="D113" s="28" t="s">
        <v>44</v>
      </c>
      <c r="E113" s="68">
        <f>'дод. 3'!E36</f>
        <v>7592840</v>
      </c>
      <c r="F113" s="68">
        <f>'дод. 3'!F36</f>
        <v>0</v>
      </c>
      <c r="G113" s="68">
        <f>'дод. 3'!G36</f>
        <v>0</v>
      </c>
      <c r="H113" s="68">
        <f>'дод. 3'!H36</f>
        <v>7455960.81</v>
      </c>
      <c r="I113" s="68">
        <f>'дод. 3'!I36</f>
        <v>0</v>
      </c>
      <c r="J113" s="68">
        <f>'дод. 3'!J36</f>
        <v>0</v>
      </c>
      <c r="K113" s="117">
        <f t="shared" si="18"/>
        <v>98.1972596551488</v>
      </c>
      <c r="L113" s="68">
        <f>M113+P113</f>
        <v>0</v>
      </c>
      <c r="M113" s="68">
        <f>'дод. 3'!M36</f>
        <v>0</v>
      </c>
      <c r="N113" s="68">
        <f>'дод. 3'!N36</f>
        <v>0</v>
      </c>
      <c r="O113" s="68">
        <f>'дод. 3'!O36</f>
        <v>0</v>
      </c>
      <c r="P113" s="68">
        <f>'дод. 3'!P36</f>
        <v>0</v>
      </c>
      <c r="Q113" s="68">
        <f>R113+U113</f>
        <v>0</v>
      </c>
      <c r="R113" s="68">
        <f>'дод. 3'!R36</f>
        <v>0</v>
      </c>
      <c r="S113" s="68">
        <f>'дод. 3'!S36</f>
        <v>0</v>
      </c>
      <c r="T113" s="68">
        <f>'дод. 3'!T36</f>
        <v>0</v>
      </c>
      <c r="U113" s="68">
        <f>'дод. 3'!U36</f>
        <v>0</v>
      </c>
      <c r="V113" s="117"/>
      <c r="W113" s="68">
        <f>Q113+H113</f>
        <v>7455960.81</v>
      </c>
      <c r="X113" s="169"/>
    </row>
    <row r="114" spans="1:24" s="20" customFormat="1" ht="28.5">
      <c r="A114" s="23"/>
      <c r="B114" s="61" t="s">
        <v>275</v>
      </c>
      <c r="C114" s="61"/>
      <c r="D114" s="62" t="s">
        <v>276</v>
      </c>
      <c r="E114" s="67">
        <f aca="true" t="shared" si="37" ref="E114:J114">E115+E116+E117+E118</f>
        <v>1452300</v>
      </c>
      <c r="F114" s="67">
        <f t="shared" si="37"/>
        <v>0</v>
      </c>
      <c r="G114" s="67">
        <f t="shared" si="37"/>
        <v>0</v>
      </c>
      <c r="H114" s="67">
        <f t="shared" si="37"/>
        <v>155180.42</v>
      </c>
      <c r="I114" s="67">
        <f t="shared" si="37"/>
        <v>0</v>
      </c>
      <c r="J114" s="67">
        <f t="shared" si="37"/>
        <v>0</v>
      </c>
      <c r="K114" s="118">
        <f t="shared" si="18"/>
        <v>10.685149073882808</v>
      </c>
      <c r="L114" s="67">
        <f aca="true" t="shared" si="38" ref="L114:U114">L115+L116+L117+L118</f>
        <v>73063400</v>
      </c>
      <c r="M114" s="67">
        <f t="shared" si="38"/>
        <v>0</v>
      </c>
      <c r="N114" s="67">
        <f t="shared" si="38"/>
        <v>0</v>
      </c>
      <c r="O114" s="67">
        <f t="shared" si="38"/>
        <v>0</v>
      </c>
      <c r="P114" s="67">
        <f t="shared" si="38"/>
        <v>73063400</v>
      </c>
      <c r="Q114" s="67">
        <f>Q115+Q116+Q117+Q118</f>
        <v>5677200</v>
      </c>
      <c r="R114" s="67">
        <f t="shared" si="38"/>
        <v>0</v>
      </c>
      <c r="S114" s="67">
        <f t="shared" si="38"/>
        <v>0</v>
      </c>
      <c r="T114" s="67">
        <f t="shared" si="38"/>
        <v>0</v>
      </c>
      <c r="U114" s="67">
        <f t="shared" si="38"/>
        <v>5677200</v>
      </c>
      <c r="V114" s="118">
        <f t="shared" si="20"/>
        <v>7.77023790297194</v>
      </c>
      <c r="W114" s="67">
        <f>W115+W116+W117+W118</f>
        <v>5832380.42</v>
      </c>
      <c r="X114" s="169"/>
    </row>
    <row r="115" spans="1:24" s="20" customFormat="1" ht="30">
      <c r="A115" s="23"/>
      <c r="B115" s="27" t="s">
        <v>45</v>
      </c>
      <c r="C115" s="27" t="s">
        <v>187</v>
      </c>
      <c r="D115" s="28" t="s">
        <v>46</v>
      </c>
      <c r="E115" s="68">
        <f>'дод. 3'!E37</f>
        <v>85000</v>
      </c>
      <c r="F115" s="68">
        <f>'дод. 3'!F37</f>
        <v>0</v>
      </c>
      <c r="G115" s="68">
        <f>'дод. 3'!G37</f>
        <v>0</v>
      </c>
      <c r="H115" s="68">
        <f>'дод. 3'!H37</f>
        <v>19956</v>
      </c>
      <c r="I115" s="68">
        <f>'дод. 3'!I37</f>
        <v>0</v>
      </c>
      <c r="J115" s="68">
        <f>'дод. 3'!J37</f>
        <v>0</v>
      </c>
      <c r="K115" s="117">
        <f t="shared" si="18"/>
        <v>23.47764705882353</v>
      </c>
      <c r="L115" s="68">
        <f aca="true" t="shared" si="39" ref="L115:L120">M115+P115</f>
        <v>0</v>
      </c>
      <c r="M115" s="68">
        <f>'дод. 3'!M37</f>
        <v>0</v>
      </c>
      <c r="N115" s="68">
        <f>'дод. 3'!N37</f>
        <v>0</v>
      </c>
      <c r="O115" s="68">
        <f>'дод. 3'!O37</f>
        <v>0</v>
      </c>
      <c r="P115" s="68">
        <f>'дод. 3'!P37</f>
        <v>0</v>
      </c>
      <c r="Q115" s="68">
        <f aca="true" t="shared" si="40" ref="Q115:Q120">R115+U115</f>
        <v>0</v>
      </c>
      <c r="R115" s="68">
        <f>'дод. 3'!R37</f>
        <v>0</v>
      </c>
      <c r="S115" s="68">
        <f>'дод. 3'!S37</f>
        <v>0</v>
      </c>
      <c r="T115" s="68">
        <f>'дод. 3'!T37</f>
        <v>0</v>
      </c>
      <c r="U115" s="68">
        <f>'дод. 3'!U37</f>
        <v>0</v>
      </c>
      <c r="V115" s="117"/>
      <c r="W115" s="68">
        <f aca="true" t="shared" si="41" ref="W115:W120">Q115+H115</f>
        <v>19956</v>
      </c>
      <c r="X115" s="169"/>
    </row>
    <row r="116" spans="1:24" s="20" customFormat="1" ht="15">
      <c r="A116" s="23"/>
      <c r="B116" s="27" t="s">
        <v>166</v>
      </c>
      <c r="C116" s="27" t="s">
        <v>219</v>
      </c>
      <c r="D116" s="28" t="s">
        <v>167</v>
      </c>
      <c r="E116" s="68">
        <f>'дод. 3'!E131</f>
        <v>530000</v>
      </c>
      <c r="F116" s="68">
        <f>'дод. 3'!F131</f>
        <v>0</v>
      </c>
      <c r="G116" s="68">
        <f>'дод. 3'!G131</f>
        <v>0</v>
      </c>
      <c r="H116" s="68">
        <f>'дод. 3'!H131</f>
        <v>128428.78</v>
      </c>
      <c r="I116" s="68">
        <f>'дод. 3'!I131</f>
        <v>0</v>
      </c>
      <c r="J116" s="68">
        <f>'дод. 3'!J131</f>
        <v>0</v>
      </c>
      <c r="K116" s="117">
        <f t="shared" si="18"/>
        <v>24.231845283018867</v>
      </c>
      <c r="L116" s="68">
        <f t="shared" si="39"/>
        <v>0</v>
      </c>
      <c r="M116" s="68">
        <f>'дод. 3'!M131</f>
        <v>0</v>
      </c>
      <c r="N116" s="68">
        <f>'дод. 3'!N131</f>
        <v>0</v>
      </c>
      <c r="O116" s="68">
        <f>'дод. 3'!O131</f>
        <v>0</v>
      </c>
      <c r="P116" s="68">
        <f>'дод. 3'!P131</f>
        <v>0</v>
      </c>
      <c r="Q116" s="68">
        <f t="shared" si="40"/>
        <v>0</v>
      </c>
      <c r="R116" s="68">
        <f>'дод. 3'!R131</f>
        <v>0</v>
      </c>
      <c r="S116" s="68">
        <f>'дод. 3'!S131</f>
        <v>0</v>
      </c>
      <c r="T116" s="68">
        <f>'дод. 3'!T131</f>
        <v>0</v>
      </c>
      <c r="U116" s="68">
        <f>'дод. 3'!U131</f>
        <v>0</v>
      </c>
      <c r="V116" s="117"/>
      <c r="W116" s="68">
        <f t="shared" si="41"/>
        <v>128428.78</v>
      </c>
      <c r="X116" s="169"/>
    </row>
    <row r="117" spans="1:24" s="20" customFormat="1" ht="60">
      <c r="A117" s="23"/>
      <c r="B117" s="27" t="s">
        <v>47</v>
      </c>
      <c r="C117" s="27" t="s">
        <v>188</v>
      </c>
      <c r="D117" s="28" t="s">
        <v>48</v>
      </c>
      <c r="E117" s="68">
        <f>'дод. 3'!E38+'дод. 3'!E132+'дод. 3'!E150</f>
        <v>0</v>
      </c>
      <c r="F117" s="68">
        <f>'дод. 3'!F38+'дод. 3'!F132+'дод. 3'!F150</f>
        <v>0</v>
      </c>
      <c r="G117" s="68">
        <f>'дод. 3'!G38+'дод. 3'!G132+'дод. 3'!G150</f>
        <v>0</v>
      </c>
      <c r="H117" s="68">
        <f>'дод. 3'!H38+'дод. 3'!H132+'дод. 3'!H150</f>
        <v>0</v>
      </c>
      <c r="I117" s="68">
        <f>'дод. 3'!I38+'дод. 3'!I132+'дод. 3'!I150</f>
        <v>0</v>
      </c>
      <c r="J117" s="68">
        <f>'дод. 3'!J38+'дод. 3'!J132+'дод. 3'!J150</f>
        <v>0</v>
      </c>
      <c r="K117" s="117"/>
      <c r="L117" s="68">
        <f t="shared" si="39"/>
        <v>73063400</v>
      </c>
      <c r="M117" s="68">
        <f>'дод. 3'!M38+'дод. 3'!M132+'дод. 3'!M150</f>
        <v>0</v>
      </c>
      <c r="N117" s="68">
        <f>'дод. 3'!N38+'дод. 3'!N132+'дод. 3'!N150</f>
        <v>0</v>
      </c>
      <c r="O117" s="68">
        <f>'дод. 3'!O38+'дод. 3'!O132+'дод. 3'!O150</f>
        <v>0</v>
      </c>
      <c r="P117" s="68">
        <f>'дод. 3'!P38+'дод. 3'!P132+'дод. 3'!P150</f>
        <v>73063400</v>
      </c>
      <c r="Q117" s="68">
        <f t="shared" si="40"/>
        <v>5677200</v>
      </c>
      <c r="R117" s="68">
        <f>'дод. 3'!R38+'дод. 3'!R132+'дод. 3'!R150</f>
        <v>0</v>
      </c>
      <c r="S117" s="68">
        <f>'дод. 3'!S38+'дод. 3'!S132+'дод. 3'!S150</f>
        <v>0</v>
      </c>
      <c r="T117" s="68">
        <f>'дод. 3'!T38+'дод. 3'!T132+'дод. 3'!T150</f>
        <v>0</v>
      </c>
      <c r="U117" s="68">
        <f>'дод. 3'!U38+'дод. 3'!U132+'дод. 3'!U150</f>
        <v>5677200</v>
      </c>
      <c r="V117" s="117">
        <f t="shared" si="20"/>
        <v>7.77023790297194</v>
      </c>
      <c r="W117" s="68">
        <f t="shared" si="41"/>
        <v>5677200</v>
      </c>
      <c r="X117" s="169"/>
    </row>
    <row r="118" spans="1:24" s="20" customFormat="1" ht="30">
      <c r="A118" s="23"/>
      <c r="B118" s="27" t="s">
        <v>49</v>
      </c>
      <c r="C118" s="27" t="s">
        <v>187</v>
      </c>
      <c r="D118" s="28" t="s">
        <v>50</v>
      </c>
      <c r="E118" s="68">
        <f>'дод. 3'!E39</f>
        <v>837300</v>
      </c>
      <c r="F118" s="68">
        <f>'дод. 3'!F39</f>
        <v>0</v>
      </c>
      <c r="G118" s="68">
        <f>'дод. 3'!G39</f>
        <v>0</v>
      </c>
      <c r="H118" s="68">
        <f>'дод. 3'!H39</f>
        <v>6795.64</v>
      </c>
      <c r="I118" s="68">
        <f>'дод. 3'!I39</f>
        <v>0</v>
      </c>
      <c r="J118" s="68">
        <f>'дод. 3'!J39</f>
        <v>0</v>
      </c>
      <c r="K118" s="117">
        <f t="shared" si="18"/>
        <v>0.8116135196464827</v>
      </c>
      <c r="L118" s="68">
        <f t="shared" si="39"/>
        <v>0</v>
      </c>
      <c r="M118" s="68">
        <f>'дод. 3'!M39</f>
        <v>0</v>
      </c>
      <c r="N118" s="68">
        <f>'дод. 3'!N39</f>
        <v>0</v>
      </c>
      <c r="O118" s="68">
        <f>'дод. 3'!O39</f>
        <v>0</v>
      </c>
      <c r="P118" s="68">
        <f>'дод. 3'!P39</f>
        <v>0</v>
      </c>
      <c r="Q118" s="68">
        <f t="shared" si="40"/>
        <v>0</v>
      </c>
      <c r="R118" s="68">
        <f>'дод. 3'!R39</f>
        <v>0</v>
      </c>
      <c r="S118" s="68">
        <f>'дод. 3'!S39</f>
        <v>0</v>
      </c>
      <c r="T118" s="68">
        <f>'дод. 3'!T39</f>
        <v>0</v>
      </c>
      <c r="U118" s="68">
        <f>'дод. 3'!U39</f>
        <v>0</v>
      </c>
      <c r="V118" s="117"/>
      <c r="W118" s="68">
        <f t="shared" si="41"/>
        <v>6795.64</v>
      </c>
      <c r="X118" s="169"/>
    </row>
    <row r="119" spans="1:24" s="20" customFormat="1" ht="28.5">
      <c r="A119" s="23"/>
      <c r="B119" s="64" t="s">
        <v>297</v>
      </c>
      <c r="C119" s="64"/>
      <c r="D119" s="65" t="s">
        <v>298</v>
      </c>
      <c r="E119" s="67">
        <f>E120</f>
        <v>158800</v>
      </c>
      <c r="F119" s="67">
        <f aca="true" t="shared" si="42" ref="F119:U119">F120</f>
        <v>0</v>
      </c>
      <c r="G119" s="67">
        <f t="shared" si="42"/>
        <v>0</v>
      </c>
      <c r="H119" s="67">
        <f t="shared" si="42"/>
        <v>0</v>
      </c>
      <c r="I119" s="67">
        <f t="shared" si="42"/>
        <v>0</v>
      </c>
      <c r="J119" s="67">
        <f t="shared" si="42"/>
        <v>0</v>
      </c>
      <c r="K119" s="118">
        <f t="shared" si="18"/>
        <v>0</v>
      </c>
      <c r="L119" s="68">
        <f t="shared" si="39"/>
        <v>0</v>
      </c>
      <c r="M119" s="67">
        <f t="shared" si="42"/>
        <v>0</v>
      </c>
      <c r="N119" s="67">
        <f t="shared" si="42"/>
        <v>0</v>
      </c>
      <c r="O119" s="67">
        <f t="shared" si="42"/>
        <v>0</v>
      </c>
      <c r="P119" s="67">
        <f t="shared" si="42"/>
        <v>0</v>
      </c>
      <c r="Q119" s="68">
        <f t="shared" si="40"/>
        <v>0</v>
      </c>
      <c r="R119" s="67">
        <f t="shared" si="42"/>
        <v>0</v>
      </c>
      <c r="S119" s="67">
        <f t="shared" si="42"/>
        <v>0</v>
      </c>
      <c r="T119" s="67">
        <f t="shared" si="42"/>
        <v>0</v>
      </c>
      <c r="U119" s="67">
        <f t="shared" si="42"/>
        <v>0</v>
      </c>
      <c r="V119" s="118"/>
      <c r="W119" s="68">
        <f t="shared" si="41"/>
        <v>0</v>
      </c>
      <c r="X119" s="169"/>
    </row>
    <row r="120" spans="1:24" s="20" customFormat="1" ht="15">
      <c r="A120" s="23"/>
      <c r="B120" s="27" t="s">
        <v>293</v>
      </c>
      <c r="C120" s="27" t="s">
        <v>199</v>
      </c>
      <c r="D120" s="28" t="s">
        <v>83</v>
      </c>
      <c r="E120" s="68">
        <f>'дод. 3'!E133</f>
        <v>158800</v>
      </c>
      <c r="F120" s="68">
        <f>'дод. 3'!F133</f>
        <v>0</v>
      </c>
      <c r="G120" s="68">
        <f>'дод. 3'!G133</f>
        <v>0</v>
      </c>
      <c r="H120" s="68">
        <f>'дод. 3'!H133</f>
        <v>0</v>
      </c>
      <c r="I120" s="68">
        <f>'дод. 3'!I133</f>
        <v>0</v>
      </c>
      <c r="J120" s="68">
        <f>'дод. 3'!J133</f>
        <v>0</v>
      </c>
      <c r="K120" s="117">
        <f t="shared" si="18"/>
        <v>0</v>
      </c>
      <c r="L120" s="68">
        <f t="shared" si="39"/>
        <v>0</v>
      </c>
      <c r="M120" s="68">
        <f>'дод. 3'!M133</f>
        <v>0</v>
      </c>
      <c r="N120" s="68">
        <f>'дод. 3'!N133</f>
        <v>0</v>
      </c>
      <c r="O120" s="68">
        <f>'дод. 3'!O133</f>
        <v>0</v>
      </c>
      <c r="P120" s="68">
        <f>'дод. 3'!P133</f>
        <v>0</v>
      </c>
      <c r="Q120" s="68">
        <f t="shared" si="40"/>
        <v>0</v>
      </c>
      <c r="R120" s="68">
        <f>'дод. 3'!R133</f>
        <v>0</v>
      </c>
      <c r="S120" s="68">
        <f>'дод. 3'!S133</f>
        <v>0</v>
      </c>
      <c r="T120" s="68">
        <f>'дод. 3'!T133</f>
        <v>0</v>
      </c>
      <c r="U120" s="68">
        <f>'дод. 3'!U133</f>
        <v>0</v>
      </c>
      <c r="V120" s="117"/>
      <c r="W120" s="68">
        <f t="shared" si="41"/>
        <v>0</v>
      </c>
      <c r="X120" s="169"/>
    </row>
    <row r="121" spans="1:24" s="20" customFormat="1" ht="42.75">
      <c r="A121" s="23"/>
      <c r="B121" s="64" t="s">
        <v>277</v>
      </c>
      <c r="C121" s="64"/>
      <c r="D121" s="65" t="s">
        <v>278</v>
      </c>
      <c r="E121" s="67">
        <f aca="true" t="shared" si="43" ref="E121:J121">E122+E123</f>
        <v>1029826</v>
      </c>
      <c r="F121" s="67">
        <f t="shared" si="43"/>
        <v>638100</v>
      </c>
      <c r="G121" s="67">
        <f t="shared" si="43"/>
        <v>50677</v>
      </c>
      <c r="H121" s="67">
        <f t="shared" si="43"/>
        <v>190788.6</v>
      </c>
      <c r="I121" s="67">
        <f t="shared" si="43"/>
        <v>140251.78</v>
      </c>
      <c r="J121" s="67">
        <f t="shared" si="43"/>
        <v>8763.13</v>
      </c>
      <c r="K121" s="118">
        <f t="shared" si="18"/>
        <v>18.526294733285038</v>
      </c>
      <c r="L121" s="67">
        <f aca="true" t="shared" si="44" ref="L121:U121">L122+L123</f>
        <v>348574</v>
      </c>
      <c r="M121" s="67">
        <f t="shared" si="44"/>
        <v>4700</v>
      </c>
      <c r="N121" s="67">
        <f t="shared" si="44"/>
        <v>0</v>
      </c>
      <c r="O121" s="67">
        <f t="shared" si="44"/>
        <v>720</v>
      </c>
      <c r="P121" s="67">
        <f t="shared" si="44"/>
        <v>343874</v>
      </c>
      <c r="Q121" s="67">
        <f>Q122+Q123</f>
        <v>0</v>
      </c>
      <c r="R121" s="67">
        <f t="shared" si="44"/>
        <v>0</v>
      </c>
      <c r="S121" s="67">
        <f t="shared" si="44"/>
        <v>0</v>
      </c>
      <c r="T121" s="67">
        <f t="shared" si="44"/>
        <v>0</v>
      </c>
      <c r="U121" s="67">
        <f t="shared" si="44"/>
        <v>0</v>
      </c>
      <c r="V121" s="118">
        <f t="shared" si="20"/>
        <v>0</v>
      </c>
      <c r="W121" s="67">
        <f>W122+W123</f>
        <v>190788.6</v>
      </c>
      <c r="X121" s="169"/>
    </row>
    <row r="122" spans="1:24" s="20" customFormat="1" ht="45">
      <c r="A122" s="23"/>
      <c r="B122" s="27" t="s">
        <v>51</v>
      </c>
      <c r="C122" s="27" t="s">
        <v>189</v>
      </c>
      <c r="D122" s="28" t="s">
        <v>52</v>
      </c>
      <c r="E122" s="68">
        <f>'дод. 3'!E40</f>
        <v>162726</v>
      </c>
      <c r="F122" s="68">
        <f>'дод. 3'!F40</f>
        <v>0</v>
      </c>
      <c r="G122" s="68">
        <f>'дод. 3'!G40</f>
        <v>4300</v>
      </c>
      <c r="H122" s="68">
        <f>'дод. 3'!H40</f>
        <v>1146.75</v>
      </c>
      <c r="I122" s="68">
        <f>'дод. 3'!I40</f>
        <v>0</v>
      </c>
      <c r="J122" s="68">
        <f>'дод. 3'!J40</f>
        <v>724.8</v>
      </c>
      <c r="K122" s="117">
        <f t="shared" si="18"/>
        <v>0.7047122156262675</v>
      </c>
      <c r="L122" s="68">
        <f>M122+P122</f>
        <v>343874</v>
      </c>
      <c r="M122" s="68">
        <f>'дод. 3'!M40</f>
        <v>0</v>
      </c>
      <c r="N122" s="68">
        <f>'дод. 3'!N40</f>
        <v>0</v>
      </c>
      <c r="O122" s="68">
        <f>'дод. 3'!O40</f>
        <v>0</v>
      </c>
      <c r="P122" s="68">
        <f>'дод. 3'!P40</f>
        <v>343874</v>
      </c>
      <c r="Q122" s="68">
        <f>R122+U122</f>
        <v>0</v>
      </c>
      <c r="R122" s="68">
        <f>'дод. 3'!R40</f>
        <v>0</v>
      </c>
      <c r="S122" s="68">
        <f>'дод. 3'!S40</f>
        <v>0</v>
      </c>
      <c r="T122" s="68">
        <f>'дод. 3'!T40</f>
        <v>0</v>
      </c>
      <c r="U122" s="68">
        <f>'дод. 3'!U40</f>
        <v>0</v>
      </c>
      <c r="V122" s="117">
        <f t="shared" si="20"/>
        <v>0</v>
      </c>
      <c r="W122" s="68">
        <f>Q122+H122</f>
        <v>1146.75</v>
      </c>
      <c r="X122" s="169"/>
    </row>
    <row r="123" spans="1:24" s="20" customFormat="1" ht="15">
      <c r="A123" s="23"/>
      <c r="B123" s="30" t="s">
        <v>53</v>
      </c>
      <c r="C123" s="30" t="s">
        <v>190</v>
      </c>
      <c r="D123" s="28" t="s">
        <v>54</v>
      </c>
      <c r="E123" s="68">
        <f>'дод. 3'!E41</f>
        <v>867100</v>
      </c>
      <c r="F123" s="68">
        <f>'дод. 3'!F41</f>
        <v>638100</v>
      </c>
      <c r="G123" s="68">
        <f>'дод. 3'!G41</f>
        <v>46377</v>
      </c>
      <c r="H123" s="68">
        <f>'дод. 3'!H41</f>
        <v>189641.85</v>
      </c>
      <c r="I123" s="68">
        <f>'дод. 3'!I41</f>
        <v>140251.78</v>
      </c>
      <c r="J123" s="68">
        <f>'дод. 3'!J41</f>
        <v>8038.33</v>
      </c>
      <c r="K123" s="117">
        <f t="shared" si="18"/>
        <v>21.870816514819513</v>
      </c>
      <c r="L123" s="68">
        <f>M123+P123</f>
        <v>4700</v>
      </c>
      <c r="M123" s="68">
        <f>'дод. 3'!M41</f>
        <v>4700</v>
      </c>
      <c r="N123" s="68">
        <f>'дод. 3'!N41</f>
        <v>0</v>
      </c>
      <c r="O123" s="68">
        <f>'дод. 3'!O41</f>
        <v>720</v>
      </c>
      <c r="P123" s="68">
        <f>'дод. 3'!P41</f>
        <v>0</v>
      </c>
      <c r="Q123" s="68">
        <f>R123+U123</f>
        <v>0</v>
      </c>
      <c r="R123" s="68">
        <f>'дод. 3'!R41</f>
        <v>0</v>
      </c>
      <c r="S123" s="68">
        <f>'дод. 3'!S41</f>
        <v>0</v>
      </c>
      <c r="T123" s="68">
        <f>'дод. 3'!T41</f>
        <v>0</v>
      </c>
      <c r="U123" s="68">
        <f>'дод. 3'!U41</f>
        <v>0</v>
      </c>
      <c r="V123" s="117">
        <f t="shared" si="20"/>
        <v>0</v>
      </c>
      <c r="W123" s="68">
        <f>Q123+H123</f>
        <v>189641.85</v>
      </c>
      <c r="X123" s="169"/>
    </row>
    <row r="124" spans="1:24" s="113" customFormat="1" ht="14.25">
      <c r="A124" s="110"/>
      <c r="B124" s="111" t="s">
        <v>329</v>
      </c>
      <c r="C124" s="111"/>
      <c r="D124" s="112" t="s">
        <v>331</v>
      </c>
      <c r="E124" s="67">
        <f>E125</f>
        <v>198694.54</v>
      </c>
      <c r="F124" s="67">
        <f aca="true" t="shared" si="45" ref="F124:W124">F125</f>
        <v>0</v>
      </c>
      <c r="G124" s="67">
        <f t="shared" si="45"/>
        <v>0</v>
      </c>
      <c r="H124" s="67">
        <f t="shared" si="45"/>
        <v>0</v>
      </c>
      <c r="I124" s="67">
        <f t="shared" si="45"/>
        <v>0</v>
      </c>
      <c r="J124" s="67">
        <f t="shared" si="45"/>
        <v>0</v>
      </c>
      <c r="K124" s="118">
        <f t="shared" si="18"/>
        <v>0</v>
      </c>
      <c r="L124" s="67">
        <f t="shared" si="45"/>
        <v>0</v>
      </c>
      <c r="M124" s="67">
        <f t="shared" si="45"/>
        <v>0</v>
      </c>
      <c r="N124" s="67">
        <f t="shared" si="45"/>
        <v>0</v>
      </c>
      <c r="O124" s="67">
        <f t="shared" si="45"/>
        <v>0</v>
      </c>
      <c r="P124" s="67">
        <f t="shared" si="45"/>
        <v>0</v>
      </c>
      <c r="Q124" s="67">
        <f t="shared" si="45"/>
        <v>0</v>
      </c>
      <c r="R124" s="67">
        <f t="shared" si="45"/>
        <v>0</v>
      </c>
      <c r="S124" s="67">
        <f t="shared" si="45"/>
        <v>0</v>
      </c>
      <c r="T124" s="67">
        <f t="shared" si="45"/>
        <v>0</v>
      </c>
      <c r="U124" s="67">
        <f t="shared" si="45"/>
        <v>0</v>
      </c>
      <c r="V124" s="118"/>
      <c r="W124" s="67">
        <f t="shared" si="45"/>
        <v>0</v>
      </c>
      <c r="X124" s="169"/>
    </row>
    <row r="125" spans="1:24" s="20" customFormat="1" ht="15">
      <c r="A125" s="23"/>
      <c r="B125" s="27" t="s">
        <v>329</v>
      </c>
      <c r="C125" s="27" t="s">
        <v>330</v>
      </c>
      <c r="D125" s="28" t="s">
        <v>331</v>
      </c>
      <c r="E125" s="68">
        <f>'дод. 3'!E166</f>
        <v>198694.54</v>
      </c>
      <c r="F125" s="68">
        <f>'дод. 3'!F166</f>
        <v>0</v>
      </c>
      <c r="G125" s="68">
        <f>'дод. 3'!G166</f>
        <v>0</v>
      </c>
      <c r="H125" s="68">
        <f>'дод. 3'!H166</f>
        <v>0</v>
      </c>
      <c r="I125" s="68">
        <f>'дод. 3'!I166</f>
        <v>0</v>
      </c>
      <c r="J125" s="68">
        <f>'дод. 3'!J166</f>
        <v>0</v>
      </c>
      <c r="K125" s="117">
        <f t="shared" si="18"/>
        <v>0</v>
      </c>
      <c r="L125" s="68">
        <f>M125+P125</f>
        <v>0</v>
      </c>
      <c r="M125" s="68">
        <f>'дод. 3'!M166</f>
        <v>0</v>
      </c>
      <c r="N125" s="68">
        <f>'дод. 3'!N166</f>
        <v>0</v>
      </c>
      <c r="O125" s="68">
        <f>'дод. 3'!O166</f>
        <v>0</v>
      </c>
      <c r="P125" s="68">
        <f>'дод. 3'!P166</f>
        <v>0</v>
      </c>
      <c r="Q125" s="68">
        <f>R125+U125</f>
        <v>0</v>
      </c>
      <c r="R125" s="68">
        <f>'дод. 3'!R166</f>
        <v>0</v>
      </c>
      <c r="S125" s="68">
        <f>'дод. 3'!S166</f>
        <v>0</v>
      </c>
      <c r="T125" s="68">
        <f>'дод. 3'!T166</f>
        <v>0</v>
      </c>
      <c r="U125" s="68">
        <f>'дод. 3'!U166</f>
        <v>0</v>
      </c>
      <c r="V125" s="117"/>
      <c r="W125" s="68">
        <f>Q125+H125</f>
        <v>0</v>
      </c>
      <c r="X125" s="169"/>
    </row>
    <row r="126" spans="1:24" s="20" customFormat="1" ht="15">
      <c r="A126" s="23"/>
      <c r="B126" s="64" t="s">
        <v>279</v>
      </c>
      <c r="C126" s="64"/>
      <c r="D126" s="65" t="s">
        <v>280</v>
      </c>
      <c r="E126" s="67">
        <f aca="true" t="shared" si="46" ref="E126:J126">E127+E128+E129+E130+E131</f>
        <v>0</v>
      </c>
      <c r="F126" s="67">
        <f t="shared" si="46"/>
        <v>0</v>
      </c>
      <c r="G126" s="67">
        <f t="shared" si="46"/>
        <v>0</v>
      </c>
      <c r="H126" s="67">
        <f t="shared" si="46"/>
        <v>0</v>
      </c>
      <c r="I126" s="67">
        <f t="shared" si="46"/>
        <v>0</v>
      </c>
      <c r="J126" s="67">
        <f t="shared" si="46"/>
        <v>0</v>
      </c>
      <c r="K126" s="118"/>
      <c r="L126" s="67">
        <f aca="true" t="shared" si="47" ref="L126:W126">L127+L128+L129+L130+L131</f>
        <v>7085481</v>
      </c>
      <c r="M126" s="67">
        <f t="shared" si="47"/>
        <v>2108743</v>
      </c>
      <c r="N126" s="67">
        <f t="shared" si="47"/>
        <v>0</v>
      </c>
      <c r="O126" s="67">
        <f t="shared" si="47"/>
        <v>0</v>
      </c>
      <c r="P126" s="67">
        <f t="shared" si="47"/>
        <v>4976738</v>
      </c>
      <c r="Q126" s="67">
        <f>Q127+Q128+Q129+Q130+Q131</f>
        <v>23768.89</v>
      </c>
      <c r="R126" s="67">
        <f t="shared" si="47"/>
        <v>16352.89</v>
      </c>
      <c r="S126" s="67">
        <f t="shared" si="47"/>
        <v>0</v>
      </c>
      <c r="T126" s="67">
        <f t="shared" si="47"/>
        <v>0</v>
      </c>
      <c r="U126" s="67">
        <f t="shared" si="47"/>
        <v>7416</v>
      </c>
      <c r="V126" s="118">
        <f t="shared" si="20"/>
        <v>0.33545908880427455</v>
      </c>
      <c r="W126" s="67">
        <f t="shared" si="47"/>
        <v>23768.89</v>
      </c>
      <c r="X126" s="169"/>
    </row>
    <row r="127" spans="1:24" s="20" customFormat="1" ht="30">
      <c r="A127" s="23"/>
      <c r="B127" s="27" t="s">
        <v>168</v>
      </c>
      <c r="C127" s="27" t="s">
        <v>220</v>
      </c>
      <c r="D127" s="28" t="s">
        <v>169</v>
      </c>
      <c r="E127" s="68">
        <f>'дод. 3'!E134+'дод. 3'!E151</f>
        <v>0</v>
      </c>
      <c r="F127" s="68">
        <f>'дод. 3'!F134+'дод. 3'!F151</f>
        <v>0</v>
      </c>
      <c r="G127" s="68">
        <f>'дод. 3'!G134+'дод. 3'!G151</f>
        <v>0</v>
      </c>
      <c r="H127" s="68">
        <f>'дод. 3'!H134+'дод. 3'!H151</f>
        <v>0</v>
      </c>
      <c r="I127" s="68">
        <f>'дод. 3'!I134+'дод. 3'!I151</f>
        <v>0</v>
      </c>
      <c r="J127" s="68">
        <f>'дод. 3'!J134+'дод. 3'!J151</f>
        <v>0</v>
      </c>
      <c r="K127" s="117"/>
      <c r="L127" s="68">
        <f>M127+P127</f>
        <v>5326738</v>
      </c>
      <c r="M127" s="68">
        <f>'дод. 3'!M134+'дод. 3'!M151</f>
        <v>470000</v>
      </c>
      <c r="N127" s="68">
        <f>'дод. 3'!N134+'дод. 3'!N151</f>
        <v>0</v>
      </c>
      <c r="O127" s="68">
        <f>'дод. 3'!O134+'дод. 3'!O151</f>
        <v>0</v>
      </c>
      <c r="P127" s="68">
        <f>'дод. 3'!P134+'дод. 3'!P151</f>
        <v>4856738</v>
      </c>
      <c r="Q127" s="68">
        <f>R127+U127</f>
        <v>7416</v>
      </c>
      <c r="R127" s="68">
        <f>'дод. 3'!R134+'дод. 3'!R151</f>
        <v>0</v>
      </c>
      <c r="S127" s="68">
        <f>'дод. 3'!S134+'дод. 3'!S151</f>
        <v>0</v>
      </c>
      <c r="T127" s="68">
        <f>'дод. 3'!T134+'дод. 3'!T151</f>
        <v>0</v>
      </c>
      <c r="U127" s="68">
        <f>'дод. 3'!U134+'дод. 3'!U151</f>
        <v>7416</v>
      </c>
      <c r="V127" s="117">
        <f t="shared" si="20"/>
        <v>0.13922216561054815</v>
      </c>
      <c r="W127" s="68">
        <f>Q127+H127</f>
        <v>7416</v>
      </c>
      <c r="X127" s="169"/>
    </row>
    <row r="128" spans="1:24" s="20" customFormat="1" ht="15">
      <c r="A128" s="23"/>
      <c r="B128" s="27" t="s">
        <v>170</v>
      </c>
      <c r="C128" s="27" t="s">
        <v>221</v>
      </c>
      <c r="D128" s="28" t="s">
        <v>171</v>
      </c>
      <c r="E128" s="68">
        <f>'дод. 3'!E135</f>
        <v>0</v>
      </c>
      <c r="F128" s="68">
        <f>'дод. 3'!F135</f>
        <v>0</v>
      </c>
      <c r="G128" s="68">
        <f>'дод. 3'!G135</f>
        <v>0</v>
      </c>
      <c r="H128" s="68">
        <f>'дод. 3'!H135</f>
        <v>0</v>
      </c>
      <c r="I128" s="68">
        <f>'дод. 3'!I135</f>
        <v>0</v>
      </c>
      <c r="J128" s="68">
        <f>'дод. 3'!J135</f>
        <v>0</v>
      </c>
      <c r="K128" s="117"/>
      <c r="L128" s="68">
        <f>M128+P128</f>
        <v>250000</v>
      </c>
      <c r="M128" s="68">
        <f>'дод. 3'!M135</f>
        <v>250000</v>
      </c>
      <c r="N128" s="68">
        <f>'дод. 3'!N135</f>
        <v>0</v>
      </c>
      <c r="O128" s="68">
        <f>'дод. 3'!O135</f>
        <v>0</v>
      </c>
      <c r="P128" s="68">
        <f>'дод. 3'!P135</f>
        <v>0</v>
      </c>
      <c r="Q128" s="68">
        <f>R128+U128</f>
        <v>13552.89</v>
      </c>
      <c r="R128" s="68">
        <f>'дод. 3'!R135</f>
        <v>13552.89</v>
      </c>
      <c r="S128" s="68">
        <f>'дод. 3'!S135</f>
        <v>0</v>
      </c>
      <c r="T128" s="68">
        <f>'дод. 3'!T135</f>
        <v>0</v>
      </c>
      <c r="U128" s="68">
        <f>'дод. 3'!U135</f>
        <v>0</v>
      </c>
      <c r="V128" s="117">
        <f t="shared" si="20"/>
        <v>5.421156</v>
      </c>
      <c r="W128" s="68">
        <f>Q128+H128</f>
        <v>13552.89</v>
      </c>
      <c r="X128" s="169"/>
    </row>
    <row r="129" spans="1:24" s="20" customFormat="1" ht="30">
      <c r="A129" s="23"/>
      <c r="B129" s="27" t="s">
        <v>55</v>
      </c>
      <c r="C129" s="27" t="s">
        <v>191</v>
      </c>
      <c r="D129" s="28" t="s">
        <v>56</v>
      </c>
      <c r="E129" s="68">
        <f>'дод. 3'!E60+'дод. 3'!E136</f>
        <v>0</v>
      </c>
      <c r="F129" s="68">
        <f>'дод. 3'!F60+'дод. 3'!F136</f>
        <v>0</v>
      </c>
      <c r="G129" s="68">
        <f>'дод. 3'!G60+'дод. 3'!G136</f>
        <v>0</v>
      </c>
      <c r="H129" s="68">
        <f>'дод. 3'!H60+'дод. 3'!H136</f>
        <v>0</v>
      </c>
      <c r="I129" s="68">
        <f>'дод. 3'!I60+'дод. 3'!I136</f>
        <v>0</v>
      </c>
      <c r="J129" s="68">
        <f>'дод. 3'!J60+'дод. 3'!J136</f>
        <v>0</v>
      </c>
      <c r="K129" s="117"/>
      <c r="L129" s="68">
        <f>M129+P129</f>
        <v>88000</v>
      </c>
      <c r="M129" s="68">
        <f>'дод. 3'!M60+'дод. 3'!M136</f>
        <v>58000</v>
      </c>
      <c r="N129" s="68">
        <f>'дод. 3'!N60+'дод. 3'!N136</f>
        <v>0</v>
      </c>
      <c r="O129" s="68">
        <f>'дод. 3'!O60+'дод. 3'!O136</f>
        <v>0</v>
      </c>
      <c r="P129" s="68">
        <f>'дод. 3'!P60+'дод. 3'!P136</f>
        <v>30000</v>
      </c>
      <c r="Q129" s="68">
        <f>R129+U129</f>
        <v>0</v>
      </c>
      <c r="R129" s="68">
        <f>'дод. 3'!R60+'дод. 3'!R136</f>
        <v>0</v>
      </c>
      <c r="S129" s="68">
        <f>'дод. 3'!S60+'дод. 3'!S136</f>
        <v>0</v>
      </c>
      <c r="T129" s="68">
        <f>'дод. 3'!T60+'дод. 3'!T136</f>
        <v>0</v>
      </c>
      <c r="U129" s="68">
        <f>'дод. 3'!U60+'дод. 3'!U136</f>
        <v>0</v>
      </c>
      <c r="V129" s="117">
        <f t="shared" si="20"/>
        <v>0</v>
      </c>
      <c r="W129" s="68">
        <f>Q129+H129</f>
        <v>0</v>
      </c>
      <c r="X129" s="169"/>
    </row>
    <row r="130" spans="1:24" s="20" customFormat="1" ht="15">
      <c r="A130" s="23"/>
      <c r="B130" s="27" t="s">
        <v>82</v>
      </c>
      <c r="C130" s="27" t="s">
        <v>199</v>
      </c>
      <c r="D130" s="28" t="s">
        <v>83</v>
      </c>
      <c r="E130" s="68">
        <f>'дод. 3'!E61+'дод. 3'!E137</f>
        <v>0</v>
      </c>
      <c r="F130" s="68">
        <f>'дод. 3'!F61+'дод. 3'!F137</f>
        <v>0</v>
      </c>
      <c r="G130" s="68">
        <f>'дод. 3'!G61+'дод. 3'!G137</f>
        <v>0</v>
      </c>
      <c r="H130" s="68">
        <f>'дод. 3'!H61+'дод. 3'!H137</f>
        <v>0</v>
      </c>
      <c r="I130" s="68">
        <f>'дод. 3'!I61+'дод. 3'!I137</f>
        <v>0</v>
      </c>
      <c r="J130" s="68">
        <f>'дод. 3'!J61+'дод. 3'!J137</f>
        <v>0</v>
      </c>
      <c r="K130" s="117"/>
      <c r="L130" s="68">
        <f>M130+P130</f>
        <v>501200</v>
      </c>
      <c r="M130" s="68">
        <f>'дод. 3'!M61+'дод. 3'!M137</f>
        <v>411200</v>
      </c>
      <c r="N130" s="68">
        <f>'дод. 3'!N61+'дод. 3'!N137</f>
        <v>0</v>
      </c>
      <c r="O130" s="68">
        <f>'дод. 3'!O61+'дод. 3'!O137</f>
        <v>0</v>
      </c>
      <c r="P130" s="68">
        <f>'дод. 3'!P61+'дод. 3'!P137</f>
        <v>90000</v>
      </c>
      <c r="Q130" s="68">
        <f>R130+U130</f>
        <v>0</v>
      </c>
      <c r="R130" s="68">
        <f>'дод. 3'!R61+'дод. 3'!R137</f>
        <v>0</v>
      </c>
      <c r="S130" s="68">
        <f>'дод. 3'!S61+'дод. 3'!S137</f>
        <v>0</v>
      </c>
      <c r="T130" s="68">
        <f>'дод. 3'!T61+'дод. 3'!T137</f>
        <v>0</v>
      </c>
      <c r="U130" s="68">
        <f>'дод. 3'!U61+'дод. 3'!U137</f>
        <v>0</v>
      </c>
      <c r="V130" s="117">
        <f t="shared" si="20"/>
        <v>0</v>
      </c>
      <c r="W130" s="68">
        <f>Q130+H130</f>
        <v>0</v>
      </c>
      <c r="X130" s="169"/>
    </row>
    <row r="131" spans="1:24" s="20" customFormat="1" ht="60">
      <c r="A131" s="23"/>
      <c r="B131" s="27" t="s">
        <v>57</v>
      </c>
      <c r="C131" s="27" t="s">
        <v>192</v>
      </c>
      <c r="D131" s="28" t="s">
        <v>58</v>
      </c>
      <c r="E131" s="68">
        <f>'дод. 3'!E42+'дод. 3'!E138+'дод. 3'!E157</f>
        <v>0</v>
      </c>
      <c r="F131" s="68">
        <f>'дод. 3'!F42+'дод. 3'!F138+'дод. 3'!F157</f>
        <v>0</v>
      </c>
      <c r="G131" s="68">
        <f>'дод. 3'!G42+'дод. 3'!G138+'дод. 3'!G157</f>
        <v>0</v>
      </c>
      <c r="H131" s="68">
        <f>'дод. 3'!H42+'дод. 3'!H138+'дод. 3'!H157</f>
        <v>0</v>
      </c>
      <c r="I131" s="68">
        <f>'дод. 3'!I42+'дод. 3'!I138+'дод. 3'!I157</f>
        <v>0</v>
      </c>
      <c r="J131" s="68">
        <f>'дод. 3'!J42+'дод. 3'!J138+'дод. 3'!J157</f>
        <v>0</v>
      </c>
      <c r="K131" s="117"/>
      <c r="L131" s="68">
        <f>M131+P131</f>
        <v>919543</v>
      </c>
      <c r="M131" s="68">
        <f>'дод. 3'!M42+'дод. 3'!M138+'дод. 3'!M157</f>
        <v>919543</v>
      </c>
      <c r="N131" s="68">
        <f>'дод. 3'!N42+'дод. 3'!N138+'дод. 3'!N157</f>
        <v>0</v>
      </c>
      <c r="O131" s="68">
        <f>'дод. 3'!O42+'дод. 3'!O138+'дод. 3'!O157</f>
        <v>0</v>
      </c>
      <c r="P131" s="68">
        <f>'дод. 3'!P42+'дод. 3'!P138+'дод. 3'!P157</f>
        <v>0</v>
      </c>
      <c r="Q131" s="68">
        <f>R131+U131</f>
        <v>2800</v>
      </c>
      <c r="R131" s="68">
        <f>'дод. 3'!R42+'дод. 3'!R138+'дод. 3'!R157</f>
        <v>2800</v>
      </c>
      <c r="S131" s="68">
        <f>'дод. 3'!S42+'дод. 3'!S138+'дод. 3'!S157</f>
        <v>0</v>
      </c>
      <c r="T131" s="68">
        <f>'дод. 3'!T42+'дод. 3'!T138+'дод. 3'!T157</f>
        <v>0</v>
      </c>
      <c r="U131" s="68">
        <f>'дод. 3'!U42+'дод. 3'!U138+'дод. 3'!U157</f>
        <v>0</v>
      </c>
      <c r="V131" s="117">
        <f t="shared" si="20"/>
        <v>0.3044990826965134</v>
      </c>
      <c r="W131" s="68">
        <f>Q131+H131</f>
        <v>2800</v>
      </c>
      <c r="X131" s="169"/>
    </row>
    <row r="132" spans="1:24" s="20" customFormat="1" ht="28.5">
      <c r="A132" s="23"/>
      <c r="B132" s="64" t="s">
        <v>281</v>
      </c>
      <c r="C132" s="64"/>
      <c r="D132" s="65" t="s">
        <v>282</v>
      </c>
      <c r="E132" s="67">
        <f>SUM(E133:E135)</f>
        <v>6282965.460000001</v>
      </c>
      <c r="F132" s="67">
        <f aca="true" t="shared" si="48" ref="F132:W132">SUM(F133:F135)</f>
        <v>0</v>
      </c>
      <c r="G132" s="67">
        <f t="shared" si="48"/>
        <v>268820</v>
      </c>
      <c r="H132" s="67">
        <f t="shared" si="48"/>
        <v>586896.46</v>
      </c>
      <c r="I132" s="67">
        <f t="shared" si="48"/>
        <v>0</v>
      </c>
      <c r="J132" s="67">
        <f t="shared" si="48"/>
        <v>76923.3</v>
      </c>
      <c r="K132" s="118">
        <f t="shared" si="18"/>
        <v>9.341074111204804</v>
      </c>
      <c r="L132" s="67">
        <f t="shared" si="48"/>
        <v>144069</v>
      </c>
      <c r="M132" s="67">
        <f t="shared" si="48"/>
        <v>30069</v>
      </c>
      <c r="N132" s="67">
        <f t="shared" si="48"/>
        <v>0</v>
      </c>
      <c r="O132" s="67">
        <f t="shared" si="48"/>
        <v>0</v>
      </c>
      <c r="P132" s="67">
        <f t="shared" si="48"/>
        <v>114000</v>
      </c>
      <c r="Q132" s="67">
        <f t="shared" si="48"/>
        <v>0</v>
      </c>
      <c r="R132" s="67">
        <f t="shared" si="48"/>
        <v>0</v>
      </c>
      <c r="S132" s="67">
        <f t="shared" si="48"/>
        <v>0</v>
      </c>
      <c r="T132" s="67">
        <f t="shared" si="48"/>
        <v>0</v>
      </c>
      <c r="U132" s="67">
        <f t="shared" si="48"/>
        <v>0</v>
      </c>
      <c r="V132" s="118">
        <f t="shared" si="20"/>
        <v>0</v>
      </c>
      <c r="W132" s="67">
        <f t="shared" si="48"/>
        <v>586896.46</v>
      </c>
      <c r="X132" s="169"/>
    </row>
    <row r="133" spans="1:24" s="20" customFormat="1" ht="15">
      <c r="A133" s="23"/>
      <c r="B133" s="27" t="s">
        <v>176</v>
      </c>
      <c r="C133" s="27" t="s">
        <v>192</v>
      </c>
      <c r="D133" s="28" t="s">
        <v>177</v>
      </c>
      <c r="E133" s="68">
        <f>'дод. 3'!E168</f>
        <v>1314437.460000001</v>
      </c>
      <c r="F133" s="68">
        <f>'дод. 3'!F168</f>
        <v>0</v>
      </c>
      <c r="G133" s="68">
        <f>'дод. 3'!G168</f>
        <v>0</v>
      </c>
      <c r="H133" s="68">
        <f>'дод. 3'!H168</f>
        <v>0</v>
      </c>
      <c r="I133" s="68">
        <f>'дод. 3'!I168</f>
        <v>0</v>
      </c>
      <c r="J133" s="68">
        <f>'дод. 3'!J168</f>
        <v>0</v>
      </c>
      <c r="K133" s="117">
        <f t="shared" si="18"/>
        <v>0</v>
      </c>
      <c r="L133" s="68">
        <f>M133+P133</f>
        <v>0</v>
      </c>
      <c r="M133" s="68">
        <f>'дод. 3'!M168</f>
        <v>0</v>
      </c>
      <c r="N133" s="68">
        <f>'дод. 3'!N168</f>
        <v>0</v>
      </c>
      <c r="O133" s="68">
        <f>'дод. 3'!O168</f>
        <v>0</v>
      </c>
      <c r="P133" s="68">
        <f>'дод. 3'!P168</f>
        <v>0</v>
      </c>
      <c r="Q133" s="68">
        <f>R133+U133</f>
        <v>0</v>
      </c>
      <c r="R133" s="68">
        <f>'дод. 3'!R168</f>
        <v>0</v>
      </c>
      <c r="S133" s="68">
        <f>'дод. 3'!S168</f>
        <v>0</v>
      </c>
      <c r="T133" s="68">
        <f>'дод. 3'!T168</f>
        <v>0</v>
      </c>
      <c r="U133" s="68">
        <f>'дод. 3'!U168</f>
        <v>0</v>
      </c>
      <c r="V133" s="117"/>
      <c r="W133" s="68">
        <f>Q133+H133</f>
        <v>0</v>
      </c>
      <c r="X133" s="169"/>
    </row>
    <row r="134" spans="1:24" s="20" customFormat="1" ht="15">
      <c r="A134" s="23"/>
      <c r="B134" s="27" t="s">
        <v>59</v>
      </c>
      <c r="C134" s="27" t="s">
        <v>192</v>
      </c>
      <c r="D134" s="28" t="s">
        <v>25</v>
      </c>
      <c r="E134" s="68">
        <f>'дод. 3'!E43+'дод. 3'!E140+'дод. 3'!E144+'дод. 3'!E152+'дод. 3'!E158+'дод. 3'!E163</f>
        <v>4883623</v>
      </c>
      <c r="F134" s="68">
        <f>'дод. 3'!F43+'дод. 3'!F140+'дод. 3'!F144+'дод. 3'!F152+'дод. 3'!F158+'дод. 3'!F163</f>
        <v>0</v>
      </c>
      <c r="G134" s="68">
        <f>'дод. 3'!G43+'дод. 3'!G140+'дод. 3'!G144+'дод. 3'!G152+'дод. 3'!G158+'дод. 3'!G163</f>
        <v>268820</v>
      </c>
      <c r="H134" s="68">
        <f>'дод. 3'!H43+'дод. 3'!H140+'дод. 3'!H144+'дод. 3'!H152+'дод. 3'!H158+'дод. 3'!H163</f>
        <v>577807.46</v>
      </c>
      <c r="I134" s="68">
        <f>'дод. 3'!I43+'дод. 3'!I140+'дод. 3'!I144+'дод. 3'!I152+'дод. 3'!I158+'дод. 3'!I163</f>
        <v>0</v>
      </c>
      <c r="J134" s="68">
        <f>'дод. 3'!J43+'дод. 3'!J140+'дод. 3'!J144+'дод. 3'!J152+'дод. 3'!J158+'дод. 3'!J163</f>
        <v>76923.3</v>
      </c>
      <c r="K134" s="117">
        <f t="shared" si="18"/>
        <v>11.831532859927966</v>
      </c>
      <c r="L134" s="68">
        <f>M134+P134</f>
        <v>114000</v>
      </c>
      <c r="M134" s="68">
        <f>'дод. 3'!M43+'дод. 3'!M140+'дод. 3'!M144+'дод. 3'!M152+'дод. 3'!M158+'дод. 3'!M163</f>
        <v>0</v>
      </c>
      <c r="N134" s="68">
        <f>'дод. 3'!N43+'дод. 3'!N140+'дод. 3'!N144+'дод. 3'!N152+'дод. 3'!N158+'дод. 3'!N163</f>
        <v>0</v>
      </c>
      <c r="O134" s="68">
        <f>'дод. 3'!O43+'дод. 3'!O140+'дод. 3'!O144+'дод. 3'!O152+'дод. 3'!O158+'дод. 3'!O163</f>
        <v>0</v>
      </c>
      <c r="P134" s="68">
        <f>'дод. 3'!P43+'дод. 3'!P140+'дод. 3'!P144+'дод. 3'!P158+'дод. 3'!P163+'дод. 3'!P152</f>
        <v>114000</v>
      </c>
      <c r="Q134" s="68">
        <f>R134+U134</f>
        <v>0</v>
      </c>
      <c r="R134" s="68">
        <f>'дод. 3'!R43+'дод. 3'!R140+'дод. 3'!R144+'дод. 3'!R152+'дод. 3'!R158+'дод. 3'!R163</f>
        <v>0</v>
      </c>
      <c r="S134" s="68">
        <f>'дод. 3'!S43+'дод. 3'!S140+'дод. 3'!S144+'дод. 3'!S152+'дод. 3'!S158+'дод. 3'!S163</f>
        <v>0</v>
      </c>
      <c r="T134" s="68">
        <f>'дод. 3'!T43+'дод. 3'!T140+'дод. 3'!T144+'дод. 3'!T152+'дод. 3'!T158+'дод. 3'!T163</f>
        <v>0</v>
      </c>
      <c r="U134" s="68">
        <f>'дод. 3'!U43+'дод. 3'!U140+'дод. 3'!U144+'дод. 3'!U152+'дод. 3'!U158+'дод. 3'!U163</f>
        <v>0</v>
      </c>
      <c r="V134" s="117">
        <f t="shared" si="20"/>
        <v>0</v>
      </c>
      <c r="W134" s="68">
        <f>Q134+H134</f>
        <v>577807.46</v>
      </c>
      <c r="X134" s="169"/>
    </row>
    <row r="135" spans="1:24" s="20" customFormat="1" ht="75">
      <c r="A135" s="23"/>
      <c r="B135" s="30" t="s">
        <v>174</v>
      </c>
      <c r="C135" s="30" t="s">
        <v>209</v>
      </c>
      <c r="D135" s="28" t="s">
        <v>175</v>
      </c>
      <c r="E135" s="68">
        <f>'дод. 3'!E153</f>
        <v>84905</v>
      </c>
      <c r="F135" s="68">
        <f>'дод. 3'!F153</f>
        <v>0</v>
      </c>
      <c r="G135" s="68">
        <f>'дод. 3'!G153</f>
        <v>0</v>
      </c>
      <c r="H135" s="68">
        <f>'дод. 3'!H153</f>
        <v>9089</v>
      </c>
      <c r="I135" s="68">
        <f>'дод. 3'!I153</f>
        <v>0</v>
      </c>
      <c r="J135" s="68">
        <f>'дод. 3'!J153</f>
        <v>0</v>
      </c>
      <c r="K135" s="117">
        <f t="shared" si="18"/>
        <v>10.704905482598198</v>
      </c>
      <c r="L135" s="68">
        <f>M135+P135</f>
        <v>30069</v>
      </c>
      <c r="M135" s="68">
        <f>'дод. 3'!M153</f>
        <v>30069</v>
      </c>
      <c r="N135" s="68">
        <f>'дод. 3'!N153</f>
        <v>0</v>
      </c>
      <c r="O135" s="68">
        <f>'дод. 3'!O153</f>
        <v>0</v>
      </c>
      <c r="P135" s="68">
        <f>'дод. 3'!P153</f>
        <v>0</v>
      </c>
      <c r="Q135" s="68">
        <f>R135+U135</f>
        <v>0</v>
      </c>
      <c r="R135" s="68">
        <f>'дод. 3'!R153</f>
        <v>0</v>
      </c>
      <c r="S135" s="68">
        <f>'дод. 3'!S153</f>
        <v>0</v>
      </c>
      <c r="T135" s="68">
        <f>'дод. 3'!T153</f>
        <v>0</v>
      </c>
      <c r="U135" s="68">
        <f>'дод. 3'!U153</f>
        <v>0</v>
      </c>
      <c r="V135" s="117">
        <f t="shared" si="20"/>
        <v>0</v>
      </c>
      <c r="W135" s="68">
        <f>Q135+H135</f>
        <v>9089</v>
      </c>
      <c r="X135" s="169"/>
    </row>
    <row r="136" spans="1:24" s="20" customFormat="1" ht="15">
      <c r="A136" s="23"/>
      <c r="B136" s="33"/>
      <c r="C136" s="33"/>
      <c r="D136" s="66" t="s">
        <v>2</v>
      </c>
      <c r="E136" s="67">
        <f aca="true" t="shared" si="49" ref="E136:J136">E14+E16+E30+E39+E82+E89+E94+E96+E103+E106+E108+E114+E119+E121+E124+E126+E132</f>
        <v>1541935413.79</v>
      </c>
      <c r="F136" s="67">
        <f t="shared" si="49"/>
        <v>451073009</v>
      </c>
      <c r="G136" s="67">
        <f t="shared" si="49"/>
        <v>89331682</v>
      </c>
      <c r="H136" s="67">
        <f t="shared" si="49"/>
        <v>379936026.45000005</v>
      </c>
      <c r="I136" s="67">
        <f t="shared" si="49"/>
        <v>99745407.48</v>
      </c>
      <c r="J136" s="67">
        <f t="shared" si="49"/>
        <v>25949994.929999996</v>
      </c>
      <c r="K136" s="118">
        <f t="shared" si="18"/>
        <v>24.640203672093914</v>
      </c>
      <c r="L136" s="67">
        <f aca="true" t="shared" si="50" ref="L136:U136">L14+L16+L30+L39+L82+L89+L94+L96+L103+L106+L108+L114+L119+L121+L124+L126+L132</f>
        <v>376454663.08</v>
      </c>
      <c r="M136" s="67">
        <f t="shared" si="50"/>
        <v>54115841</v>
      </c>
      <c r="N136" s="67">
        <f t="shared" si="50"/>
        <v>11367440</v>
      </c>
      <c r="O136" s="67">
        <f t="shared" si="50"/>
        <v>2168292</v>
      </c>
      <c r="P136" s="67">
        <f t="shared" si="50"/>
        <v>322338822.08</v>
      </c>
      <c r="Q136" s="67">
        <f t="shared" si="50"/>
        <v>33964167.349999994</v>
      </c>
      <c r="R136" s="67">
        <f t="shared" si="50"/>
        <v>11486280.020000001</v>
      </c>
      <c r="S136" s="67">
        <f t="shared" si="50"/>
        <v>2291565.7900000005</v>
      </c>
      <c r="T136" s="67">
        <f t="shared" si="50"/>
        <v>502331.68000000005</v>
      </c>
      <c r="U136" s="67">
        <f t="shared" si="50"/>
        <v>22477887.33</v>
      </c>
      <c r="V136" s="118">
        <f t="shared" si="20"/>
        <v>9.022113598519114</v>
      </c>
      <c r="W136" s="67">
        <f>W14+W16+W30+W39+W82+W89+W94+W96+W103+W106+W108+W114+W119+W121+W124+W126+W132</f>
        <v>413900193.8000001</v>
      </c>
      <c r="X136" s="169"/>
    </row>
    <row r="137" spans="1:24" s="20" customFormat="1" ht="15">
      <c r="A137" s="23"/>
      <c r="B137" s="33"/>
      <c r="C137" s="33"/>
      <c r="D137" s="66" t="s">
        <v>283</v>
      </c>
      <c r="E137" s="67">
        <f>SUM(E138:E140)</f>
        <v>56962757</v>
      </c>
      <c r="F137" s="67">
        <f aca="true" t="shared" si="51" ref="F137:W137">SUM(F138:F140)</f>
        <v>0</v>
      </c>
      <c r="G137" s="67">
        <f t="shared" si="51"/>
        <v>0</v>
      </c>
      <c r="H137" s="67">
        <f t="shared" si="51"/>
        <v>14127335</v>
      </c>
      <c r="I137" s="67">
        <f t="shared" si="51"/>
        <v>0</v>
      </c>
      <c r="J137" s="67">
        <f t="shared" si="51"/>
        <v>0</v>
      </c>
      <c r="K137" s="118">
        <f t="shared" si="18"/>
        <v>24.801002872806876</v>
      </c>
      <c r="L137" s="67">
        <f t="shared" si="51"/>
        <v>1250500</v>
      </c>
      <c r="M137" s="67">
        <f t="shared" si="51"/>
        <v>0</v>
      </c>
      <c r="N137" s="67">
        <f t="shared" si="51"/>
        <v>0</v>
      </c>
      <c r="O137" s="67">
        <f t="shared" si="51"/>
        <v>0</v>
      </c>
      <c r="P137" s="67">
        <f t="shared" si="51"/>
        <v>1250500</v>
      </c>
      <c r="Q137" s="67">
        <f t="shared" si="51"/>
        <v>0</v>
      </c>
      <c r="R137" s="67">
        <f t="shared" si="51"/>
        <v>0</v>
      </c>
      <c r="S137" s="67">
        <f t="shared" si="51"/>
        <v>0</v>
      </c>
      <c r="T137" s="67">
        <f t="shared" si="51"/>
        <v>0</v>
      </c>
      <c r="U137" s="67">
        <f t="shared" si="51"/>
        <v>0</v>
      </c>
      <c r="V137" s="118">
        <f t="shared" si="20"/>
        <v>0</v>
      </c>
      <c r="W137" s="67">
        <f t="shared" si="51"/>
        <v>14127335</v>
      </c>
      <c r="X137" s="169"/>
    </row>
    <row r="138" spans="1:24" s="20" customFormat="1" ht="15">
      <c r="A138" s="23"/>
      <c r="B138" s="27" t="s">
        <v>230</v>
      </c>
      <c r="C138" s="27" t="s">
        <v>227</v>
      </c>
      <c r="D138" s="28" t="s">
        <v>231</v>
      </c>
      <c r="E138" s="68">
        <f>'дод. 3'!E169</f>
        <v>56401300</v>
      </c>
      <c r="F138" s="68">
        <f>'дод. 3'!F169</f>
        <v>0</v>
      </c>
      <c r="G138" s="68">
        <f>'дод. 3'!G169</f>
        <v>0</v>
      </c>
      <c r="H138" s="68">
        <f>'дод. 3'!H169</f>
        <v>14100300</v>
      </c>
      <c r="I138" s="68">
        <f>'дод. 3'!I169</f>
        <v>0</v>
      </c>
      <c r="J138" s="68">
        <f>'дод. 3'!J169</f>
        <v>0</v>
      </c>
      <c r="K138" s="117">
        <f t="shared" si="18"/>
        <v>24.999955674780548</v>
      </c>
      <c r="L138" s="68">
        <f>M138+P138</f>
        <v>0</v>
      </c>
      <c r="M138" s="68">
        <f>'дод. 3'!M169</f>
        <v>0</v>
      </c>
      <c r="N138" s="68">
        <f>'дод. 3'!N169</f>
        <v>0</v>
      </c>
      <c r="O138" s="68">
        <f>'дод. 3'!O169</f>
        <v>0</v>
      </c>
      <c r="P138" s="68">
        <f>'дод. 3'!P169</f>
        <v>0</v>
      </c>
      <c r="Q138" s="68">
        <f>R138+U138</f>
        <v>0</v>
      </c>
      <c r="R138" s="68">
        <f>'дод. 3'!R169</f>
        <v>0</v>
      </c>
      <c r="S138" s="68">
        <f>'дод. 3'!S169</f>
        <v>0</v>
      </c>
      <c r="T138" s="68">
        <f>'дод. 3'!T169</f>
        <v>0</v>
      </c>
      <c r="U138" s="68">
        <f>'дод. 3'!U169</f>
        <v>0</v>
      </c>
      <c r="V138" s="117"/>
      <c r="W138" s="68">
        <f>Q138+H138</f>
        <v>14100300</v>
      </c>
      <c r="X138" s="169"/>
    </row>
    <row r="139" spans="1:24" s="20" customFormat="1" ht="15">
      <c r="A139" s="23"/>
      <c r="B139" s="27" t="s">
        <v>232</v>
      </c>
      <c r="C139" s="27" t="s">
        <v>227</v>
      </c>
      <c r="D139" s="28" t="s">
        <v>238</v>
      </c>
      <c r="E139" s="68">
        <f>'дод. 3'!E170</f>
        <v>141957</v>
      </c>
      <c r="F139" s="68">
        <f>'дод. 3'!F170</f>
        <v>0</v>
      </c>
      <c r="G139" s="68">
        <f>'дод. 3'!G170</f>
        <v>0</v>
      </c>
      <c r="H139" s="68">
        <f>'дод. 3'!H170</f>
        <v>27035</v>
      </c>
      <c r="I139" s="68">
        <f>'дод. 3'!I170</f>
        <v>0</v>
      </c>
      <c r="J139" s="68">
        <f>'дод. 3'!J170</f>
        <v>0</v>
      </c>
      <c r="K139" s="117">
        <f t="shared" si="18"/>
        <v>19.04449939066055</v>
      </c>
      <c r="L139" s="68">
        <f>M139+P139</f>
        <v>0</v>
      </c>
      <c r="M139" s="68">
        <f>'дод. 3'!M170</f>
        <v>0</v>
      </c>
      <c r="N139" s="68">
        <f>'дод. 3'!N170</f>
        <v>0</v>
      </c>
      <c r="O139" s="68">
        <f>'дод. 3'!O170</f>
        <v>0</v>
      </c>
      <c r="P139" s="68">
        <f>'дод. 3'!P170</f>
        <v>0</v>
      </c>
      <c r="Q139" s="68">
        <f>R139+U139</f>
        <v>0</v>
      </c>
      <c r="R139" s="68">
        <f>'дод. 3'!R170</f>
        <v>0</v>
      </c>
      <c r="S139" s="68">
        <f>'дод. 3'!S170</f>
        <v>0</v>
      </c>
      <c r="T139" s="68">
        <f>'дод. 3'!T170</f>
        <v>0</v>
      </c>
      <c r="U139" s="68">
        <f>'дод. 3'!U170</f>
        <v>0</v>
      </c>
      <c r="V139" s="117"/>
      <c r="W139" s="68">
        <f>Q139+H139</f>
        <v>27035</v>
      </c>
      <c r="X139" s="169"/>
    </row>
    <row r="140" spans="1:24" s="20" customFormat="1" ht="15">
      <c r="A140" s="23"/>
      <c r="B140" s="27" t="s">
        <v>178</v>
      </c>
      <c r="C140" s="27" t="s">
        <v>227</v>
      </c>
      <c r="D140" s="39" t="s">
        <v>179</v>
      </c>
      <c r="E140" s="68">
        <f>'дод. 3'!E171+'дод. 3'!E139</f>
        <v>419500</v>
      </c>
      <c r="F140" s="68">
        <f>'дод. 3'!F171+'дод. 3'!F139</f>
        <v>0</v>
      </c>
      <c r="G140" s="68">
        <f>'дод. 3'!G171+'дод. 3'!G139</f>
        <v>0</v>
      </c>
      <c r="H140" s="68">
        <f>'дод. 3'!H171+'дод. 3'!H139</f>
        <v>0</v>
      </c>
      <c r="I140" s="68">
        <f>'дод. 3'!I171+'дод. 3'!I139</f>
        <v>0</v>
      </c>
      <c r="J140" s="68">
        <f>'дод. 3'!J171+'дод. 3'!J139</f>
        <v>0</v>
      </c>
      <c r="K140" s="117">
        <f t="shared" si="18"/>
        <v>0</v>
      </c>
      <c r="L140" s="68">
        <f>M140+P140</f>
        <v>1250500</v>
      </c>
      <c r="M140" s="68">
        <f>'дод. 3'!M171+'дод. 3'!M139</f>
        <v>0</v>
      </c>
      <c r="N140" s="68">
        <f>'дод. 3'!N171+'дод. 3'!N139</f>
        <v>0</v>
      </c>
      <c r="O140" s="68">
        <f>'дод. 3'!O171+'дод. 3'!O139</f>
        <v>0</v>
      </c>
      <c r="P140" s="68">
        <f>'дод. 3'!P171+'дод. 3'!P139</f>
        <v>1250500</v>
      </c>
      <c r="Q140" s="68">
        <f>R140+U140</f>
        <v>0</v>
      </c>
      <c r="R140" s="68">
        <f>'дод. 3'!R171+'дод. 3'!R139</f>
        <v>0</v>
      </c>
      <c r="S140" s="68">
        <f>'дод. 3'!S171+'дод. 3'!S139</f>
        <v>0</v>
      </c>
      <c r="T140" s="68">
        <f>'дод. 3'!T171+'дод. 3'!T139</f>
        <v>0</v>
      </c>
      <c r="U140" s="68">
        <f>'дод. 3'!U171+'дод. 3'!U139</f>
        <v>0</v>
      </c>
      <c r="V140" s="117">
        <f t="shared" si="20"/>
        <v>0</v>
      </c>
      <c r="W140" s="68">
        <f>Q140+H140</f>
        <v>0</v>
      </c>
      <c r="X140" s="169"/>
    </row>
    <row r="141" spans="1:24" s="20" customFormat="1" ht="15">
      <c r="A141" s="23"/>
      <c r="B141" s="33"/>
      <c r="C141" s="33"/>
      <c r="D141" s="32" t="s">
        <v>180</v>
      </c>
      <c r="E141" s="67">
        <f>E136+E137</f>
        <v>1598898170.79</v>
      </c>
      <c r="F141" s="67">
        <f aca="true" t="shared" si="52" ref="F141:W141">F136+F137</f>
        <v>451073009</v>
      </c>
      <c r="G141" s="67">
        <f t="shared" si="52"/>
        <v>89331682</v>
      </c>
      <c r="H141" s="67">
        <f t="shared" si="52"/>
        <v>394063361.45000005</v>
      </c>
      <c r="I141" s="67">
        <f t="shared" si="52"/>
        <v>99745407.48</v>
      </c>
      <c r="J141" s="67">
        <f t="shared" si="52"/>
        <v>25949994.929999996</v>
      </c>
      <c r="K141" s="118">
        <f t="shared" si="18"/>
        <v>24.645932345728884</v>
      </c>
      <c r="L141" s="67">
        <f t="shared" si="52"/>
        <v>377705163.08</v>
      </c>
      <c r="M141" s="67">
        <f t="shared" si="52"/>
        <v>54115841</v>
      </c>
      <c r="N141" s="67">
        <f t="shared" si="52"/>
        <v>11367440</v>
      </c>
      <c r="O141" s="67">
        <f t="shared" si="52"/>
        <v>2168292</v>
      </c>
      <c r="P141" s="67">
        <f t="shared" si="52"/>
        <v>323589322.08</v>
      </c>
      <c r="Q141" s="67">
        <f>Q136+Q137</f>
        <v>33964167.349999994</v>
      </c>
      <c r="R141" s="67">
        <f t="shared" si="52"/>
        <v>11486280.020000001</v>
      </c>
      <c r="S141" s="67">
        <f t="shared" si="52"/>
        <v>2291565.7900000005</v>
      </c>
      <c r="T141" s="67">
        <f t="shared" si="52"/>
        <v>502331.68000000005</v>
      </c>
      <c r="U141" s="67">
        <f t="shared" si="52"/>
        <v>22477887.33</v>
      </c>
      <c r="V141" s="118">
        <f t="shared" si="20"/>
        <v>8.992243334202502</v>
      </c>
      <c r="W141" s="67">
        <f t="shared" si="52"/>
        <v>428027528.8000001</v>
      </c>
      <c r="X141" s="169"/>
    </row>
    <row r="142" spans="5:24" ht="12.75">
      <c r="E142" s="60"/>
      <c r="F142" s="60"/>
      <c r="G142" s="60"/>
      <c r="H142" s="60"/>
      <c r="I142" s="60"/>
      <c r="J142" s="60"/>
      <c r="K142" s="122"/>
      <c r="L142" s="60"/>
      <c r="M142" s="60"/>
      <c r="N142" s="60"/>
      <c r="O142" s="60"/>
      <c r="P142" s="60"/>
      <c r="Q142" s="60"/>
      <c r="R142" s="60"/>
      <c r="S142" s="60"/>
      <c r="T142" s="60"/>
      <c r="U142" s="60"/>
      <c r="V142" s="122"/>
      <c r="W142" s="60"/>
      <c r="X142" s="163"/>
    </row>
    <row r="143" spans="5:24" ht="12.75">
      <c r="E143" s="60"/>
      <c r="F143" s="60"/>
      <c r="G143" s="60"/>
      <c r="H143" s="60"/>
      <c r="I143" s="60"/>
      <c r="J143" s="60"/>
      <c r="K143" s="122"/>
      <c r="L143" s="60"/>
      <c r="M143" s="60"/>
      <c r="N143" s="60"/>
      <c r="O143" s="60"/>
      <c r="P143" s="60"/>
      <c r="Q143" s="60"/>
      <c r="R143" s="60"/>
      <c r="S143" s="60"/>
      <c r="T143" s="60"/>
      <c r="U143" s="60"/>
      <c r="V143" s="122"/>
      <c r="W143" s="60"/>
      <c r="X143" s="163"/>
    </row>
    <row r="144" spans="5:24" ht="78.75" customHeight="1">
      <c r="E144" s="60"/>
      <c r="F144" s="60"/>
      <c r="G144" s="60"/>
      <c r="H144" s="60"/>
      <c r="I144" s="60"/>
      <c r="J144" s="60"/>
      <c r="K144" s="122"/>
      <c r="L144" s="60"/>
      <c r="M144" s="60"/>
      <c r="N144" s="60"/>
      <c r="O144" s="60"/>
      <c r="P144" s="60"/>
      <c r="Q144" s="60"/>
      <c r="R144" s="60"/>
      <c r="S144" s="60"/>
      <c r="T144" s="60"/>
      <c r="U144" s="60"/>
      <c r="V144" s="122"/>
      <c r="W144" s="60"/>
      <c r="X144" s="163"/>
    </row>
    <row r="145" spans="1:24" s="51" customFormat="1" ht="24" customHeight="1">
      <c r="A145" s="50"/>
      <c r="B145" s="166" t="s">
        <v>242</v>
      </c>
      <c r="C145" s="166"/>
      <c r="D145" s="166"/>
      <c r="E145" s="128"/>
      <c r="F145" s="129"/>
      <c r="G145" s="129"/>
      <c r="H145" s="129"/>
      <c r="I145" s="129"/>
      <c r="J145" s="129"/>
      <c r="K145" s="123"/>
      <c r="L145" s="129"/>
      <c r="M145" s="129"/>
      <c r="N145" s="129"/>
      <c r="O145" s="149" t="s">
        <v>243</v>
      </c>
      <c r="P145" s="149"/>
      <c r="Q145" s="149"/>
      <c r="R145" s="149"/>
      <c r="S145" s="129"/>
      <c r="T145" s="129"/>
      <c r="U145" s="129"/>
      <c r="V145" s="123"/>
      <c r="W145" s="130"/>
      <c r="X145" s="163"/>
    </row>
    <row r="146" spans="1:24" s="11" customFormat="1" ht="23.25">
      <c r="A146" s="8"/>
      <c r="B146" s="164"/>
      <c r="C146" s="164"/>
      <c r="D146" s="9"/>
      <c r="E146" s="97"/>
      <c r="F146" s="97"/>
      <c r="G146" s="97"/>
      <c r="H146" s="97"/>
      <c r="I146" s="97"/>
      <c r="J146" s="97"/>
      <c r="K146" s="124"/>
      <c r="L146" s="97"/>
      <c r="M146" s="97"/>
      <c r="N146" s="165"/>
      <c r="O146" s="165"/>
      <c r="P146" s="165"/>
      <c r="Q146" s="131"/>
      <c r="R146" s="131"/>
      <c r="S146" s="131"/>
      <c r="T146" s="131"/>
      <c r="U146" s="131"/>
      <c r="V146" s="131"/>
      <c r="W146" s="100"/>
      <c r="X146" s="163"/>
    </row>
    <row r="147" spans="1:24" s="11" customFormat="1" ht="23.25">
      <c r="A147" s="8"/>
      <c r="B147" s="11" t="s">
        <v>336</v>
      </c>
      <c r="C147" s="12"/>
      <c r="D147" s="12"/>
      <c r="E147" s="12"/>
      <c r="F147" s="12"/>
      <c r="G147" s="12"/>
      <c r="H147" s="12"/>
      <c r="I147" s="12"/>
      <c r="J147" s="12"/>
      <c r="K147" s="125"/>
      <c r="L147" s="132"/>
      <c r="M147" s="132"/>
      <c r="N147" s="132"/>
      <c r="O147" s="132"/>
      <c r="P147" s="100"/>
      <c r="Q147" s="100"/>
      <c r="R147" s="100"/>
      <c r="S147" s="100"/>
      <c r="T147" s="100"/>
      <c r="U147" s="100"/>
      <c r="V147" s="100"/>
      <c r="W147" s="100"/>
      <c r="X147" s="163"/>
    </row>
    <row r="148" spans="1:24" s="11" customFormat="1" ht="23.25">
      <c r="A148" s="8"/>
      <c r="D148" s="13"/>
      <c r="K148" s="126"/>
      <c r="P148" s="8"/>
      <c r="Q148" s="8"/>
      <c r="R148" s="8"/>
      <c r="S148" s="8"/>
      <c r="T148" s="8"/>
      <c r="U148" s="8"/>
      <c r="V148" s="8"/>
      <c r="W148" s="8"/>
      <c r="X148" s="54"/>
    </row>
    <row r="149" spans="1:24" s="7" customFormat="1" ht="23.25">
      <c r="A149" s="6"/>
      <c r="B149" s="18"/>
      <c r="C149" s="8"/>
      <c r="D149" s="8"/>
      <c r="E149" s="8"/>
      <c r="F149" s="8"/>
      <c r="G149" s="8"/>
      <c r="H149" s="8"/>
      <c r="I149" s="8"/>
      <c r="J149" s="8"/>
      <c r="K149" s="127"/>
      <c r="L149" s="8"/>
      <c r="M149" s="8"/>
      <c r="N149" s="8"/>
      <c r="O149" s="8"/>
      <c r="P149" s="8"/>
      <c r="Q149" s="8"/>
      <c r="R149" s="8"/>
      <c r="S149" s="8"/>
      <c r="T149" s="8"/>
      <c r="U149" s="8"/>
      <c r="V149" s="8"/>
      <c r="W149" s="6"/>
      <c r="X149" s="54"/>
    </row>
    <row r="150" spans="11:24" ht="12.75">
      <c r="K150" s="122"/>
      <c r="X150" s="54"/>
    </row>
    <row r="151" spans="11:24" ht="12.75">
      <c r="K151" s="122"/>
      <c r="X151" s="54"/>
    </row>
    <row r="152" spans="11:24" ht="12.75">
      <c r="K152" s="122"/>
      <c r="X152" s="54"/>
    </row>
    <row r="153" spans="11:24" ht="12.75">
      <c r="K153" s="122"/>
      <c r="X153" s="54"/>
    </row>
    <row r="154" spans="11:24" ht="12.75">
      <c r="K154" s="122"/>
      <c r="X154" s="54"/>
    </row>
    <row r="155" spans="11:24" ht="12.75">
      <c r="K155" s="122"/>
      <c r="X155" s="54"/>
    </row>
    <row r="156" spans="11:24" ht="12.75">
      <c r="K156" s="122"/>
      <c r="X156" s="54"/>
    </row>
    <row r="157" spans="11:24" ht="12.75">
      <c r="K157" s="122"/>
      <c r="X157" s="54"/>
    </row>
    <row r="158" spans="11:24" ht="12.75">
      <c r="K158" s="122"/>
      <c r="X158" s="54"/>
    </row>
    <row r="159" spans="11:24" ht="12.75">
      <c r="K159" s="122"/>
      <c r="X159" s="54"/>
    </row>
    <row r="160" spans="11:24" ht="12.75">
      <c r="K160" s="122"/>
      <c r="X160" s="54"/>
    </row>
    <row r="161" spans="11:24" ht="12.75">
      <c r="K161" s="122"/>
      <c r="X161" s="54"/>
    </row>
    <row r="162" spans="11:24" ht="12.75">
      <c r="K162" s="122"/>
      <c r="X162" s="54"/>
    </row>
    <row r="163" spans="11:24" ht="12.75">
      <c r="K163" s="122"/>
      <c r="X163" s="54"/>
    </row>
    <row r="164" spans="11:24" ht="12.75">
      <c r="K164" s="122"/>
      <c r="X164" s="54"/>
    </row>
    <row r="165" spans="11:24" ht="12.75">
      <c r="K165" s="122"/>
      <c r="X165" s="54"/>
    </row>
    <row r="166" spans="11:24" ht="12.75">
      <c r="K166" s="122"/>
      <c r="X166" s="54"/>
    </row>
    <row r="167" spans="11:24" ht="12.75">
      <c r="K167" s="122"/>
      <c r="X167" s="54"/>
    </row>
    <row r="168" spans="11:24" ht="12.75">
      <c r="K168" s="122"/>
      <c r="X168" s="54"/>
    </row>
    <row r="169" spans="11:24" ht="12.75">
      <c r="K169" s="122"/>
      <c r="X169" s="54"/>
    </row>
    <row r="170" spans="11:24" ht="12.75">
      <c r="K170" s="122"/>
      <c r="X170" s="54"/>
    </row>
    <row r="171" ht="12.75">
      <c r="K171" s="122"/>
    </row>
    <row r="172" ht="12.75">
      <c r="K172" s="122"/>
    </row>
    <row r="173" ht="12.75">
      <c r="K173" s="122"/>
    </row>
    <row r="174" ht="12.75">
      <c r="K174" s="122"/>
    </row>
    <row r="175" ht="12.75">
      <c r="K175" s="122"/>
    </row>
    <row r="176" ht="12.75">
      <c r="K176" s="122"/>
    </row>
    <row r="177" ht="12.75">
      <c r="K177" s="122"/>
    </row>
    <row r="178" ht="12.75">
      <c r="K178" s="122"/>
    </row>
    <row r="179" ht="12.75">
      <c r="K179" s="122"/>
    </row>
    <row r="180" ht="12.75">
      <c r="K180" s="122"/>
    </row>
    <row r="181" ht="12.75">
      <c r="K181" s="122"/>
    </row>
    <row r="182" ht="12.75">
      <c r="K182" s="122"/>
    </row>
    <row r="183" ht="12.75">
      <c r="K183" s="122"/>
    </row>
    <row r="184" ht="12.75">
      <c r="K184" s="122"/>
    </row>
    <row r="185" ht="12.75">
      <c r="K185" s="122"/>
    </row>
    <row r="186" ht="12.75">
      <c r="K186" s="122"/>
    </row>
    <row r="187" ht="12.75">
      <c r="K187" s="122"/>
    </row>
    <row r="188" ht="12.75">
      <c r="K188" s="122"/>
    </row>
    <row r="189" ht="12.75">
      <c r="K189" s="122"/>
    </row>
    <row r="190" ht="12.75">
      <c r="K190" s="122"/>
    </row>
    <row r="191" ht="12.75">
      <c r="K191" s="122"/>
    </row>
    <row r="192" ht="12.75">
      <c r="K192" s="122"/>
    </row>
    <row r="193" ht="12.75">
      <c r="K193" s="122"/>
    </row>
    <row r="194" ht="12.75">
      <c r="K194" s="122"/>
    </row>
    <row r="195" ht="12.75">
      <c r="K195" s="122"/>
    </row>
    <row r="196" ht="12.75">
      <c r="K196" s="122"/>
    </row>
    <row r="197" ht="12.75">
      <c r="K197" s="122"/>
    </row>
    <row r="198" ht="12.75">
      <c r="K198" s="122"/>
    </row>
    <row r="199" ht="12.75">
      <c r="K199" s="122"/>
    </row>
    <row r="200" ht="12.75">
      <c r="K200" s="122"/>
    </row>
    <row r="201" ht="12.75">
      <c r="K201" s="122"/>
    </row>
    <row r="202" ht="12.75">
      <c r="K202" s="122"/>
    </row>
    <row r="203" ht="12.75">
      <c r="K203" s="122"/>
    </row>
    <row r="204" ht="12.75">
      <c r="K204" s="122"/>
    </row>
    <row r="205" ht="12.75">
      <c r="K205" s="122"/>
    </row>
    <row r="206" ht="12.75">
      <c r="K206" s="122"/>
    </row>
    <row r="207" ht="12.75">
      <c r="K207" s="122"/>
    </row>
    <row r="208" ht="12.75">
      <c r="K208" s="122"/>
    </row>
  </sheetData>
  <sheetProtection/>
  <mergeCells count="45">
    <mergeCell ref="X142:X147"/>
    <mergeCell ref="N12:N13"/>
    <mergeCell ref="B146:C146"/>
    <mergeCell ref="N146:P146"/>
    <mergeCell ref="B145:D145"/>
    <mergeCell ref="D42:D43"/>
    <mergeCell ref="X1:X141"/>
    <mergeCell ref="B7:W7"/>
    <mergeCell ref="B9:B13"/>
    <mergeCell ref="C9:C13"/>
    <mergeCell ref="L11:L13"/>
    <mergeCell ref="P11:P13"/>
    <mergeCell ref="F11:G11"/>
    <mergeCell ref="H10:J10"/>
    <mergeCell ref="E9:J9"/>
    <mergeCell ref="K9:K13"/>
    <mergeCell ref="H11:H13"/>
    <mergeCell ref="I11:J11"/>
    <mergeCell ref="I12:I13"/>
    <mergeCell ref="J12:J13"/>
    <mergeCell ref="W9:W13"/>
    <mergeCell ref="Q11:Q13"/>
    <mergeCell ref="N11:O11"/>
    <mergeCell ref="D9:D13"/>
    <mergeCell ref="F12:F13"/>
    <mergeCell ref="E11:E13"/>
    <mergeCell ref="M11:M13"/>
    <mergeCell ref="G12:G13"/>
    <mergeCell ref="O12:O13"/>
    <mergeCell ref="E10:G10"/>
    <mergeCell ref="R11:R13"/>
    <mergeCell ref="S11:T11"/>
    <mergeCell ref="U11:U13"/>
    <mergeCell ref="S12:S13"/>
    <mergeCell ref="T12:T13"/>
    <mergeCell ref="R5:W5"/>
    <mergeCell ref="O145:R145"/>
    <mergeCell ref="R1:W1"/>
    <mergeCell ref="R2:W2"/>
    <mergeCell ref="R3:W3"/>
    <mergeCell ref="R4:W4"/>
    <mergeCell ref="L9:U9"/>
    <mergeCell ref="L10:P10"/>
    <mergeCell ref="Q10:U10"/>
    <mergeCell ref="V9:V13"/>
  </mergeCells>
  <printOptions horizontalCentered="1"/>
  <pageMargins left="0.2" right="0.2" top="1.03" bottom="0.4330708661417323" header="0.35433070866141736" footer="0.2362204724409449"/>
  <pageSetup fitToHeight="100" fitToWidth="1" horizontalDpi="300" verticalDpi="300" orientation="landscape" paperSize="9" scale="44" r:id="rId1"/>
  <headerFooter alignWithMargins="0">
    <oddFooter>&amp;RСторінка &amp;P</oddFooter>
  </headerFooter>
</worksheet>
</file>

<file path=xl/worksheets/sheet2.xml><?xml version="1.0" encoding="utf-8"?>
<worksheet xmlns="http://schemas.openxmlformats.org/spreadsheetml/2006/main" xmlns:r="http://schemas.openxmlformats.org/officeDocument/2006/relationships">
  <sheetPr codeName="Лист2"/>
  <dimension ref="A1:Z201"/>
  <sheetViews>
    <sheetView showGridLines="0" showZeros="0" view="pageBreakPreview" zoomScale="55" zoomScaleNormal="70" zoomScaleSheetLayoutView="55" zoomScalePageLayoutView="0" workbookViewId="0" topLeftCell="B1">
      <selection activeCell="B179" sqref="B179"/>
    </sheetView>
  </sheetViews>
  <sheetFormatPr defaultColWidth="9.16015625" defaultRowHeight="12.75"/>
  <cols>
    <col min="1" max="1" width="3.83203125" style="15" hidden="1" customWidth="1"/>
    <col min="2" max="3" width="11.66015625" style="15" customWidth="1"/>
    <col min="4" max="4" width="46" style="15" customWidth="1"/>
    <col min="5" max="5" width="18.66015625" style="15" customWidth="1"/>
    <col min="6" max="6" width="16.16015625" style="15" customWidth="1"/>
    <col min="7" max="7" width="15.83203125" style="15" customWidth="1"/>
    <col min="8" max="8" width="18" style="15" customWidth="1"/>
    <col min="9" max="9" width="16.66015625" style="15" customWidth="1"/>
    <col min="10" max="10" width="15.83203125" style="95" customWidth="1"/>
    <col min="11" max="11" width="8.66015625" style="15" customWidth="1"/>
    <col min="12" max="12" width="17.16015625" style="15" customWidth="1"/>
    <col min="13" max="13" width="15.83203125" style="15" customWidth="1"/>
    <col min="14" max="14" width="15" style="15" customWidth="1"/>
    <col min="15" max="15" width="13.66015625" style="15" customWidth="1"/>
    <col min="16" max="16" width="17.66015625" style="15" customWidth="1"/>
    <col min="17" max="17" width="17.16015625" style="15" customWidth="1"/>
    <col min="18" max="18" width="15.16015625" style="15" customWidth="1"/>
    <col min="19" max="19" width="13.83203125" style="15" customWidth="1"/>
    <col min="20" max="20" width="13.5" style="15" customWidth="1"/>
    <col min="21" max="21" width="16.66015625" style="15" customWidth="1"/>
    <col min="22" max="22" width="7.33203125" style="15" customWidth="1"/>
    <col min="23" max="23" width="16.66015625" style="15" customWidth="1"/>
    <col min="24" max="24" width="6.16015625" style="52" customWidth="1"/>
    <col min="25" max="25" width="9.16015625" style="14" customWidth="1"/>
    <col min="26" max="26" width="14.16015625" style="14" bestFit="1" customWidth="1"/>
    <col min="27" max="16384" width="9.16015625" style="14" customWidth="1"/>
  </cols>
  <sheetData>
    <row r="1" spans="1:24" ht="26.25">
      <c r="A1" s="1"/>
      <c r="B1" s="1"/>
      <c r="C1" s="1"/>
      <c r="D1" s="1"/>
      <c r="E1" s="1"/>
      <c r="F1" s="1"/>
      <c r="G1" s="1"/>
      <c r="H1" s="1"/>
      <c r="I1" s="1"/>
      <c r="J1" s="60"/>
      <c r="K1" s="1"/>
      <c r="L1" s="1"/>
      <c r="M1" s="1"/>
      <c r="N1" s="48"/>
      <c r="O1" s="48"/>
      <c r="P1" s="48"/>
      <c r="Q1" s="48"/>
      <c r="R1" s="148" t="s">
        <v>322</v>
      </c>
      <c r="S1" s="148"/>
      <c r="T1" s="148"/>
      <c r="U1" s="148"/>
      <c r="V1" s="148"/>
      <c r="W1" s="148"/>
      <c r="X1" s="169"/>
    </row>
    <row r="2" spans="1:24" ht="26.25">
      <c r="A2" s="1"/>
      <c r="B2" s="1"/>
      <c r="C2" s="1"/>
      <c r="D2" s="1"/>
      <c r="E2" s="1"/>
      <c r="F2" s="1"/>
      <c r="G2" s="1"/>
      <c r="H2" s="1"/>
      <c r="I2" s="1"/>
      <c r="J2" s="60"/>
      <c r="K2" s="1"/>
      <c r="L2" s="1"/>
      <c r="M2" s="1"/>
      <c r="N2" s="75"/>
      <c r="O2" s="48"/>
      <c r="P2" s="48"/>
      <c r="Q2" s="48"/>
      <c r="R2" s="148" t="s">
        <v>289</v>
      </c>
      <c r="S2" s="148"/>
      <c r="T2" s="148"/>
      <c r="U2" s="148"/>
      <c r="V2" s="148"/>
      <c r="W2" s="148"/>
      <c r="X2" s="169"/>
    </row>
    <row r="3" spans="14:24" ht="26.25">
      <c r="N3" s="77"/>
      <c r="O3" s="77"/>
      <c r="P3" s="77"/>
      <c r="Q3" s="77"/>
      <c r="R3" s="150" t="s">
        <v>288</v>
      </c>
      <c r="S3" s="150"/>
      <c r="T3" s="150"/>
      <c r="U3" s="150"/>
      <c r="V3" s="150"/>
      <c r="W3" s="150"/>
      <c r="X3" s="169"/>
    </row>
    <row r="4" spans="14:24" ht="26.25">
      <c r="N4" s="77"/>
      <c r="O4" s="77"/>
      <c r="P4" s="77"/>
      <c r="Q4" s="77"/>
      <c r="R4" s="150" t="s">
        <v>324</v>
      </c>
      <c r="S4" s="150"/>
      <c r="T4" s="150"/>
      <c r="U4" s="150"/>
      <c r="V4" s="150"/>
      <c r="W4" s="150"/>
      <c r="X4" s="169"/>
    </row>
    <row r="5" spans="14:24" ht="26.25">
      <c r="N5" s="48"/>
      <c r="O5" s="48"/>
      <c r="P5" s="48"/>
      <c r="Q5" s="48"/>
      <c r="R5" s="148" t="s">
        <v>335</v>
      </c>
      <c r="S5" s="148"/>
      <c r="T5" s="148"/>
      <c r="U5" s="148"/>
      <c r="V5" s="148"/>
      <c r="W5" s="148"/>
      <c r="X5" s="169"/>
    </row>
    <row r="6" spans="14:24" ht="26.25">
      <c r="N6" s="48"/>
      <c r="O6" s="48"/>
      <c r="P6" s="49"/>
      <c r="Q6" s="49"/>
      <c r="R6" s="49"/>
      <c r="S6" s="49"/>
      <c r="T6" s="49"/>
      <c r="U6" s="49"/>
      <c r="V6" s="49"/>
      <c r="W6" s="49"/>
      <c r="X6" s="169"/>
    </row>
    <row r="7" spans="1:24" ht="50.25" customHeight="1">
      <c r="A7" s="17"/>
      <c r="B7" s="143" t="s">
        <v>314</v>
      </c>
      <c r="C7" s="143"/>
      <c r="D7" s="143"/>
      <c r="E7" s="143"/>
      <c r="F7" s="143"/>
      <c r="G7" s="143"/>
      <c r="H7" s="143"/>
      <c r="I7" s="143"/>
      <c r="J7" s="143"/>
      <c r="K7" s="143"/>
      <c r="L7" s="143"/>
      <c r="M7" s="143"/>
      <c r="N7" s="143"/>
      <c r="O7" s="143"/>
      <c r="P7" s="143"/>
      <c r="Q7" s="143"/>
      <c r="R7" s="143"/>
      <c r="S7" s="143"/>
      <c r="T7" s="143"/>
      <c r="U7" s="143"/>
      <c r="V7" s="143"/>
      <c r="W7" s="143"/>
      <c r="X7" s="169"/>
    </row>
    <row r="8" spans="2:24" ht="18.75">
      <c r="B8" s="42"/>
      <c r="C8" s="42"/>
      <c r="D8" s="42"/>
      <c r="E8" s="42"/>
      <c r="F8" s="5"/>
      <c r="G8" s="2"/>
      <c r="H8" s="76"/>
      <c r="I8" s="76"/>
      <c r="J8" s="96"/>
      <c r="K8" s="76"/>
      <c r="L8" s="3"/>
      <c r="M8" s="4"/>
      <c r="N8" s="4"/>
      <c r="O8" s="4"/>
      <c r="P8" s="4"/>
      <c r="Q8" s="4"/>
      <c r="R8" s="4"/>
      <c r="S8" s="4"/>
      <c r="T8" s="4"/>
      <c r="U8" s="4"/>
      <c r="V8" s="4"/>
      <c r="W8" s="47" t="s">
        <v>13</v>
      </c>
      <c r="X8" s="169"/>
    </row>
    <row r="9" spans="1:24" s="20" customFormat="1" ht="15">
      <c r="A9" s="19"/>
      <c r="B9" s="160" t="s">
        <v>12</v>
      </c>
      <c r="C9" s="160" t="s">
        <v>10</v>
      </c>
      <c r="D9" s="160" t="s">
        <v>235</v>
      </c>
      <c r="E9" s="151" t="s">
        <v>0</v>
      </c>
      <c r="F9" s="151"/>
      <c r="G9" s="151"/>
      <c r="H9" s="151"/>
      <c r="I9" s="151"/>
      <c r="J9" s="151"/>
      <c r="K9" s="152" t="s">
        <v>334</v>
      </c>
      <c r="L9" s="151" t="s">
        <v>1</v>
      </c>
      <c r="M9" s="151"/>
      <c r="N9" s="151"/>
      <c r="O9" s="151"/>
      <c r="P9" s="151"/>
      <c r="Q9" s="151"/>
      <c r="R9" s="151"/>
      <c r="S9" s="151"/>
      <c r="T9" s="151"/>
      <c r="U9" s="151"/>
      <c r="V9" s="152" t="s">
        <v>334</v>
      </c>
      <c r="W9" s="160" t="s">
        <v>2</v>
      </c>
      <c r="X9" s="169"/>
    </row>
    <row r="10" spans="1:24" s="20" customFormat="1" ht="15">
      <c r="A10" s="21"/>
      <c r="B10" s="162"/>
      <c r="C10" s="162"/>
      <c r="D10" s="162"/>
      <c r="E10" s="151" t="s">
        <v>284</v>
      </c>
      <c r="F10" s="151"/>
      <c r="G10" s="151"/>
      <c r="H10" s="151" t="s">
        <v>285</v>
      </c>
      <c r="I10" s="151"/>
      <c r="J10" s="151"/>
      <c r="K10" s="153"/>
      <c r="L10" s="151" t="s">
        <v>284</v>
      </c>
      <c r="M10" s="151"/>
      <c r="N10" s="151"/>
      <c r="O10" s="151"/>
      <c r="P10" s="151"/>
      <c r="Q10" s="151" t="s">
        <v>285</v>
      </c>
      <c r="R10" s="151"/>
      <c r="S10" s="151"/>
      <c r="T10" s="151"/>
      <c r="U10" s="151"/>
      <c r="V10" s="153"/>
      <c r="W10" s="162"/>
      <c r="X10" s="169"/>
    </row>
    <row r="11" spans="1:24" s="20" customFormat="1" ht="15">
      <c r="A11" s="21"/>
      <c r="B11" s="162"/>
      <c r="C11" s="162"/>
      <c r="D11" s="162"/>
      <c r="E11" s="160" t="s">
        <v>3</v>
      </c>
      <c r="F11" s="158" t="s">
        <v>5</v>
      </c>
      <c r="G11" s="159"/>
      <c r="H11" s="160" t="s">
        <v>3</v>
      </c>
      <c r="I11" s="158" t="s">
        <v>5</v>
      </c>
      <c r="J11" s="159"/>
      <c r="K11" s="153"/>
      <c r="L11" s="160" t="s">
        <v>3</v>
      </c>
      <c r="M11" s="144" t="s">
        <v>4</v>
      </c>
      <c r="N11" s="174" t="s">
        <v>5</v>
      </c>
      <c r="O11" s="175"/>
      <c r="P11" s="144" t="s">
        <v>6</v>
      </c>
      <c r="Q11" s="144" t="s">
        <v>3</v>
      </c>
      <c r="R11" s="144" t="s">
        <v>4</v>
      </c>
      <c r="S11" s="174" t="s">
        <v>5</v>
      </c>
      <c r="T11" s="175"/>
      <c r="U11" s="144" t="s">
        <v>6</v>
      </c>
      <c r="V11" s="153"/>
      <c r="W11" s="162"/>
      <c r="X11" s="169"/>
    </row>
    <row r="12" spans="1:24" s="20" customFormat="1" ht="15">
      <c r="A12" s="22"/>
      <c r="B12" s="162"/>
      <c r="C12" s="162"/>
      <c r="D12" s="162"/>
      <c r="E12" s="162"/>
      <c r="F12" s="160" t="s">
        <v>7</v>
      </c>
      <c r="G12" s="160" t="s">
        <v>8</v>
      </c>
      <c r="H12" s="162"/>
      <c r="I12" s="160" t="s">
        <v>7</v>
      </c>
      <c r="J12" s="170" t="s">
        <v>8</v>
      </c>
      <c r="K12" s="153"/>
      <c r="L12" s="162"/>
      <c r="M12" s="173"/>
      <c r="N12" s="144" t="s">
        <v>7</v>
      </c>
      <c r="O12" s="144" t="s">
        <v>8</v>
      </c>
      <c r="P12" s="173"/>
      <c r="Q12" s="173"/>
      <c r="R12" s="173"/>
      <c r="S12" s="144" t="s">
        <v>7</v>
      </c>
      <c r="T12" s="144" t="s">
        <v>8</v>
      </c>
      <c r="U12" s="173"/>
      <c r="V12" s="153"/>
      <c r="W12" s="162"/>
      <c r="X12" s="169"/>
    </row>
    <row r="13" spans="1:24" s="20" customFormat="1" ht="105.75" customHeight="1">
      <c r="A13" s="23"/>
      <c r="B13" s="161"/>
      <c r="C13" s="161"/>
      <c r="D13" s="161"/>
      <c r="E13" s="161"/>
      <c r="F13" s="161"/>
      <c r="G13" s="161"/>
      <c r="H13" s="161"/>
      <c r="I13" s="161"/>
      <c r="J13" s="171"/>
      <c r="K13" s="154"/>
      <c r="L13" s="161"/>
      <c r="M13" s="145"/>
      <c r="N13" s="145"/>
      <c r="O13" s="145"/>
      <c r="P13" s="145"/>
      <c r="Q13" s="145"/>
      <c r="R13" s="145"/>
      <c r="S13" s="145"/>
      <c r="T13" s="145"/>
      <c r="U13" s="145"/>
      <c r="V13" s="154"/>
      <c r="W13" s="161"/>
      <c r="X13" s="169"/>
    </row>
    <row r="14" spans="1:24" s="26" customFormat="1" ht="28.5">
      <c r="A14" s="24"/>
      <c r="B14" s="101"/>
      <c r="C14" s="101"/>
      <c r="D14" s="25" t="s">
        <v>14</v>
      </c>
      <c r="E14" s="43">
        <f>SUM(E15:E43)</f>
        <v>62993093.79</v>
      </c>
      <c r="F14" s="43">
        <f aca="true" t="shared" si="0" ref="F14:W14">SUM(F15:F43)</f>
        <v>25015688</v>
      </c>
      <c r="G14" s="43">
        <f t="shared" si="0"/>
        <v>2907608</v>
      </c>
      <c r="H14" s="43">
        <f t="shared" si="0"/>
        <v>18103759.200000003</v>
      </c>
      <c r="I14" s="43">
        <f t="shared" si="0"/>
        <v>5402807.8100000005</v>
      </c>
      <c r="J14" s="43">
        <f t="shared" si="0"/>
        <v>869862.4400000001</v>
      </c>
      <c r="K14" s="133">
        <f>H14/E14*100</f>
        <v>28.739276182167657</v>
      </c>
      <c r="L14" s="43">
        <f>SUM(L15:L43)</f>
        <v>54179476</v>
      </c>
      <c r="M14" s="43">
        <f t="shared" si="0"/>
        <v>441957</v>
      </c>
      <c r="N14" s="43">
        <f t="shared" si="0"/>
        <v>144491</v>
      </c>
      <c r="O14" s="43">
        <f t="shared" si="0"/>
        <v>98348</v>
      </c>
      <c r="P14" s="43">
        <f t="shared" si="0"/>
        <v>53737519</v>
      </c>
      <c r="Q14" s="43">
        <f>SUM(Q15:Q43)</f>
        <v>5532519.41</v>
      </c>
      <c r="R14" s="43">
        <f t="shared" si="0"/>
        <v>82519.69</v>
      </c>
      <c r="S14" s="43">
        <f t="shared" si="0"/>
        <v>21663.62</v>
      </c>
      <c r="T14" s="43">
        <f t="shared" si="0"/>
        <v>21129.43</v>
      </c>
      <c r="U14" s="43">
        <f t="shared" si="0"/>
        <v>5449999.72</v>
      </c>
      <c r="V14" s="133">
        <f>Q14/L14*100</f>
        <v>10.211467179933598</v>
      </c>
      <c r="W14" s="43">
        <f t="shared" si="0"/>
        <v>23636278.610000003</v>
      </c>
      <c r="X14" s="169"/>
    </row>
    <row r="15" spans="1:24" s="26" customFormat="1" ht="15">
      <c r="A15" s="24"/>
      <c r="B15" s="27" t="s">
        <v>11</v>
      </c>
      <c r="C15" s="27" t="s">
        <v>9</v>
      </c>
      <c r="D15" s="28" t="s">
        <v>15</v>
      </c>
      <c r="E15" s="41">
        <v>27284910</v>
      </c>
      <c r="F15" s="41">
        <v>18069550</v>
      </c>
      <c r="G15" s="41">
        <v>1520550</v>
      </c>
      <c r="H15" s="41">
        <v>5639556.11</v>
      </c>
      <c r="I15" s="41">
        <v>3890423.17</v>
      </c>
      <c r="J15" s="41">
        <v>429342.4</v>
      </c>
      <c r="K15" s="134">
        <f aca="true" t="shared" si="1" ref="K15:K77">H15/E15*100</f>
        <v>20.669139498719257</v>
      </c>
      <c r="L15" s="41">
        <f>M15+P15</f>
        <v>1100000</v>
      </c>
      <c r="M15" s="41"/>
      <c r="N15" s="41"/>
      <c r="O15" s="41"/>
      <c r="P15" s="41">
        <v>1100000</v>
      </c>
      <c r="Q15" s="41">
        <f>R15+U15</f>
        <v>566.42</v>
      </c>
      <c r="R15" s="41">
        <v>566.42</v>
      </c>
      <c r="S15" s="41"/>
      <c r="T15" s="41"/>
      <c r="U15" s="41"/>
      <c r="V15" s="134">
        <f aca="true" t="shared" si="2" ref="V15:V73">Q15/L15*100</f>
        <v>0.05149272727272727</v>
      </c>
      <c r="W15" s="41">
        <f>H15+Q15</f>
        <v>5640122.53</v>
      </c>
      <c r="X15" s="169"/>
    </row>
    <row r="16" spans="1:24" s="26" customFormat="1" ht="30">
      <c r="A16" s="24"/>
      <c r="B16" s="27" t="s">
        <v>16</v>
      </c>
      <c r="C16" s="27" t="s">
        <v>181</v>
      </c>
      <c r="D16" s="28" t="s">
        <v>17</v>
      </c>
      <c r="E16" s="41">
        <v>143404</v>
      </c>
      <c r="F16" s="43"/>
      <c r="G16" s="43"/>
      <c r="H16" s="79">
        <v>24818.97</v>
      </c>
      <c r="I16" s="79"/>
      <c r="J16" s="79"/>
      <c r="K16" s="135">
        <f t="shared" si="1"/>
        <v>17.307027697972163</v>
      </c>
      <c r="L16" s="41">
        <f aca="true" t="shared" si="3" ref="L16:L43">M16+P16</f>
        <v>0</v>
      </c>
      <c r="M16" s="43"/>
      <c r="N16" s="43"/>
      <c r="O16" s="43"/>
      <c r="P16" s="43"/>
      <c r="Q16" s="41">
        <f aca="true" t="shared" si="4" ref="Q16:Q43">R16+U16</f>
        <v>0</v>
      </c>
      <c r="R16" s="43"/>
      <c r="S16" s="43"/>
      <c r="T16" s="43"/>
      <c r="U16" s="43"/>
      <c r="V16" s="133"/>
      <c r="W16" s="41">
        <f aca="true" t="shared" si="5" ref="W16:W43">H16+Q16</f>
        <v>24818.97</v>
      </c>
      <c r="X16" s="169"/>
    </row>
    <row r="17" spans="1:24" s="26" customFormat="1" ht="30">
      <c r="A17" s="24"/>
      <c r="B17" s="27" t="s">
        <v>18</v>
      </c>
      <c r="C17" s="27" t="s">
        <v>182</v>
      </c>
      <c r="D17" s="28" t="s">
        <v>19</v>
      </c>
      <c r="E17" s="41">
        <v>687000</v>
      </c>
      <c r="F17" s="41">
        <v>492950</v>
      </c>
      <c r="G17" s="41">
        <v>55897</v>
      </c>
      <c r="H17" s="41">
        <v>157427.76</v>
      </c>
      <c r="I17" s="41">
        <v>111029.79</v>
      </c>
      <c r="J17" s="41">
        <v>20943.18</v>
      </c>
      <c r="K17" s="134">
        <f t="shared" si="1"/>
        <v>22.915248908296945</v>
      </c>
      <c r="L17" s="41">
        <f t="shared" si="3"/>
        <v>0</v>
      </c>
      <c r="M17" s="41"/>
      <c r="N17" s="41"/>
      <c r="O17" s="41"/>
      <c r="P17" s="41"/>
      <c r="Q17" s="41">
        <f t="shared" si="4"/>
        <v>0</v>
      </c>
      <c r="R17" s="41"/>
      <c r="S17" s="41"/>
      <c r="T17" s="41"/>
      <c r="U17" s="41"/>
      <c r="V17" s="134"/>
      <c r="W17" s="41">
        <f t="shared" si="5"/>
        <v>157427.76</v>
      </c>
      <c r="X17" s="169"/>
    </row>
    <row r="18" spans="1:24" s="26" customFormat="1" ht="30">
      <c r="A18" s="24"/>
      <c r="B18" s="27" t="s">
        <v>20</v>
      </c>
      <c r="C18" s="27" t="s">
        <v>182</v>
      </c>
      <c r="D18" s="28" t="s">
        <v>21</v>
      </c>
      <c r="E18" s="41">
        <v>40000</v>
      </c>
      <c r="F18" s="41"/>
      <c r="G18" s="41"/>
      <c r="H18" s="41">
        <v>1500</v>
      </c>
      <c r="I18" s="41"/>
      <c r="J18" s="41"/>
      <c r="K18" s="134">
        <f t="shared" si="1"/>
        <v>3.75</v>
      </c>
      <c r="L18" s="41">
        <f t="shared" si="3"/>
        <v>0</v>
      </c>
      <c r="M18" s="41"/>
      <c r="N18" s="41"/>
      <c r="O18" s="41"/>
      <c r="P18" s="41"/>
      <c r="Q18" s="41">
        <f t="shared" si="4"/>
        <v>0</v>
      </c>
      <c r="R18" s="41"/>
      <c r="S18" s="41"/>
      <c r="T18" s="41"/>
      <c r="U18" s="41"/>
      <c r="V18" s="134"/>
      <c r="W18" s="41">
        <f t="shared" si="5"/>
        <v>1500</v>
      </c>
      <c r="X18" s="169"/>
    </row>
    <row r="19" spans="1:24" s="26" customFormat="1" ht="30">
      <c r="A19" s="24"/>
      <c r="B19" s="27" t="s">
        <v>22</v>
      </c>
      <c r="C19" s="27" t="s">
        <v>182</v>
      </c>
      <c r="D19" s="28" t="s">
        <v>23</v>
      </c>
      <c r="E19" s="41">
        <v>605000</v>
      </c>
      <c r="F19" s="41"/>
      <c r="G19" s="41"/>
      <c r="H19" s="41">
        <v>16922.86</v>
      </c>
      <c r="I19" s="41"/>
      <c r="J19" s="41"/>
      <c r="K19" s="134">
        <f t="shared" si="1"/>
        <v>2.79716694214876</v>
      </c>
      <c r="L19" s="41">
        <f t="shared" si="3"/>
        <v>0</v>
      </c>
      <c r="M19" s="41"/>
      <c r="N19" s="41"/>
      <c r="O19" s="41"/>
      <c r="P19" s="41"/>
      <c r="Q19" s="41">
        <f t="shared" si="4"/>
        <v>0</v>
      </c>
      <c r="R19" s="41"/>
      <c r="S19" s="41"/>
      <c r="T19" s="41"/>
      <c r="U19" s="41"/>
      <c r="V19" s="134"/>
      <c r="W19" s="41">
        <f t="shared" si="5"/>
        <v>16922.86</v>
      </c>
      <c r="X19" s="169"/>
    </row>
    <row r="20" spans="1:24" s="26" customFormat="1" ht="15">
      <c r="A20" s="24"/>
      <c r="B20" s="27" t="s">
        <v>24</v>
      </c>
      <c r="C20" s="27" t="s">
        <v>182</v>
      </c>
      <c r="D20" s="28" t="s">
        <v>25</v>
      </c>
      <c r="E20" s="41">
        <v>509900</v>
      </c>
      <c r="F20" s="41">
        <v>337300</v>
      </c>
      <c r="G20" s="41">
        <v>72433</v>
      </c>
      <c r="H20" s="41">
        <v>128529.3</v>
      </c>
      <c r="I20" s="41">
        <v>76303.91</v>
      </c>
      <c r="J20" s="41">
        <v>30500.75</v>
      </c>
      <c r="K20" s="134">
        <f t="shared" si="1"/>
        <v>25.206766032555407</v>
      </c>
      <c r="L20" s="41">
        <f t="shared" si="3"/>
        <v>9645</v>
      </c>
      <c r="M20" s="41"/>
      <c r="N20" s="41"/>
      <c r="O20" s="41"/>
      <c r="P20" s="41">
        <v>9645</v>
      </c>
      <c r="Q20" s="41">
        <f t="shared" si="4"/>
        <v>1665</v>
      </c>
      <c r="R20" s="41">
        <v>1665</v>
      </c>
      <c r="S20" s="41"/>
      <c r="T20" s="41"/>
      <c r="U20" s="41"/>
      <c r="V20" s="134">
        <f t="shared" si="2"/>
        <v>17.262830482115085</v>
      </c>
      <c r="W20" s="41">
        <f t="shared" si="5"/>
        <v>130194.3</v>
      </c>
      <c r="X20" s="169"/>
    </row>
    <row r="21" spans="1:24" s="26" customFormat="1" ht="75">
      <c r="A21" s="24"/>
      <c r="B21" s="27" t="s">
        <v>26</v>
      </c>
      <c r="C21" s="27" t="s">
        <v>182</v>
      </c>
      <c r="D21" s="29" t="s">
        <v>27</v>
      </c>
      <c r="E21" s="41">
        <v>189000</v>
      </c>
      <c r="F21" s="41"/>
      <c r="G21" s="41"/>
      <c r="H21" s="41"/>
      <c r="I21" s="41"/>
      <c r="J21" s="41"/>
      <c r="K21" s="134">
        <f t="shared" si="1"/>
        <v>0</v>
      </c>
      <c r="L21" s="41">
        <f t="shared" si="3"/>
        <v>0</v>
      </c>
      <c r="M21" s="41"/>
      <c r="N21" s="41"/>
      <c r="O21" s="41"/>
      <c r="P21" s="41"/>
      <c r="Q21" s="41">
        <f t="shared" si="4"/>
        <v>0</v>
      </c>
      <c r="R21" s="41"/>
      <c r="S21" s="41"/>
      <c r="T21" s="41"/>
      <c r="U21" s="41"/>
      <c r="V21" s="134"/>
      <c r="W21" s="41">
        <f t="shared" si="5"/>
        <v>0</v>
      </c>
      <c r="X21" s="169"/>
    </row>
    <row r="22" spans="1:24" s="26" customFormat="1" ht="15">
      <c r="A22" s="24"/>
      <c r="B22" s="27" t="s">
        <v>28</v>
      </c>
      <c r="C22" s="27" t="s">
        <v>183</v>
      </c>
      <c r="D22" s="28" t="s">
        <v>29</v>
      </c>
      <c r="E22" s="41">
        <f>125140+37439.79</f>
        <v>162579.79</v>
      </c>
      <c r="F22" s="41"/>
      <c r="G22" s="41">
        <v>124940</v>
      </c>
      <c r="H22" s="41">
        <v>27204.94</v>
      </c>
      <c r="I22" s="41"/>
      <c r="J22" s="41">
        <v>27202.39</v>
      </c>
      <c r="K22" s="134">
        <f t="shared" si="1"/>
        <v>16.733285237974535</v>
      </c>
      <c r="L22" s="41">
        <f t="shared" si="3"/>
        <v>0</v>
      </c>
      <c r="M22" s="41"/>
      <c r="N22" s="41"/>
      <c r="O22" s="41"/>
      <c r="P22" s="41"/>
      <c r="Q22" s="41">
        <f t="shared" si="4"/>
        <v>0</v>
      </c>
      <c r="R22" s="41"/>
      <c r="S22" s="41"/>
      <c r="T22" s="41"/>
      <c r="U22" s="41"/>
      <c r="V22" s="134"/>
      <c r="W22" s="41">
        <f t="shared" si="5"/>
        <v>27204.94</v>
      </c>
      <c r="X22" s="169"/>
    </row>
    <row r="23" spans="1:24" s="26" customFormat="1" ht="15">
      <c r="A23" s="24"/>
      <c r="B23" s="27" t="s">
        <v>30</v>
      </c>
      <c r="C23" s="27" t="s">
        <v>184</v>
      </c>
      <c r="D23" s="28" t="s">
        <v>31</v>
      </c>
      <c r="E23" s="41">
        <v>1531656</v>
      </c>
      <c r="F23" s="41">
        <f>1009375-13215</f>
        <v>996160</v>
      </c>
      <c r="G23" s="41">
        <v>91785</v>
      </c>
      <c r="H23" s="41">
        <v>310362.75</v>
      </c>
      <c r="I23" s="41">
        <v>198857</v>
      </c>
      <c r="J23" s="41">
        <v>25757.36</v>
      </c>
      <c r="K23" s="134">
        <f t="shared" si="1"/>
        <v>20.26321510835331</v>
      </c>
      <c r="L23" s="41">
        <f t="shared" si="3"/>
        <v>70000</v>
      </c>
      <c r="M23" s="41"/>
      <c r="N23" s="41"/>
      <c r="O23" s="41"/>
      <c r="P23" s="41">
        <v>70000</v>
      </c>
      <c r="Q23" s="41">
        <f t="shared" si="4"/>
        <v>55399.72</v>
      </c>
      <c r="R23" s="41">
        <v>5400</v>
      </c>
      <c r="S23" s="41"/>
      <c r="T23" s="41"/>
      <c r="U23" s="41">
        <v>49999.72</v>
      </c>
      <c r="V23" s="134">
        <f t="shared" si="2"/>
        <v>79.14245714285715</v>
      </c>
      <c r="W23" s="41">
        <f t="shared" si="5"/>
        <v>365762.47</v>
      </c>
      <c r="X23" s="169"/>
    </row>
    <row r="24" spans="1:24" s="26" customFormat="1" ht="15">
      <c r="A24" s="24"/>
      <c r="B24" s="27" t="s">
        <v>290</v>
      </c>
      <c r="C24" s="27" t="s">
        <v>291</v>
      </c>
      <c r="D24" s="28" t="s">
        <v>292</v>
      </c>
      <c r="E24" s="41">
        <v>90300</v>
      </c>
      <c r="F24" s="41"/>
      <c r="G24" s="41"/>
      <c r="H24" s="41">
        <v>6249</v>
      </c>
      <c r="I24" s="41"/>
      <c r="J24" s="41"/>
      <c r="K24" s="134">
        <f t="shared" si="1"/>
        <v>6.920265780730897</v>
      </c>
      <c r="L24" s="41">
        <f t="shared" si="3"/>
        <v>0</v>
      </c>
      <c r="M24" s="41"/>
      <c r="N24" s="41"/>
      <c r="O24" s="41"/>
      <c r="P24" s="41"/>
      <c r="Q24" s="41">
        <f t="shared" si="4"/>
        <v>0</v>
      </c>
      <c r="R24" s="41"/>
      <c r="S24" s="41"/>
      <c r="T24" s="41"/>
      <c r="U24" s="41"/>
      <c r="V24" s="134"/>
      <c r="W24" s="41">
        <f t="shared" si="5"/>
        <v>6249</v>
      </c>
      <c r="X24" s="169"/>
    </row>
    <row r="25" spans="1:24" s="26" customFormat="1" ht="30">
      <c r="A25" s="24"/>
      <c r="B25" s="27" t="s">
        <v>32</v>
      </c>
      <c r="C25" s="27" t="s">
        <v>185</v>
      </c>
      <c r="D25" s="28" t="s">
        <v>33</v>
      </c>
      <c r="E25" s="41">
        <v>500000</v>
      </c>
      <c r="F25" s="41"/>
      <c r="G25" s="41"/>
      <c r="H25" s="41">
        <v>41900.62</v>
      </c>
      <c r="I25" s="41"/>
      <c r="J25" s="41"/>
      <c r="K25" s="134">
        <f t="shared" si="1"/>
        <v>8.380124</v>
      </c>
      <c r="L25" s="41">
        <f t="shared" si="3"/>
        <v>0</v>
      </c>
      <c r="M25" s="41"/>
      <c r="N25" s="41"/>
      <c r="O25" s="41"/>
      <c r="P25" s="41"/>
      <c r="Q25" s="41">
        <f t="shared" si="4"/>
        <v>0</v>
      </c>
      <c r="R25" s="41"/>
      <c r="S25" s="41"/>
      <c r="T25" s="41"/>
      <c r="U25" s="41"/>
      <c r="V25" s="134"/>
      <c r="W25" s="41">
        <f t="shared" si="5"/>
        <v>41900.62</v>
      </c>
      <c r="X25" s="169"/>
    </row>
    <row r="26" spans="1:24" s="26" customFormat="1" ht="45">
      <c r="A26" s="24"/>
      <c r="B26" s="27" t="s">
        <v>34</v>
      </c>
      <c r="C26" s="27" t="s">
        <v>185</v>
      </c>
      <c r="D26" s="28" t="s">
        <v>35</v>
      </c>
      <c r="E26" s="41">
        <v>500000</v>
      </c>
      <c r="F26" s="41"/>
      <c r="G26" s="41"/>
      <c r="H26" s="41">
        <v>26432.98</v>
      </c>
      <c r="I26" s="41"/>
      <c r="J26" s="41"/>
      <c r="K26" s="134">
        <f t="shared" si="1"/>
        <v>5.286595999999999</v>
      </c>
      <c r="L26" s="41">
        <f t="shared" si="3"/>
        <v>0</v>
      </c>
      <c r="M26" s="41"/>
      <c r="N26" s="41"/>
      <c r="O26" s="41"/>
      <c r="P26" s="41"/>
      <c r="Q26" s="41">
        <f t="shared" si="4"/>
        <v>0</v>
      </c>
      <c r="R26" s="41"/>
      <c r="S26" s="41"/>
      <c r="T26" s="41"/>
      <c r="U26" s="41"/>
      <c r="V26" s="134"/>
      <c r="W26" s="41">
        <f t="shared" si="5"/>
        <v>26432.98</v>
      </c>
      <c r="X26" s="169"/>
    </row>
    <row r="27" spans="1:24" s="26" customFormat="1" ht="45">
      <c r="A27" s="24"/>
      <c r="B27" s="27" t="s">
        <v>36</v>
      </c>
      <c r="C27" s="27" t="s">
        <v>185</v>
      </c>
      <c r="D27" s="28" t="s">
        <v>37</v>
      </c>
      <c r="E27" s="41">
        <v>5084691</v>
      </c>
      <c r="F27" s="41">
        <f>3602473-51151</f>
        <v>3551322</v>
      </c>
      <c r="G27" s="41">
        <v>410216</v>
      </c>
      <c r="H27" s="41">
        <v>1147373.62</v>
      </c>
      <c r="I27" s="41">
        <v>785561.02</v>
      </c>
      <c r="J27" s="41">
        <v>161764.24</v>
      </c>
      <c r="K27" s="134">
        <f t="shared" si="1"/>
        <v>22.565257554490532</v>
      </c>
      <c r="L27" s="41">
        <f t="shared" si="3"/>
        <v>200000</v>
      </c>
      <c r="M27" s="43"/>
      <c r="N27" s="43"/>
      <c r="O27" s="43"/>
      <c r="P27" s="41">
        <v>200000</v>
      </c>
      <c r="Q27" s="41">
        <f t="shared" si="4"/>
        <v>0</v>
      </c>
      <c r="R27" s="41"/>
      <c r="S27" s="41"/>
      <c r="T27" s="41"/>
      <c r="U27" s="41"/>
      <c r="V27" s="134">
        <f t="shared" si="2"/>
        <v>0</v>
      </c>
      <c r="W27" s="41">
        <f t="shared" si="5"/>
        <v>1147373.62</v>
      </c>
      <c r="X27" s="169"/>
    </row>
    <row r="28" spans="1:24" s="26" customFormat="1" ht="15">
      <c r="A28" s="24"/>
      <c r="B28" s="27" t="s">
        <v>38</v>
      </c>
      <c r="C28" s="27" t="s">
        <v>185</v>
      </c>
      <c r="D28" s="28" t="s">
        <v>25</v>
      </c>
      <c r="E28" s="41">
        <v>2347168</v>
      </c>
      <c r="F28" s="41"/>
      <c r="G28" s="41"/>
      <c r="H28" s="41">
        <v>584253.44</v>
      </c>
      <c r="I28" s="41"/>
      <c r="J28" s="41"/>
      <c r="K28" s="134">
        <f t="shared" si="1"/>
        <v>24.891845832935687</v>
      </c>
      <c r="L28" s="41">
        <f t="shared" si="3"/>
        <v>0</v>
      </c>
      <c r="M28" s="43"/>
      <c r="N28" s="43"/>
      <c r="O28" s="43"/>
      <c r="P28" s="41"/>
      <c r="Q28" s="41">
        <f t="shared" si="4"/>
        <v>0</v>
      </c>
      <c r="R28" s="41"/>
      <c r="S28" s="41"/>
      <c r="T28" s="41"/>
      <c r="U28" s="41"/>
      <c r="V28" s="134"/>
      <c r="W28" s="41">
        <f t="shared" si="5"/>
        <v>584253.44</v>
      </c>
      <c r="X28" s="169"/>
    </row>
    <row r="29" spans="1:24" s="26" customFormat="1" ht="30">
      <c r="A29" s="24"/>
      <c r="B29" s="27" t="s">
        <v>39</v>
      </c>
      <c r="C29" s="27" t="s">
        <v>185</v>
      </c>
      <c r="D29" s="28" t="s">
        <v>40</v>
      </c>
      <c r="E29" s="41">
        <v>1687339</v>
      </c>
      <c r="F29" s="41">
        <f>1058675-128369</f>
        <v>930306</v>
      </c>
      <c r="G29" s="41">
        <v>384290</v>
      </c>
      <c r="H29" s="41">
        <v>348803</v>
      </c>
      <c r="I29" s="41">
        <v>200381.14</v>
      </c>
      <c r="J29" s="41">
        <v>95203.11</v>
      </c>
      <c r="K29" s="134">
        <f t="shared" si="1"/>
        <v>20.67177964831015</v>
      </c>
      <c r="L29" s="41">
        <f t="shared" si="3"/>
        <v>817714</v>
      </c>
      <c r="M29" s="41">
        <v>317714</v>
      </c>
      <c r="N29" s="41">
        <v>144491</v>
      </c>
      <c r="O29" s="41">
        <v>97628</v>
      </c>
      <c r="P29" s="41">
        <v>500000</v>
      </c>
      <c r="Q29" s="41">
        <f t="shared" si="4"/>
        <v>72088.27</v>
      </c>
      <c r="R29" s="41">
        <v>72088.27</v>
      </c>
      <c r="S29" s="41">
        <v>21663.62</v>
      </c>
      <c r="T29" s="41">
        <v>21129.43</v>
      </c>
      <c r="U29" s="41"/>
      <c r="V29" s="134">
        <f t="shared" si="2"/>
        <v>8.815829250813854</v>
      </c>
      <c r="W29" s="41">
        <f t="shared" si="5"/>
        <v>420891.27</v>
      </c>
      <c r="X29" s="169"/>
    </row>
    <row r="30" spans="1:24" s="26" customFormat="1" ht="75">
      <c r="A30" s="24"/>
      <c r="B30" s="27" t="s">
        <v>41</v>
      </c>
      <c r="C30" s="27" t="s">
        <v>185</v>
      </c>
      <c r="D30" s="28" t="s">
        <v>42</v>
      </c>
      <c r="E30" s="41">
        <v>4086218</v>
      </c>
      <c r="F30" s="41"/>
      <c r="G30" s="41"/>
      <c r="H30" s="41">
        <v>864216.22</v>
      </c>
      <c r="I30" s="41"/>
      <c r="J30" s="41"/>
      <c r="K30" s="134">
        <f t="shared" si="1"/>
        <v>21.149537787753857</v>
      </c>
      <c r="L30" s="41">
        <f t="shared" si="3"/>
        <v>0</v>
      </c>
      <c r="M30" s="43"/>
      <c r="N30" s="43"/>
      <c r="O30" s="43"/>
      <c r="P30" s="41"/>
      <c r="Q30" s="41">
        <f t="shared" si="4"/>
        <v>0</v>
      </c>
      <c r="R30" s="41"/>
      <c r="S30" s="41"/>
      <c r="T30" s="41"/>
      <c r="U30" s="41"/>
      <c r="V30" s="134"/>
      <c r="W30" s="41">
        <f t="shared" si="5"/>
        <v>864216.22</v>
      </c>
      <c r="X30" s="172"/>
    </row>
    <row r="31" spans="1:24" s="26" customFormat="1" ht="30">
      <c r="A31" s="24"/>
      <c r="B31" s="27" t="s">
        <v>294</v>
      </c>
      <c r="C31" s="27" t="s">
        <v>316</v>
      </c>
      <c r="D31" s="28" t="s">
        <v>296</v>
      </c>
      <c r="E31" s="41">
        <v>99000</v>
      </c>
      <c r="F31" s="41"/>
      <c r="G31" s="41"/>
      <c r="H31" s="41"/>
      <c r="I31" s="41"/>
      <c r="J31" s="41"/>
      <c r="K31" s="134">
        <f>H31/E31*100</f>
        <v>0</v>
      </c>
      <c r="L31" s="41">
        <f t="shared" si="3"/>
        <v>0</v>
      </c>
      <c r="M31" s="43"/>
      <c r="N31" s="43"/>
      <c r="O31" s="43"/>
      <c r="P31" s="41"/>
      <c r="Q31" s="41">
        <f t="shared" si="4"/>
        <v>0</v>
      </c>
      <c r="R31" s="41"/>
      <c r="S31" s="41"/>
      <c r="T31" s="41"/>
      <c r="U31" s="41"/>
      <c r="V31" s="134"/>
      <c r="W31" s="41">
        <f t="shared" si="5"/>
        <v>0</v>
      </c>
      <c r="X31" s="172"/>
    </row>
    <row r="32" spans="1:24" s="26" customFormat="1" ht="30">
      <c r="A32" s="24"/>
      <c r="B32" s="27" t="s">
        <v>305</v>
      </c>
      <c r="C32" s="27" t="s">
        <v>307</v>
      </c>
      <c r="D32" s="28" t="s">
        <v>308</v>
      </c>
      <c r="E32" s="41">
        <v>1642000</v>
      </c>
      <c r="F32" s="41"/>
      <c r="G32" s="41"/>
      <c r="H32" s="41">
        <v>109595.5</v>
      </c>
      <c r="I32" s="41"/>
      <c r="J32" s="41"/>
      <c r="K32" s="134">
        <f t="shared" si="1"/>
        <v>6.674512789281365</v>
      </c>
      <c r="L32" s="41">
        <f t="shared" si="3"/>
        <v>0</v>
      </c>
      <c r="M32" s="43"/>
      <c r="N32" s="43"/>
      <c r="O32" s="43"/>
      <c r="P32" s="41"/>
      <c r="Q32" s="41">
        <f t="shared" si="4"/>
        <v>0</v>
      </c>
      <c r="R32" s="41"/>
      <c r="S32" s="41"/>
      <c r="T32" s="41"/>
      <c r="U32" s="41"/>
      <c r="V32" s="134"/>
      <c r="W32" s="41">
        <f t="shared" si="5"/>
        <v>109595.5</v>
      </c>
      <c r="X32" s="172"/>
    </row>
    <row r="33" spans="1:24" s="26" customFormat="1" ht="30">
      <c r="A33" s="24"/>
      <c r="B33" s="27" t="s">
        <v>315</v>
      </c>
      <c r="C33" s="27" t="s">
        <v>307</v>
      </c>
      <c r="D33" s="28" t="s">
        <v>317</v>
      </c>
      <c r="E33" s="41">
        <f>350000+156400</f>
        <v>506400</v>
      </c>
      <c r="F33" s="41"/>
      <c r="G33" s="41"/>
      <c r="H33" s="41">
        <v>490215.42</v>
      </c>
      <c r="I33" s="41"/>
      <c r="J33" s="41"/>
      <c r="K33" s="134">
        <f t="shared" si="1"/>
        <v>96.80399289099526</v>
      </c>
      <c r="L33" s="41">
        <f t="shared" si="3"/>
        <v>0</v>
      </c>
      <c r="M33" s="43"/>
      <c r="N33" s="43"/>
      <c r="O33" s="43"/>
      <c r="P33" s="41"/>
      <c r="Q33" s="41">
        <f t="shared" si="4"/>
        <v>0</v>
      </c>
      <c r="R33" s="41"/>
      <c r="S33" s="41"/>
      <c r="T33" s="41"/>
      <c r="U33" s="41"/>
      <c r="V33" s="134"/>
      <c r="W33" s="41">
        <f t="shared" si="5"/>
        <v>490215.42</v>
      </c>
      <c r="X33" s="172"/>
    </row>
    <row r="34" spans="1:24" s="26" customFormat="1" ht="30">
      <c r="A34" s="24"/>
      <c r="B34" s="27" t="s">
        <v>306</v>
      </c>
      <c r="C34" s="27" t="s">
        <v>310</v>
      </c>
      <c r="D34" s="28" t="s">
        <v>309</v>
      </c>
      <c r="E34" s="41">
        <v>3607600</v>
      </c>
      <c r="F34" s="41"/>
      <c r="G34" s="41"/>
      <c r="H34" s="41">
        <v>303741.5</v>
      </c>
      <c r="I34" s="41"/>
      <c r="J34" s="41"/>
      <c r="K34" s="134">
        <f t="shared" si="1"/>
        <v>8.419489411242932</v>
      </c>
      <c r="L34" s="41">
        <f t="shared" si="3"/>
        <v>0</v>
      </c>
      <c r="M34" s="43"/>
      <c r="N34" s="43"/>
      <c r="O34" s="43"/>
      <c r="P34" s="41"/>
      <c r="Q34" s="41">
        <f t="shared" si="4"/>
        <v>0</v>
      </c>
      <c r="R34" s="41"/>
      <c r="S34" s="41"/>
      <c r="T34" s="41"/>
      <c r="U34" s="41"/>
      <c r="V34" s="134"/>
      <c r="W34" s="41">
        <f t="shared" si="5"/>
        <v>303741.5</v>
      </c>
      <c r="X34" s="172"/>
    </row>
    <row r="35" spans="1:24" s="26" customFormat="1" ht="45">
      <c r="A35" s="24"/>
      <c r="B35" s="27" t="s">
        <v>148</v>
      </c>
      <c r="C35" s="27" t="s">
        <v>208</v>
      </c>
      <c r="D35" s="28" t="s">
        <v>149</v>
      </c>
      <c r="E35" s="41">
        <v>32500</v>
      </c>
      <c r="F35" s="41"/>
      <c r="G35" s="41"/>
      <c r="H35" s="41">
        <v>2892.5</v>
      </c>
      <c r="I35" s="41"/>
      <c r="J35" s="41"/>
      <c r="K35" s="134">
        <f t="shared" si="1"/>
        <v>8.9</v>
      </c>
      <c r="L35" s="41">
        <f t="shared" si="3"/>
        <v>0</v>
      </c>
      <c r="M35" s="43"/>
      <c r="N35" s="43"/>
      <c r="O35" s="43"/>
      <c r="P35" s="41"/>
      <c r="Q35" s="41">
        <f t="shared" si="4"/>
        <v>0</v>
      </c>
      <c r="R35" s="41"/>
      <c r="S35" s="41"/>
      <c r="T35" s="41"/>
      <c r="U35" s="41"/>
      <c r="V35" s="134"/>
      <c r="W35" s="41">
        <f t="shared" si="5"/>
        <v>2892.5</v>
      </c>
      <c r="X35" s="172"/>
    </row>
    <row r="36" spans="1:24" s="26" customFormat="1" ht="15">
      <c r="A36" s="24"/>
      <c r="B36" s="27" t="s">
        <v>43</v>
      </c>
      <c r="C36" s="27" t="s">
        <v>186</v>
      </c>
      <c r="D36" s="28" t="s">
        <v>44</v>
      </c>
      <c r="E36" s="41">
        <f>6118040+1474800</f>
        <v>7592840</v>
      </c>
      <c r="F36" s="43"/>
      <c r="G36" s="43"/>
      <c r="H36" s="79">
        <v>7455960.81</v>
      </c>
      <c r="I36" s="79"/>
      <c r="J36" s="79"/>
      <c r="K36" s="135">
        <f t="shared" si="1"/>
        <v>98.1972596551488</v>
      </c>
      <c r="L36" s="41">
        <f t="shared" si="3"/>
        <v>0</v>
      </c>
      <c r="M36" s="41"/>
      <c r="N36" s="41"/>
      <c r="O36" s="41"/>
      <c r="P36" s="41"/>
      <c r="Q36" s="41">
        <f t="shared" si="4"/>
        <v>0</v>
      </c>
      <c r="R36" s="41"/>
      <c r="S36" s="41"/>
      <c r="T36" s="41"/>
      <c r="U36" s="41"/>
      <c r="V36" s="134"/>
      <c r="W36" s="41">
        <f t="shared" si="5"/>
        <v>7455960.81</v>
      </c>
      <c r="X36" s="172"/>
    </row>
    <row r="37" spans="1:24" s="26" customFormat="1" ht="30">
      <c r="A37" s="24"/>
      <c r="B37" s="27" t="s">
        <v>45</v>
      </c>
      <c r="C37" s="27" t="s">
        <v>187</v>
      </c>
      <c r="D37" s="28" t="s">
        <v>46</v>
      </c>
      <c r="E37" s="41">
        <v>85000</v>
      </c>
      <c r="F37" s="43"/>
      <c r="G37" s="43"/>
      <c r="H37" s="79">
        <v>19956</v>
      </c>
      <c r="I37" s="43"/>
      <c r="J37" s="43"/>
      <c r="K37" s="135">
        <f t="shared" si="1"/>
        <v>23.47764705882353</v>
      </c>
      <c r="L37" s="41">
        <f t="shared" si="3"/>
        <v>0</v>
      </c>
      <c r="M37" s="43"/>
      <c r="N37" s="43"/>
      <c r="O37" s="43"/>
      <c r="P37" s="41"/>
      <c r="Q37" s="41">
        <f t="shared" si="4"/>
        <v>0</v>
      </c>
      <c r="R37" s="41"/>
      <c r="S37" s="41"/>
      <c r="T37" s="41"/>
      <c r="U37" s="41"/>
      <c r="V37" s="134"/>
      <c r="W37" s="41">
        <f t="shared" si="5"/>
        <v>19956</v>
      </c>
      <c r="X37" s="172"/>
    </row>
    <row r="38" spans="1:24" s="26" customFormat="1" ht="60">
      <c r="A38" s="24"/>
      <c r="B38" s="27" t="s">
        <v>47</v>
      </c>
      <c r="C38" s="27" t="s">
        <v>188</v>
      </c>
      <c r="D38" s="28" t="s">
        <v>48</v>
      </c>
      <c r="E38" s="41">
        <v>0</v>
      </c>
      <c r="F38" s="43"/>
      <c r="G38" s="43"/>
      <c r="H38" s="79"/>
      <c r="I38" s="43"/>
      <c r="J38" s="43"/>
      <c r="K38" s="133"/>
      <c r="L38" s="41">
        <f t="shared" si="3"/>
        <v>51400000</v>
      </c>
      <c r="M38" s="43"/>
      <c r="N38" s="43"/>
      <c r="O38" s="43"/>
      <c r="P38" s="41">
        <f>46000000+5400000</f>
        <v>51400000</v>
      </c>
      <c r="Q38" s="41">
        <f t="shared" si="4"/>
        <v>5400000</v>
      </c>
      <c r="R38" s="41"/>
      <c r="S38" s="41"/>
      <c r="T38" s="41"/>
      <c r="U38" s="41">
        <v>5400000</v>
      </c>
      <c r="V38" s="134">
        <f t="shared" si="2"/>
        <v>10.505836575875486</v>
      </c>
      <c r="W38" s="41">
        <f t="shared" si="5"/>
        <v>5400000</v>
      </c>
      <c r="X38" s="172"/>
    </row>
    <row r="39" spans="1:24" s="26" customFormat="1" ht="30">
      <c r="A39" s="24"/>
      <c r="B39" s="27" t="s">
        <v>49</v>
      </c>
      <c r="C39" s="27" t="s">
        <v>187</v>
      </c>
      <c r="D39" s="28" t="s">
        <v>50</v>
      </c>
      <c r="E39" s="41">
        <v>837300</v>
      </c>
      <c r="F39" s="43"/>
      <c r="G39" s="43"/>
      <c r="H39" s="79">
        <v>6795.64</v>
      </c>
      <c r="I39" s="79"/>
      <c r="J39" s="79"/>
      <c r="K39" s="135">
        <f t="shared" si="1"/>
        <v>0.8116135196464827</v>
      </c>
      <c r="L39" s="41">
        <f t="shared" si="3"/>
        <v>0</v>
      </c>
      <c r="M39" s="43"/>
      <c r="N39" s="43"/>
      <c r="O39" s="43"/>
      <c r="P39" s="43"/>
      <c r="Q39" s="41">
        <f t="shared" si="4"/>
        <v>0</v>
      </c>
      <c r="R39" s="43"/>
      <c r="S39" s="43"/>
      <c r="T39" s="43"/>
      <c r="U39" s="43"/>
      <c r="V39" s="133"/>
      <c r="W39" s="41">
        <f t="shared" si="5"/>
        <v>6795.64</v>
      </c>
      <c r="X39" s="172"/>
    </row>
    <row r="40" spans="1:24" s="26" customFormat="1" ht="45">
      <c r="A40" s="24"/>
      <c r="B40" s="27" t="s">
        <v>51</v>
      </c>
      <c r="C40" s="27" t="s">
        <v>189</v>
      </c>
      <c r="D40" s="28" t="s">
        <v>52</v>
      </c>
      <c r="E40" s="41">
        <v>162726</v>
      </c>
      <c r="F40" s="43"/>
      <c r="G40" s="41">
        <v>4300</v>
      </c>
      <c r="H40" s="41">
        <v>1146.75</v>
      </c>
      <c r="I40" s="41"/>
      <c r="J40" s="41">
        <v>724.8</v>
      </c>
      <c r="K40" s="134">
        <f t="shared" si="1"/>
        <v>0.7047122156262675</v>
      </c>
      <c r="L40" s="41">
        <f t="shared" si="3"/>
        <v>343874</v>
      </c>
      <c r="M40" s="41"/>
      <c r="N40" s="41"/>
      <c r="O40" s="41"/>
      <c r="P40" s="41">
        <v>343874</v>
      </c>
      <c r="Q40" s="41">
        <f t="shared" si="4"/>
        <v>0</v>
      </c>
      <c r="R40" s="41"/>
      <c r="S40" s="41"/>
      <c r="T40" s="41"/>
      <c r="U40" s="41"/>
      <c r="V40" s="134">
        <f t="shared" si="2"/>
        <v>0</v>
      </c>
      <c r="W40" s="41">
        <f t="shared" si="5"/>
        <v>1146.75</v>
      </c>
      <c r="X40" s="172"/>
    </row>
    <row r="41" spans="1:24" s="26" customFormat="1" ht="15">
      <c r="A41" s="24"/>
      <c r="B41" s="30" t="s">
        <v>53</v>
      </c>
      <c r="C41" s="30" t="s">
        <v>190</v>
      </c>
      <c r="D41" s="28" t="s">
        <v>54</v>
      </c>
      <c r="E41" s="41">
        <v>867100</v>
      </c>
      <c r="F41" s="41">
        <f>690800-52700</f>
        <v>638100</v>
      </c>
      <c r="G41" s="41">
        <v>46377</v>
      </c>
      <c r="H41" s="41">
        <v>189641.85</v>
      </c>
      <c r="I41" s="41">
        <v>140251.78</v>
      </c>
      <c r="J41" s="41">
        <v>8038.33</v>
      </c>
      <c r="K41" s="134">
        <f t="shared" si="1"/>
        <v>21.870816514819513</v>
      </c>
      <c r="L41" s="41">
        <f t="shared" si="3"/>
        <v>4700</v>
      </c>
      <c r="M41" s="41">
        <v>4700</v>
      </c>
      <c r="N41" s="41"/>
      <c r="O41" s="41">
        <v>720</v>
      </c>
      <c r="P41" s="41"/>
      <c r="Q41" s="41">
        <f t="shared" si="4"/>
        <v>0</v>
      </c>
      <c r="R41" s="41"/>
      <c r="S41" s="41"/>
      <c r="T41" s="41"/>
      <c r="U41" s="41"/>
      <c r="V41" s="134">
        <f t="shared" si="2"/>
        <v>0</v>
      </c>
      <c r="W41" s="41">
        <f t="shared" si="5"/>
        <v>189641.85</v>
      </c>
      <c r="X41" s="172"/>
    </row>
    <row r="42" spans="1:24" s="26" customFormat="1" ht="60">
      <c r="A42" s="24"/>
      <c r="B42" s="27" t="s">
        <v>57</v>
      </c>
      <c r="C42" s="27" t="s">
        <v>192</v>
      </c>
      <c r="D42" s="28" t="s">
        <v>58</v>
      </c>
      <c r="E42" s="41">
        <v>0</v>
      </c>
      <c r="F42" s="41"/>
      <c r="G42" s="41"/>
      <c r="H42" s="41"/>
      <c r="I42" s="41"/>
      <c r="J42" s="41"/>
      <c r="K42" s="134"/>
      <c r="L42" s="41">
        <f t="shared" si="3"/>
        <v>119543</v>
      </c>
      <c r="M42" s="41">
        <v>119543</v>
      </c>
      <c r="N42" s="41"/>
      <c r="O42" s="41"/>
      <c r="P42" s="41"/>
      <c r="Q42" s="41">
        <f t="shared" si="4"/>
        <v>2800</v>
      </c>
      <c r="R42" s="41">
        <v>2800</v>
      </c>
      <c r="S42" s="41"/>
      <c r="T42" s="41"/>
      <c r="U42" s="41"/>
      <c r="V42" s="134">
        <f t="shared" si="2"/>
        <v>2.342253415089131</v>
      </c>
      <c r="W42" s="41">
        <f t="shared" si="5"/>
        <v>2800</v>
      </c>
      <c r="X42" s="172"/>
    </row>
    <row r="43" spans="1:24" s="26" customFormat="1" ht="15">
      <c r="A43" s="24"/>
      <c r="B43" s="27" t="s">
        <v>59</v>
      </c>
      <c r="C43" s="27" t="s">
        <v>192</v>
      </c>
      <c r="D43" s="28" t="s">
        <v>25</v>
      </c>
      <c r="E43" s="41">
        <v>2111462</v>
      </c>
      <c r="F43" s="41"/>
      <c r="G43" s="41">
        <v>196820</v>
      </c>
      <c r="H43" s="41">
        <v>198261.66</v>
      </c>
      <c r="I43" s="41"/>
      <c r="J43" s="41">
        <v>70385.88</v>
      </c>
      <c r="K43" s="134">
        <f t="shared" si="1"/>
        <v>9.389781109013565</v>
      </c>
      <c r="L43" s="41">
        <f t="shared" si="3"/>
        <v>114000</v>
      </c>
      <c r="M43" s="43"/>
      <c r="N43" s="43"/>
      <c r="O43" s="43"/>
      <c r="P43" s="79">
        <f>89000+25000</f>
        <v>114000</v>
      </c>
      <c r="Q43" s="41">
        <f t="shared" si="4"/>
        <v>0</v>
      </c>
      <c r="R43" s="43"/>
      <c r="S43" s="43"/>
      <c r="T43" s="43"/>
      <c r="U43" s="79"/>
      <c r="V43" s="135">
        <f t="shared" si="2"/>
        <v>0</v>
      </c>
      <c r="W43" s="41">
        <f t="shared" si="5"/>
        <v>198261.66</v>
      </c>
      <c r="X43" s="172"/>
    </row>
    <row r="44" spans="1:24" s="26" customFormat="1" ht="28.5">
      <c r="A44" s="24"/>
      <c r="B44" s="31"/>
      <c r="C44" s="31"/>
      <c r="D44" s="32" t="s">
        <v>193</v>
      </c>
      <c r="E44" s="43">
        <f>SUM(E45:E61)</f>
        <v>420830936</v>
      </c>
      <c r="F44" s="43">
        <f aca="true" t="shared" si="6" ref="F44:W44">SUM(F45:F61)</f>
        <v>249253969</v>
      </c>
      <c r="G44" s="43">
        <f t="shared" si="6"/>
        <v>59900211</v>
      </c>
      <c r="H44" s="43">
        <f t="shared" si="6"/>
        <v>91946681.35000002</v>
      </c>
      <c r="I44" s="43">
        <f t="shared" si="6"/>
        <v>54722867.43000001</v>
      </c>
      <c r="J44" s="43">
        <f t="shared" si="6"/>
        <v>15459273.239999998</v>
      </c>
      <c r="K44" s="133">
        <f t="shared" si="1"/>
        <v>21.8488408252382</v>
      </c>
      <c r="L44" s="43">
        <f t="shared" si="6"/>
        <v>50076117</v>
      </c>
      <c r="M44" s="43">
        <f t="shared" si="6"/>
        <v>36441117</v>
      </c>
      <c r="N44" s="43">
        <f t="shared" si="6"/>
        <v>2470383</v>
      </c>
      <c r="O44" s="43">
        <f t="shared" si="6"/>
        <v>1518188</v>
      </c>
      <c r="P44" s="43">
        <f t="shared" si="6"/>
        <v>13635000</v>
      </c>
      <c r="Q44" s="43">
        <f>SUM(Q45:Q61)</f>
        <v>9506899.709999999</v>
      </c>
      <c r="R44" s="43">
        <f t="shared" si="6"/>
        <v>7516783.91</v>
      </c>
      <c r="S44" s="43">
        <f t="shared" si="6"/>
        <v>480791.66</v>
      </c>
      <c r="T44" s="43">
        <f t="shared" si="6"/>
        <v>264000.26</v>
      </c>
      <c r="U44" s="43">
        <f t="shared" si="6"/>
        <v>1990115.8</v>
      </c>
      <c r="V44" s="133">
        <f t="shared" si="2"/>
        <v>18.984897950454105</v>
      </c>
      <c r="W44" s="43">
        <f t="shared" si="6"/>
        <v>101453581.06</v>
      </c>
      <c r="X44" s="172"/>
    </row>
    <row r="45" spans="1:24" s="26" customFormat="1" ht="15">
      <c r="A45" s="24"/>
      <c r="B45" s="27" t="s">
        <v>11</v>
      </c>
      <c r="C45" s="27" t="s">
        <v>9</v>
      </c>
      <c r="D45" s="28" t="s">
        <v>15</v>
      </c>
      <c r="E45" s="41">
        <v>891270</v>
      </c>
      <c r="F45" s="41">
        <f>667920-18750</f>
        <v>649170</v>
      </c>
      <c r="G45" s="41">
        <v>24724</v>
      </c>
      <c r="H45" s="41">
        <v>172191.18</v>
      </c>
      <c r="I45" s="41">
        <v>126340.17</v>
      </c>
      <c r="J45" s="41">
        <v>9384</v>
      </c>
      <c r="K45" s="134">
        <f t="shared" si="1"/>
        <v>19.319754956410513</v>
      </c>
      <c r="L45" s="41">
        <f aca="true" t="shared" si="7" ref="L45:L61">M45+P45</f>
        <v>170000</v>
      </c>
      <c r="M45" s="43"/>
      <c r="N45" s="43"/>
      <c r="O45" s="43"/>
      <c r="P45" s="41">
        <f>20000+150000</f>
        <v>170000</v>
      </c>
      <c r="Q45" s="41">
        <f aca="true" t="shared" si="8" ref="Q45:Q61">R45+U45</f>
        <v>50059.33</v>
      </c>
      <c r="R45" s="41"/>
      <c r="S45" s="41"/>
      <c r="T45" s="41"/>
      <c r="U45" s="41">
        <v>50059.33</v>
      </c>
      <c r="V45" s="134">
        <f t="shared" si="2"/>
        <v>29.446664705882352</v>
      </c>
      <c r="W45" s="41">
        <f aca="true" t="shared" si="9" ref="W45:W61">H45+Q45</f>
        <v>222250.51</v>
      </c>
      <c r="X45" s="172"/>
    </row>
    <row r="46" spans="1:24" s="26" customFormat="1" ht="15">
      <c r="A46" s="24"/>
      <c r="B46" s="27" t="s">
        <v>60</v>
      </c>
      <c r="C46" s="27" t="s">
        <v>194</v>
      </c>
      <c r="D46" s="28" t="s">
        <v>61</v>
      </c>
      <c r="E46" s="41">
        <v>109836820</v>
      </c>
      <c r="F46" s="41">
        <f>70161106-6341216</f>
        <v>63819890</v>
      </c>
      <c r="G46" s="41">
        <v>19789563</v>
      </c>
      <c r="H46" s="41">
        <v>27195636.84</v>
      </c>
      <c r="I46" s="41">
        <v>13964653.97</v>
      </c>
      <c r="J46" s="41">
        <v>7645510.55</v>
      </c>
      <c r="K46" s="134">
        <f t="shared" si="1"/>
        <v>24.76003660703214</v>
      </c>
      <c r="L46" s="41">
        <f t="shared" si="7"/>
        <v>14884686</v>
      </c>
      <c r="M46" s="41">
        <v>11284686</v>
      </c>
      <c r="N46" s="41"/>
      <c r="O46" s="41"/>
      <c r="P46" s="41">
        <f>2750000+850000</f>
        <v>3600000</v>
      </c>
      <c r="Q46" s="41">
        <f t="shared" si="8"/>
        <v>2793713.56</v>
      </c>
      <c r="R46" s="41">
        <v>2641126.24</v>
      </c>
      <c r="S46" s="41"/>
      <c r="T46" s="41"/>
      <c r="U46" s="41">
        <v>152587.32</v>
      </c>
      <c r="V46" s="134">
        <f t="shared" si="2"/>
        <v>18.769045984577705</v>
      </c>
      <c r="W46" s="41">
        <f t="shared" si="9"/>
        <v>29989350.4</v>
      </c>
      <c r="X46" s="172"/>
    </row>
    <row r="47" spans="1:24" s="26" customFormat="1" ht="60">
      <c r="A47" s="24"/>
      <c r="B47" s="27" t="s">
        <v>62</v>
      </c>
      <c r="C47" s="27" t="s">
        <v>195</v>
      </c>
      <c r="D47" s="28" t="s">
        <v>63</v>
      </c>
      <c r="E47" s="41">
        <v>226643741</v>
      </c>
      <c r="F47" s="41">
        <f>142701242+16080119-18252562</f>
        <v>140528799</v>
      </c>
      <c r="G47" s="41">
        <f>31014749+1000000-1000000</f>
        <v>31014749</v>
      </c>
      <c r="H47" s="41">
        <v>46509353.6</v>
      </c>
      <c r="I47" s="41">
        <v>31184132.98</v>
      </c>
      <c r="J47" s="41">
        <v>4668209.04</v>
      </c>
      <c r="K47" s="134">
        <f t="shared" si="1"/>
        <v>20.52090800954437</v>
      </c>
      <c r="L47" s="41">
        <f t="shared" si="7"/>
        <v>26927171</v>
      </c>
      <c r="M47" s="41">
        <v>18497171</v>
      </c>
      <c r="N47" s="41">
        <v>740455</v>
      </c>
      <c r="O47" s="41">
        <v>47940</v>
      </c>
      <c r="P47" s="41">
        <f>6090000+2150000+190000</f>
        <v>8430000</v>
      </c>
      <c r="Q47" s="41">
        <f t="shared" si="8"/>
        <v>5408502.22</v>
      </c>
      <c r="R47" s="41">
        <v>3813780.48</v>
      </c>
      <c r="S47" s="41">
        <v>173160.49</v>
      </c>
      <c r="T47" s="41">
        <v>14334.59</v>
      </c>
      <c r="U47" s="41">
        <v>1594721.74</v>
      </c>
      <c r="V47" s="134">
        <f t="shared" si="2"/>
        <v>20.08566818994836</v>
      </c>
      <c r="W47" s="41">
        <f t="shared" si="9"/>
        <v>51917855.82</v>
      </c>
      <c r="X47" s="172"/>
    </row>
    <row r="48" spans="1:24" s="26" customFormat="1" ht="15">
      <c r="A48" s="24"/>
      <c r="B48" s="27" t="s">
        <v>64</v>
      </c>
      <c r="C48" s="27" t="s">
        <v>195</v>
      </c>
      <c r="D48" s="28" t="s">
        <v>65</v>
      </c>
      <c r="E48" s="41">
        <v>357724</v>
      </c>
      <c r="F48" s="41">
        <f>277448+45301-29836</f>
        <v>292913</v>
      </c>
      <c r="G48" s="41"/>
      <c r="H48" s="41">
        <v>77470.48</v>
      </c>
      <c r="I48" s="41">
        <v>64511.72</v>
      </c>
      <c r="J48" s="41"/>
      <c r="K48" s="134">
        <f t="shared" si="1"/>
        <v>21.656494951415056</v>
      </c>
      <c r="L48" s="41">
        <f t="shared" si="7"/>
        <v>0</v>
      </c>
      <c r="M48" s="41"/>
      <c r="N48" s="41"/>
      <c r="O48" s="41"/>
      <c r="P48" s="41"/>
      <c r="Q48" s="41">
        <f t="shared" si="8"/>
        <v>0</v>
      </c>
      <c r="R48" s="41"/>
      <c r="S48" s="41"/>
      <c r="T48" s="41"/>
      <c r="U48" s="41"/>
      <c r="V48" s="134"/>
      <c r="W48" s="41">
        <f t="shared" si="9"/>
        <v>77470.48</v>
      </c>
      <c r="X48" s="172"/>
    </row>
    <row r="49" spans="1:24" s="26" customFormat="1" ht="60">
      <c r="A49" s="24"/>
      <c r="B49" s="27" t="s">
        <v>66</v>
      </c>
      <c r="C49" s="27" t="s">
        <v>196</v>
      </c>
      <c r="D49" s="28" t="s">
        <v>67</v>
      </c>
      <c r="E49" s="41">
        <f>4650387+37304-453788+49980+60000</f>
        <v>4343883</v>
      </c>
      <c r="F49" s="41">
        <f>2854137+321793-345065</f>
        <v>2830865</v>
      </c>
      <c r="G49" s="41">
        <v>517072</v>
      </c>
      <c r="H49" s="41">
        <v>1038312.11</v>
      </c>
      <c r="I49" s="41">
        <v>611148.67</v>
      </c>
      <c r="J49" s="41">
        <v>224417.95</v>
      </c>
      <c r="K49" s="134">
        <f t="shared" si="1"/>
        <v>23.902856269379264</v>
      </c>
      <c r="L49" s="41">
        <f t="shared" si="7"/>
        <v>150000</v>
      </c>
      <c r="M49" s="41"/>
      <c r="N49" s="41"/>
      <c r="O49" s="41"/>
      <c r="P49" s="41">
        <v>150000</v>
      </c>
      <c r="Q49" s="41">
        <f t="shared" si="8"/>
        <v>4543.0199999999995</v>
      </c>
      <c r="R49" s="41">
        <v>3985.6</v>
      </c>
      <c r="S49" s="41"/>
      <c r="T49" s="41"/>
      <c r="U49" s="41">
        <v>557.42</v>
      </c>
      <c r="V49" s="134">
        <f t="shared" si="2"/>
        <v>3.0286799999999996</v>
      </c>
      <c r="W49" s="41">
        <f t="shared" si="9"/>
        <v>1042855.13</v>
      </c>
      <c r="X49" s="172"/>
    </row>
    <row r="50" spans="1:24" s="26" customFormat="1" ht="30">
      <c r="A50" s="24"/>
      <c r="B50" s="27" t="s">
        <v>68</v>
      </c>
      <c r="C50" s="27" t="s">
        <v>197</v>
      </c>
      <c r="D50" s="28" t="s">
        <v>69</v>
      </c>
      <c r="E50" s="41">
        <f>14471495-2278502</f>
        <v>12192993</v>
      </c>
      <c r="F50" s="41">
        <f>9257594-784442</f>
        <v>8473152</v>
      </c>
      <c r="G50" s="41">
        <v>1785662</v>
      </c>
      <c r="H50" s="41">
        <v>3105436.11</v>
      </c>
      <c r="I50" s="41">
        <v>1873481.66</v>
      </c>
      <c r="J50" s="41">
        <v>814460.76</v>
      </c>
      <c r="K50" s="134">
        <f t="shared" si="1"/>
        <v>25.46902233110443</v>
      </c>
      <c r="L50" s="41">
        <f t="shared" si="7"/>
        <v>525000</v>
      </c>
      <c r="M50" s="41"/>
      <c r="N50" s="41"/>
      <c r="O50" s="41"/>
      <c r="P50" s="41">
        <v>525000</v>
      </c>
      <c r="Q50" s="41">
        <f t="shared" si="8"/>
        <v>138540.97</v>
      </c>
      <c r="R50" s="41">
        <v>64125.97</v>
      </c>
      <c r="S50" s="41"/>
      <c r="T50" s="41"/>
      <c r="U50" s="41">
        <v>74415</v>
      </c>
      <c r="V50" s="134">
        <f t="shared" si="2"/>
        <v>26.388756190476194</v>
      </c>
      <c r="W50" s="41">
        <f t="shared" si="9"/>
        <v>3243977.08</v>
      </c>
      <c r="X50" s="172"/>
    </row>
    <row r="51" spans="1:24" s="26" customFormat="1" ht="15">
      <c r="A51" s="24"/>
      <c r="B51" s="27" t="s">
        <v>318</v>
      </c>
      <c r="C51" s="27" t="s">
        <v>320</v>
      </c>
      <c r="D51" s="28" t="s">
        <v>319</v>
      </c>
      <c r="E51" s="41">
        <v>55886018</v>
      </c>
      <c r="F51" s="41">
        <v>26608329</v>
      </c>
      <c r="G51" s="41">
        <v>6083140</v>
      </c>
      <c r="H51" s="41">
        <v>11952691.95</v>
      </c>
      <c r="I51" s="41">
        <v>5607803.86</v>
      </c>
      <c r="J51" s="41">
        <v>1874099.89</v>
      </c>
      <c r="K51" s="134">
        <f t="shared" si="1"/>
        <v>21.387624986986907</v>
      </c>
      <c r="L51" s="41">
        <f t="shared" si="7"/>
        <v>6764260</v>
      </c>
      <c r="M51" s="41">
        <v>6459260</v>
      </c>
      <c r="N51" s="41">
        <v>1729928</v>
      </c>
      <c r="O51" s="41">
        <v>1470248</v>
      </c>
      <c r="P51" s="41">
        <v>305000</v>
      </c>
      <c r="Q51" s="41">
        <f t="shared" si="8"/>
        <v>953503.12</v>
      </c>
      <c r="R51" s="41">
        <v>911550.12</v>
      </c>
      <c r="S51" s="41">
        <v>307631.17</v>
      </c>
      <c r="T51" s="41">
        <v>249665.67</v>
      </c>
      <c r="U51" s="41">
        <v>41953</v>
      </c>
      <c r="V51" s="134">
        <f t="shared" si="2"/>
        <v>14.096192636001573</v>
      </c>
      <c r="W51" s="41">
        <f t="shared" si="9"/>
        <v>12906195.069999998</v>
      </c>
      <c r="X51" s="94"/>
    </row>
    <row r="52" spans="1:24" s="26" customFormat="1" ht="30">
      <c r="A52" s="24"/>
      <c r="B52" s="27" t="s">
        <v>70</v>
      </c>
      <c r="C52" s="27" t="s">
        <v>198</v>
      </c>
      <c r="D52" s="28" t="s">
        <v>71</v>
      </c>
      <c r="E52" s="41">
        <f>2094920-330296</f>
        <v>1764624</v>
      </c>
      <c r="F52" s="41">
        <f>1451158-100640</f>
        <v>1350518</v>
      </c>
      <c r="G52" s="41">
        <v>79885</v>
      </c>
      <c r="H52" s="41">
        <v>375064.45</v>
      </c>
      <c r="I52" s="41">
        <v>273273.25</v>
      </c>
      <c r="J52" s="41">
        <v>37197.29</v>
      </c>
      <c r="K52" s="134">
        <f t="shared" si="1"/>
        <v>21.254638381887585</v>
      </c>
      <c r="L52" s="41">
        <f t="shared" si="7"/>
        <v>110000</v>
      </c>
      <c r="M52" s="41"/>
      <c r="N52" s="41"/>
      <c r="O52" s="41"/>
      <c r="P52" s="41">
        <v>110000</v>
      </c>
      <c r="Q52" s="41">
        <f t="shared" si="8"/>
        <v>8019.17</v>
      </c>
      <c r="R52" s="41">
        <v>6447.18</v>
      </c>
      <c r="S52" s="41"/>
      <c r="T52" s="41"/>
      <c r="U52" s="41">
        <v>1571.99</v>
      </c>
      <c r="V52" s="134">
        <f t="shared" si="2"/>
        <v>7.290154545454546</v>
      </c>
      <c r="W52" s="41">
        <f t="shared" si="9"/>
        <v>383083.62</v>
      </c>
      <c r="X52" s="172"/>
    </row>
    <row r="53" spans="1:24" s="26" customFormat="1" ht="30">
      <c r="A53" s="24"/>
      <c r="B53" s="27" t="s">
        <v>72</v>
      </c>
      <c r="C53" s="27" t="s">
        <v>198</v>
      </c>
      <c r="D53" s="28" t="s">
        <v>73</v>
      </c>
      <c r="E53" s="41">
        <f>1911767-371097</f>
        <v>1540670</v>
      </c>
      <c r="F53" s="41">
        <f>1242033-158595</f>
        <v>1083438</v>
      </c>
      <c r="G53" s="41">
        <v>82225</v>
      </c>
      <c r="H53" s="41">
        <v>340181.95</v>
      </c>
      <c r="I53" s="41">
        <v>237108.74</v>
      </c>
      <c r="J53" s="41">
        <v>27743.11</v>
      </c>
      <c r="K53" s="134">
        <f t="shared" si="1"/>
        <v>22.08013072234807</v>
      </c>
      <c r="L53" s="41">
        <f t="shared" si="7"/>
        <v>75000</v>
      </c>
      <c r="M53" s="41"/>
      <c r="N53" s="41"/>
      <c r="O53" s="41"/>
      <c r="P53" s="41">
        <v>75000</v>
      </c>
      <c r="Q53" s="41">
        <f t="shared" si="8"/>
        <v>74250</v>
      </c>
      <c r="R53" s="41"/>
      <c r="S53" s="41"/>
      <c r="T53" s="41"/>
      <c r="U53" s="41">
        <v>74250</v>
      </c>
      <c r="V53" s="134">
        <f t="shared" si="2"/>
        <v>99</v>
      </c>
      <c r="W53" s="41">
        <f t="shared" si="9"/>
        <v>414431.95</v>
      </c>
      <c r="X53" s="172"/>
    </row>
    <row r="54" spans="1:24" s="26" customFormat="1" ht="30">
      <c r="A54" s="24"/>
      <c r="B54" s="27" t="s">
        <v>74</v>
      </c>
      <c r="C54" s="27" t="s">
        <v>198</v>
      </c>
      <c r="D54" s="28" t="s">
        <v>75</v>
      </c>
      <c r="E54" s="41">
        <f>206673-44535</f>
        <v>162138</v>
      </c>
      <c r="F54" s="41">
        <f>145804-19414</f>
        <v>126390</v>
      </c>
      <c r="G54" s="41">
        <v>5147</v>
      </c>
      <c r="H54" s="41">
        <v>28313.59</v>
      </c>
      <c r="I54" s="41">
        <v>21178.75</v>
      </c>
      <c r="J54" s="41">
        <v>1747.5</v>
      </c>
      <c r="K54" s="134">
        <f t="shared" si="1"/>
        <v>17.462649101382773</v>
      </c>
      <c r="L54" s="41">
        <f t="shared" si="7"/>
        <v>0</v>
      </c>
      <c r="M54" s="41"/>
      <c r="N54" s="41"/>
      <c r="O54" s="41"/>
      <c r="P54" s="41"/>
      <c r="Q54" s="41">
        <f t="shared" si="8"/>
        <v>0</v>
      </c>
      <c r="R54" s="41"/>
      <c r="S54" s="41"/>
      <c r="T54" s="41"/>
      <c r="U54" s="41"/>
      <c r="V54" s="134"/>
      <c r="W54" s="41">
        <f t="shared" si="9"/>
        <v>28313.59</v>
      </c>
      <c r="X54" s="172"/>
    </row>
    <row r="55" spans="1:24" s="26" customFormat="1" ht="15">
      <c r="A55" s="24"/>
      <c r="B55" s="27" t="s">
        <v>76</v>
      </c>
      <c r="C55" s="27" t="s">
        <v>198</v>
      </c>
      <c r="D55" s="28" t="s">
        <v>77</v>
      </c>
      <c r="E55" s="41">
        <f>2955196-425073</f>
        <v>2530123</v>
      </c>
      <c r="F55" s="41">
        <f>1837478-145690</f>
        <v>1691788</v>
      </c>
      <c r="G55" s="41">
        <v>335643</v>
      </c>
      <c r="H55" s="41">
        <v>566433.09</v>
      </c>
      <c r="I55" s="41">
        <v>373943.02</v>
      </c>
      <c r="J55" s="41">
        <v>80331.13</v>
      </c>
      <c r="K55" s="134">
        <f t="shared" si="1"/>
        <v>22.38757127617906</v>
      </c>
      <c r="L55" s="41">
        <f t="shared" si="7"/>
        <v>150000</v>
      </c>
      <c r="M55" s="41"/>
      <c r="N55" s="41"/>
      <c r="O55" s="41"/>
      <c r="P55" s="41">
        <v>150000</v>
      </c>
      <c r="Q55" s="41">
        <f t="shared" si="8"/>
        <v>75768.32</v>
      </c>
      <c r="R55" s="41">
        <v>75768.32</v>
      </c>
      <c r="S55" s="41"/>
      <c r="T55" s="41"/>
      <c r="U55" s="41"/>
      <c r="V55" s="134">
        <f t="shared" si="2"/>
        <v>50.512213333333335</v>
      </c>
      <c r="W55" s="41">
        <f t="shared" si="9"/>
        <v>642201.4099999999</v>
      </c>
      <c r="X55" s="172"/>
    </row>
    <row r="56" spans="1:24" s="26" customFormat="1" ht="15">
      <c r="A56" s="24"/>
      <c r="B56" s="27" t="s">
        <v>78</v>
      </c>
      <c r="C56" s="27" t="s">
        <v>198</v>
      </c>
      <c r="D56" s="28" t="s">
        <v>79</v>
      </c>
      <c r="E56" s="41">
        <v>73148</v>
      </c>
      <c r="F56" s="41"/>
      <c r="G56" s="41"/>
      <c r="H56" s="41"/>
      <c r="I56" s="41"/>
      <c r="J56" s="41"/>
      <c r="K56" s="134">
        <f t="shared" si="1"/>
        <v>0</v>
      </c>
      <c r="L56" s="41">
        <f t="shared" si="7"/>
        <v>0</v>
      </c>
      <c r="M56" s="41"/>
      <c r="N56" s="41"/>
      <c r="O56" s="41"/>
      <c r="P56" s="41"/>
      <c r="Q56" s="41">
        <f t="shared" si="8"/>
        <v>0</v>
      </c>
      <c r="R56" s="41"/>
      <c r="S56" s="41"/>
      <c r="T56" s="41"/>
      <c r="U56" s="41"/>
      <c r="V56" s="134"/>
      <c r="W56" s="41">
        <f t="shared" si="9"/>
        <v>0</v>
      </c>
      <c r="X56" s="172"/>
    </row>
    <row r="57" spans="1:24" s="26" customFormat="1" ht="45">
      <c r="A57" s="24"/>
      <c r="B57" s="27" t="s">
        <v>80</v>
      </c>
      <c r="C57" s="27" t="s">
        <v>198</v>
      </c>
      <c r="D57" s="28" t="s">
        <v>81</v>
      </c>
      <c r="E57" s="41">
        <v>45250</v>
      </c>
      <c r="F57" s="41"/>
      <c r="G57" s="41"/>
      <c r="H57" s="41">
        <v>5430</v>
      </c>
      <c r="I57" s="41"/>
      <c r="J57" s="41"/>
      <c r="K57" s="134">
        <f t="shared" si="1"/>
        <v>12</v>
      </c>
      <c r="L57" s="41">
        <f t="shared" si="7"/>
        <v>0</v>
      </c>
      <c r="M57" s="41"/>
      <c r="N57" s="41"/>
      <c r="O57" s="41"/>
      <c r="P57" s="41"/>
      <c r="Q57" s="41">
        <f t="shared" si="8"/>
        <v>0</v>
      </c>
      <c r="R57" s="41"/>
      <c r="S57" s="41"/>
      <c r="T57" s="41"/>
      <c r="U57" s="41"/>
      <c r="V57" s="134"/>
      <c r="W57" s="41">
        <f t="shared" si="9"/>
        <v>5430</v>
      </c>
      <c r="X57" s="172"/>
    </row>
    <row r="58" spans="1:24" s="26" customFormat="1" ht="75">
      <c r="A58" s="24"/>
      <c r="B58" s="27" t="s">
        <v>26</v>
      </c>
      <c r="C58" s="27" t="s">
        <v>182</v>
      </c>
      <c r="D58" s="29" t="s">
        <v>27</v>
      </c>
      <c r="E58" s="41">
        <v>2000000</v>
      </c>
      <c r="F58" s="41"/>
      <c r="G58" s="41"/>
      <c r="H58" s="41"/>
      <c r="I58" s="41"/>
      <c r="J58" s="41"/>
      <c r="K58" s="134">
        <f t="shared" si="1"/>
        <v>0</v>
      </c>
      <c r="L58" s="41">
        <f t="shared" si="7"/>
        <v>0</v>
      </c>
      <c r="M58" s="41"/>
      <c r="N58" s="41"/>
      <c r="O58" s="41"/>
      <c r="P58" s="41"/>
      <c r="Q58" s="41">
        <f t="shared" si="8"/>
        <v>0</v>
      </c>
      <c r="R58" s="41"/>
      <c r="S58" s="41"/>
      <c r="T58" s="41"/>
      <c r="U58" s="41"/>
      <c r="V58" s="134"/>
      <c r="W58" s="41">
        <f t="shared" si="9"/>
        <v>0</v>
      </c>
      <c r="X58" s="172"/>
    </row>
    <row r="59" spans="1:24" s="26" customFormat="1" ht="45">
      <c r="A59" s="24"/>
      <c r="B59" s="27" t="s">
        <v>36</v>
      </c>
      <c r="C59" s="27" t="s">
        <v>185</v>
      </c>
      <c r="D59" s="28" t="s">
        <v>37</v>
      </c>
      <c r="E59" s="41">
        <f>2940630-378096</f>
        <v>2562534</v>
      </c>
      <c r="F59" s="41">
        <f>1887404-88687</f>
        <v>1798717</v>
      </c>
      <c r="G59" s="41">
        <v>182401</v>
      </c>
      <c r="H59" s="41">
        <v>580166</v>
      </c>
      <c r="I59" s="41">
        <v>385290.64</v>
      </c>
      <c r="J59" s="41">
        <v>76172.02</v>
      </c>
      <c r="K59" s="134">
        <f t="shared" si="1"/>
        <v>22.640323991798745</v>
      </c>
      <c r="L59" s="41">
        <f t="shared" si="7"/>
        <v>0</v>
      </c>
      <c r="M59" s="43"/>
      <c r="N59" s="43"/>
      <c r="O59" s="43"/>
      <c r="P59" s="43"/>
      <c r="Q59" s="41">
        <f t="shared" si="8"/>
        <v>0</v>
      </c>
      <c r="R59" s="79"/>
      <c r="S59" s="79"/>
      <c r="T59" s="79"/>
      <c r="U59" s="79"/>
      <c r="V59" s="135"/>
      <c r="W59" s="41">
        <f>H59+Q59</f>
        <v>580166</v>
      </c>
      <c r="X59" s="172"/>
    </row>
    <row r="60" spans="1:24" s="26" customFormat="1" ht="30">
      <c r="A60" s="24"/>
      <c r="B60" s="27" t="s">
        <v>55</v>
      </c>
      <c r="C60" s="27" t="s">
        <v>191</v>
      </c>
      <c r="D60" s="28" t="s">
        <v>56</v>
      </c>
      <c r="E60" s="41"/>
      <c r="F60" s="41"/>
      <c r="G60" s="41"/>
      <c r="H60" s="43"/>
      <c r="I60" s="43"/>
      <c r="J60" s="43"/>
      <c r="K60" s="133"/>
      <c r="L60" s="41">
        <f t="shared" si="7"/>
        <v>70000</v>
      </c>
      <c r="M60" s="79">
        <v>40000</v>
      </c>
      <c r="N60" s="79"/>
      <c r="O60" s="79"/>
      <c r="P60" s="79">
        <v>30000</v>
      </c>
      <c r="Q60" s="41">
        <f t="shared" si="8"/>
        <v>0</v>
      </c>
      <c r="R60" s="41"/>
      <c r="S60" s="41"/>
      <c r="T60" s="41"/>
      <c r="U60" s="41"/>
      <c r="V60" s="134">
        <f t="shared" si="2"/>
        <v>0</v>
      </c>
      <c r="W60" s="41">
        <f t="shared" si="9"/>
        <v>0</v>
      </c>
      <c r="X60" s="172"/>
    </row>
    <row r="61" spans="1:24" s="26" customFormat="1" ht="15">
      <c r="A61" s="24"/>
      <c r="B61" s="27" t="s">
        <v>82</v>
      </c>
      <c r="C61" s="27" t="s">
        <v>199</v>
      </c>
      <c r="D61" s="28" t="s">
        <v>83</v>
      </c>
      <c r="E61" s="41"/>
      <c r="F61" s="41"/>
      <c r="G61" s="41"/>
      <c r="H61" s="43"/>
      <c r="I61" s="43"/>
      <c r="J61" s="43"/>
      <c r="K61" s="133"/>
      <c r="L61" s="41">
        <f t="shared" si="7"/>
        <v>250000</v>
      </c>
      <c r="M61" s="79">
        <v>160000</v>
      </c>
      <c r="N61" s="79"/>
      <c r="O61" s="79"/>
      <c r="P61" s="79">
        <v>90000</v>
      </c>
      <c r="Q61" s="41">
        <f t="shared" si="8"/>
        <v>0</v>
      </c>
      <c r="R61" s="41"/>
      <c r="S61" s="41"/>
      <c r="T61" s="41"/>
      <c r="U61" s="41"/>
      <c r="V61" s="134">
        <f t="shared" si="2"/>
        <v>0</v>
      </c>
      <c r="W61" s="41">
        <f t="shared" si="9"/>
        <v>0</v>
      </c>
      <c r="X61" s="172"/>
    </row>
    <row r="62" spans="1:24" s="26" customFormat="1" ht="28.5">
      <c r="A62" s="24"/>
      <c r="B62" s="31"/>
      <c r="C62" s="31"/>
      <c r="D62" s="32" t="s">
        <v>200</v>
      </c>
      <c r="E62" s="43">
        <f>SUM(E63:E71)</f>
        <v>210034307</v>
      </c>
      <c r="F62" s="43">
        <f aca="true" t="shared" si="10" ref="F62:W62">SUM(F63:F71)</f>
        <v>126635189</v>
      </c>
      <c r="G62" s="43">
        <f t="shared" si="10"/>
        <v>19133584</v>
      </c>
      <c r="H62" s="43">
        <f t="shared" si="10"/>
        <v>47401673.26000001</v>
      </c>
      <c r="I62" s="43">
        <f t="shared" si="10"/>
        <v>28084199.84</v>
      </c>
      <c r="J62" s="43">
        <f t="shared" si="10"/>
        <v>6870534.17</v>
      </c>
      <c r="K62" s="133">
        <f t="shared" si="1"/>
        <v>22.56853841501237</v>
      </c>
      <c r="L62" s="43">
        <f t="shared" si="10"/>
        <v>29011714</v>
      </c>
      <c r="M62" s="43">
        <f t="shared" si="10"/>
        <v>11785214</v>
      </c>
      <c r="N62" s="43">
        <f t="shared" si="10"/>
        <v>6366242</v>
      </c>
      <c r="O62" s="43">
        <f t="shared" si="10"/>
        <v>500810</v>
      </c>
      <c r="P62" s="43">
        <f t="shared" si="10"/>
        <v>17226500</v>
      </c>
      <c r="Q62" s="43">
        <f>SUM(Q63:Q71)</f>
        <v>4106256.1900000004</v>
      </c>
      <c r="R62" s="43">
        <f t="shared" si="10"/>
        <v>3108630.0700000003</v>
      </c>
      <c r="S62" s="43">
        <f t="shared" si="10"/>
        <v>1217657.4000000001</v>
      </c>
      <c r="T62" s="43">
        <f t="shared" si="10"/>
        <v>194295.66000000003</v>
      </c>
      <c r="U62" s="43">
        <f t="shared" si="10"/>
        <v>997626.12</v>
      </c>
      <c r="V62" s="133">
        <f t="shared" si="2"/>
        <v>14.153786949643859</v>
      </c>
      <c r="W62" s="43">
        <f t="shared" si="10"/>
        <v>51507929.45</v>
      </c>
      <c r="X62" s="172"/>
    </row>
    <row r="63" spans="1:24" s="26" customFormat="1" ht="15">
      <c r="A63" s="24"/>
      <c r="B63" s="27" t="s">
        <v>11</v>
      </c>
      <c r="C63" s="27" t="s">
        <v>9</v>
      </c>
      <c r="D63" s="28" t="s">
        <v>15</v>
      </c>
      <c r="E63" s="41">
        <f>501690-36350</f>
        <v>465340</v>
      </c>
      <c r="F63" s="41">
        <f>324260+3570</f>
        <v>327830</v>
      </c>
      <c r="G63" s="41">
        <v>18179</v>
      </c>
      <c r="H63" s="41">
        <v>110373.77</v>
      </c>
      <c r="I63" s="41">
        <v>81583.73</v>
      </c>
      <c r="J63" s="41">
        <v>6654.5</v>
      </c>
      <c r="K63" s="134">
        <f t="shared" si="1"/>
        <v>23.718951734215842</v>
      </c>
      <c r="L63" s="41">
        <f aca="true" t="shared" si="11" ref="L63:L71">M63+P63</f>
        <v>320200</v>
      </c>
      <c r="M63" s="43"/>
      <c r="N63" s="43"/>
      <c r="O63" s="43"/>
      <c r="P63" s="79">
        <v>320200</v>
      </c>
      <c r="Q63" s="41">
        <f aca="true" t="shared" si="12" ref="Q63:Q71">R63+U63</f>
        <v>25980</v>
      </c>
      <c r="R63" s="79"/>
      <c r="S63" s="79"/>
      <c r="T63" s="79"/>
      <c r="U63" s="79">
        <v>25980</v>
      </c>
      <c r="V63" s="135">
        <f t="shared" si="2"/>
        <v>8.11367895065584</v>
      </c>
      <c r="W63" s="41">
        <f aca="true" t="shared" si="13" ref="W63:W71">H63+Q63</f>
        <v>136353.77000000002</v>
      </c>
      <c r="X63" s="172"/>
    </row>
    <row r="64" spans="1:24" s="26" customFormat="1" ht="15">
      <c r="A64" s="24"/>
      <c r="B64" s="27" t="s">
        <v>84</v>
      </c>
      <c r="C64" s="27" t="s">
        <v>201</v>
      </c>
      <c r="D64" s="28" t="s">
        <v>85</v>
      </c>
      <c r="E64" s="41">
        <f>185364829+8898601-3182667-22578004-57471</f>
        <v>168445288</v>
      </c>
      <c r="F64" s="41">
        <f>111910141+7414009-15923234</f>
        <v>103400916</v>
      </c>
      <c r="G64" s="41">
        <v>15447851</v>
      </c>
      <c r="H64" s="41">
        <v>38356212</v>
      </c>
      <c r="I64" s="41">
        <v>23028179.31</v>
      </c>
      <c r="J64" s="41">
        <v>5516924.45</v>
      </c>
      <c r="K64" s="134">
        <f t="shared" si="1"/>
        <v>22.770724224710875</v>
      </c>
      <c r="L64" s="41">
        <f t="shared" si="11"/>
        <v>20490482</v>
      </c>
      <c r="M64" s="41">
        <v>7844182</v>
      </c>
      <c r="N64" s="41">
        <v>4083407</v>
      </c>
      <c r="O64" s="41">
        <v>177480</v>
      </c>
      <c r="P64" s="41">
        <f>11900000+100000+646300</f>
        <v>12646300</v>
      </c>
      <c r="Q64" s="41">
        <f t="shared" si="12"/>
        <v>3085684.08</v>
      </c>
      <c r="R64" s="41">
        <v>2198037.96</v>
      </c>
      <c r="S64" s="41">
        <v>797727.89</v>
      </c>
      <c r="T64" s="41">
        <v>76255.02</v>
      </c>
      <c r="U64" s="41">
        <f>887646.12</f>
        <v>887646.12</v>
      </c>
      <c r="V64" s="134">
        <f t="shared" si="2"/>
        <v>15.05910929767294</v>
      </c>
      <c r="W64" s="41">
        <f t="shared" si="13"/>
        <v>41441896.08</v>
      </c>
      <c r="X64" s="172"/>
    </row>
    <row r="65" spans="1:24" s="26" customFormat="1" ht="15">
      <c r="A65" s="24"/>
      <c r="B65" s="33" t="s">
        <v>86</v>
      </c>
      <c r="C65" s="33" t="s">
        <v>202</v>
      </c>
      <c r="D65" s="34" t="s">
        <v>87</v>
      </c>
      <c r="E65" s="41">
        <f>21492078-514223-2712091</f>
        <v>18265764</v>
      </c>
      <c r="F65" s="41">
        <f>12880040+855030-1989840</f>
        <v>11745230</v>
      </c>
      <c r="G65" s="41">
        <v>2655803</v>
      </c>
      <c r="H65" s="41">
        <v>4342490.21</v>
      </c>
      <c r="I65" s="41">
        <v>2625811.88</v>
      </c>
      <c r="J65" s="41">
        <v>942573.07</v>
      </c>
      <c r="K65" s="134">
        <f t="shared" si="1"/>
        <v>23.773931438071795</v>
      </c>
      <c r="L65" s="41">
        <f t="shared" si="11"/>
        <v>1525240</v>
      </c>
      <c r="M65" s="41">
        <v>25240</v>
      </c>
      <c r="N65" s="41">
        <v>9460</v>
      </c>
      <c r="O65" s="41">
        <v>4150</v>
      </c>
      <c r="P65" s="41">
        <v>1500000</v>
      </c>
      <c r="Q65" s="41">
        <f t="shared" si="12"/>
        <v>16565.75</v>
      </c>
      <c r="R65" s="41">
        <v>16565.75</v>
      </c>
      <c r="S65" s="41">
        <v>4041.11</v>
      </c>
      <c r="T65" s="41"/>
      <c r="U65" s="41"/>
      <c r="V65" s="134">
        <f t="shared" si="2"/>
        <v>1.0861077600902154</v>
      </c>
      <c r="W65" s="41">
        <f t="shared" si="13"/>
        <v>4359055.96</v>
      </c>
      <c r="X65" s="172"/>
    </row>
    <row r="66" spans="1:24" s="26" customFormat="1" ht="60">
      <c r="A66" s="24"/>
      <c r="B66" s="53" t="s">
        <v>239</v>
      </c>
      <c r="C66" s="53" t="s">
        <v>240</v>
      </c>
      <c r="D66" s="46" t="s">
        <v>241</v>
      </c>
      <c r="E66" s="41">
        <f>2196578-72487-512653</f>
        <v>1611438</v>
      </c>
      <c r="F66" s="41">
        <f>1538529+67981-378621</f>
        <v>1227889</v>
      </c>
      <c r="G66" s="41">
        <v>76813</v>
      </c>
      <c r="H66" s="41">
        <v>379074.17</v>
      </c>
      <c r="I66" s="41">
        <v>273311.05</v>
      </c>
      <c r="J66" s="41">
        <v>38196.62</v>
      </c>
      <c r="K66" s="134">
        <f t="shared" si="1"/>
        <v>23.523968654084115</v>
      </c>
      <c r="L66" s="41">
        <f t="shared" si="11"/>
        <v>407000</v>
      </c>
      <c r="M66" s="41">
        <v>407000</v>
      </c>
      <c r="N66" s="41">
        <v>98000</v>
      </c>
      <c r="O66" s="41">
        <v>132800</v>
      </c>
      <c r="P66" s="41"/>
      <c r="Q66" s="41">
        <f t="shared" si="12"/>
        <v>188087.14</v>
      </c>
      <c r="R66" s="41">
        <v>188087.14</v>
      </c>
      <c r="S66" s="41">
        <v>24745.97</v>
      </c>
      <c r="T66" s="41">
        <v>63610.18</v>
      </c>
      <c r="U66" s="41"/>
      <c r="V66" s="134">
        <f t="shared" si="2"/>
        <v>46.213056511056514</v>
      </c>
      <c r="W66" s="41">
        <f t="shared" si="13"/>
        <v>567161.31</v>
      </c>
      <c r="X66" s="172"/>
    </row>
    <row r="67" spans="1:24" s="26" customFormat="1" ht="30">
      <c r="A67" s="24"/>
      <c r="B67" s="27" t="s">
        <v>88</v>
      </c>
      <c r="C67" s="27" t="s">
        <v>203</v>
      </c>
      <c r="D67" s="28" t="s">
        <v>89</v>
      </c>
      <c r="E67" s="41">
        <f>5135524-113812-743432</f>
        <v>4278280</v>
      </c>
      <c r="F67" s="41">
        <f>3329538+233048-545438</f>
        <v>3017148</v>
      </c>
      <c r="G67" s="41">
        <v>339954</v>
      </c>
      <c r="H67" s="41">
        <v>968531.09</v>
      </c>
      <c r="I67" s="41">
        <v>630013.86</v>
      </c>
      <c r="J67" s="41">
        <v>143088.49</v>
      </c>
      <c r="K67" s="134">
        <f t="shared" si="1"/>
        <v>22.63832872088783</v>
      </c>
      <c r="L67" s="41">
        <f t="shared" si="11"/>
        <v>4353292</v>
      </c>
      <c r="M67" s="41">
        <v>3353292</v>
      </c>
      <c r="N67" s="41">
        <v>2153375</v>
      </c>
      <c r="O67" s="41">
        <v>166719</v>
      </c>
      <c r="P67" s="41">
        <v>1000000</v>
      </c>
      <c r="Q67" s="41">
        <f t="shared" si="12"/>
        <v>668260.39</v>
      </c>
      <c r="R67" s="41">
        <v>644200.39</v>
      </c>
      <c r="S67" s="41">
        <v>383559.58</v>
      </c>
      <c r="T67" s="41">
        <v>47703.08</v>
      </c>
      <c r="U67" s="41">
        <v>24060</v>
      </c>
      <c r="V67" s="134">
        <f t="shared" si="2"/>
        <v>15.350690695685012</v>
      </c>
      <c r="W67" s="41">
        <f t="shared" si="13"/>
        <v>1636791.48</v>
      </c>
      <c r="X67" s="172"/>
    </row>
    <row r="68" spans="1:24" s="26" customFormat="1" ht="30">
      <c r="A68" s="24"/>
      <c r="B68" s="27" t="s">
        <v>90</v>
      </c>
      <c r="C68" s="27" t="s">
        <v>204</v>
      </c>
      <c r="D68" s="34" t="s">
        <v>91</v>
      </c>
      <c r="E68" s="41">
        <f>10647211-240883-1135554</f>
        <v>9270774</v>
      </c>
      <c r="F68" s="41">
        <v>6060985</v>
      </c>
      <c r="G68" s="41">
        <v>564989</v>
      </c>
      <c r="H68" s="41">
        <v>2016393.34</v>
      </c>
      <c r="I68" s="41">
        <v>1260051</v>
      </c>
      <c r="J68" s="41">
        <v>214020.77</v>
      </c>
      <c r="K68" s="134">
        <f t="shared" si="1"/>
        <v>21.74999994606707</v>
      </c>
      <c r="L68" s="41">
        <f t="shared" si="11"/>
        <v>1855500</v>
      </c>
      <c r="M68" s="41">
        <v>155500</v>
      </c>
      <c r="N68" s="41">
        <v>22000</v>
      </c>
      <c r="O68" s="41">
        <v>19661</v>
      </c>
      <c r="P68" s="41">
        <v>1700000</v>
      </c>
      <c r="Q68" s="41">
        <f t="shared" si="12"/>
        <v>61738.83</v>
      </c>
      <c r="R68" s="41">
        <v>61738.83</v>
      </c>
      <c r="S68" s="41">
        <v>7582.85</v>
      </c>
      <c r="T68" s="41">
        <v>6727.38</v>
      </c>
      <c r="U68" s="41"/>
      <c r="V68" s="134">
        <f t="shared" si="2"/>
        <v>3.3273419563459985</v>
      </c>
      <c r="W68" s="41">
        <f t="shared" si="13"/>
        <v>2078132.1700000002</v>
      </c>
      <c r="X68" s="172"/>
    </row>
    <row r="69" spans="1:24" s="26" customFormat="1" ht="15">
      <c r="A69" s="24"/>
      <c r="B69" s="27" t="s">
        <v>92</v>
      </c>
      <c r="C69" s="27" t="s">
        <v>205</v>
      </c>
      <c r="D69" s="28" t="s">
        <v>93</v>
      </c>
      <c r="E69" s="41">
        <f>1881157-9626-42382</f>
        <v>1829149</v>
      </c>
      <c r="F69" s="41">
        <f>415979+34677-31279</f>
        <v>419377</v>
      </c>
      <c r="G69" s="41">
        <v>11415</v>
      </c>
      <c r="H69" s="41">
        <v>439797.77</v>
      </c>
      <c r="I69" s="41">
        <v>94144.91</v>
      </c>
      <c r="J69" s="41">
        <v>3695.46</v>
      </c>
      <c r="K69" s="134">
        <f t="shared" si="1"/>
        <v>24.043846072681887</v>
      </c>
      <c r="L69" s="41">
        <f t="shared" si="11"/>
        <v>20000</v>
      </c>
      <c r="M69" s="43"/>
      <c r="N69" s="43"/>
      <c r="O69" s="43"/>
      <c r="P69" s="41">
        <v>20000</v>
      </c>
      <c r="Q69" s="41">
        <f t="shared" si="12"/>
        <v>19980</v>
      </c>
      <c r="R69" s="43"/>
      <c r="S69" s="43"/>
      <c r="T69" s="43"/>
      <c r="U69" s="79">
        <v>19980</v>
      </c>
      <c r="V69" s="135">
        <f t="shared" si="2"/>
        <v>99.9</v>
      </c>
      <c r="W69" s="41">
        <f t="shared" si="13"/>
        <v>459777.77</v>
      </c>
      <c r="X69" s="172"/>
    </row>
    <row r="70" spans="1:24" s="26" customFormat="1" ht="75">
      <c r="A70" s="24"/>
      <c r="B70" s="33" t="s">
        <v>94</v>
      </c>
      <c r="C70" s="33" t="s">
        <v>205</v>
      </c>
      <c r="D70" s="34" t="s">
        <v>95</v>
      </c>
      <c r="E70" s="41">
        <f>701177-6802-44101</f>
        <v>650274</v>
      </c>
      <c r="F70" s="41">
        <f>430788+37639-32613</f>
        <v>435814</v>
      </c>
      <c r="G70" s="41">
        <v>18580</v>
      </c>
      <c r="H70" s="41">
        <v>142451.55</v>
      </c>
      <c r="I70" s="41">
        <v>91104.1</v>
      </c>
      <c r="J70" s="41">
        <v>5380.81</v>
      </c>
      <c r="K70" s="134">
        <f t="shared" si="1"/>
        <v>21.906388691536183</v>
      </c>
      <c r="L70" s="41">
        <f t="shared" si="11"/>
        <v>40000</v>
      </c>
      <c r="M70" s="43"/>
      <c r="N70" s="43"/>
      <c r="O70" s="43"/>
      <c r="P70" s="41">
        <v>40000</v>
      </c>
      <c r="Q70" s="41">
        <f t="shared" si="12"/>
        <v>39960</v>
      </c>
      <c r="R70" s="41"/>
      <c r="S70" s="41"/>
      <c r="T70" s="41"/>
      <c r="U70" s="41">
        <v>39960</v>
      </c>
      <c r="V70" s="134">
        <f t="shared" si="2"/>
        <v>99.9</v>
      </c>
      <c r="W70" s="41">
        <f t="shared" si="13"/>
        <v>182411.55</v>
      </c>
      <c r="X70" s="172"/>
    </row>
    <row r="71" spans="1:24" s="26" customFormat="1" ht="45">
      <c r="A71" s="24"/>
      <c r="B71" s="33" t="s">
        <v>253</v>
      </c>
      <c r="C71" s="33" t="s">
        <v>205</v>
      </c>
      <c r="D71" s="28" t="s">
        <v>254</v>
      </c>
      <c r="E71" s="41">
        <f>4846847+371153</f>
        <v>5218000</v>
      </c>
      <c r="F71" s="41"/>
      <c r="G71" s="41"/>
      <c r="H71" s="41">
        <v>646349.36</v>
      </c>
      <c r="I71" s="41"/>
      <c r="J71" s="41"/>
      <c r="K71" s="134">
        <f t="shared" si="1"/>
        <v>12.38691759294749</v>
      </c>
      <c r="L71" s="41">
        <f t="shared" si="11"/>
        <v>0</v>
      </c>
      <c r="M71" s="43"/>
      <c r="N71" s="43"/>
      <c r="O71" s="43"/>
      <c r="P71" s="43"/>
      <c r="Q71" s="41">
        <f t="shared" si="12"/>
        <v>0</v>
      </c>
      <c r="R71" s="43"/>
      <c r="S71" s="43"/>
      <c r="T71" s="43"/>
      <c r="U71" s="43"/>
      <c r="V71" s="133"/>
      <c r="W71" s="41">
        <f t="shared" si="13"/>
        <v>646349.36</v>
      </c>
      <c r="X71" s="172"/>
    </row>
    <row r="72" spans="1:26" s="26" customFormat="1" ht="28.5">
      <c r="A72" s="24"/>
      <c r="B72" s="31"/>
      <c r="C72" s="31"/>
      <c r="D72" s="32" t="s">
        <v>206</v>
      </c>
      <c r="E72" s="43">
        <f>E73+E74+E75+E76+E77+E81+E82+E83+E84+E85+E86+E87+E88+E89+E90+E91+E92+E93+E94+E95+E96+E97+E98+E99+E100+E101+E102+E103+E104+E105+E106+E107+E108+E109+E110+E111</f>
        <v>704745055</v>
      </c>
      <c r="F72" s="43">
        <f aca="true" t="shared" si="14" ref="F72:W72">F73+F74+F75+F76+F77+F81+F82+F83+F84+F85+F86+F87+F88+F89+F90+F91+F92+F93+F94+F95+F96+F97+F98+F99+F100+F101+F102+F103+F104+F105+F106+F107+F108+F109+F110+F111</f>
        <v>15723513</v>
      </c>
      <c r="G72" s="43">
        <f t="shared" si="14"/>
        <v>653269</v>
      </c>
      <c r="H72" s="43">
        <f t="shared" si="14"/>
        <v>196923759.97</v>
      </c>
      <c r="I72" s="43">
        <f t="shared" si="14"/>
        <v>3407485.5</v>
      </c>
      <c r="J72" s="43">
        <f t="shared" si="14"/>
        <v>252226.40999999997</v>
      </c>
      <c r="K72" s="133">
        <f t="shared" si="1"/>
        <v>27.942552923624277</v>
      </c>
      <c r="L72" s="43">
        <f t="shared" si="14"/>
        <v>724800</v>
      </c>
      <c r="M72" s="43">
        <f t="shared" si="14"/>
        <v>27800</v>
      </c>
      <c r="N72" s="43">
        <f t="shared" si="14"/>
        <v>18822</v>
      </c>
      <c r="O72" s="43">
        <f t="shared" si="14"/>
        <v>0</v>
      </c>
      <c r="P72" s="43">
        <f t="shared" si="14"/>
        <v>697000</v>
      </c>
      <c r="Q72" s="43">
        <f>Q73+Q74+Q75+Q76+Q77+Q81+Q82+Q83+Q84+Q85+Q86+Q87+Q88+Q89+Q90+Q91+Q92+Q93+Q94+Q95+Q96+Q97+Q98+Q99+Q100+Q101+Q102+Q103+Q104+Q105+Q106+Q107+Q108+Q109+Q110+Q111</f>
        <v>111859.36</v>
      </c>
      <c r="R72" s="43">
        <f t="shared" si="14"/>
        <v>99879.36</v>
      </c>
      <c r="S72" s="43">
        <f t="shared" si="14"/>
        <v>74164.73000000001</v>
      </c>
      <c r="T72" s="43">
        <f t="shared" si="14"/>
        <v>0</v>
      </c>
      <c r="U72" s="43">
        <f t="shared" si="14"/>
        <v>11980</v>
      </c>
      <c r="V72" s="133">
        <f t="shared" si="2"/>
        <v>15.433134657836645</v>
      </c>
      <c r="W72" s="43">
        <f t="shared" si="14"/>
        <v>197035619.33</v>
      </c>
      <c r="X72" s="172"/>
      <c r="Z72" s="55"/>
    </row>
    <row r="73" spans="1:24" s="26" customFormat="1" ht="15">
      <c r="A73" s="24"/>
      <c r="B73" s="27" t="s">
        <v>11</v>
      </c>
      <c r="C73" s="27" t="s">
        <v>9</v>
      </c>
      <c r="D73" s="28" t="s">
        <v>96</v>
      </c>
      <c r="E73" s="41">
        <f>15846830-1812790</f>
        <v>14034040</v>
      </c>
      <c r="F73" s="41">
        <f>10990800-210790</f>
        <v>10780010</v>
      </c>
      <c r="G73" s="41">
        <v>369473</v>
      </c>
      <c r="H73" s="41">
        <v>3035282.3</v>
      </c>
      <c r="I73" s="41">
        <v>2279202.29</v>
      </c>
      <c r="J73" s="41">
        <v>143086.86</v>
      </c>
      <c r="K73" s="134">
        <f t="shared" si="1"/>
        <v>21.62800091776851</v>
      </c>
      <c r="L73" s="41">
        <f>M73+P73</f>
        <v>200000</v>
      </c>
      <c r="M73" s="41"/>
      <c r="N73" s="41"/>
      <c r="O73" s="41"/>
      <c r="P73" s="41">
        <v>200000</v>
      </c>
      <c r="Q73" s="41">
        <f>R73+U73</f>
        <v>82567.08</v>
      </c>
      <c r="R73" s="41">
        <v>82567.08</v>
      </c>
      <c r="S73" s="41">
        <v>67593.41</v>
      </c>
      <c r="T73" s="41"/>
      <c r="U73" s="41"/>
      <c r="V73" s="134">
        <f t="shared" si="2"/>
        <v>41.28354</v>
      </c>
      <c r="W73" s="41">
        <f>H73+Q73</f>
        <v>3117849.38</v>
      </c>
      <c r="X73" s="172"/>
    </row>
    <row r="74" spans="1:24" s="26" customFormat="1" ht="30">
      <c r="A74" s="24"/>
      <c r="B74" s="27" t="s">
        <v>97</v>
      </c>
      <c r="C74" s="27" t="s">
        <v>194</v>
      </c>
      <c r="D74" s="28" t="s">
        <v>98</v>
      </c>
      <c r="E74" s="41">
        <v>1678900</v>
      </c>
      <c r="F74" s="41"/>
      <c r="G74" s="41"/>
      <c r="H74" s="79">
        <v>329648.04</v>
      </c>
      <c r="I74" s="79"/>
      <c r="J74" s="79"/>
      <c r="K74" s="135">
        <f t="shared" si="1"/>
        <v>19.634763237834296</v>
      </c>
      <c r="L74" s="41">
        <f>M74+P74</f>
        <v>0</v>
      </c>
      <c r="M74" s="43"/>
      <c r="N74" s="43"/>
      <c r="O74" s="43"/>
      <c r="P74" s="43"/>
      <c r="Q74" s="41">
        <f>R74+U74</f>
        <v>0</v>
      </c>
      <c r="R74" s="43"/>
      <c r="S74" s="43"/>
      <c r="T74" s="43"/>
      <c r="U74" s="43"/>
      <c r="V74" s="133"/>
      <c r="W74" s="41">
        <f>H74+Q74</f>
        <v>329648.04</v>
      </c>
      <c r="X74" s="172"/>
    </row>
    <row r="75" spans="1:24" s="26" customFormat="1" ht="270">
      <c r="A75" s="24"/>
      <c r="B75" s="27" t="s">
        <v>99</v>
      </c>
      <c r="C75" s="27" t="s">
        <v>207</v>
      </c>
      <c r="D75" s="28" t="s">
        <v>100</v>
      </c>
      <c r="E75" s="41">
        <v>35619200</v>
      </c>
      <c r="F75" s="41"/>
      <c r="G75" s="43"/>
      <c r="H75" s="79">
        <v>6208682.38</v>
      </c>
      <c r="I75" s="43"/>
      <c r="J75" s="43"/>
      <c r="K75" s="135">
        <f t="shared" si="1"/>
        <v>17.430718208157398</v>
      </c>
      <c r="L75" s="41">
        <f>M75+P75</f>
        <v>0</v>
      </c>
      <c r="M75" s="43"/>
      <c r="N75" s="43"/>
      <c r="O75" s="43"/>
      <c r="P75" s="43"/>
      <c r="Q75" s="41">
        <f>R75+U75</f>
        <v>0</v>
      </c>
      <c r="R75" s="43"/>
      <c r="S75" s="43"/>
      <c r="T75" s="43"/>
      <c r="U75" s="43"/>
      <c r="V75" s="133"/>
      <c r="W75" s="41">
        <f>H75+Q75</f>
        <v>6208682.38</v>
      </c>
      <c r="X75" s="172"/>
    </row>
    <row r="76" spans="1:24" s="26" customFormat="1" ht="225">
      <c r="A76" s="24"/>
      <c r="B76" s="27" t="s">
        <v>101</v>
      </c>
      <c r="C76" s="27" t="s">
        <v>207</v>
      </c>
      <c r="D76" s="28" t="s">
        <v>102</v>
      </c>
      <c r="E76" s="41">
        <v>16975</v>
      </c>
      <c r="F76" s="43"/>
      <c r="G76" s="43"/>
      <c r="H76" s="79"/>
      <c r="I76" s="43"/>
      <c r="J76" s="43"/>
      <c r="K76" s="133">
        <f t="shared" si="1"/>
        <v>0</v>
      </c>
      <c r="L76" s="41">
        <f>M76+P76</f>
        <v>0</v>
      </c>
      <c r="M76" s="43"/>
      <c r="N76" s="43"/>
      <c r="O76" s="43"/>
      <c r="P76" s="43"/>
      <c r="Q76" s="41">
        <f>R76+U76</f>
        <v>0</v>
      </c>
      <c r="R76" s="43"/>
      <c r="S76" s="43"/>
      <c r="T76" s="43"/>
      <c r="U76" s="43"/>
      <c r="V76" s="133"/>
      <c r="W76" s="41">
        <f>H76+Q76</f>
        <v>0</v>
      </c>
      <c r="X76" s="172"/>
    </row>
    <row r="77" spans="1:24" s="26" customFormat="1" ht="15">
      <c r="A77" s="24"/>
      <c r="B77" s="35" t="s">
        <v>103</v>
      </c>
      <c r="C77" s="35" t="s">
        <v>207</v>
      </c>
      <c r="D77" s="167" t="s">
        <v>233</v>
      </c>
      <c r="E77" s="80">
        <v>5469100</v>
      </c>
      <c r="F77" s="80"/>
      <c r="G77" s="80"/>
      <c r="H77" s="80">
        <v>935973.22</v>
      </c>
      <c r="I77" s="80"/>
      <c r="J77" s="80"/>
      <c r="K77" s="136">
        <f t="shared" si="1"/>
        <v>17.113843594009985</v>
      </c>
      <c r="L77" s="80">
        <f>M77+P77</f>
        <v>0</v>
      </c>
      <c r="M77" s="80"/>
      <c r="N77" s="80"/>
      <c r="O77" s="80"/>
      <c r="P77" s="80"/>
      <c r="Q77" s="80">
        <f>R77+U77</f>
        <v>0</v>
      </c>
      <c r="R77" s="80"/>
      <c r="S77" s="80"/>
      <c r="T77" s="80"/>
      <c r="U77" s="80"/>
      <c r="V77" s="136"/>
      <c r="W77" s="85">
        <f>H77+Q77</f>
        <v>935973.22</v>
      </c>
      <c r="X77" s="172"/>
    </row>
    <row r="78" spans="1:24" s="26" customFormat="1" ht="15">
      <c r="A78" s="24"/>
      <c r="B78" s="36"/>
      <c r="C78" s="36"/>
      <c r="D78" s="168"/>
      <c r="E78" s="81"/>
      <c r="F78" s="81"/>
      <c r="G78" s="81"/>
      <c r="H78" s="81"/>
      <c r="I78" s="81"/>
      <c r="J78" s="81"/>
      <c r="K78" s="137"/>
      <c r="L78" s="81"/>
      <c r="M78" s="81"/>
      <c r="N78" s="81"/>
      <c r="O78" s="81"/>
      <c r="P78" s="81"/>
      <c r="Q78" s="81"/>
      <c r="R78" s="81"/>
      <c r="S78" s="81"/>
      <c r="T78" s="81"/>
      <c r="U78" s="81"/>
      <c r="V78" s="137"/>
      <c r="W78" s="86"/>
      <c r="X78" s="172"/>
    </row>
    <row r="79" spans="1:24" s="26" customFormat="1" ht="195">
      <c r="A79" s="24"/>
      <c r="B79" s="37"/>
      <c r="C79" s="37"/>
      <c r="D79" s="70" t="s">
        <v>234</v>
      </c>
      <c r="E79" s="81"/>
      <c r="F79" s="81"/>
      <c r="G79" s="81"/>
      <c r="H79" s="81"/>
      <c r="I79" s="81"/>
      <c r="J79" s="81"/>
      <c r="K79" s="137"/>
      <c r="L79" s="81"/>
      <c r="M79" s="81"/>
      <c r="N79" s="81"/>
      <c r="O79" s="81"/>
      <c r="P79" s="81"/>
      <c r="Q79" s="81"/>
      <c r="R79" s="81"/>
      <c r="S79" s="81"/>
      <c r="T79" s="81"/>
      <c r="U79" s="81"/>
      <c r="V79" s="137"/>
      <c r="W79" s="86"/>
      <c r="X79" s="172"/>
    </row>
    <row r="80" spans="1:24" s="26" customFormat="1" ht="300">
      <c r="A80" s="24"/>
      <c r="B80" s="38"/>
      <c r="C80" s="38"/>
      <c r="D80" s="71" t="s">
        <v>237</v>
      </c>
      <c r="E80" s="82"/>
      <c r="F80" s="82"/>
      <c r="G80" s="82"/>
      <c r="H80" s="82"/>
      <c r="I80" s="82"/>
      <c r="J80" s="82"/>
      <c r="K80" s="138"/>
      <c r="L80" s="82"/>
      <c r="M80" s="82"/>
      <c r="N80" s="82"/>
      <c r="O80" s="82"/>
      <c r="P80" s="82"/>
      <c r="Q80" s="82"/>
      <c r="R80" s="82"/>
      <c r="S80" s="82"/>
      <c r="T80" s="82"/>
      <c r="U80" s="82"/>
      <c r="V80" s="138"/>
      <c r="W80" s="87"/>
      <c r="X80" s="172"/>
    </row>
    <row r="81" spans="1:24" s="26" customFormat="1" ht="105">
      <c r="A81" s="24"/>
      <c r="B81" s="27" t="s">
        <v>104</v>
      </c>
      <c r="C81" s="27" t="s">
        <v>208</v>
      </c>
      <c r="D81" s="28" t="s">
        <v>105</v>
      </c>
      <c r="E81" s="41">
        <v>4278400</v>
      </c>
      <c r="F81" s="43"/>
      <c r="G81" s="43"/>
      <c r="H81" s="79">
        <v>867482.12</v>
      </c>
      <c r="I81" s="43"/>
      <c r="J81" s="43"/>
      <c r="K81" s="135">
        <f aca="true" t="shared" si="15" ref="K81:K142">H81/E81*100</f>
        <v>20.27585359012715</v>
      </c>
      <c r="L81" s="83">
        <f aca="true" t="shared" si="16" ref="L81:L88">M81+P81</f>
        <v>0</v>
      </c>
      <c r="M81" s="43"/>
      <c r="N81" s="43"/>
      <c r="O81" s="43"/>
      <c r="P81" s="43"/>
      <c r="Q81" s="83">
        <f aca="true" t="shared" si="17" ref="Q81:Q88">R81+U81</f>
        <v>0</v>
      </c>
      <c r="R81" s="43"/>
      <c r="S81" s="43"/>
      <c r="T81" s="43"/>
      <c r="U81" s="43"/>
      <c r="V81" s="133"/>
      <c r="W81" s="41">
        <f aca="true" t="shared" si="18" ref="W81:W89">H81+Q81</f>
        <v>867482.12</v>
      </c>
      <c r="X81" s="94"/>
    </row>
    <row r="82" spans="1:24" s="26" customFormat="1" ht="105">
      <c r="A82" s="24"/>
      <c r="B82" s="27" t="s">
        <v>325</v>
      </c>
      <c r="C82" s="27" t="s">
        <v>208</v>
      </c>
      <c r="D82" s="28" t="s">
        <v>326</v>
      </c>
      <c r="E82" s="41">
        <v>788</v>
      </c>
      <c r="F82" s="43"/>
      <c r="G82" s="43"/>
      <c r="H82" s="79"/>
      <c r="I82" s="43"/>
      <c r="J82" s="43"/>
      <c r="K82" s="133">
        <f t="shared" si="15"/>
        <v>0</v>
      </c>
      <c r="L82" s="83">
        <f t="shared" si="16"/>
        <v>0</v>
      </c>
      <c r="M82" s="43"/>
      <c r="N82" s="43"/>
      <c r="O82" s="43"/>
      <c r="P82" s="43"/>
      <c r="Q82" s="83">
        <f t="shared" si="17"/>
        <v>0</v>
      </c>
      <c r="R82" s="43"/>
      <c r="S82" s="43"/>
      <c r="T82" s="43"/>
      <c r="U82" s="43"/>
      <c r="V82" s="133"/>
      <c r="W82" s="41">
        <f t="shared" si="18"/>
        <v>0</v>
      </c>
      <c r="X82" s="172"/>
    </row>
    <row r="83" spans="1:24" s="26" customFormat="1" ht="210">
      <c r="A83" s="24"/>
      <c r="B83" s="27" t="s">
        <v>106</v>
      </c>
      <c r="C83" s="27" t="s">
        <v>208</v>
      </c>
      <c r="D83" s="28" t="s">
        <v>236</v>
      </c>
      <c r="E83" s="41">
        <v>110300</v>
      </c>
      <c r="F83" s="43"/>
      <c r="G83" s="43"/>
      <c r="H83" s="79">
        <v>25150</v>
      </c>
      <c r="I83" s="43"/>
      <c r="J83" s="43"/>
      <c r="K83" s="135">
        <f t="shared" si="15"/>
        <v>22.801450589301904</v>
      </c>
      <c r="L83" s="83">
        <f t="shared" si="16"/>
        <v>0</v>
      </c>
      <c r="M83" s="43"/>
      <c r="N83" s="43"/>
      <c r="O83" s="43"/>
      <c r="P83" s="43"/>
      <c r="Q83" s="83">
        <f t="shared" si="17"/>
        <v>0</v>
      </c>
      <c r="R83" s="43"/>
      <c r="S83" s="43"/>
      <c r="T83" s="43"/>
      <c r="U83" s="43"/>
      <c r="V83" s="133"/>
      <c r="W83" s="41">
        <f t="shared" si="18"/>
        <v>25150</v>
      </c>
      <c r="X83" s="172"/>
    </row>
    <row r="84" spans="1:24" s="26" customFormat="1" ht="45">
      <c r="A84" s="24"/>
      <c r="B84" s="27" t="s">
        <v>107</v>
      </c>
      <c r="C84" s="27" t="s">
        <v>208</v>
      </c>
      <c r="D84" s="28" t="s">
        <v>108</v>
      </c>
      <c r="E84" s="41">
        <f>250000+382700</f>
        <v>632700</v>
      </c>
      <c r="F84" s="41"/>
      <c r="G84" s="41"/>
      <c r="H84" s="79">
        <v>102466.42</v>
      </c>
      <c r="I84" s="41"/>
      <c r="J84" s="41"/>
      <c r="K84" s="135">
        <f t="shared" si="15"/>
        <v>16.19510352457721</v>
      </c>
      <c r="L84" s="83">
        <f t="shared" si="16"/>
        <v>0</v>
      </c>
      <c r="M84" s="41"/>
      <c r="N84" s="41"/>
      <c r="O84" s="41"/>
      <c r="P84" s="41"/>
      <c r="Q84" s="83">
        <f t="shared" si="17"/>
        <v>0</v>
      </c>
      <c r="R84" s="41"/>
      <c r="S84" s="41"/>
      <c r="T84" s="41"/>
      <c r="U84" s="41"/>
      <c r="V84" s="134"/>
      <c r="W84" s="41">
        <f t="shared" si="18"/>
        <v>102466.42</v>
      </c>
      <c r="X84" s="172"/>
    </row>
    <row r="85" spans="1:24" s="26" customFormat="1" ht="150">
      <c r="A85" s="24"/>
      <c r="B85" s="27" t="s">
        <v>109</v>
      </c>
      <c r="C85" s="27" t="s">
        <v>208</v>
      </c>
      <c r="D85" s="28" t="s">
        <v>110</v>
      </c>
      <c r="E85" s="41">
        <v>2195200</v>
      </c>
      <c r="F85" s="43"/>
      <c r="G85" s="43"/>
      <c r="H85" s="79">
        <v>427775.04</v>
      </c>
      <c r="I85" s="43"/>
      <c r="J85" s="43"/>
      <c r="K85" s="135">
        <f t="shared" si="15"/>
        <v>19.486836734693878</v>
      </c>
      <c r="L85" s="83">
        <f t="shared" si="16"/>
        <v>0</v>
      </c>
      <c r="M85" s="43"/>
      <c r="N85" s="43"/>
      <c r="O85" s="43"/>
      <c r="P85" s="43"/>
      <c r="Q85" s="83">
        <f t="shared" si="17"/>
        <v>0</v>
      </c>
      <c r="R85" s="43"/>
      <c r="S85" s="43"/>
      <c r="T85" s="43"/>
      <c r="U85" s="43"/>
      <c r="V85" s="133"/>
      <c r="W85" s="41">
        <f t="shared" si="18"/>
        <v>427775.04</v>
      </c>
      <c r="X85" s="172"/>
    </row>
    <row r="86" spans="1:24" s="26" customFormat="1" ht="150">
      <c r="A86" s="24"/>
      <c r="B86" s="30" t="s">
        <v>111</v>
      </c>
      <c r="C86" s="30" t="s">
        <v>208</v>
      </c>
      <c r="D86" s="28" t="s">
        <v>112</v>
      </c>
      <c r="E86" s="41">
        <v>4412</v>
      </c>
      <c r="F86" s="43"/>
      <c r="G86" s="43"/>
      <c r="H86" s="79"/>
      <c r="I86" s="43"/>
      <c r="J86" s="43"/>
      <c r="K86" s="133">
        <f t="shared" si="15"/>
        <v>0</v>
      </c>
      <c r="L86" s="83">
        <f t="shared" si="16"/>
        <v>0</v>
      </c>
      <c r="M86" s="43"/>
      <c r="N86" s="43"/>
      <c r="O86" s="43"/>
      <c r="P86" s="43"/>
      <c r="Q86" s="83">
        <f t="shared" si="17"/>
        <v>0</v>
      </c>
      <c r="R86" s="43"/>
      <c r="S86" s="43"/>
      <c r="T86" s="43"/>
      <c r="U86" s="43"/>
      <c r="V86" s="133"/>
      <c r="W86" s="41">
        <f t="shared" si="18"/>
        <v>0</v>
      </c>
      <c r="X86" s="172"/>
    </row>
    <row r="87" spans="1:24" s="26" customFormat="1" ht="30">
      <c r="A87" s="24"/>
      <c r="B87" s="27" t="s">
        <v>113</v>
      </c>
      <c r="C87" s="27" t="s">
        <v>182</v>
      </c>
      <c r="D87" s="28" t="s">
        <v>114</v>
      </c>
      <c r="E87" s="41">
        <v>2957400</v>
      </c>
      <c r="F87" s="41"/>
      <c r="G87" s="41"/>
      <c r="H87" s="41">
        <v>485165.32</v>
      </c>
      <c r="I87" s="41"/>
      <c r="J87" s="41"/>
      <c r="K87" s="134">
        <f t="shared" si="15"/>
        <v>16.40513018191655</v>
      </c>
      <c r="L87" s="83">
        <f t="shared" si="16"/>
        <v>0</v>
      </c>
      <c r="M87" s="41"/>
      <c r="N87" s="41"/>
      <c r="O87" s="41"/>
      <c r="P87" s="41"/>
      <c r="Q87" s="83">
        <f t="shared" si="17"/>
        <v>0</v>
      </c>
      <c r="R87" s="41"/>
      <c r="S87" s="41"/>
      <c r="T87" s="41"/>
      <c r="U87" s="41"/>
      <c r="V87" s="134"/>
      <c r="W87" s="41">
        <f t="shared" si="18"/>
        <v>485165.32</v>
      </c>
      <c r="X87" s="172"/>
    </row>
    <row r="88" spans="1:24" s="26" customFormat="1" ht="30">
      <c r="A88" s="24"/>
      <c r="B88" s="27" t="s">
        <v>115</v>
      </c>
      <c r="C88" s="27" t="s">
        <v>182</v>
      </c>
      <c r="D88" s="28" t="s">
        <v>229</v>
      </c>
      <c r="E88" s="41">
        <v>2340000</v>
      </c>
      <c r="F88" s="41"/>
      <c r="G88" s="41"/>
      <c r="H88" s="41">
        <v>582169.27</v>
      </c>
      <c r="I88" s="41"/>
      <c r="J88" s="41"/>
      <c r="K88" s="134">
        <f t="shared" si="15"/>
        <v>24.879028632478633</v>
      </c>
      <c r="L88" s="83">
        <f t="shared" si="16"/>
        <v>0</v>
      </c>
      <c r="M88" s="41"/>
      <c r="N88" s="41"/>
      <c r="O88" s="41"/>
      <c r="P88" s="41"/>
      <c r="Q88" s="83">
        <f t="shared" si="17"/>
        <v>0</v>
      </c>
      <c r="R88" s="41"/>
      <c r="S88" s="41"/>
      <c r="T88" s="41"/>
      <c r="U88" s="41"/>
      <c r="V88" s="134"/>
      <c r="W88" s="41">
        <f t="shared" si="18"/>
        <v>582169.27</v>
      </c>
      <c r="X88" s="172"/>
    </row>
    <row r="89" spans="1:24" s="26" customFormat="1" ht="15">
      <c r="A89" s="24"/>
      <c r="B89" s="27" t="s">
        <v>116</v>
      </c>
      <c r="C89" s="27" t="s">
        <v>182</v>
      </c>
      <c r="D89" s="28" t="s">
        <v>117</v>
      </c>
      <c r="E89" s="41">
        <v>132914300</v>
      </c>
      <c r="F89" s="41"/>
      <c r="G89" s="41"/>
      <c r="H89" s="41">
        <v>33351821.63</v>
      </c>
      <c r="I89" s="41"/>
      <c r="J89" s="41"/>
      <c r="K89" s="134">
        <f t="shared" si="15"/>
        <v>25.092726388357008</v>
      </c>
      <c r="L89" s="83">
        <f aca="true" t="shared" si="19" ref="L89:L111">M89+P89</f>
        <v>0</v>
      </c>
      <c r="M89" s="41"/>
      <c r="N89" s="41"/>
      <c r="O89" s="41"/>
      <c r="P89" s="41"/>
      <c r="Q89" s="83">
        <f aca="true" t="shared" si="20" ref="Q89:Q111">R89+U89</f>
        <v>0</v>
      </c>
      <c r="R89" s="41"/>
      <c r="S89" s="41"/>
      <c r="T89" s="41"/>
      <c r="U89" s="41"/>
      <c r="V89" s="134"/>
      <c r="W89" s="41">
        <f t="shared" si="18"/>
        <v>33351821.63</v>
      </c>
      <c r="X89" s="172"/>
    </row>
    <row r="90" spans="1:24" s="26" customFormat="1" ht="30">
      <c r="A90" s="24"/>
      <c r="B90" s="27" t="s">
        <v>118</v>
      </c>
      <c r="C90" s="27" t="s">
        <v>182</v>
      </c>
      <c r="D90" s="28" t="s">
        <v>119</v>
      </c>
      <c r="E90" s="41">
        <v>4769000</v>
      </c>
      <c r="F90" s="41"/>
      <c r="G90" s="41"/>
      <c r="H90" s="41">
        <v>1552154.19</v>
      </c>
      <c r="I90" s="41"/>
      <c r="J90" s="41"/>
      <c r="K90" s="134">
        <f t="shared" si="15"/>
        <v>32.546743342419795</v>
      </c>
      <c r="L90" s="83">
        <f t="shared" si="19"/>
        <v>0</v>
      </c>
      <c r="M90" s="41"/>
      <c r="N90" s="41"/>
      <c r="O90" s="41"/>
      <c r="P90" s="41"/>
      <c r="Q90" s="83">
        <f t="shared" si="20"/>
        <v>0</v>
      </c>
      <c r="R90" s="41"/>
      <c r="S90" s="41"/>
      <c r="T90" s="41"/>
      <c r="U90" s="41"/>
      <c r="V90" s="134"/>
      <c r="W90" s="41">
        <f aca="true" t="shared" si="21" ref="W90:W155">H90+Q90</f>
        <v>1552154.19</v>
      </c>
      <c r="X90" s="172"/>
    </row>
    <row r="91" spans="1:24" s="26" customFormat="1" ht="15">
      <c r="A91" s="24"/>
      <c r="B91" s="27" t="s">
        <v>120</v>
      </c>
      <c r="C91" s="27" t="s">
        <v>182</v>
      </c>
      <c r="D91" s="28" t="s">
        <v>121</v>
      </c>
      <c r="E91" s="41">
        <v>22750500</v>
      </c>
      <c r="F91" s="41"/>
      <c r="G91" s="41"/>
      <c r="H91" s="41">
        <v>4678595.17</v>
      </c>
      <c r="I91" s="41"/>
      <c r="J91" s="41"/>
      <c r="K91" s="134">
        <f t="shared" si="15"/>
        <v>20.564801520845695</v>
      </c>
      <c r="L91" s="83">
        <f t="shared" si="19"/>
        <v>0</v>
      </c>
      <c r="M91" s="41"/>
      <c r="N91" s="41"/>
      <c r="O91" s="41"/>
      <c r="P91" s="41"/>
      <c r="Q91" s="83">
        <f t="shared" si="20"/>
        <v>0</v>
      </c>
      <c r="R91" s="41"/>
      <c r="S91" s="41"/>
      <c r="T91" s="41"/>
      <c r="U91" s="41"/>
      <c r="V91" s="134"/>
      <c r="W91" s="41">
        <f t="shared" si="21"/>
        <v>4678595.17</v>
      </c>
      <c r="X91" s="172"/>
    </row>
    <row r="92" spans="1:25" s="26" customFormat="1" ht="15">
      <c r="A92" s="24"/>
      <c r="B92" s="27" t="s">
        <v>122</v>
      </c>
      <c r="C92" s="27" t="s">
        <v>182</v>
      </c>
      <c r="D92" s="28" t="s">
        <v>123</v>
      </c>
      <c r="E92" s="41">
        <v>2174200</v>
      </c>
      <c r="F92" s="41"/>
      <c r="G92" s="41"/>
      <c r="H92" s="41">
        <v>224558.87</v>
      </c>
      <c r="I92" s="41"/>
      <c r="J92" s="41"/>
      <c r="K92" s="134">
        <f t="shared" si="15"/>
        <v>10.328344678502438</v>
      </c>
      <c r="L92" s="83">
        <f t="shared" si="19"/>
        <v>0</v>
      </c>
      <c r="M92" s="41"/>
      <c r="N92" s="41"/>
      <c r="O92" s="41"/>
      <c r="P92" s="41"/>
      <c r="Q92" s="83">
        <f t="shared" si="20"/>
        <v>0</v>
      </c>
      <c r="R92" s="41"/>
      <c r="S92" s="41"/>
      <c r="T92" s="41"/>
      <c r="U92" s="41"/>
      <c r="V92" s="134"/>
      <c r="W92" s="41">
        <f t="shared" si="21"/>
        <v>224558.87</v>
      </c>
      <c r="X92" s="172"/>
      <c r="Y92" s="40"/>
    </row>
    <row r="93" spans="1:25" s="26" customFormat="1" ht="15">
      <c r="A93" s="24"/>
      <c r="B93" s="27" t="s">
        <v>124</v>
      </c>
      <c r="C93" s="27" t="s">
        <v>182</v>
      </c>
      <c r="D93" s="28" t="s">
        <v>125</v>
      </c>
      <c r="E93" s="41">
        <v>312200</v>
      </c>
      <c r="F93" s="41"/>
      <c r="G93" s="41"/>
      <c r="H93" s="41">
        <v>47300</v>
      </c>
      <c r="I93" s="41"/>
      <c r="J93" s="41"/>
      <c r="K93" s="134">
        <f t="shared" si="15"/>
        <v>15.150544522741832</v>
      </c>
      <c r="L93" s="83">
        <f t="shared" si="19"/>
        <v>0</v>
      </c>
      <c r="M93" s="41"/>
      <c r="N93" s="41"/>
      <c r="O93" s="41"/>
      <c r="P93" s="41"/>
      <c r="Q93" s="83">
        <f t="shared" si="20"/>
        <v>0</v>
      </c>
      <c r="R93" s="41"/>
      <c r="S93" s="41"/>
      <c r="T93" s="41"/>
      <c r="U93" s="41"/>
      <c r="V93" s="134"/>
      <c r="W93" s="41">
        <f t="shared" si="21"/>
        <v>47300</v>
      </c>
      <c r="X93" s="172"/>
      <c r="Y93" s="40"/>
    </row>
    <row r="94" spans="1:24" s="26" customFormat="1" ht="30">
      <c r="A94" s="24"/>
      <c r="B94" s="27" t="s">
        <v>126</v>
      </c>
      <c r="C94" s="27" t="s">
        <v>182</v>
      </c>
      <c r="D94" s="28" t="s">
        <v>127</v>
      </c>
      <c r="E94" s="41">
        <v>41101000</v>
      </c>
      <c r="F94" s="41"/>
      <c r="G94" s="41"/>
      <c r="H94" s="41">
        <v>10125859.17</v>
      </c>
      <c r="I94" s="41"/>
      <c r="J94" s="41"/>
      <c r="K94" s="134">
        <f t="shared" si="15"/>
        <v>24.636527505413493</v>
      </c>
      <c r="L94" s="83">
        <f t="shared" si="19"/>
        <v>0</v>
      </c>
      <c r="M94" s="41"/>
      <c r="N94" s="41"/>
      <c r="O94" s="41"/>
      <c r="P94" s="41"/>
      <c r="Q94" s="83">
        <f t="shared" si="20"/>
        <v>0</v>
      </c>
      <c r="R94" s="41"/>
      <c r="S94" s="41"/>
      <c r="T94" s="41"/>
      <c r="U94" s="41"/>
      <c r="V94" s="134"/>
      <c r="W94" s="41">
        <f t="shared" si="21"/>
        <v>10125859.17</v>
      </c>
      <c r="X94" s="172"/>
    </row>
    <row r="95" spans="1:24" s="26" customFormat="1" ht="45">
      <c r="A95" s="24"/>
      <c r="B95" s="27" t="s">
        <v>128</v>
      </c>
      <c r="C95" s="27" t="s">
        <v>209</v>
      </c>
      <c r="D95" s="28" t="s">
        <v>129</v>
      </c>
      <c r="E95" s="41">
        <v>365245700</v>
      </c>
      <c r="F95" s="41"/>
      <c r="G95" s="41"/>
      <c r="H95" s="41">
        <v>118922386.18</v>
      </c>
      <c r="I95" s="41"/>
      <c r="J95" s="41"/>
      <c r="K95" s="134">
        <f t="shared" si="15"/>
        <v>32.55955817686561</v>
      </c>
      <c r="L95" s="83">
        <f t="shared" si="19"/>
        <v>0</v>
      </c>
      <c r="M95" s="41"/>
      <c r="N95" s="41"/>
      <c r="O95" s="41"/>
      <c r="P95" s="41"/>
      <c r="Q95" s="83">
        <f t="shared" si="20"/>
        <v>0</v>
      </c>
      <c r="R95" s="41"/>
      <c r="S95" s="41"/>
      <c r="T95" s="41"/>
      <c r="U95" s="41"/>
      <c r="V95" s="134"/>
      <c r="W95" s="41">
        <f t="shared" si="21"/>
        <v>118922386.18</v>
      </c>
      <c r="X95" s="172"/>
    </row>
    <row r="96" spans="1:24" s="26" customFormat="1" ht="60">
      <c r="A96" s="24"/>
      <c r="B96" s="27" t="s">
        <v>130</v>
      </c>
      <c r="C96" s="27" t="s">
        <v>209</v>
      </c>
      <c r="D96" s="28" t="s">
        <v>131</v>
      </c>
      <c r="E96" s="41">
        <v>82655</v>
      </c>
      <c r="F96" s="41"/>
      <c r="G96" s="41"/>
      <c r="H96" s="41">
        <v>37176.15</v>
      </c>
      <c r="I96" s="41"/>
      <c r="J96" s="41"/>
      <c r="K96" s="134">
        <f t="shared" si="15"/>
        <v>44.977496824148574</v>
      </c>
      <c r="L96" s="83">
        <f t="shared" si="19"/>
        <v>0</v>
      </c>
      <c r="M96" s="41"/>
      <c r="N96" s="41"/>
      <c r="O96" s="41"/>
      <c r="P96" s="41"/>
      <c r="Q96" s="83">
        <f t="shared" si="20"/>
        <v>0</v>
      </c>
      <c r="R96" s="41"/>
      <c r="S96" s="41"/>
      <c r="T96" s="41"/>
      <c r="U96" s="41"/>
      <c r="V96" s="134"/>
      <c r="W96" s="41">
        <f t="shared" si="21"/>
        <v>37176.15</v>
      </c>
      <c r="X96" s="172"/>
    </row>
    <row r="97" spans="1:24" s="26" customFormat="1" ht="30">
      <c r="A97" s="24"/>
      <c r="B97" s="27" t="s">
        <v>16</v>
      </c>
      <c r="C97" s="27" t="s">
        <v>181</v>
      </c>
      <c r="D97" s="28" t="s">
        <v>17</v>
      </c>
      <c r="E97" s="41">
        <f>1730323+45128+330300+224000+130000</f>
        <v>2459751</v>
      </c>
      <c r="F97" s="41"/>
      <c r="G97" s="41"/>
      <c r="H97" s="41">
        <v>840211.49</v>
      </c>
      <c r="I97" s="41"/>
      <c r="J97" s="41"/>
      <c r="K97" s="134">
        <f t="shared" si="15"/>
        <v>34.158396114078215</v>
      </c>
      <c r="L97" s="83">
        <f t="shared" si="19"/>
        <v>0</v>
      </c>
      <c r="M97" s="41"/>
      <c r="N97" s="41"/>
      <c r="O97" s="41"/>
      <c r="P97" s="41"/>
      <c r="Q97" s="83">
        <f t="shared" si="20"/>
        <v>0</v>
      </c>
      <c r="R97" s="41"/>
      <c r="S97" s="41"/>
      <c r="T97" s="41"/>
      <c r="U97" s="41"/>
      <c r="V97" s="134"/>
      <c r="W97" s="41">
        <f t="shared" si="21"/>
        <v>840211.49</v>
      </c>
      <c r="X97" s="172"/>
    </row>
    <row r="98" spans="1:24" s="26" customFormat="1" ht="30">
      <c r="A98" s="24"/>
      <c r="B98" s="27" t="s">
        <v>132</v>
      </c>
      <c r="C98" s="27" t="s">
        <v>210</v>
      </c>
      <c r="D98" s="28" t="s">
        <v>133</v>
      </c>
      <c r="E98" s="41">
        <v>7229000</v>
      </c>
      <c r="F98" s="41"/>
      <c r="G98" s="41"/>
      <c r="H98" s="41">
        <v>2025491.75</v>
      </c>
      <c r="I98" s="41"/>
      <c r="J98" s="41"/>
      <c r="K98" s="134">
        <f t="shared" si="15"/>
        <v>28.018975653617375</v>
      </c>
      <c r="L98" s="83">
        <f t="shared" si="19"/>
        <v>0</v>
      </c>
      <c r="M98" s="41"/>
      <c r="N98" s="41"/>
      <c r="O98" s="41"/>
      <c r="P98" s="41"/>
      <c r="Q98" s="83">
        <f t="shared" si="20"/>
        <v>0</v>
      </c>
      <c r="R98" s="41"/>
      <c r="S98" s="41"/>
      <c r="T98" s="41"/>
      <c r="U98" s="41"/>
      <c r="V98" s="134"/>
      <c r="W98" s="41">
        <f t="shared" si="21"/>
        <v>2025491.75</v>
      </c>
      <c r="X98" s="172"/>
    </row>
    <row r="99" spans="1:24" s="26" customFormat="1" ht="30">
      <c r="A99" s="24"/>
      <c r="B99" s="27" t="s">
        <v>134</v>
      </c>
      <c r="C99" s="27" t="s">
        <v>207</v>
      </c>
      <c r="D99" s="28" t="s">
        <v>135</v>
      </c>
      <c r="E99" s="41">
        <f>902586+88819</f>
        <v>991405</v>
      </c>
      <c r="F99" s="41"/>
      <c r="G99" s="41"/>
      <c r="H99" s="41">
        <v>130226.93</v>
      </c>
      <c r="I99" s="41"/>
      <c r="J99" s="41"/>
      <c r="K99" s="134">
        <f t="shared" si="15"/>
        <v>13.135593425492104</v>
      </c>
      <c r="L99" s="83">
        <f t="shared" si="19"/>
        <v>0</v>
      </c>
      <c r="M99" s="41"/>
      <c r="N99" s="41"/>
      <c r="O99" s="41"/>
      <c r="P99" s="41"/>
      <c r="Q99" s="83">
        <f t="shared" si="20"/>
        <v>0</v>
      </c>
      <c r="R99" s="41"/>
      <c r="S99" s="41"/>
      <c r="T99" s="41"/>
      <c r="U99" s="41"/>
      <c r="V99" s="134"/>
      <c r="W99" s="41">
        <f t="shared" si="21"/>
        <v>130226.93</v>
      </c>
      <c r="X99" s="172"/>
    </row>
    <row r="100" spans="1:24" s="26" customFormat="1" ht="30">
      <c r="A100" s="24"/>
      <c r="B100" s="27" t="s">
        <v>244</v>
      </c>
      <c r="C100" s="27" t="s">
        <v>246</v>
      </c>
      <c r="D100" s="28" t="s">
        <v>245</v>
      </c>
      <c r="E100" s="41">
        <v>181400</v>
      </c>
      <c r="F100" s="41"/>
      <c r="G100" s="41"/>
      <c r="H100" s="41">
        <v>32359.39</v>
      </c>
      <c r="I100" s="41"/>
      <c r="J100" s="41"/>
      <c r="K100" s="134">
        <f t="shared" si="15"/>
        <v>17.838693495038587</v>
      </c>
      <c r="L100" s="83">
        <f t="shared" si="19"/>
        <v>0</v>
      </c>
      <c r="M100" s="41"/>
      <c r="N100" s="41"/>
      <c r="O100" s="41"/>
      <c r="P100" s="41"/>
      <c r="Q100" s="83">
        <f t="shared" si="20"/>
        <v>0</v>
      </c>
      <c r="R100" s="41"/>
      <c r="S100" s="41"/>
      <c r="T100" s="41"/>
      <c r="U100" s="41"/>
      <c r="V100" s="134"/>
      <c r="W100" s="41">
        <f t="shared" si="21"/>
        <v>32359.39</v>
      </c>
      <c r="X100" s="172"/>
    </row>
    <row r="101" spans="1:24" s="26" customFormat="1" ht="30">
      <c r="A101" s="24"/>
      <c r="B101" s="27" t="s">
        <v>302</v>
      </c>
      <c r="C101" s="27" t="s">
        <v>303</v>
      </c>
      <c r="D101" s="28" t="s">
        <v>304</v>
      </c>
      <c r="E101" s="41">
        <f>160429-16831</f>
        <v>143598</v>
      </c>
      <c r="F101" s="41">
        <v>117703</v>
      </c>
      <c r="G101" s="41"/>
      <c r="H101" s="41">
        <v>82567.07</v>
      </c>
      <c r="I101" s="41">
        <v>67593.4</v>
      </c>
      <c r="J101" s="41"/>
      <c r="K101" s="134">
        <f t="shared" si="15"/>
        <v>57.49876042841823</v>
      </c>
      <c r="L101" s="83">
        <f t="shared" si="19"/>
        <v>0</v>
      </c>
      <c r="M101" s="41"/>
      <c r="N101" s="41"/>
      <c r="O101" s="41"/>
      <c r="P101" s="41"/>
      <c r="Q101" s="83">
        <f t="shared" si="20"/>
        <v>0</v>
      </c>
      <c r="R101" s="41"/>
      <c r="S101" s="41"/>
      <c r="T101" s="41"/>
      <c r="U101" s="41"/>
      <c r="V101" s="134"/>
      <c r="W101" s="41">
        <f t="shared" si="21"/>
        <v>82567.07</v>
      </c>
      <c r="X101" s="172"/>
    </row>
    <row r="102" spans="1:24" s="26" customFormat="1" ht="45">
      <c r="A102" s="24"/>
      <c r="B102" s="27" t="s">
        <v>136</v>
      </c>
      <c r="C102" s="27" t="s">
        <v>211</v>
      </c>
      <c r="D102" s="28" t="s">
        <v>137</v>
      </c>
      <c r="E102" s="41">
        <f>6697900+170500-1363300</f>
        <v>5505100</v>
      </c>
      <c r="F102" s="41">
        <f>4614400+54100-591900</f>
        <v>4076600</v>
      </c>
      <c r="G102" s="41">
        <f>154005+2561</f>
        <v>156566</v>
      </c>
      <c r="H102" s="41">
        <v>1225452.62</v>
      </c>
      <c r="I102" s="41">
        <v>891356.6</v>
      </c>
      <c r="J102" s="41">
        <v>65337.68</v>
      </c>
      <c r="K102" s="134">
        <f t="shared" si="15"/>
        <v>22.260315343953792</v>
      </c>
      <c r="L102" s="83">
        <f t="shared" si="19"/>
        <v>324800</v>
      </c>
      <c r="M102" s="41">
        <v>27800</v>
      </c>
      <c r="N102" s="41">
        <v>18822</v>
      </c>
      <c r="O102" s="41"/>
      <c r="P102" s="41">
        <v>297000</v>
      </c>
      <c r="Q102" s="83">
        <f t="shared" si="20"/>
        <v>12387.58</v>
      </c>
      <c r="R102" s="41">
        <v>12387.58</v>
      </c>
      <c r="S102" s="41">
        <v>6571.32</v>
      </c>
      <c r="T102" s="41"/>
      <c r="U102" s="41"/>
      <c r="V102" s="134">
        <f>Q102/L102*100</f>
        <v>3.8139100985221677</v>
      </c>
      <c r="W102" s="41">
        <f t="shared" si="21"/>
        <v>1237840.2000000002</v>
      </c>
      <c r="X102" s="172"/>
    </row>
    <row r="103" spans="1:24" s="26" customFormat="1" ht="90">
      <c r="A103" s="24"/>
      <c r="B103" s="27" t="s">
        <v>138</v>
      </c>
      <c r="C103" s="27" t="s">
        <v>210</v>
      </c>
      <c r="D103" s="28" t="s">
        <v>139</v>
      </c>
      <c r="E103" s="41">
        <v>1397200</v>
      </c>
      <c r="F103" s="41"/>
      <c r="G103" s="41"/>
      <c r="H103" s="41">
        <v>206736.84</v>
      </c>
      <c r="I103" s="41"/>
      <c r="J103" s="41"/>
      <c r="K103" s="134">
        <f t="shared" si="15"/>
        <v>14.79651016318351</v>
      </c>
      <c r="L103" s="83">
        <f t="shared" si="19"/>
        <v>0</v>
      </c>
      <c r="M103" s="41"/>
      <c r="N103" s="41"/>
      <c r="O103" s="41"/>
      <c r="P103" s="41"/>
      <c r="Q103" s="83">
        <f t="shared" si="20"/>
        <v>0</v>
      </c>
      <c r="R103" s="41"/>
      <c r="S103" s="41"/>
      <c r="T103" s="41"/>
      <c r="U103" s="41"/>
      <c r="V103" s="134"/>
      <c r="W103" s="41">
        <f t="shared" si="21"/>
        <v>206736.84</v>
      </c>
      <c r="X103" s="172"/>
    </row>
    <row r="104" spans="1:24" s="26" customFormat="1" ht="90">
      <c r="A104" s="24"/>
      <c r="B104" s="27" t="s">
        <v>140</v>
      </c>
      <c r="C104" s="27" t="s">
        <v>209</v>
      </c>
      <c r="D104" s="28" t="s">
        <v>141</v>
      </c>
      <c r="E104" s="41">
        <f>2446698+35741</f>
        <v>2482439</v>
      </c>
      <c r="F104" s="41"/>
      <c r="G104" s="41"/>
      <c r="H104" s="41">
        <v>8176.51</v>
      </c>
      <c r="I104" s="41"/>
      <c r="J104" s="41"/>
      <c r="K104" s="134">
        <f t="shared" si="15"/>
        <v>0.3293740551127339</v>
      </c>
      <c r="L104" s="83">
        <f t="shared" si="19"/>
        <v>0</v>
      </c>
      <c r="M104" s="41"/>
      <c r="N104" s="41"/>
      <c r="O104" s="41"/>
      <c r="P104" s="41"/>
      <c r="Q104" s="83">
        <f t="shared" si="20"/>
        <v>0</v>
      </c>
      <c r="R104" s="41"/>
      <c r="S104" s="41"/>
      <c r="T104" s="41"/>
      <c r="U104" s="41"/>
      <c r="V104" s="134"/>
      <c r="W104" s="41">
        <f t="shared" si="21"/>
        <v>8176.51</v>
      </c>
      <c r="X104" s="172"/>
    </row>
    <row r="105" spans="1:24" s="26" customFormat="1" ht="30">
      <c r="A105" s="24"/>
      <c r="B105" s="27" t="s">
        <v>142</v>
      </c>
      <c r="C105" s="27" t="s">
        <v>207</v>
      </c>
      <c r="D105" s="28" t="s">
        <v>143</v>
      </c>
      <c r="E105" s="41">
        <v>798900</v>
      </c>
      <c r="F105" s="41"/>
      <c r="G105" s="41"/>
      <c r="H105" s="41">
        <v>123013.35</v>
      </c>
      <c r="I105" s="41"/>
      <c r="J105" s="41"/>
      <c r="K105" s="134">
        <f t="shared" si="15"/>
        <v>15.397840781073976</v>
      </c>
      <c r="L105" s="83">
        <f t="shared" si="19"/>
        <v>0</v>
      </c>
      <c r="M105" s="41"/>
      <c r="N105" s="41"/>
      <c r="O105" s="41"/>
      <c r="P105" s="41"/>
      <c r="Q105" s="83">
        <f t="shared" si="20"/>
        <v>0</v>
      </c>
      <c r="R105" s="41"/>
      <c r="S105" s="41"/>
      <c r="T105" s="41"/>
      <c r="U105" s="41"/>
      <c r="V105" s="134"/>
      <c r="W105" s="41">
        <f t="shared" si="21"/>
        <v>123013.35</v>
      </c>
      <c r="X105" s="172"/>
    </row>
    <row r="106" spans="1:24" s="26" customFormat="1" ht="30">
      <c r="A106" s="24"/>
      <c r="B106" s="27" t="s">
        <v>247</v>
      </c>
      <c r="C106" s="27" t="s">
        <v>181</v>
      </c>
      <c r="D106" s="28" t="s">
        <v>248</v>
      </c>
      <c r="E106" s="41">
        <f>54417+57300</f>
        <v>111717</v>
      </c>
      <c r="F106" s="41"/>
      <c r="G106" s="41"/>
      <c r="H106" s="41">
        <v>53580</v>
      </c>
      <c r="I106" s="41"/>
      <c r="J106" s="41"/>
      <c r="K106" s="134">
        <f t="shared" si="15"/>
        <v>47.96047154864524</v>
      </c>
      <c r="L106" s="83">
        <f t="shared" si="19"/>
        <v>0</v>
      </c>
      <c r="M106" s="41"/>
      <c r="N106" s="41"/>
      <c r="O106" s="41"/>
      <c r="P106" s="41"/>
      <c r="Q106" s="83">
        <f t="shared" si="20"/>
        <v>0</v>
      </c>
      <c r="R106" s="41"/>
      <c r="S106" s="41"/>
      <c r="T106" s="41"/>
      <c r="U106" s="41"/>
      <c r="V106" s="134"/>
      <c r="W106" s="41">
        <f t="shared" si="21"/>
        <v>53580</v>
      </c>
      <c r="X106" s="172"/>
    </row>
    <row r="107" spans="1:24" s="26" customFormat="1" ht="15">
      <c r="A107" s="24"/>
      <c r="B107" s="27" t="s">
        <v>144</v>
      </c>
      <c r="C107" s="27" t="s">
        <v>181</v>
      </c>
      <c r="D107" s="28" t="s">
        <v>145</v>
      </c>
      <c r="E107" s="41">
        <f>1424500-209500</f>
        <v>1215000</v>
      </c>
      <c r="F107" s="41">
        <f>826600-77400</f>
        <v>749200</v>
      </c>
      <c r="G107" s="41">
        <v>127230</v>
      </c>
      <c r="H107" s="41">
        <v>279211.41</v>
      </c>
      <c r="I107" s="41">
        <v>169333.21</v>
      </c>
      <c r="J107" s="41">
        <v>43801.87</v>
      </c>
      <c r="K107" s="134">
        <f t="shared" si="15"/>
        <v>22.98036296296296</v>
      </c>
      <c r="L107" s="83">
        <f t="shared" si="19"/>
        <v>200000</v>
      </c>
      <c r="M107" s="41"/>
      <c r="N107" s="41"/>
      <c r="O107" s="41"/>
      <c r="P107" s="41">
        <v>200000</v>
      </c>
      <c r="Q107" s="83">
        <f t="shared" si="20"/>
        <v>16904.7</v>
      </c>
      <c r="R107" s="41">
        <v>4924.7</v>
      </c>
      <c r="S107" s="41"/>
      <c r="T107" s="41"/>
      <c r="U107" s="41">
        <v>11980</v>
      </c>
      <c r="V107" s="134">
        <f>Q107/L107*100</f>
        <v>8.452350000000001</v>
      </c>
      <c r="W107" s="41">
        <f t="shared" si="21"/>
        <v>296116.11</v>
      </c>
      <c r="X107" s="172"/>
    </row>
    <row r="108" spans="1:24" s="26" customFormat="1" ht="30">
      <c r="A108" s="24"/>
      <c r="B108" s="27" t="s">
        <v>146</v>
      </c>
      <c r="C108" s="27" t="s">
        <v>210</v>
      </c>
      <c r="D108" s="28" t="s">
        <v>147</v>
      </c>
      <c r="E108" s="41">
        <v>43245500</v>
      </c>
      <c r="F108" s="41"/>
      <c r="G108" s="41"/>
      <c r="H108" s="41">
        <v>9905549.03</v>
      </c>
      <c r="I108" s="41"/>
      <c r="J108" s="41"/>
      <c r="K108" s="134">
        <f t="shared" si="15"/>
        <v>22.90538675700362</v>
      </c>
      <c r="L108" s="83">
        <f t="shared" si="19"/>
        <v>0</v>
      </c>
      <c r="M108" s="41"/>
      <c r="N108" s="41"/>
      <c r="O108" s="41"/>
      <c r="P108" s="41"/>
      <c r="Q108" s="83">
        <f t="shared" si="20"/>
        <v>0</v>
      </c>
      <c r="R108" s="41"/>
      <c r="S108" s="41"/>
      <c r="T108" s="41"/>
      <c r="U108" s="41"/>
      <c r="V108" s="134"/>
      <c r="W108" s="41">
        <f t="shared" si="21"/>
        <v>9905549.03</v>
      </c>
      <c r="X108" s="172"/>
    </row>
    <row r="109" spans="1:24" s="26" customFormat="1" ht="60">
      <c r="A109" s="24"/>
      <c r="B109" s="27" t="s">
        <v>249</v>
      </c>
      <c r="C109" s="27" t="s">
        <v>210</v>
      </c>
      <c r="D109" s="28" t="s">
        <v>250</v>
      </c>
      <c r="E109" s="41">
        <v>162275</v>
      </c>
      <c r="F109" s="41"/>
      <c r="G109" s="41"/>
      <c r="H109" s="41">
        <v>70866.11</v>
      </c>
      <c r="I109" s="41"/>
      <c r="J109" s="41"/>
      <c r="K109" s="134">
        <f t="shared" si="15"/>
        <v>43.67038052688338</v>
      </c>
      <c r="L109" s="83">
        <f>M109+P109</f>
        <v>0</v>
      </c>
      <c r="M109" s="41"/>
      <c r="N109" s="41"/>
      <c r="O109" s="41"/>
      <c r="P109" s="41"/>
      <c r="Q109" s="83">
        <f>R109+U109</f>
        <v>0</v>
      </c>
      <c r="R109" s="41"/>
      <c r="S109" s="41"/>
      <c r="T109" s="41"/>
      <c r="U109" s="41"/>
      <c r="V109" s="134"/>
      <c r="W109" s="41">
        <f t="shared" si="21"/>
        <v>70866.11</v>
      </c>
      <c r="X109" s="172"/>
    </row>
    <row r="110" spans="1:24" s="26" customFormat="1" ht="30">
      <c r="A110" s="24"/>
      <c r="B110" s="27" t="s">
        <v>251</v>
      </c>
      <c r="C110" s="27" t="s">
        <v>210</v>
      </c>
      <c r="D110" s="28" t="s">
        <v>252</v>
      </c>
      <c r="E110" s="41">
        <v>4800</v>
      </c>
      <c r="F110" s="41"/>
      <c r="G110" s="41"/>
      <c r="H110" s="41">
        <v>672</v>
      </c>
      <c r="I110" s="41"/>
      <c r="J110" s="41"/>
      <c r="K110" s="134">
        <f t="shared" si="15"/>
        <v>14.000000000000002</v>
      </c>
      <c r="L110" s="83">
        <f t="shared" si="19"/>
        <v>0</v>
      </c>
      <c r="M110" s="41"/>
      <c r="N110" s="41"/>
      <c r="O110" s="41"/>
      <c r="P110" s="41"/>
      <c r="Q110" s="83">
        <f t="shared" si="20"/>
        <v>0</v>
      </c>
      <c r="R110" s="41"/>
      <c r="S110" s="41"/>
      <c r="T110" s="41"/>
      <c r="U110" s="41"/>
      <c r="V110" s="134"/>
      <c r="W110" s="41">
        <f t="shared" si="21"/>
        <v>672</v>
      </c>
      <c r="X110" s="172"/>
    </row>
    <row r="111" spans="1:24" s="108" customFormat="1" ht="45">
      <c r="A111" s="106"/>
      <c r="B111" s="27" t="s">
        <v>148</v>
      </c>
      <c r="C111" s="27" t="s">
        <v>208</v>
      </c>
      <c r="D111" s="28" t="s">
        <v>149</v>
      </c>
      <c r="E111" s="41">
        <v>130000</v>
      </c>
      <c r="F111" s="43"/>
      <c r="G111" s="43"/>
      <c r="H111" s="79"/>
      <c r="I111" s="79"/>
      <c r="J111" s="79"/>
      <c r="K111" s="135">
        <f t="shared" si="15"/>
        <v>0</v>
      </c>
      <c r="L111" s="83">
        <f t="shared" si="19"/>
        <v>0</v>
      </c>
      <c r="M111" s="43"/>
      <c r="N111" s="43"/>
      <c r="O111" s="43"/>
      <c r="P111" s="43"/>
      <c r="Q111" s="83">
        <f t="shared" si="20"/>
        <v>0</v>
      </c>
      <c r="R111" s="43"/>
      <c r="S111" s="43"/>
      <c r="T111" s="43"/>
      <c r="U111" s="43"/>
      <c r="V111" s="133"/>
      <c r="W111" s="41">
        <f>H111+Q111</f>
        <v>0</v>
      </c>
      <c r="X111" s="172"/>
    </row>
    <row r="112" spans="1:24" s="26" customFormat="1" ht="28.5">
      <c r="A112" s="24"/>
      <c r="B112" s="31"/>
      <c r="C112" s="31"/>
      <c r="D112" s="32" t="s">
        <v>212</v>
      </c>
      <c r="E112" s="43">
        <f aca="true" t="shared" si="22" ref="E112:J112">E113+E114</f>
        <v>1027450</v>
      </c>
      <c r="F112" s="43">
        <f t="shared" si="22"/>
        <v>749890</v>
      </c>
      <c r="G112" s="43">
        <f t="shared" si="22"/>
        <v>32719</v>
      </c>
      <c r="H112" s="43">
        <f t="shared" si="22"/>
        <v>244017.3</v>
      </c>
      <c r="I112" s="43">
        <f t="shared" si="22"/>
        <v>189003.9</v>
      </c>
      <c r="J112" s="43">
        <f t="shared" si="22"/>
        <v>10072.53</v>
      </c>
      <c r="K112" s="133">
        <f t="shared" si="15"/>
        <v>23.749798043700423</v>
      </c>
      <c r="L112" s="43">
        <f aca="true" t="shared" si="23" ref="L112:U112">L113+L114</f>
        <v>18000</v>
      </c>
      <c r="M112" s="43">
        <f t="shared" si="23"/>
        <v>0</v>
      </c>
      <c r="N112" s="43">
        <f t="shared" si="23"/>
        <v>0</v>
      </c>
      <c r="O112" s="43">
        <f t="shared" si="23"/>
        <v>0</v>
      </c>
      <c r="P112" s="43">
        <f t="shared" si="23"/>
        <v>18000</v>
      </c>
      <c r="Q112" s="43">
        <f>Q113+Q114</f>
        <v>0</v>
      </c>
      <c r="R112" s="43">
        <f t="shared" si="23"/>
        <v>0</v>
      </c>
      <c r="S112" s="43">
        <f t="shared" si="23"/>
        <v>0</v>
      </c>
      <c r="T112" s="43">
        <f t="shared" si="23"/>
        <v>0</v>
      </c>
      <c r="U112" s="43">
        <f t="shared" si="23"/>
        <v>0</v>
      </c>
      <c r="V112" s="133">
        <f>Q112/L112*100</f>
        <v>0</v>
      </c>
      <c r="W112" s="43">
        <f>W113+W114</f>
        <v>244017.3</v>
      </c>
      <c r="X112" s="172"/>
    </row>
    <row r="113" spans="1:24" s="26" customFormat="1" ht="15">
      <c r="A113" s="24"/>
      <c r="B113" s="27" t="s">
        <v>11</v>
      </c>
      <c r="C113" s="27" t="s">
        <v>9</v>
      </c>
      <c r="D113" s="28" t="s">
        <v>96</v>
      </c>
      <c r="E113" s="41">
        <f>1121770-144320</f>
        <v>977450</v>
      </c>
      <c r="F113" s="41">
        <f>782730-32840</f>
        <v>749890</v>
      </c>
      <c r="G113" s="41">
        <v>32719</v>
      </c>
      <c r="H113" s="41">
        <v>244017.3</v>
      </c>
      <c r="I113" s="41">
        <v>189003.9</v>
      </c>
      <c r="J113" s="41">
        <v>10072.53</v>
      </c>
      <c r="K113" s="134">
        <f t="shared" si="15"/>
        <v>24.964683615530205</v>
      </c>
      <c r="L113" s="41">
        <f>M113+P113</f>
        <v>18000</v>
      </c>
      <c r="M113" s="41"/>
      <c r="N113" s="41"/>
      <c r="O113" s="41"/>
      <c r="P113" s="41">
        <v>18000</v>
      </c>
      <c r="Q113" s="41">
        <f>R113+U113</f>
        <v>0</v>
      </c>
      <c r="R113" s="41"/>
      <c r="S113" s="41"/>
      <c r="T113" s="41"/>
      <c r="U113" s="41"/>
      <c r="V113" s="134">
        <f>Q113/L113*100</f>
        <v>0</v>
      </c>
      <c r="W113" s="41">
        <f t="shared" si="21"/>
        <v>244017.3</v>
      </c>
      <c r="X113" s="172"/>
    </row>
    <row r="114" spans="1:24" s="26" customFormat="1" ht="15">
      <c r="A114" s="24"/>
      <c r="B114" s="27" t="s">
        <v>150</v>
      </c>
      <c r="C114" s="27" t="s">
        <v>182</v>
      </c>
      <c r="D114" s="28" t="s">
        <v>151</v>
      </c>
      <c r="E114" s="41">
        <v>50000</v>
      </c>
      <c r="F114" s="43"/>
      <c r="G114" s="43"/>
      <c r="H114" s="79"/>
      <c r="I114" s="43"/>
      <c r="J114" s="43"/>
      <c r="K114" s="133">
        <f t="shared" si="15"/>
        <v>0</v>
      </c>
      <c r="L114" s="41">
        <f>M114+P114</f>
        <v>0</v>
      </c>
      <c r="M114" s="43"/>
      <c r="N114" s="43"/>
      <c r="O114" s="43"/>
      <c r="P114" s="43"/>
      <c r="Q114" s="41">
        <f>R114+U114</f>
        <v>0</v>
      </c>
      <c r="R114" s="79"/>
      <c r="S114" s="43"/>
      <c r="T114" s="43"/>
      <c r="U114" s="79"/>
      <c r="V114" s="135"/>
      <c r="W114" s="41">
        <f t="shared" si="21"/>
        <v>0</v>
      </c>
      <c r="X114" s="172"/>
    </row>
    <row r="115" spans="1:24" s="26" customFormat="1" ht="28.5">
      <c r="A115" s="24"/>
      <c r="B115" s="31"/>
      <c r="C115" s="31"/>
      <c r="D115" s="32" t="s">
        <v>213</v>
      </c>
      <c r="E115" s="43">
        <f>SUM(E116:E120)</f>
        <v>29441679</v>
      </c>
      <c r="F115" s="43">
        <f aca="true" t="shared" si="24" ref="F115:W115">SUM(F116:F120)</f>
        <v>20982910</v>
      </c>
      <c r="G115" s="43">
        <f t="shared" si="24"/>
        <v>1776764</v>
      </c>
      <c r="H115" s="43">
        <f t="shared" si="24"/>
        <v>6458274.04</v>
      </c>
      <c r="I115" s="43">
        <f t="shared" si="24"/>
        <v>4714400.71</v>
      </c>
      <c r="J115" s="43">
        <f t="shared" si="24"/>
        <v>604353.39</v>
      </c>
      <c r="K115" s="133">
        <f t="shared" si="15"/>
        <v>21.935821119440913</v>
      </c>
      <c r="L115" s="43">
        <f t="shared" si="24"/>
        <v>2344920</v>
      </c>
      <c r="M115" s="43">
        <f t="shared" si="24"/>
        <v>1320320</v>
      </c>
      <c r="N115" s="43">
        <f t="shared" si="24"/>
        <v>953732</v>
      </c>
      <c r="O115" s="43">
        <f t="shared" si="24"/>
        <v>0</v>
      </c>
      <c r="P115" s="43">
        <f t="shared" si="24"/>
        <v>1024600</v>
      </c>
      <c r="Q115" s="43">
        <f t="shared" si="24"/>
        <v>363851.43999999994</v>
      </c>
      <c r="R115" s="43">
        <f t="shared" si="24"/>
        <v>292801.73</v>
      </c>
      <c r="S115" s="43">
        <f t="shared" si="24"/>
        <v>226091.93</v>
      </c>
      <c r="T115" s="43">
        <f t="shared" si="24"/>
        <v>0</v>
      </c>
      <c r="U115" s="43">
        <f t="shared" si="24"/>
        <v>71049.70999999999</v>
      </c>
      <c r="V115" s="133">
        <f>Q115/L115*100</f>
        <v>15.516582228818038</v>
      </c>
      <c r="W115" s="43">
        <f t="shared" si="24"/>
        <v>6822125.4799999995</v>
      </c>
      <c r="X115" s="172"/>
    </row>
    <row r="116" spans="1:24" s="26" customFormat="1" ht="15">
      <c r="A116" s="24"/>
      <c r="B116" s="27" t="s">
        <v>11</v>
      </c>
      <c r="C116" s="27" t="s">
        <v>9</v>
      </c>
      <c r="D116" s="28" t="s">
        <v>96</v>
      </c>
      <c r="E116" s="41">
        <f>514810-66130</f>
        <v>448680</v>
      </c>
      <c r="F116" s="41">
        <f>324590-16160</f>
        <v>308430</v>
      </c>
      <c r="G116" s="41">
        <v>13469</v>
      </c>
      <c r="H116" s="41">
        <v>87386.01</v>
      </c>
      <c r="I116" s="41">
        <v>66369.59</v>
      </c>
      <c r="J116" s="41">
        <v>4186.03</v>
      </c>
      <c r="K116" s="134">
        <f t="shared" si="15"/>
        <v>19.476243648034234</v>
      </c>
      <c r="L116" s="41">
        <f>M116+P116</f>
        <v>20000</v>
      </c>
      <c r="M116" s="41"/>
      <c r="N116" s="41"/>
      <c r="O116" s="41"/>
      <c r="P116" s="41">
        <v>20000</v>
      </c>
      <c r="Q116" s="41">
        <f>R116+U116</f>
        <v>12280</v>
      </c>
      <c r="R116" s="41"/>
      <c r="S116" s="41"/>
      <c r="T116" s="41"/>
      <c r="U116" s="41">
        <v>12280</v>
      </c>
      <c r="V116" s="134">
        <f>Q116/L116*100</f>
        <v>61.4</v>
      </c>
      <c r="W116" s="41">
        <f t="shared" si="21"/>
        <v>99666.01</v>
      </c>
      <c r="X116" s="172"/>
    </row>
    <row r="117" spans="1:24" s="26" customFormat="1" ht="30">
      <c r="A117" s="24"/>
      <c r="B117" s="27" t="s">
        <v>152</v>
      </c>
      <c r="C117" s="27" t="s">
        <v>214</v>
      </c>
      <c r="D117" s="28" t="s">
        <v>153</v>
      </c>
      <c r="E117" s="41">
        <v>1000000</v>
      </c>
      <c r="F117" s="41"/>
      <c r="G117" s="41"/>
      <c r="H117" s="41">
        <v>43671.2</v>
      </c>
      <c r="I117" s="41"/>
      <c r="J117" s="41"/>
      <c r="K117" s="134">
        <f t="shared" si="15"/>
        <v>4.36712</v>
      </c>
      <c r="L117" s="41">
        <f>M117+P117</f>
        <v>0</v>
      </c>
      <c r="M117" s="43"/>
      <c r="N117" s="43"/>
      <c r="O117" s="43"/>
      <c r="P117" s="43"/>
      <c r="Q117" s="41">
        <f>R117+U117</f>
        <v>0</v>
      </c>
      <c r="R117" s="79"/>
      <c r="S117" s="79"/>
      <c r="T117" s="79"/>
      <c r="U117" s="79"/>
      <c r="V117" s="135"/>
      <c r="W117" s="41">
        <f t="shared" si="21"/>
        <v>43671.2</v>
      </c>
      <c r="X117" s="172"/>
    </row>
    <row r="118" spans="1:24" s="26" customFormat="1" ht="15">
      <c r="A118" s="24"/>
      <c r="B118" s="27" t="s">
        <v>154</v>
      </c>
      <c r="C118" s="27" t="s">
        <v>215</v>
      </c>
      <c r="D118" s="28" t="s">
        <v>155</v>
      </c>
      <c r="E118" s="41">
        <f>11452250-1111519</f>
        <v>10340731</v>
      </c>
      <c r="F118" s="41">
        <f>7153760-76280</f>
        <v>7077480</v>
      </c>
      <c r="G118" s="41">
        <v>1039633</v>
      </c>
      <c r="H118" s="41">
        <v>2355240.73</v>
      </c>
      <c r="I118" s="41">
        <v>1597710.1</v>
      </c>
      <c r="J118" s="41">
        <v>362016.14</v>
      </c>
      <c r="K118" s="134">
        <f t="shared" si="15"/>
        <v>22.77634656582789</v>
      </c>
      <c r="L118" s="41">
        <f>M118+P118</f>
        <v>555500</v>
      </c>
      <c r="M118" s="41">
        <v>21000</v>
      </c>
      <c r="N118" s="41">
        <v>5000</v>
      </c>
      <c r="O118" s="43"/>
      <c r="P118" s="41">
        <v>534500</v>
      </c>
      <c r="Q118" s="41">
        <f>R118+U118</f>
        <v>59777.53</v>
      </c>
      <c r="R118" s="41">
        <v>2672.82</v>
      </c>
      <c r="S118" s="41">
        <v>200</v>
      </c>
      <c r="T118" s="41"/>
      <c r="U118" s="41">
        <v>57104.71</v>
      </c>
      <c r="V118" s="134">
        <f>Q118/L118*100</f>
        <v>10.761031503150315</v>
      </c>
      <c r="W118" s="41">
        <f t="shared" si="21"/>
        <v>2415018.26</v>
      </c>
      <c r="X118" s="172"/>
    </row>
    <row r="119" spans="1:24" s="26" customFormat="1" ht="15">
      <c r="A119" s="24"/>
      <c r="B119" s="27" t="s">
        <v>156</v>
      </c>
      <c r="C119" s="27" t="s">
        <v>197</v>
      </c>
      <c r="D119" s="28" t="s">
        <v>157</v>
      </c>
      <c r="E119" s="41">
        <f>18381740-1481664</f>
        <v>16900076</v>
      </c>
      <c r="F119" s="41">
        <f>12769020+299020</f>
        <v>13068040</v>
      </c>
      <c r="G119" s="41">
        <v>702306</v>
      </c>
      <c r="H119" s="41">
        <v>3816428.64</v>
      </c>
      <c r="I119" s="41">
        <v>2930443.51</v>
      </c>
      <c r="J119" s="41">
        <v>231874.57</v>
      </c>
      <c r="K119" s="134">
        <f t="shared" si="15"/>
        <v>22.582316434553313</v>
      </c>
      <c r="L119" s="41">
        <f>M119+P119</f>
        <v>1739420</v>
      </c>
      <c r="M119" s="41">
        <v>1299320</v>
      </c>
      <c r="N119" s="41">
        <v>948732</v>
      </c>
      <c r="O119" s="41"/>
      <c r="P119" s="41">
        <f>4600+435500</f>
        <v>440100</v>
      </c>
      <c r="Q119" s="41">
        <f>R119+U119</f>
        <v>282733.91</v>
      </c>
      <c r="R119" s="41">
        <v>281068.91</v>
      </c>
      <c r="S119" s="41">
        <v>225891.93</v>
      </c>
      <c r="T119" s="41"/>
      <c r="U119" s="41">
        <v>1665</v>
      </c>
      <c r="V119" s="134">
        <f>Q119/L119*100</f>
        <v>16.25449345184027</v>
      </c>
      <c r="W119" s="41">
        <f t="shared" si="21"/>
        <v>4099162.5500000003</v>
      </c>
      <c r="X119" s="172"/>
    </row>
    <row r="120" spans="1:24" s="26" customFormat="1" ht="15">
      <c r="A120" s="24"/>
      <c r="B120" s="27" t="s">
        <v>30</v>
      </c>
      <c r="C120" s="27" t="s">
        <v>184</v>
      </c>
      <c r="D120" s="28" t="s">
        <v>31</v>
      </c>
      <c r="E120" s="41">
        <f>967780-215588</f>
        <v>752192</v>
      </c>
      <c r="F120" s="41">
        <f>631635-102675</f>
        <v>528960</v>
      </c>
      <c r="G120" s="41">
        <v>21356</v>
      </c>
      <c r="H120" s="41">
        <v>155547.46</v>
      </c>
      <c r="I120" s="41">
        <v>119877.51</v>
      </c>
      <c r="J120" s="41">
        <v>6276.65</v>
      </c>
      <c r="K120" s="134">
        <f t="shared" si="15"/>
        <v>20.679222857993704</v>
      </c>
      <c r="L120" s="41">
        <f>M120+P120</f>
        <v>30000</v>
      </c>
      <c r="M120" s="43"/>
      <c r="N120" s="43"/>
      <c r="O120" s="43"/>
      <c r="P120" s="41">
        <v>30000</v>
      </c>
      <c r="Q120" s="41">
        <f>R120+U120</f>
        <v>9060</v>
      </c>
      <c r="R120" s="41">
        <v>9060</v>
      </c>
      <c r="S120" s="41"/>
      <c r="T120" s="41"/>
      <c r="U120" s="41"/>
      <c r="V120" s="134">
        <f>Q120/L120*100</f>
        <v>30.2</v>
      </c>
      <c r="W120" s="41">
        <f t="shared" si="21"/>
        <v>164607.46</v>
      </c>
      <c r="X120" s="172"/>
    </row>
    <row r="121" spans="1:24" s="26" customFormat="1" ht="28.5">
      <c r="A121" s="24"/>
      <c r="B121" s="31"/>
      <c r="C121" s="31"/>
      <c r="D121" s="32" t="s">
        <v>216</v>
      </c>
      <c r="E121" s="43">
        <f>SUM(E122:E140)</f>
        <v>36475525</v>
      </c>
      <c r="F121" s="43">
        <f aca="true" t="shared" si="25" ref="F121:W121">SUM(F122:F140)</f>
        <v>2652480</v>
      </c>
      <c r="G121" s="43">
        <f t="shared" si="25"/>
        <v>4296375</v>
      </c>
      <c r="H121" s="43">
        <f t="shared" si="25"/>
        <v>6696915.4</v>
      </c>
      <c r="I121" s="43">
        <f t="shared" si="25"/>
        <v>634369.51</v>
      </c>
      <c r="J121" s="43">
        <f t="shared" si="25"/>
        <v>1676169.99</v>
      </c>
      <c r="K121" s="133">
        <f t="shared" si="15"/>
        <v>18.360024701495046</v>
      </c>
      <c r="L121" s="43">
        <f t="shared" si="25"/>
        <v>85241061.14</v>
      </c>
      <c r="M121" s="43">
        <f t="shared" si="25"/>
        <v>1064200</v>
      </c>
      <c r="N121" s="43">
        <f t="shared" si="25"/>
        <v>0</v>
      </c>
      <c r="O121" s="43">
        <f t="shared" si="25"/>
        <v>0</v>
      </c>
      <c r="P121" s="43">
        <f t="shared" si="25"/>
        <v>84176861.14</v>
      </c>
      <c r="Q121" s="43">
        <f t="shared" si="25"/>
        <v>3816799.67</v>
      </c>
      <c r="R121" s="43">
        <f t="shared" si="25"/>
        <v>13552.89</v>
      </c>
      <c r="S121" s="43">
        <f t="shared" si="25"/>
        <v>0</v>
      </c>
      <c r="T121" s="43">
        <f t="shared" si="25"/>
        <v>0</v>
      </c>
      <c r="U121" s="43">
        <f t="shared" si="25"/>
        <v>3803246.78</v>
      </c>
      <c r="V121" s="133">
        <f>Q121/L121*100</f>
        <v>4.477653866522478</v>
      </c>
      <c r="W121" s="43">
        <f t="shared" si="25"/>
        <v>10513715.069999998</v>
      </c>
      <c r="X121" s="172"/>
    </row>
    <row r="122" spans="1:24" s="26" customFormat="1" ht="15">
      <c r="A122" s="24"/>
      <c r="B122" s="27" t="s">
        <v>11</v>
      </c>
      <c r="C122" s="27" t="s">
        <v>9</v>
      </c>
      <c r="D122" s="28" t="s">
        <v>96</v>
      </c>
      <c r="E122" s="41">
        <f>3961890-402720</f>
        <v>3559170</v>
      </c>
      <c r="F122" s="41">
        <f>2675410-22930</f>
        <v>2652480</v>
      </c>
      <c r="G122" s="41">
        <v>118075</v>
      </c>
      <c r="H122" s="41">
        <v>844481.48</v>
      </c>
      <c r="I122" s="41">
        <v>634369.51</v>
      </c>
      <c r="J122" s="41">
        <v>39096.72</v>
      </c>
      <c r="K122" s="134">
        <f t="shared" si="15"/>
        <v>23.726921726132776</v>
      </c>
      <c r="L122" s="41">
        <f aca="true" t="shared" si="26" ref="L122:L140">M122+P122</f>
        <v>30000</v>
      </c>
      <c r="M122" s="41"/>
      <c r="N122" s="41"/>
      <c r="O122" s="41"/>
      <c r="P122" s="41">
        <v>30000</v>
      </c>
      <c r="Q122" s="41">
        <f aca="true" t="shared" si="27" ref="Q122:Q140">R122+U122</f>
        <v>29999</v>
      </c>
      <c r="R122" s="41"/>
      <c r="S122" s="41"/>
      <c r="T122" s="41"/>
      <c r="U122" s="41">
        <v>29999</v>
      </c>
      <c r="V122" s="134">
        <f>Q122/L122*100</f>
        <v>99.99666666666667</v>
      </c>
      <c r="W122" s="41">
        <f t="shared" si="21"/>
        <v>874480.48</v>
      </c>
      <c r="X122" s="172"/>
    </row>
    <row r="123" spans="1:24" s="26" customFormat="1" ht="15">
      <c r="A123" s="24"/>
      <c r="B123" s="27" t="s">
        <v>327</v>
      </c>
      <c r="C123" s="27" t="s">
        <v>217</v>
      </c>
      <c r="D123" s="28" t="s">
        <v>328</v>
      </c>
      <c r="E123" s="41">
        <v>180000</v>
      </c>
      <c r="F123" s="41"/>
      <c r="G123" s="41"/>
      <c r="H123" s="41"/>
      <c r="I123" s="41"/>
      <c r="J123" s="41"/>
      <c r="K123" s="134">
        <f t="shared" si="15"/>
        <v>0</v>
      </c>
      <c r="L123" s="41">
        <f t="shared" si="26"/>
        <v>0</v>
      </c>
      <c r="M123" s="41"/>
      <c r="N123" s="41"/>
      <c r="O123" s="41"/>
      <c r="P123" s="41"/>
      <c r="Q123" s="41">
        <f t="shared" si="27"/>
        <v>0</v>
      </c>
      <c r="R123" s="41"/>
      <c r="S123" s="41"/>
      <c r="T123" s="41"/>
      <c r="U123" s="41"/>
      <c r="V123" s="134"/>
      <c r="W123" s="41">
        <f t="shared" si="21"/>
        <v>0</v>
      </c>
      <c r="X123" s="172"/>
    </row>
    <row r="124" spans="1:24" s="26" customFormat="1" ht="30">
      <c r="A124" s="24"/>
      <c r="B124" s="27" t="s">
        <v>158</v>
      </c>
      <c r="C124" s="27" t="s">
        <v>217</v>
      </c>
      <c r="D124" s="28" t="s">
        <v>159</v>
      </c>
      <c r="E124" s="41">
        <v>195000</v>
      </c>
      <c r="F124" s="43"/>
      <c r="G124" s="43"/>
      <c r="H124" s="79"/>
      <c r="I124" s="79"/>
      <c r="J124" s="79"/>
      <c r="K124" s="135">
        <f t="shared" si="15"/>
        <v>0</v>
      </c>
      <c r="L124" s="41">
        <f t="shared" si="26"/>
        <v>37156285.14</v>
      </c>
      <c r="M124" s="43"/>
      <c r="N124" s="43"/>
      <c r="O124" s="43"/>
      <c r="P124" s="41">
        <f>30000000+6285.14-100000+250000+8000000-1000000</f>
        <v>37156285.14</v>
      </c>
      <c r="Q124" s="41">
        <f t="shared" si="27"/>
        <v>3488631.78</v>
      </c>
      <c r="R124" s="41"/>
      <c r="S124" s="41"/>
      <c r="T124" s="41"/>
      <c r="U124" s="41">
        <v>3488631.78</v>
      </c>
      <c r="V124" s="134">
        <f>Q124/L124*100</f>
        <v>9.389075810068993</v>
      </c>
      <c r="W124" s="41">
        <f t="shared" si="21"/>
        <v>3488631.78</v>
      </c>
      <c r="X124" s="172"/>
    </row>
    <row r="125" spans="1:24" s="26" customFormat="1" ht="45">
      <c r="A125" s="24"/>
      <c r="B125" s="27" t="s">
        <v>160</v>
      </c>
      <c r="C125" s="27" t="s">
        <v>217</v>
      </c>
      <c r="D125" s="28" t="s">
        <v>161</v>
      </c>
      <c r="E125" s="43"/>
      <c r="F125" s="43"/>
      <c r="G125" s="43"/>
      <c r="H125" s="43"/>
      <c r="I125" s="43"/>
      <c r="J125" s="43"/>
      <c r="K125" s="133"/>
      <c r="L125" s="41">
        <f t="shared" si="26"/>
        <v>3000000</v>
      </c>
      <c r="M125" s="41"/>
      <c r="N125" s="41"/>
      <c r="O125" s="41"/>
      <c r="P125" s="41">
        <f>2000000+1000000</f>
        <v>3000000</v>
      </c>
      <c r="Q125" s="41">
        <f t="shared" si="27"/>
        <v>0</v>
      </c>
      <c r="R125" s="41"/>
      <c r="S125" s="41"/>
      <c r="T125" s="41"/>
      <c r="U125" s="41"/>
      <c r="V125" s="134">
        <f>Q125/L125*100</f>
        <v>0</v>
      </c>
      <c r="W125" s="41">
        <f t="shared" si="21"/>
        <v>0</v>
      </c>
      <c r="X125" s="172"/>
    </row>
    <row r="126" spans="1:24" s="26" customFormat="1" ht="15">
      <c r="A126" s="24"/>
      <c r="B126" s="27" t="s">
        <v>162</v>
      </c>
      <c r="C126" s="27" t="s">
        <v>183</v>
      </c>
      <c r="D126" s="28" t="s">
        <v>163</v>
      </c>
      <c r="E126" s="41">
        <f>1825100+120003+350000+150000</f>
        <v>2445103</v>
      </c>
      <c r="F126" s="43"/>
      <c r="G126" s="109"/>
      <c r="H126" s="79">
        <v>892392</v>
      </c>
      <c r="I126" s="79"/>
      <c r="J126" s="79"/>
      <c r="K126" s="135">
        <f t="shared" si="15"/>
        <v>36.49711280056505</v>
      </c>
      <c r="L126" s="41">
        <f t="shared" si="26"/>
        <v>0</v>
      </c>
      <c r="M126" s="43"/>
      <c r="N126" s="43"/>
      <c r="O126" s="43"/>
      <c r="P126" s="79">
        <f>150000-150000</f>
        <v>0</v>
      </c>
      <c r="Q126" s="41">
        <f t="shared" si="27"/>
        <v>0</v>
      </c>
      <c r="R126" s="43"/>
      <c r="S126" s="43"/>
      <c r="T126" s="43"/>
      <c r="U126" s="43"/>
      <c r="V126" s="133"/>
      <c r="W126" s="41">
        <f t="shared" si="21"/>
        <v>892392</v>
      </c>
      <c r="X126" s="172"/>
    </row>
    <row r="127" spans="1:24" s="26" customFormat="1" ht="15">
      <c r="A127" s="24"/>
      <c r="B127" s="27" t="s">
        <v>28</v>
      </c>
      <c r="C127" s="27" t="s">
        <v>183</v>
      </c>
      <c r="D127" s="28" t="s">
        <v>29</v>
      </c>
      <c r="E127" s="41">
        <v>26843912</v>
      </c>
      <c r="F127" s="41"/>
      <c r="G127" s="41">
        <v>4106300</v>
      </c>
      <c r="H127" s="41">
        <v>4611870.69</v>
      </c>
      <c r="I127" s="41"/>
      <c r="J127" s="41">
        <v>1630535.85</v>
      </c>
      <c r="K127" s="134">
        <f t="shared" si="15"/>
        <v>17.180322637028464</v>
      </c>
      <c r="L127" s="41">
        <f t="shared" si="26"/>
        <v>22750000</v>
      </c>
      <c r="M127" s="41"/>
      <c r="N127" s="41"/>
      <c r="O127" s="41"/>
      <c r="P127" s="41">
        <f>16250000+6500000</f>
        <v>22750000</v>
      </c>
      <c r="Q127" s="41">
        <f t="shared" si="27"/>
        <v>0</v>
      </c>
      <c r="R127" s="41"/>
      <c r="S127" s="41"/>
      <c r="T127" s="41"/>
      <c r="U127" s="41"/>
      <c r="V127" s="134">
        <f>Q127/L127*100</f>
        <v>0</v>
      </c>
      <c r="W127" s="41">
        <f t="shared" si="21"/>
        <v>4611870.69</v>
      </c>
      <c r="X127" s="172"/>
    </row>
    <row r="128" spans="1:24" s="26" customFormat="1" ht="45">
      <c r="A128" s="24"/>
      <c r="B128" s="27" t="s">
        <v>311</v>
      </c>
      <c r="C128" s="27" t="s">
        <v>312</v>
      </c>
      <c r="D128" s="28" t="s">
        <v>313</v>
      </c>
      <c r="E128" s="41"/>
      <c r="F128" s="41"/>
      <c r="G128" s="41"/>
      <c r="H128" s="41"/>
      <c r="I128" s="41"/>
      <c r="J128" s="41"/>
      <c r="K128" s="134"/>
      <c r="L128" s="41">
        <f t="shared" si="26"/>
        <v>845938</v>
      </c>
      <c r="M128" s="41"/>
      <c r="N128" s="41"/>
      <c r="O128" s="41"/>
      <c r="P128" s="41">
        <v>845938</v>
      </c>
      <c r="Q128" s="41">
        <f t="shared" si="27"/>
        <v>0</v>
      </c>
      <c r="R128" s="41"/>
      <c r="S128" s="41"/>
      <c r="T128" s="41"/>
      <c r="U128" s="41"/>
      <c r="V128" s="134">
        <f>Q128/L128*100</f>
        <v>0</v>
      </c>
      <c r="W128" s="41">
        <f t="shared" si="21"/>
        <v>0</v>
      </c>
      <c r="X128" s="172"/>
    </row>
    <row r="129" spans="1:24" s="26" customFormat="1" ht="30">
      <c r="A129" s="24"/>
      <c r="B129" s="27" t="s">
        <v>294</v>
      </c>
      <c r="C129" s="27" t="s">
        <v>295</v>
      </c>
      <c r="D129" s="28" t="s">
        <v>296</v>
      </c>
      <c r="E129" s="79">
        <v>465000</v>
      </c>
      <c r="F129" s="43"/>
      <c r="G129" s="43"/>
      <c r="H129" s="79"/>
      <c r="I129" s="79"/>
      <c r="J129" s="79"/>
      <c r="K129" s="135">
        <f t="shared" si="15"/>
        <v>0</v>
      </c>
      <c r="L129" s="41">
        <f t="shared" si="26"/>
        <v>0</v>
      </c>
      <c r="M129" s="79"/>
      <c r="N129" s="43"/>
      <c r="O129" s="43"/>
      <c r="P129" s="41"/>
      <c r="Q129" s="41">
        <f t="shared" si="27"/>
        <v>0</v>
      </c>
      <c r="R129" s="43"/>
      <c r="S129" s="43"/>
      <c r="T129" s="43"/>
      <c r="U129" s="79"/>
      <c r="V129" s="135"/>
      <c r="W129" s="41">
        <f t="shared" si="21"/>
        <v>0</v>
      </c>
      <c r="X129" s="172"/>
    </row>
    <row r="130" spans="1:24" s="26" customFormat="1" ht="15">
      <c r="A130" s="24"/>
      <c r="B130" s="27" t="s">
        <v>164</v>
      </c>
      <c r="C130" s="27" t="s">
        <v>218</v>
      </c>
      <c r="D130" s="28" t="s">
        <v>165</v>
      </c>
      <c r="E130" s="41">
        <v>180000</v>
      </c>
      <c r="F130" s="43"/>
      <c r="G130" s="43"/>
      <c r="H130" s="79"/>
      <c r="I130" s="79"/>
      <c r="J130" s="79"/>
      <c r="K130" s="135">
        <f t="shared" si="15"/>
        <v>0</v>
      </c>
      <c r="L130" s="41">
        <f t="shared" si="26"/>
        <v>0</v>
      </c>
      <c r="M130" s="79"/>
      <c r="N130" s="43"/>
      <c r="O130" s="43"/>
      <c r="P130" s="41"/>
      <c r="Q130" s="41">
        <f t="shared" si="27"/>
        <v>0</v>
      </c>
      <c r="R130" s="43"/>
      <c r="S130" s="43"/>
      <c r="T130" s="43"/>
      <c r="U130" s="43"/>
      <c r="V130" s="133"/>
      <c r="W130" s="41">
        <f t="shared" si="21"/>
        <v>0</v>
      </c>
      <c r="X130" s="172"/>
    </row>
    <row r="131" spans="1:24" s="26" customFormat="1" ht="15">
      <c r="A131" s="24"/>
      <c r="B131" s="27" t="s">
        <v>166</v>
      </c>
      <c r="C131" s="27" t="s">
        <v>219</v>
      </c>
      <c r="D131" s="28" t="s">
        <v>167</v>
      </c>
      <c r="E131" s="41">
        <v>530000</v>
      </c>
      <c r="F131" s="43"/>
      <c r="G131" s="43"/>
      <c r="H131" s="79">
        <v>128428.78</v>
      </c>
      <c r="I131" s="43"/>
      <c r="J131" s="43"/>
      <c r="K131" s="135">
        <f t="shared" si="15"/>
        <v>24.231845283018867</v>
      </c>
      <c r="L131" s="41">
        <f t="shared" si="26"/>
        <v>0</v>
      </c>
      <c r="M131" s="43"/>
      <c r="N131" s="43"/>
      <c r="O131" s="43"/>
      <c r="P131" s="43"/>
      <c r="Q131" s="41">
        <f t="shared" si="27"/>
        <v>0</v>
      </c>
      <c r="R131" s="43"/>
      <c r="S131" s="43"/>
      <c r="T131" s="43"/>
      <c r="U131" s="43"/>
      <c r="V131" s="133"/>
      <c r="W131" s="41">
        <f t="shared" si="21"/>
        <v>128428.78</v>
      </c>
      <c r="X131" s="172"/>
    </row>
    <row r="132" spans="1:24" s="26" customFormat="1" ht="60">
      <c r="A132" s="24"/>
      <c r="B132" s="27" t="s">
        <v>47</v>
      </c>
      <c r="C132" s="27" t="s">
        <v>188</v>
      </c>
      <c r="D132" s="28" t="s">
        <v>48</v>
      </c>
      <c r="E132" s="41"/>
      <c r="F132" s="43"/>
      <c r="G132" s="43"/>
      <c r="H132" s="43"/>
      <c r="I132" s="43"/>
      <c r="J132" s="43"/>
      <c r="K132" s="133"/>
      <c r="L132" s="41">
        <f t="shared" si="26"/>
        <v>14913400</v>
      </c>
      <c r="M132" s="43"/>
      <c r="N132" s="43"/>
      <c r="O132" s="43"/>
      <c r="P132" s="41">
        <f>12363400+2550000</f>
        <v>14913400</v>
      </c>
      <c r="Q132" s="41">
        <f t="shared" si="27"/>
        <v>277200</v>
      </c>
      <c r="R132" s="41"/>
      <c r="S132" s="41"/>
      <c r="T132" s="41"/>
      <c r="U132" s="41">
        <v>277200</v>
      </c>
      <c r="V132" s="134">
        <f>Q132/L132*100</f>
        <v>1.8587310740676168</v>
      </c>
      <c r="W132" s="41">
        <f t="shared" si="21"/>
        <v>277200</v>
      </c>
      <c r="X132" s="172"/>
    </row>
    <row r="133" spans="1:24" s="26" customFormat="1" ht="15">
      <c r="A133" s="24"/>
      <c r="B133" s="27" t="s">
        <v>293</v>
      </c>
      <c r="C133" s="27" t="s">
        <v>199</v>
      </c>
      <c r="D133" s="28" t="s">
        <v>83</v>
      </c>
      <c r="E133" s="41">
        <f>410000-251200</f>
        <v>158800</v>
      </c>
      <c r="F133" s="43"/>
      <c r="G133" s="43"/>
      <c r="H133" s="79"/>
      <c r="I133" s="43"/>
      <c r="J133" s="43"/>
      <c r="K133" s="133"/>
      <c r="L133" s="41">
        <f t="shared" si="26"/>
        <v>0</v>
      </c>
      <c r="M133" s="43"/>
      <c r="N133" s="43"/>
      <c r="O133" s="43"/>
      <c r="P133" s="41"/>
      <c r="Q133" s="41">
        <f t="shared" si="27"/>
        <v>0</v>
      </c>
      <c r="R133" s="41"/>
      <c r="S133" s="41"/>
      <c r="T133" s="41"/>
      <c r="U133" s="41"/>
      <c r="V133" s="134"/>
      <c r="W133" s="41">
        <f t="shared" si="21"/>
        <v>0</v>
      </c>
      <c r="X133" s="94"/>
    </row>
    <row r="134" spans="1:24" s="26" customFormat="1" ht="30">
      <c r="A134" s="24"/>
      <c r="B134" s="27" t="s">
        <v>168</v>
      </c>
      <c r="C134" s="27" t="s">
        <v>220</v>
      </c>
      <c r="D134" s="28" t="s">
        <v>169</v>
      </c>
      <c r="E134" s="41"/>
      <c r="F134" s="41"/>
      <c r="G134" s="41"/>
      <c r="H134" s="41"/>
      <c r="I134" s="41"/>
      <c r="J134" s="41"/>
      <c r="K134" s="134"/>
      <c r="L134" s="41">
        <f t="shared" si="26"/>
        <v>5200738</v>
      </c>
      <c r="M134" s="41">
        <f>350000+120000</f>
        <v>470000</v>
      </c>
      <c r="N134" s="41"/>
      <c r="O134" s="41"/>
      <c r="P134" s="41">
        <f>54000+1184200+3492538</f>
        <v>4730738</v>
      </c>
      <c r="Q134" s="41">
        <f t="shared" si="27"/>
        <v>7416</v>
      </c>
      <c r="R134" s="41"/>
      <c r="S134" s="41"/>
      <c r="T134" s="41"/>
      <c r="U134" s="41">
        <v>7416</v>
      </c>
      <c r="V134" s="134">
        <f aca="true" t="shared" si="28" ref="V134:V139">Q134/L134*100</f>
        <v>0.14259514707335766</v>
      </c>
      <c r="W134" s="41">
        <f t="shared" si="21"/>
        <v>7416</v>
      </c>
      <c r="X134" s="172"/>
    </row>
    <row r="135" spans="1:24" s="26" customFormat="1" ht="15">
      <c r="A135" s="24"/>
      <c r="B135" s="27" t="s">
        <v>170</v>
      </c>
      <c r="C135" s="27" t="s">
        <v>221</v>
      </c>
      <c r="D135" s="28" t="s">
        <v>171</v>
      </c>
      <c r="E135" s="41"/>
      <c r="F135" s="41"/>
      <c r="G135" s="41"/>
      <c r="H135" s="43"/>
      <c r="I135" s="43"/>
      <c r="J135" s="43"/>
      <c r="K135" s="133"/>
      <c r="L135" s="41">
        <f t="shared" si="26"/>
        <v>250000</v>
      </c>
      <c r="M135" s="41">
        <v>250000</v>
      </c>
      <c r="N135" s="41"/>
      <c r="O135" s="41"/>
      <c r="P135" s="41"/>
      <c r="Q135" s="41">
        <f t="shared" si="27"/>
        <v>13552.89</v>
      </c>
      <c r="R135" s="79">
        <v>13552.89</v>
      </c>
      <c r="S135" s="79"/>
      <c r="T135" s="79"/>
      <c r="U135" s="79"/>
      <c r="V135" s="135">
        <f t="shared" si="28"/>
        <v>5.421156</v>
      </c>
      <c r="W135" s="41">
        <f t="shared" si="21"/>
        <v>13552.89</v>
      </c>
      <c r="X135" s="172"/>
    </row>
    <row r="136" spans="1:24" s="26" customFormat="1" ht="30">
      <c r="A136" s="24"/>
      <c r="B136" s="27" t="s">
        <v>55</v>
      </c>
      <c r="C136" s="27" t="s">
        <v>191</v>
      </c>
      <c r="D136" s="28" t="s">
        <v>56</v>
      </c>
      <c r="E136" s="41"/>
      <c r="F136" s="41"/>
      <c r="G136" s="41"/>
      <c r="H136" s="43"/>
      <c r="I136" s="43"/>
      <c r="J136" s="43"/>
      <c r="K136" s="133"/>
      <c r="L136" s="41">
        <f t="shared" si="26"/>
        <v>18000</v>
      </c>
      <c r="M136" s="41">
        <v>18000</v>
      </c>
      <c r="N136" s="41"/>
      <c r="O136" s="41"/>
      <c r="P136" s="41"/>
      <c r="Q136" s="41">
        <f t="shared" si="27"/>
        <v>0</v>
      </c>
      <c r="R136" s="79"/>
      <c r="S136" s="43"/>
      <c r="T136" s="43"/>
      <c r="U136" s="43"/>
      <c r="V136" s="133">
        <f t="shared" si="28"/>
        <v>0</v>
      </c>
      <c r="W136" s="41">
        <f t="shared" si="21"/>
        <v>0</v>
      </c>
      <c r="X136" s="172"/>
    </row>
    <row r="137" spans="1:24" s="26" customFormat="1" ht="15">
      <c r="A137" s="24"/>
      <c r="B137" s="27" t="s">
        <v>82</v>
      </c>
      <c r="C137" s="27" t="s">
        <v>199</v>
      </c>
      <c r="D137" s="28" t="s">
        <v>83</v>
      </c>
      <c r="E137" s="41"/>
      <c r="F137" s="41"/>
      <c r="G137" s="41"/>
      <c r="H137" s="41"/>
      <c r="I137" s="41"/>
      <c r="J137" s="41"/>
      <c r="K137" s="134"/>
      <c r="L137" s="41">
        <f t="shared" si="26"/>
        <v>251200</v>
      </c>
      <c r="M137" s="41">
        <v>251200</v>
      </c>
      <c r="N137" s="41"/>
      <c r="O137" s="41"/>
      <c r="P137" s="41"/>
      <c r="Q137" s="41">
        <f t="shared" si="27"/>
        <v>0</v>
      </c>
      <c r="R137" s="41"/>
      <c r="S137" s="41"/>
      <c r="T137" s="41"/>
      <c r="U137" s="41"/>
      <c r="V137" s="134">
        <f t="shared" si="28"/>
        <v>0</v>
      </c>
      <c r="W137" s="41">
        <f t="shared" si="21"/>
        <v>0</v>
      </c>
      <c r="X137" s="172"/>
    </row>
    <row r="138" spans="1:24" s="26" customFormat="1" ht="60">
      <c r="A138" s="24"/>
      <c r="B138" s="27" t="s">
        <v>57</v>
      </c>
      <c r="C138" s="27" t="s">
        <v>192</v>
      </c>
      <c r="D138" s="28" t="s">
        <v>58</v>
      </c>
      <c r="E138" s="41"/>
      <c r="F138" s="41"/>
      <c r="G138" s="41"/>
      <c r="H138" s="41"/>
      <c r="I138" s="41"/>
      <c r="J138" s="41"/>
      <c r="K138" s="134"/>
      <c r="L138" s="41">
        <f t="shared" si="26"/>
        <v>75000</v>
      </c>
      <c r="M138" s="41">
        <v>75000</v>
      </c>
      <c r="N138" s="41"/>
      <c r="O138" s="41"/>
      <c r="P138" s="41"/>
      <c r="Q138" s="41">
        <f t="shared" si="27"/>
        <v>0</v>
      </c>
      <c r="R138" s="41"/>
      <c r="S138" s="41"/>
      <c r="T138" s="41"/>
      <c r="U138" s="41"/>
      <c r="V138" s="134">
        <f t="shared" si="28"/>
        <v>0</v>
      </c>
      <c r="W138" s="41">
        <f t="shared" si="21"/>
        <v>0</v>
      </c>
      <c r="X138" s="172"/>
    </row>
    <row r="139" spans="1:24" s="26" customFormat="1" ht="15">
      <c r="A139" s="24"/>
      <c r="B139" s="27" t="s">
        <v>178</v>
      </c>
      <c r="C139" s="27" t="s">
        <v>227</v>
      </c>
      <c r="D139" s="39" t="s">
        <v>179</v>
      </c>
      <c r="E139" s="41">
        <v>229500</v>
      </c>
      <c r="F139" s="41"/>
      <c r="G139" s="41"/>
      <c r="H139" s="79"/>
      <c r="I139" s="79"/>
      <c r="J139" s="79"/>
      <c r="K139" s="135">
        <f t="shared" si="15"/>
        <v>0</v>
      </c>
      <c r="L139" s="41">
        <f t="shared" si="26"/>
        <v>750500</v>
      </c>
      <c r="M139" s="41"/>
      <c r="N139" s="41"/>
      <c r="O139" s="41"/>
      <c r="P139" s="41">
        <v>750500</v>
      </c>
      <c r="Q139" s="41">
        <f t="shared" si="27"/>
        <v>0</v>
      </c>
      <c r="R139" s="41"/>
      <c r="S139" s="41"/>
      <c r="T139" s="41"/>
      <c r="U139" s="41"/>
      <c r="V139" s="134">
        <f t="shared" si="28"/>
        <v>0</v>
      </c>
      <c r="W139" s="41">
        <f t="shared" si="21"/>
        <v>0</v>
      </c>
      <c r="X139" s="172"/>
    </row>
    <row r="140" spans="1:24" s="26" customFormat="1" ht="15">
      <c r="A140" s="24"/>
      <c r="B140" s="27" t="s">
        <v>59</v>
      </c>
      <c r="C140" s="27" t="s">
        <v>192</v>
      </c>
      <c r="D140" s="28" t="s">
        <v>25</v>
      </c>
      <c r="E140" s="41">
        <f>1429000+258120+1920</f>
        <v>1689040</v>
      </c>
      <c r="F140" s="43"/>
      <c r="G140" s="79">
        <v>72000</v>
      </c>
      <c r="H140" s="79">
        <v>219742.45</v>
      </c>
      <c r="I140" s="79"/>
      <c r="J140" s="79">
        <v>6537.42</v>
      </c>
      <c r="K140" s="135">
        <f t="shared" si="15"/>
        <v>13.009902074551224</v>
      </c>
      <c r="L140" s="41">
        <f t="shared" si="26"/>
        <v>0</v>
      </c>
      <c r="M140" s="43"/>
      <c r="N140" s="43"/>
      <c r="O140" s="43"/>
      <c r="P140" s="43"/>
      <c r="Q140" s="41">
        <f t="shared" si="27"/>
        <v>0</v>
      </c>
      <c r="R140" s="43"/>
      <c r="S140" s="43"/>
      <c r="T140" s="43"/>
      <c r="U140" s="43"/>
      <c r="V140" s="133"/>
      <c r="W140" s="41">
        <f t="shared" si="21"/>
        <v>219742.45</v>
      </c>
      <c r="X140" s="172"/>
    </row>
    <row r="141" spans="1:24" s="26" customFormat="1" ht="28.5">
      <c r="A141" s="24"/>
      <c r="B141" s="31"/>
      <c r="C141" s="31"/>
      <c r="D141" s="32" t="s">
        <v>222</v>
      </c>
      <c r="E141" s="43">
        <f aca="true" t="shared" si="29" ref="E141:W141">E142+E143+E144</f>
        <v>2750710</v>
      </c>
      <c r="F141" s="43">
        <f t="shared" si="29"/>
        <v>1676660</v>
      </c>
      <c r="G141" s="43">
        <f t="shared" si="29"/>
        <v>154189</v>
      </c>
      <c r="H141" s="43">
        <f t="shared" si="29"/>
        <v>608163.2100000001</v>
      </c>
      <c r="I141" s="43">
        <f t="shared" si="29"/>
        <v>381286.51</v>
      </c>
      <c r="J141" s="43">
        <f t="shared" si="29"/>
        <v>51516.17</v>
      </c>
      <c r="K141" s="133">
        <f t="shared" si="15"/>
        <v>22.109317594366548</v>
      </c>
      <c r="L141" s="43">
        <f t="shared" si="29"/>
        <v>20000</v>
      </c>
      <c r="M141" s="43">
        <f t="shared" si="29"/>
        <v>0</v>
      </c>
      <c r="N141" s="43">
        <f t="shared" si="29"/>
        <v>0</v>
      </c>
      <c r="O141" s="43">
        <f t="shared" si="29"/>
        <v>0</v>
      </c>
      <c r="P141" s="43">
        <f t="shared" si="29"/>
        <v>20000</v>
      </c>
      <c r="Q141" s="43">
        <f>Q142+Q143+Q144</f>
        <v>0</v>
      </c>
      <c r="R141" s="43">
        <f t="shared" si="29"/>
        <v>0</v>
      </c>
      <c r="S141" s="43">
        <f t="shared" si="29"/>
        <v>0</v>
      </c>
      <c r="T141" s="43">
        <f t="shared" si="29"/>
        <v>0</v>
      </c>
      <c r="U141" s="43">
        <f t="shared" si="29"/>
        <v>0</v>
      </c>
      <c r="V141" s="133">
        <f>Q141/L141*100</f>
        <v>0</v>
      </c>
      <c r="W141" s="43">
        <f t="shared" si="29"/>
        <v>608163.2100000001</v>
      </c>
      <c r="X141" s="172"/>
    </row>
    <row r="142" spans="1:24" s="26" customFormat="1" ht="15">
      <c r="A142" s="24"/>
      <c r="B142" s="27" t="s">
        <v>11</v>
      </c>
      <c r="C142" s="27" t="s">
        <v>9</v>
      </c>
      <c r="D142" s="28" t="s">
        <v>15</v>
      </c>
      <c r="E142" s="41">
        <f>2737690-357480</f>
        <v>2380210</v>
      </c>
      <c r="F142" s="41">
        <f>1763030-86370</f>
        <v>1676660</v>
      </c>
      <c r="G142" s="41">
        <v>154189</v>
      </c>
      <c r="H142" s="41">
        <v>550927.06</v>
      </c>
      <c r="I142" s="41">
        <v>381286.51</v>
      </c>
      <c r="J142" s="41">
        <v>51516.17</v>
      </c>
      <c r="K142" s="134">
        <f t="shared" si="15"/>
        <v>23.14615349065839</v>
      </c>
      <c r="L142" s="41">
        <f>M142+P142</f>
        <v>20000</v>
      </c>
      <c r="M142" s="41"/>
      <c r="N142" s="41"/>
      <c r="O142" s="41"/>
      <c r="P142" s="41">
        <v>20000</v>
      </c>
      <c r="Q142" s="41">
        <f>R142+U142</f>
        <v>0</v>
      </c>
      <c r="R142" s="41"/>
      <c r="S142" s="41"/>
      <c r="T142" s="41"/>
      <c r="U142" s="41"/>
      <c r="V142" s="134">
        <f>Q142/L142*100</f>
        <v>0</v>
      </c>
      <c r="W142" s="41">
        <f t="shared" si="21"/>
        <v>550927.06</v>
      </c>
      <c r="X142" s="172"/>
    </row>
    <row r="143" spans="1:24" s="26" customFormat="1" ht="15">
      <c r="A143" s="24"/>
      <c r="B143" s="27" t="s">
        <v>164</v>
      </c>
      <c r="C143" s="27" t="s">
        <v>218</v>
      </c>
      <c r="D143" s="28" t="s">
        <v>165</v>
      </c>
      <c r="E143" s="41">
        <v>10500</v>
      </c>
      <c r="F143" s="43"/>
      <c r="G143" s="43"/>
      <c r="H143" s="79"/>
      <c r="I143" s="79"/>
      <c r="J143" s="79"/>
      <c r="K143" s="135">
        <f aca="true" t="shared" si="30" ref="K143:K172">H143/E143*100</f>
        <v>0</v>
      </c>
      <c r="L143" s="41">
        <f>M143+P143</f>
        <v>0</v>
      </c>
      <c r="M143" s="43"/>
      <c r="N143" s="43"/>
      <c r="O143" s="43"/>
      <c r="P143" s="43"/>
      <c r="Q143" s="41">
        <f>R143+U143</f>
        <v>0</v>
      </c>
      <c r="R143" s="43"/>
      <c r="S143" s="43"/>
      <c r="T143" s="43"/>
      <c r="U143" s="43"/>
      <c r="V143" s="133"/>
      <c r="W143" s="41">
        <f t="shared" si="21"/>
        <v>0</v>
      </c>
      <c r="X143" s="172"/>
    </row>
    <row r="144" spans="1:24" s="26" customFormat="1" ht="15">
      <c r="A144" s="24"/>
      <c r="B144" s="27" t="s">
        <v>59</v>
      </c>
      <c r="C144" s="27" t="s">
        <v>192</v>
      </c>
      <c r="D144" s="28" t="s">
        <v>25</v>
      </c>
      <c r="E144" s="41">
        <f>360000</f>
        <v>360000</v>
      </c>
      <c r="F144" s="43"/>
      <c r="G144" s="79"/>
      <c r="H144" s="79">
        <v>57236.15</v>
      </c>
      <c r="I144" s="43"/>
      <c r="J144" s="43"/>
      <c r="K144" s="135">
        <f t="shared" si="30"/>
        <v>15.898930555555557</v>
      </c>
      <c r="L144" s="41">
        <f>M144+P144</f>
        <v>0</v>
      </c>
      <c r="M144" s="43"/>
      <c r="N144" s="43"/>
      <c r="O144" s="43"/>
      <c r="P144" s="43"/>
      <c r="Q144" s="41">
        <f>R144+U144</f>
        <v>0</v>
      </c>
      <c r="R144" s="43"/>
      <c r="S144" s="43"/>
      <c r="T144" s="43"/>
      <c r="U144" s="43"/>
      <c r="V144" s="133"/>
      <c r="W144" s="41">
        <f t="shared" si="21"/>
        <v>57236.15</v>
      </c>
      <c r="X144" s="172"/>
    </row>
    <row r="145" spans="1:24" s="26" customFormat="1" ht="42.75">
      <c r="A145" s="24"/>
      <c r="B145" s="31"/>
      <c r="C145" s="31"/>
      <c r="D145" s="32" t="s">
        <v>223</v>
      </c>
      <c r="E145" s="43">
        <f>SUM(E146:E153)</f>
        <v>60272926</v>
      </c>
      <c r="F145" s="43">
        <f aca="true" t="shared" si="31" ref="F145:W145">SUM(F146:F153)</f>
        <v>0</v>
      </c>
      <c r="G145" s="43">
        <f t="shared" si="31"/>
        <v>0</v>
      </c>
      <c r="H145" s="43">
        <f t="shared" si="31"/>
        <v>8519800.2</v>
      </c>
      <c r="I145" s="43">
        <f t="shared" si="31"/>
        <v>0</v>
      </c>
      <c r="J145" s="43">
        <f t="shared" si="31"/>
        <v>0</v>
      </c>
      <c r="K145" s="133">
        <f t="shared" si="30"/>
        <v>14.135368506914695</v>
      </c>
      <c r="L145" s="43">
        <f t="shared" si="31"/>
        <v>154261974.94</v>
      </c>
      <c r="M145" s="43">
        <f t="shared" si="31"/>
        <v>2310233</v>
      </c>
      <c r="N145" s="43">
        <f t="shared" si="31"/>
        <v>1413770</v>
      </c>
      <c r="O145" s="43">
        <f t="shared" si="31"/>
        <v>50946</v>
      </c>
      <c r="P145" s="43">
        <f t="shared" si="31"/>
        <v>151951741.94</v>
      </c>
      <c r="Q145" s="43">
        <f t="shared" si="31"/>
        <v>10311181.370000001</v>
      </c>
      <c r="R145" s="43">
        <f t="shared" si="31"/>
        <v>372112.37</v>
      </c>
      <c r="S145" s="43">
        <f t="shared" si="31"/>
        <v>271196.45</v>
      </c>
      <c r="T145" s="43">
        <f t="shared" si="31"/>
        <v>22906.33</v>
      </c>
      <c r="U145" s="43">
        <f t="shared" si="31"/>
        <v>9939069</v>
      </c>
      <c r="V145" s="133">
        <f aca="true" t="shared" si="32" ref="V145:V172">Q145/L145*100</f>
        <v>6.684201582412336</v>
      </c>
      <c r="W145" s="43">
        <f t="shared" si="31"/>
        <v>18830981.569999997</v>
      </c>
      <c r="X145" s="172"/>
    </row>
    <row r="146" spans="1:24" s="26" customFormat="1" ht="15">
      <c r="A146" s="24"/>
      <c r="B146" s="27" t="s">
        <v>11</v>
      </c>
      <c r="C146" s="27" t="s">
        <v>9</v>
      </c>
      <c r="D146" s="28" t="s">
        <v>96</v>
      </c>
      <c r="E146" s="41"/>
      <c r="F146" s="41"/>
      <c r="G146" s="41"/>
      <c r="H146" s="41"/>
      <c r="I146" s="41"/>
      <c r="J146" s="41"/>
      <c r="K146" s="134"/>
      <c r="L146" s="41">
        <f aca="true" t="shared" si="33" ref="L146:L153">M146+P146</f>
        <v>2380664</v>
      </c>
      <c r="M146" s="41">
        <v>2280164</v>
      </c>
      <c r="N146" s="41">
        <v>1413770</v>
      </c>
      <c r="O146" s="41">
        <v>50946</v>
      </c>
      <c r="P146" s="41">
        <v>100500</v>
      </c>
      <c r="Q146" s="41">
        <f aca="true" t="shared" si="34" ref="Q146:Q153">R146+U146</f>
        <v>372112.37</v>
      </c>
      <c r="R146" s="41">
        <v>372112.37</v>
      </c>
      <c r="S146" s="41">
        <v>271196.45</v>
      </c>
      <c r="T146" s="41">
        <v>22906.33</v>
      </c>
      <c r="U146" s="41"/>
      <c r="V146" s="134">
        <f t="shared" si="32"/>
        <v>15.630612719812623</v>
      </c>
      <c r="W146" s="41">
        <f t="shared" si="21"/>
        <v>372112.37</v>
      </c>
      <c r="X146" s="172"/>
    </row>
    <row r="147" spans="1:24" s="26" customFormat="1" ht="15">
      <c r="A147" s="24"/>
      <c r="B147" s="27" t="s">
        <v>84</v>
      </c>
      <c r="C147" s="27" t="s">
        <v>201</v>
      </c>
      <c r="D147" s="28" t="s">
        <v>85</v>
      </c>
      <c r="E147" s="41"/>
      <c r="F147" s="41"/>
      <c r="G147" s="41"/>
      <c r="H147" s="41"/>
      <c r="I147" s="41"/>
      <c r="J147" s="41"/>
      <c r="K147" s="134"/>
      <c r="L147" s="41">
        <f t="shared" si="33"/>
        <v>1724000</v>
      </c>
      <c r="M147" s="41"/>
      <c r="N147" s="41"/>
      <c r="O147" s="41"/>
      <c r="P147" s="41">
        <v>1724000</v>
      </c>
      <c r="Q147" s="41">
        <f t="shared" si="34"/>
        <v>0</v>
      </c>
      <c r="R147" s="41"/>
      <c r="S147" s="41"/>
      <c r="T147" s="41"/>
      <c r="U147" s="41"/>
      <c r="V147" s="134">
        <f t="shared" si="32"/>
        <v>0</v>
      </c>
      <c r="W147" s="41">
        <f t="shared" si="21"/>
        <v>0</v>
      </c>
      <c r="X147" s="172"/>
    </row>
    <row r="148" spans="1:24" s="26" customFormat="1" ht="15">
      <c r="A148" s="24"/>
      <c r="B148" s="27" t="s">
        <v>28</v>
      </c>
      <c r="C148" s="27" t="s">
        <v>183</v>
      </c>
      <c r="D148" s="28" t="s">
        <v>29</v>
      </c>
      <c r="E148" s="41">
        <f>30000000+30000000</f>
        <v>60000000</v>
      </c>
      <c r="F148" s="43"/>
      <c r="G148" s="43"/>
      <c r="H148" s="79">
        <v>8423244</v>
      </c>
      <c r="I148" s="79"/>
      <c r="J148" s="79"/>
      <c r="K148" s="135">
        <f t="shared" si="30"/>
        <v>14.038739999999999</v>
      </c>
      <c r="L148" s="41">
        <f t="shared" si="33"/>
        <v>51252200</v>
      </c>
      <c r="M148" s="43"/>
      <c r="N148" s="43"/>
      <c r="O148" s="43"/>
      <c r="P148" s="41">
        <f>35000000+15974673+277527</f>
        <v>51252200</v>
      </c>
      <c r="Q148" s="41">
        <f t="shared" si="34"/>
        <v>2880454</v>
      </c>
      <c r="R148" s="41"/>
      <c r="S148" s="41"/>
      <c r="T148" s="41"/>
      <c r="U148" s="41">
        <v>2880454</v>
      </c>
      <c r="V148" s="134">
        <f t="shared" si="32"/>
        <v>5.620156793269362</v>
      </c>
      <c r="W148" s="41">
        <f t="shared" si="21"/>
        <v>11303698</v>
      </c>
      <c r="X148" s="172"/>
    </row>
    <row r="149" spans="1:24" s="26" customFormat="1" ht="15">
      <c r="A149" s="24"/>
      <c r="B149" s="27" t="s">
        <v>172</v>
      </c>
      <c r="C149" s="27" t="s">
        <v>188</v>
      </c>
      <c r="D149" s="28" t="s">
        <v>173</v>
      </c>
      <c r="E149" s="43"/>
      <c r="F149" s="43"/>
      <c r="G149" s="43"/>
      <c r="H149" s="43"/>
      <c r="I149" s="43"/>
      <c r="J149" s="43"/>
      <c r="K149" s="133"/>
      <c r="L149" s="41">
        <f t="shared" si="33"/>
        <v>91999041.94</v>
      </c>
      <c r="M149" s="41"/>
      <c r="N149" s="41"/>
      <c r="O149" s="41"/>
      <c r="P149" s="41">
        <f>67500000.94+9417041+15082000</f>
        <v>91999041.94</v>
      </c>
      <c r="Q149" s="41">
        <f t="shared" si="34"/>
        <v>7058615</v>
      </c>
      <c r="R149" s="41"/>
      <c r="S149" s="41"/>
      <c r="T149" s="41"/>
      <c r="U149" s="41">
        <v>7058615</v>
      </c>
      <c r="V149" s="134">
        <f t="shared" si="32"/>
        <v>7.672487507645452</v>
      </c>
      <c r="W149" s="41">
        <f t="shared" si="21"/>
        <v>7058615</v>
      </c>
      <c r="X149" s="172"/>
    </row>
    <row r="150" spans="1:24" s="26" customFormat="1" ht="60">
      <c r="A150" s="24"/>
      <c r="B150" s="27" t="s">
        <v>47</v>
      </c>
      <c r="C150" s="27" t="s">
        <v>188</v>
      </c>
      <c r="D150" s="28" t="s">
        <v>48</v>
      </c>
      <c r="E150" s="43"/>
      <c r="F150" s="43"/>
      <c r="G150" s="43"/>
      <c r="H150" s="43"/>
      <c r="I150" s="43"/>
      <c r="J150" s="43"/>
      <c r="K150" s="133"/>
      <c r="L150" s="41">
        <f t="shared" si="33"/>
        <v>6750000</v>
      </c>
      <c r="M150" s="41"/>
      <c r="N150" s="41"/>
      <c r="O150" s="41"/>
      <c r="P150" s="41">
        <v>6750000</v>
      </c>
      <c r="Q150" s="41">
        <f t="shared" si="34"/>
        <v>0</v>
      </c>
      <c r="R150" s="41"/>
      <c r="S150" s="41"/>
      <c r="T150" s="41"/>
      <c r="U150" s="41"/>
      <c r="V150" s="134">
        <f t="shared" si="32"/>
        <v>0</v>
      </c>
      <c r="W150" s="41">
        <f t="shared" si="21"/>
        <v>0</v>
      </c>
      <c r="X150" s="172"/>
    </row>
    <row r="151" spans="1:24" s="26" customFormat="1" ht="30">
      <c r="A151" s="24"/>
      <c r="B151" s="27" t="s">
        <v>168</v>
      </c>
      <c r="C151" s="27" t="s">
        <v>220</v>
      </c>
      <c r="D151" s="28" t="s">
        <v>169</v>
      </c>
      <c r="E151" s="43"/>
      <c r="F151" s="43"/>
      <c r="G151" s="43"/>
      <c r="H151" s="43"/>
      <c r="I151" s="43"/>
      <c r="J151" s="43"/>
      <c r="K151" s="133"/>
      <c r="L151" s="41">
        <f t="shared" si="33"/>
        <v>126000</v>
      </c>
      <c r="M151" s="41"/>
      <c r="N151" s="41"/>
      <c r="O151" s="41"/>
      <c r="P151" s="41">
        <v>126000</v>
      </c>
      <c r="Q151" s="41">
        <f t="shared" si="34"/>
        <v>0</v>
      </c>
      <c r="R151" s="41"/>
      <c r="S151" s="41"/>
      <c r="T151" s="41"/>
      <c r="U151" s="41"/>
      <c r="V151" s="134">
        <f t="shared" si="32"/>
        <v>0</v>
      </c>
      <c r="W151" s="41">
        <f t="shared" si="21"/>
        <v>0</v>
      </c>
      <c r="X151" s="172"/>
    </row>
    <row r="152" spans="1:24" s="26" customFormat="1" ht="15">
      <c r="A152" s="24"/>
      <c r="B152" s="30" t="s">
        <v>59</v>
      </c>
      <c r="C152" s="30" t="s">
        <v>192</v>
      </c>
      <c r="D152" s="28" t="s">
        <v>25</v>
      </c>
      <c r="E152" s="79">
        <v>188021</v>
      </c>
      <c r="F152" s="43"/>
      <c r="G152" s="43"/>
      <c r="H152" s="41">
        <v>87467.2</v>
      </c>
      <c r="I152" s="41"/>
      <c r="J152" s="41"/>
      <c r="K152" s="134">
        <f t="shared" si="30"/>
        <v>46.519910010052065</v>
      </c>
      <c r="L152" s="41">
        <f t="shared" si="33"/>
        <v>0</v>
      </c>
      <c r="M152" s="41"/>
      <c r="N152" s="41"/>
      <c r="O152" s="41"/>
      <c r="P152" s="41"/>
      <c r="Q152" s="41">
        <f t="shared" si="34"/>
        <v>0</v>
      </c>
      <c r="R152" s="79"/>
      <c r="S152" s="43"/>
      <c r="T152" s="43"/>
      <c r="U152" s="43"/>
      <c r="V152" s="133"/>
      <c r="W152" s="41">
        <f t="shared" si="21"/>
        <v>87467.2</v>
      </c>
      <c r="X152" s="107"/>
    </row>
    <row r="153" spans="1:24" s="26" customFormat="1" ht="75">
      <c r="A153" s="24"/>
      <c r="B153" s="30" t="s">
        <v>174</v>
      </c>
      <c r="C153" s="30" t="s">
        <v>209</v>
      </c>
      <c r="D153" s="28" t="s">
        <v>175</v>
      </c>
      <c r="E153" s="41">
        <v>84905</v>
      </c>
      <c r="F153" s="41"/>
      <c r="G153" s="41"/>
      <c r="H153" s="41">
        <v>9089</v>
      </c>
      <c r="I153" s="41"/>
      <c r="J153" s="41"/>
      <c r="K153" s="134">
        <f t="shared" si="30"/>
        <v>10.704905482598198</v>
      </c>
      <c r="L153" s="41">
        <f t="shared" si="33"/>
        <v>30069</v>
      </c>
      <c r="M153" s="41">
        <v>30069</v>
      </c>
      <c r="N153" s="43"/>
      <c r="O153" s="43"/>
      <c r="P153" s="43"/>
      <c r="Q153" s="41">
        <f t="shared" si="34"/>
        <v>0</v>
      </c>
      <c r="R153" s="79"/>
      <c r="S153" s="43"/>
      <c r="T153" s="43"/>
      <c r="U153" s="43"/>
      <c r="V153" s="133">
        <f t="shared" si="32"/>
        <v>0</v>
      </c>
      <c r="W153" s="41">
        <f t="shared" si="21"/>
        <v>9089</v>
      </c>
      <c r="X153" s="107"/>
    </row>
    <row r="154" spans="1:24" s="26" customFormat="1" ht="42.75">
      <c r="A154" s="24"/>
      <c r="B154" s="31"/>
      <c r="C154" s="31"/>
      <c r="D154" s="32" t="s">
        <v>224</v>
      </c>
      <c r="E154" s="43">
        <f>SUM(E155:E158)</f>
        <v>4278210</v>
      </c>
      <c r="F154" s="43">
        <f aca="true" t="shared" si="35" ref="F154:W154">SUM(F155:F158)</f>
        <v>2986650</v>
      </c>
      <c r="G154" s="43">
        <f t="shared" si="35"/>
        <v>167498</v>
      </c>
      <c r="H154" s="43">
        <f t="shared" si="35"/>
        <v>979810.16</v>
      </c>
      <c r="I154" s="43">
        <f t="shared" si="35"/>
        <v>711080.68</v>
      </c>
      <c r="J154" s="43">
        <f t="shared" si="35"/>
        <v>54249.82</v>
      </c>
      <c r="K154" s="133">
        <f t="shared" si="30"/>
        <v>22.902339062364867</v>
      </c>
      <c r="L154" s="43">
        <f t="shared" si="35"/>
        <v>1123000</v>
      </c>
      <c r="M154" s="43">
        <f t="shared" si="35"/>
        <v>725000</v>
      </c>
      <c r="N154" s="43">
        <f t="shared" si="35"/>
        <v>0</v>
      </c>
      <c r="O154" s="43">
        <f t="shared" si="35"/>
        <v>0</v>
      </c>
      <c r="P154" s="43">
        <f t="shared" si="35"/>
        <v>398000</v>
      </c>
      <c r="Q154" s="43">
        <f t="shared" si="35"/>
        <v>33500</v>
      </c>
      <c r="R154" s="43">
        <f t="shared" si="35"/>
        <v>0</v>
      </c>
      <c r="S154" s="43">
        <f t="shared" si="35"/>
        <v>0</v>
      </c>
      <c r="T154" s="43">
        <f t="shared" si="35"/>
        <v>0</v>
      </c>
      <c r="U154" s="43">
        <f t="shared" si="35"/>
        <v>33500</v>
      </c>
      <c r="V154" s="133">
        <f t="shared" si="32"/>
        <v>2.983081032947462</v>
      </c>
      <c r="W154" s="43">
        <f t="shared" si="35"/>
        <v>1013310.16</v>
      </c>
      <c r="X154" s="163"/>
    </row>
    <row r="155" spans="1:24" s="26" customFormat="1" ht="15">
      <c r="A155" s="24"/>
      <c r="B155" s="27" t="s">
        <v>11</v>
      </c>
      <c r="C155" s="27" t="s">
        <v>9</v>
      </c>
      <c r="D155" s="28" t="s">
        <v>15</v>
      </c>
      <c r="E155" s="41">
        <f>4520200-427090</f>
        <v>4093110</v>
      </c>
      <c r="F155" s="41">
        <v>2986650</v>
      </c>
      <c r="G155" s="41">
        <v>167498</v>
      </c>
      <c r="H155" s="41">
        <v>964710.16</v>
      </c>
      <c r="I155" s="41">
        <v>711080.68</v>
      </c>
      <c r="J155" s="41">
        <v>54249.82</v>
      </c>
      <c r="K155" s="134">
        <f t="shared" si="30"/>
        <v>23.56912372254838</v>
      </c>
      <c r="L155" s="41">
        <f>M155+P155</f>
        <v>250000</v>
      </c>
      <c r="M155" s="41"/>
      <c r="N155" s="41"/>
      <c r="O155" s="41"/>
      <c r="P155" s="41">
        <v>250000</v>
      </c>
      <c r="Q155" s="41">
        <f>R155+U155</f>
        <v>30000</v>
      </c>
      <c r="R155" s="41"/>
      <c r="S155" s="41"/>
      <c r="T155" s="41"/>
      <c r="U155" s="41">
        <v>30000</v>
      </c>
      <c r="V155" s="134">
        <f t="shared" si="32"/>
        <v>12</v>
      </c>
      <c r="W155" s="41">
        <f t="shared" si="21"/>
        <v>994710.16</v>
      </c>
      <c r="X155" s="163"/>
    </row>
    <row r="156" spans="1:24" s="26" customFormat="1" ht="15">
      <c r="A156" s="24"/>
      <c r="B156" s="27" t="s">
        <v>164</v>
      </c>
      <c r="C156" s="27" t="s">
        <v>218</v>
      </c>
      <c r="D156" s="28" t="s">
        <v>165</v>
      </c>
      <c r="E156" s="43"/>
      <c r="F156" s="43"/>
      <c r="G156" s="43"/>
      <c r="H156" s="43"/>
      <c r="I156" s="43"/>
      <c r="J156" s="43"/>
      <c r="K156" s="133"/>
      <c r="L156" s="41">
        <f>M156+P156</f>
        <v>148000</v>
      </c>
      <c r="M156" s="41"/>
      <c r="N156" s="41"/>
      <c r="O156" s="41"/>
      <c r="P156" s="41">
        <v>148000</v>
      </c>
      <c r="Q156" s="41">
        <f>R156+U156</f>
        <v>3500</v>
      </c>
      <c r="R156" s="41"/>
      <c r="S156" s="41"/>
      <c r="T156" s="41"/>
      <c r="U156" s="41">
        <v>3500</v>
      </c>
      <c r="V156" s="134">
        <f t="shared" si="32"/>
        <v>2.364864864864865</v>
      </c>
      <c r="W156" s="41">
        <f>H156+Q156</f>
        <v>3500</v>
      </c>
      <c r="X156" s="163"/>
    </row>
    <row r="157" spans="1:24" s="26" customFormat="1" ht="60">
      <c r="A157" s="24"/>
      <c r="B157" s="27" t="s">
        <v>57</v>
      </c>
      <c r="C157" s="27" t="s">
        <v>192</v>
      </c>
      <c r="D157" s="28" t="s">
        <v>58</v>
      </c>
      <c r="E157" s="43"/>
      <c r="F157" s="43"/>
      <c r="G157" s="43"/>
      <c r="H157" s="43"/>
      <c r="I157" s="43"/>
      <c r="J157" s="43"/>
      <c r="K157" s="133"/>
      <c r="L157" s="41">
        <f>M157+P157</f>
        <v>725000</v>
      </c>
      <c r="M157" s="41">
        <v>725000</v>
      </c>
      <c r="N157" s="43"/>
      <c r="O157" s="43"/>
      <c r="P157" s="79"/>
      <c r="Q157" s="41">
        <f>R157+U157</f>
        <v>0</v>
      </c>
      <c r="R157" s="79"/>
      <c r="S157" s="79"/>
      <c r="T157" s="79"/>
      <c r="U157" s="79"/>
      <c r="V157" s="135">
        <f t="shared" si="32"/>
        <v>0</v>
      </c>
      <c r="W157" s="41">
        <f>H157+Q157</f>
        <v>0</v>
      </c>
      <c r="X157" s="163"/>
    </row>
    <row r="158" spans="1:24" s="26" customFormat="1" ht="15">
      <c r="A158" s="24"/>
      <c r="B158" s="27" t="s">
        <v>59</v>
      </c>
      <c r="C158" s="27" t="s">
        <v>192</v>
      </c>
      <c r="D158" s="28" t="s">
        <v>25</v>
      </c>
      <c r="E158" s="41">
        <f>170000+15100</f>
        <v>185100</v>
      </c>
      <c r="F158" s="43"/>
      <c r="G158" s="43"/>
      <c r="H158" s="79">
        <v>15100</v>
      </c>
      <c r="I158" s="79"/>
      <c r="J158" s="79"/>
      <c r="K158" s="135">
        <f t="shared" si="30"/>
        <v>8.157752566180443</v>
      </c>
      <c r="L158" s="41">
        <f>M158+P158</f>
        <v>0</v>
      </c>
      <c r="M158" s="43"/>
      <c r="N158" s="43"/>
      <c r="O158" s="43"/>
      <c r="P158" s="43"/>
      <c r="Q158" s="41">
        <f>R158+U158</f>
        <v>0</v>
      </c>
      <c r="R158" s="43"/>
      <c r="S158" s="43"/>
      <c r="T158" s="43"/>
      <c r="U158" s="43"/>
      <c r="V158" s="133"/>
      <c r="W158" s="41">
        <f>H158+Q158</f>
        <v>15100</v>
      </c>
      <c r="X158" s="163"/>
    </row>
    <row r="159" spans="1:24" s="26" customFormat="1" ht="57">
      <c r="A159" s="24"/>
      <c r="B159" s="27"/>
      <c r="C159" s="44"/>
      <c r="D159" s="32" t="s">
        <v>301</v>
      </c>
      <c r="E159" s="43">
        <f aca="true" t="shared" si="36" ref="E159:W159">E160</f>
        <v>648620</v>
      </c>
      <c r="F159" s="43">
        <f t="shared" si="36"/>
        <v>433970</v>
      </c>
      <c r="G159" s="43">
        <f t="shared" si="36"/>
        <v>34232</v>
      </c>
      <c r="H159" s="43">
        <f t="shared" si="36"/>
        <v>120097.57</v>
      </c>
      <c r="I159" s="43">
        <f t="shared" si="36"/>
        <v>76119.23</v>
      </c>
      <c r="J159" s="43">
        <f t="shared" si="36"/>
        <v>8879.45</v>
      </c>
      <c r="K159" s="133">
        <f t="shared" si="30"/>
        <v>18.515859825475626</v>
      </c>
      <c r="L159" s="43">
        <f t="shared" si="36"/>
        <v>134100</v>
      </c>
      <c r="M159" s="43">
        <f t="shared" si="36"/>
        <v>0</v>
      </c>
      <c r="N159" s="43">
        <f t="shared" si="36"/>
        <v>0</v>
      </c>
      <c r="O159" s="43">
        <f t="shared" si="36"/>
        <v>0</v>
      </c>
      <c r="P159" s="43">
        <f t="shared" si="36"/>
        <v>134100</v>
      </c>
      <c r="Q159" s="43">
        <f t="shared" si="36"/>
        <v>115441</v>
      </c>
      <c r="R159" s="43">
        <f t="shared" si="36"/>
        <v>0</v>
      </c>
      <c r="S159" s="43">
        <f t="shared" si="36"/>
        <v>0</v>
      </c>
      <c r="T159" s="43">
        <f t="shared" si="36"/>
        <v>0</v>
      </c>
      <c r="U159" s="43">
        <f t="shared" si="36"/>
        <v>115441</v>
      </c>
      <c r="V159" s="133">
        <f t="shared" si="32"/>
        <v>86.08575689783744</v>
      </c>
      <c r="W159" s="43">
        <f t="shared" si="36"/>
        <v>235538.57</v>
      </c>
      <c r="X159" s="163"/>
    </row>
    <row r="160" spans="1:24" s="26" customFormat="1" ht="15">
      <c r="A160" s="24"/>
      <c r="B160" s="27" t="s">
        <v>11</v>
      </c>
      <c r="C160" s="27" t="s">
        <v>9</v>
      </c>
      <c r="D160" s="28" t="s">
        <v>15</v>
      </c>
      <c r="E160" s="41">
        <f>710680-62060</f>
        <v>648620</v>
      </c>
      <c r="F160" s="41">
        <v>433970</v>
      </c>
      <c r="G160" s="41">
        <v>34232</v>
      </c>
      <c r="H160" s="41">
        <v>120097.57</v>
      </c>
      <c r="I160" s="41">
        <v>76119.23</v>
      </c>
      <c r="J160" s="41">
        <v>8879.45</v>
      </c>
      <c r="K160" s="134">
        <f t="shared" si="30"/>
        <v>18.515859825475626</v>
      </c>
      <c r="L160" s="41">
        <f>M160+P160</f>
        <v>134100</v>
      </c>
      <c r="M160" s="41"/>
      <c r="N160" s="41"/>
      <c r="O160" s="41"/>
      <c r="P160" s="41">
        <v>134100</v>
      </c>
      <c r="Q160" s="41">
        <f>R160+U160</f>
        <v>115441</v>
      </c>
      <c r="R160" s="41"/>
      <c r="S160" s="41"/>
      <c r="T160" s="41"/>
      <c r="U160" s="41">
        <v>115441</v>
      </c>
      <c r="V160" s="134">
        <f t="shared" si="32"/>
        <v>86.08575689783744</v>
      </c>
      <c r="W160" s="41">
        <f>H160+Q160</f>
        <v>235538.57</v>
      </c>
      <c r="X160" s="163"/>
    </row>
    <row r="161" spans="1:24" s="26" customFormat="1" ht="42.75">
      <c r="A161" s="24"/>
      <c r="B161" s="27"/>
      <c r="C161" s="44"/>
      <c r="D161" s="32" t="s">
        <v>228</v>
      </c>
      <c r="E161" s="43">
        <f aca="true" t="shared" si="37" ref="E161:J161">E162+E163</f>
        <v>1941570</v>
      </c>
      <c r="F161" s="43">
        <f t="shared" si="37"/>
        <v>1146200</v>
      </c>
      <c r="G161" s="43">
        <f t="shared" si="37"/>
        <v>83538</v>
      </c>
      <c r="H161" s="43">
        <f t="shared" si="37"/>
        <v>372950.54</v>
      </c>
      <c r="I161" s="43">
        <f t="shared" si="37"/>
        <v>253059.74</v>
      </c>
      <c r="J161" s="43">
        <f t="shared" si="37"/>
        <v>30665.42</v>
      </c>
      <c r="K161" s="133">
        <f t="shared" si="30"/>
        <v>19.20870944647888</v>
      </c>
      <c r="L161" s="43">
        <f aca="true" t="shared" si="38" ref="L161:U161">L162+L163</f>
        <v>30000</v>
      </c>
      <c r="M161" s="43">
        <f t="shared" si="38"/>
        <v>0</v>
      </c>
      <c r="N161" s="43">
        <f t="shared" si="38"/>
        <v>0</v>
      </c>
      <c r="O161" s="43">
        <f t="shared" si="38"/>
        <v>0</v>
      </c>
      <c r="P161" s="43">
        <f t="shared" si="38"/>
        <v>30000</v>
      </c>
      <c r="Q161" s="43">
        <f>Q162+Q163</f>
        <v>29955.2</v>
      </c>
      <c r="R161" s="43">
        <f t="shared" si="38"/>
        <v>0</v>
      </c>
      <c r="S161" s="43">
        <f t="shared" si="38"/>
        <v>0</v>
      </c>
      <c r="T161" s="43">
        <f t="shared" si="38"/>
        <v>0</v>
      </c>
      <c r="U161" s="43">
        <f t="shared" si="38"/>
        <v>29955.2</v>
      </c>
      <c r="V161" s="133">
        <f t="shared" si="32"/>
        <v>99.85066666666667</v>
      </c>
      <c r="W161" s="43">
        <f>W162+W163</f>
        <v>402905.74</v>
      </c>
      <c r="X161" s="163"/>
    </row>
    <row r="162" spans="1:24" s="26" customFormat="1" ht="15">
      <c r="A162" s="24"/>
      <c r="B162" s="27" t="s">
        <v>11</v>
      </c>
      <c r="C162" s="27" t="s">
        <v>9</v>
      </c>
      <c r="D162" s="28" t="s">
        <v>15</v>
      </c>
      <c r="E162" s="41">
        <f>1751970-160400</f>
        <v>1591570</v>
      </c>
      <c r="F162" s="41">
        <f>1143630+2570</f>
        <v>1146200</v>
      </c>
      <c r="G162" s="41">
        <v>83538</v>
      </c>
      <c r="H162" s="41">
        <v>372950.54</v>
      </c>
      <c r="I162" s="41">
        <v>253059.74</v>
      </c>
      <c r="J162" s="41">
        <v>30665.42</v>
      </c>
      <c r="K162" s="134">
        <f t="shared" si="30"/>
        <v>23.432870687434416</v>
      </c>
      <c r="L162" s="41">
        <f>M162+P162</f>
        <v>30000</v>
      </c>
      <c r="M162" s="41"/>
      <c r="N162" s="41"/>
      <c r="O162" s="41"/>
      <c r="P162" s="41">
        <v>30000</v>
      </c>
      <c r="Q162" s="41">
        <f>R162+U162</f>
        <v>29955.2</v>
      </c>
      <c r="R162" s="41"/>
      <c r="S162" s="41"/>
      <c r="T162" s="41"/>
      <c r="U162" s="41">
        <v>29955.2</v>
      </c>
      <c r="V162" s="134">
        <f t="shared" si="32"/>
        <v>99.85066666666667</v>
      </c>
      <c r="W162" s="41">
        <f>H162+Q162</f>
        <v>402905.74</v>
      </c>
      <c r="X162" s="163"/>
    </row>
    <row r="163" spans="1:24" s="26" customFormat="1" ht="15">
      <c r="A163" s="24"/>
      <c r="B163" s="27" t="s">
        <v>59</v>
      </c>
      <c r="C163" s="27" t="s">
        <v>192</v>
      </c>
      <c r="D163" s="28" t="s">
        <v>25</v>
      </c>
      <c r="E163" s="41">
        <v>350000</v>
      </c>
      <c r="F163" s="43"/>
      <c r="G163" s="43"/>
      <c r="H163" s="79"/>
      <c r="I163" s="79"/>
      <c r="J163" s="79"/>
      <c r="K163" s="135">
        <f t="shared" si="30"/>
        <v>0</v>
      </c>
      <c r="L163" s="41">
        <f>M163+P163</f>
        <v>0</v>
      </c>
      <c r="M163" s="43"/>
      <c r="N163" s="43"/>
      <c r="O163" s="43"/>
      <c r="P163" s="43"/>
      <c r="Q163" s="41">
        <f>R163+U163</f>
        <v>0</v>
      </c>
      <c r="R163" s="43"/>
      <c r="S163" s="43"/>
      <c r="T163" s="43"/>
      <c r="U163" s="43"/>
      <c r="V163" s="133"/>
      <c r="W163" s="41">
        <f>H163+Q163</f>
        <v>0</v>
      </c>
      <c r="X163" s="163"/>
    </row>
    <row r="164" spans="1:24" s="26" customFormat="1" ht="42.75">
      <c r="A164" s="24"/>
      <c r="B164" s="31"/>
      <c r="C164" s="31"/>
      <c r="D164" s="32" t="s">
        <v>225</v>
      </c>
      <c r="E164" s="43">
        <f>SUM(E165:E166)</f>
        <v>5410394.54</v>
      </c>
      <c r="F164" s="43">
        <f aca="true" t="shared" si="39" ref="F164:W164">SUM(F165:F166)</f>
        <v>3815890</v>
      </c>
      <c r="G164" s="43">
        <f t="shared" si="39"/>
        <v>191695</v>
      </c>
      <c r="H164" s="43">
        <f t="shared" si="39"/>
        <v>1560124.25</v>
      </c>
      <c r="I164" s="43">
        <f t="shared" si="39"/>
        <v>1168726.62</v>
      </c>
      <c r="J164" s="43">
        <f t="shared" si="39"/>
        <v>62191.9</v>
      </c>
      <c r="K164" s="133">
        <f t="shared" si="30"/>
        <v>28.83568358029579</v>
      </c>
      <c r="L164" s="43">
        <f t="shared" si="39"/>
        <v>40000</v>
      </c>
      <c r="M164" s="43">
        <f t="shared" si="39"/>
        <v>0</v>
      </c>
      <c r="N164" s="43">
        <f t="shared" si="39"/>
        <v>0</v>
      </c>
      <c r="O164" s="43">
        <f t="shared" si="39"/>
        <v>0</v>
      </c>
      <c r="P164" s="43">
        <f t="shared" si="39"/>
        <v>40000</v>
      </c>
      <c r="Q164" s="43">
        <f t="shared" si="39"/>
        <v>35904</v>
      </c>
      <c r="R164" s="43">
        <f t="shared" si="39"/>
        <v>0</v>
      </c>
      <c r="S164" s="43">
        <f t="shared" si="39"/>
        <v>0</v>
      </c>
      <c r="T164" s="43">
        <f t="shared" si="39"/>
        <v>0</v>
      </c>
      <c r="U164" s="43">
        <f t="shared" si="39"/>
        <v>35904</v>
      </c>
      <c r="V164" s="133">
        <f t="shared" si="32"/>
        <v>89.75999999999999</v>
      </c>
      <c r="W164" s="43">
        <f t="shared" si="39"/>
        <v>1596028.25</v>
      </c>
      <c r="X164" s="163"/>
    </row>
    <row r="165" spans="1:24" s="26" customFormat="1" ht="15">
      <c r="A165" s="24"/>
      <c r="B165" s="27" t="s">
        <v>11</v>
      </c>
      <c r="C165" s="27" t="s">
        <v>9</v>
      </c>
      <c r="D165" s="28" t="s">
        <v>96</v>
      </c>
      <c r="E165" s="41">
        <f>5498000-286300</f>
        <v>5211700</v>
      </c>
      <c r="F165" s="41">
        <f>3629280+186610</f>
        <v>3815890</v>
      </c>
      <c r="G165" s="41">
        <v>191695</v>
      </c>
      <c r="H165" s="41">
        <v>1560124.25</v>
      </c>
      <c r="I165" s="41">
        <v>1168726.62</v>
      </c>
      <c r="J165" s="41">
        <v>62191.9</v>
      </c>
      <c r="K165" s="134">
        <f t="shared" si="30"/>
        <v>29.935035592992687</v>
      </c>
      <c r="L165" s="41">
        <f>M165+P165</f>
        <v>40000</v>
      </c>
      <c r="M165" s="41"/>
      <c r="N165" s="41"/>
      <c r="O165" s="41"/>
      <c r="P165" s="41">
        <v>40000</v>
      </c>
      <c r="Q165" s="41">
        <f>R165+U165</f>
        <v>35904</v>
      </c>
      <c r="R165" s="41"/>
      <c r="S165" s="41"/>
      <c r="T165" s="41"/>
      <c r="U165" s="41">
        <v>35904</v>
      </c>
      <c r="V165" s="134">
        <f t="shared" si="32"/>
        <v>89.75999999999999</v>
      </c>
      <c r="W165" s="41">
        <f>H165+Q165</f>
        <v>1596028.25</v>
      </c>
      <c r="X165" s="163"/>
    </row>
    <row r="166" spans="1:24" s="26" customFormat="1" ht="15">
      <c r="A166" s="24"/>
      <c r="B166" s="27" t="s">
        <v>329</v>
      </c>
      <c r="C166" s="27" t="s">
        <v>330</v>
      </c>
      <c r="D166" s="28" t="s">
        <v>331</v>
      </c>
      <c r="E166" s="41">
        <v>198694.54</v>
      </c>
      <c r="F166" s="41"/>
      <c r="G166" s="41"/>
      <c r="H166" s="41"/>
      <c r="I166" s="41"/>
      <c r="J166" s="41"/>
      <c r="K166" s="134">
        <f t="shared" si="30"/>
        <v>0</v>
      </c>
      <c r="L166" s="41">
        <f>M166+P166</f>
        <v>0</v>
      </c>
      <c r="M166" s="41"/>
      <c r="N166" s="41"/>
      <c r="O166" s="41"/>
      <c r="P166" s="41"/>
      <c r="Q166" s="41">
        <f>R166+U166</f>
        <v>0</v>
      </c>
      <c r="R166" s="41"/>
      <c r="S166" s="41"/>
      <c r="T166" s="41"/>
      <c r="U166" s="41"/>
      <c r="V166" s="134"/>
      <c r="W166" s="41">
        <f>H166+Q166</f>
        <v>0</v>
      </c>
      <c r="X166" s="163"/>
    </row>
    <row r="167" spans="1:24" s="26" customFormat="1" ht="71.25">
      <c r="A167" s="24"/>
      <c r="B167" s="31"/>
      <c r="C167" s="31"/>
      <c r="D167" s="32" t="s">
        <v>226</v>
      </c>
      <c r="E167" s="43">
        <f>SUM(E168:E171)</f>
        <v>58047694.46</v>
      </c>
      <c r="F167" s="43">
        <f aca="true" t="shared" si="40" ref="F167:W167">SUM(F168:F171)</f>
        <v>0</v>
      </c>
      <c r="G167" s="43">
        <f t="shared" si="40"/>
        <v>0</v>
      </c>
      <c r="H167" s="43">
        <f t="shared" si="40"/>
        <v>14127335</v>
      </c>
      <c r="I167" s="43">
        <f t="shared" si="40"/>
        <v>0</v>
      </c>
      <c r="J167" s="43">
        <f t="shared" si="40"/>
        <v>0</v>
      </c>
      <c r="K167" s="133">
        <f t="shared" si="30"/>
        <v>24.337460998963508</v>
      </c>
      <c r="L167" s="43">
        <f t="shared" si="40"/>
        <v>500000</v>
      </c>
      <c r="M167" s="43">
        <f t="shared" si="40"/>
        <v>0</v>
      </c>
      <c r="N167" s="43">
        <f t="shared" si="40"/>
        <v>0</v>
      </c>
      <c r="O167" s="43">
        <f t="shared" si="40"/>
        <v>0</v>
      </c>
      <c r="P167" s="43">
        <f t="shared" si="40"/>
        <v>500000</v>
      </c>
      <c r="Q167" s="43">
        <f t="shared" si="40"/>
        <v>0</v>
      </c>
      <c r="R167" s="43">
        <f t="shared" si="40"/>
        <v>0</v>
      </c>
      <c r="S167" s="43">
        <f t="shared" si="40"/>
        <v>0</v>
      </c>
      <c r="T167" s="43">
        <f t="shared" si="40"/>
        <v>0</v>
      </c>
      <c r="U167" s="43">
        <f t="shared" si="40"/>
        <v>0</v>
      </c>
      <c r="V167" s="133"/>
      <c r="W167" s="43">
        <f t="shared" si="40"/>
        <v>14127335</v>
      </c>
      <c r="X167" s="163"/>
    </row>
    <row r="168" spans="1:24" s="26" customFormat="1" ht="15">
      <c r="A168" s="24"/>
      <c r="B168" s="27" t="s">
        <v>176</v>
      </c>
      <c r="C168" s="27" t="s">
        <v>192</v>
      </c>
      <c r="D168" s="28" t="s">
        <v>177</v>
      </c>
      <c r="E168" s="41">
        <f>9833216.06-80000-23542.6-134100-100000-670100-360000-3000000-1811608+12618382-254670-4690000-2263140-130000-7200000-420000</f>
        <v>1314437.460000001</v>
      </c>
      <c r="F168" s="43"/>
      <c r="G168" s="43"/>
      <c r="H168" s="43"/>
      <c r="I168" s="43"/>
      <c r="J168" s="43"/>
      <c r="K168" s="133">
        <f t="shared" si="30"/>
        <v>0</v>
      </c>
      <c r="L168" s="41">
        <f>M168+P168</f>
        <v>0</v>
      </c>
      <c r="M168" s="43"/>
      <c r="N168" s="43"/>
      <c r="O168" s="43"/>
      <c r="P168" s="43"/>
      <c r="Q168" s="41">
        <f>R168+U168</f>
        <v>0</v>
      </c>
      <c r="R168" s="43"/>
      <c r="S168" s="43"/>
      <c r="T168" s="43"/>
      <c r="U168" s="43"/>
      <c r="V168" s="133"/>
      <c r="W168" s="41">
        <f>H168+Q168</f>
        <v>0</v>
      </c>
      <c r="X168" s="163"/>
    </row>
    <row r="169" spans="1:24" s="26" customFormat="1" ht="15">
      <c r="A169" s="24"/>
      <c r="B169" s="27" t="s">
        <v>230</v>
      </c>
      <c r="C169" s="27" t="s">
        <v>227</v>
      </c>
      <c r="D169" s="28" t="s">
        <v>231</v>
      </c>
      <c r="E169" s="41">
        <f>55480900+920400</f>
        <v>56401300</v>
      </c>
      <c r="F169" s="43"/>
      <c r="G169" s="43"/>
      <c r="H169" s="79">
        <v>14100300</v>
      </c>
      <c r="I169" s="79"/>
      <c r="J169" s="79"/>
      <c r="K169" s="135">
        <f t="shared" si="30"/>
        <v>24.999955674780548</v>
      </c>
      <c r="L169" s="41">
        <f>M169+P169</f>
        <v>0</v>
      </c>
      <c r="M169" s="43"/>
      <c r="N169" s="43"/>
      <c r="O169" s="43"/>
      <c r="P169" s="43"/>
      <c r="Q169" s="41">
        <f>R169+U169</f>
        <v>0</v>
      </c>
      <c r="R169" s="43"/>
      <c r="S169" s="43"/>
      <c r="T169" s="43"/>
      <c r="U169" s="43"/>
      <c r="V169" s="133"/>
      <c r="W169" s="41">
        <f>H169+Q169</f>
        <v>14100300</v>
      </c>
      <c r="X169" s="163"/>
    </row>
    <row r="170" spans="1:24" s="26" customFormat="1" ht="15">
      <c r="A170" s="24"/>
      <c r="B170" s="27" t="s">
        <v>232</v>
      </c>
      <c r="C170" s="27" t="s">
        <v>227</v>
      </c>
      <c r="D170" s="28" t="s">
        <v>238</v>
      </c>
      <c r="E170" s="41">
        <f>164814-22857</f>
        <v>141957</v>
      </c>
      <c r="F170" s="43"/>
      <c r="G170" s="43"/>
      <c r="H170" s="79">
        <v>27035</v>
      </c>
      <c r="I170" s="79"/>
      <c r="J170" s="79"/>
      <c r="K170" s="135">
        <f t="shared" si="30"/>
        <v>19.04449939066055</v>
      </c>
      <c r="L170" s="41">
        <f>M170+P170</f>
        <v>0</v>
      </c>
      <c r="M170" s="43"/>
      <c r="N170" s="43"/>
      <c r="O170" s="43"/>
      <c r="P170" s="43"/>
      <c r="Q170" s="41">
        <f>R170+U170</f>
        <v>0</v>
      </c>
      <c r="R170" s="43"/>
      <c r="S170" s="43"/>
      <c r="T170" s="43"/>
      <c r="U170" s="43"/>
      <c r="V170" s="133"/>
      <c r="W170" s="41">
        <f>H170+Q170</f>
        <v>27035</v>
      </c>
      <c r="X170" s="163"/>
    </row>
    <row r="171" spans="1:24" s="26" customFormat="1" ht="15">
      <c r="A171" s="24"/>
      <c r="B171" s="27" t="s">
        <v>178</v>
      </c>
      <c r="C171" s="27" t="s">
        <v>227</v>
      </c>
      <c r="D171" s="39" t="s">
        <v>179</v>
      </c>
      <c r="E171" s="41">
        <v>190000</v>
      </c>
      <c r="F171" s="43"/>
      <c r="G171" s="43"/>
      <c r="H171" s="79"/>
      <c r="I171" s="79"/>
      <c r="J171" s="79"/>
      <c r="K171" s="135">
        <f t="shared" si="30"/>
        <v>0</v>
      </c>
      <c r="L171" s="41">
        <f>M171+P171</f>
        <v>500000</v>
      </c>
      <c r="M171" s="43"/>
      <c r="N171" s="43"/>
      <c r="O171" s="43"/>
      <c r="P171" s="41">
        <v>500000</v>
      </c>
      <c r="Q171" s="41">
        <f>R171+U171</f>
        <v>0</v>
      </c>
      <c r="R171" s="41"/>
      <c r="S171" s="41"/>
      <c r="T171" s="41"/>
      <c r="U171" s="41"/>
      <c r="V171" s="134">
        <f t="shared" si="32"/>
        <v>0</v>
      </c>
      <c r="W171" s="41">
        <f>H171+Q171</f>
        <v>0</v>
      </c>
      <c r="X171" s="163"/>
    </row>
    <row r="172" spans="1:24" s="26" customFormat="1" ht="15">
      <c r="A172" s="24"/>
      <c r="B172" s="31"/>
      <c r="C172" s="31"/>
      <c r="D172" s="32" t="s">
        <v>180</v>
      </c>
      <c r="E172" s="43">
        <f>E14+E44+E62+E72+E112+E115+E121+E141+E145+E154+E159+E161+E164+E167</f>
        <v>1598898170.79</v>
      </c>
      <c r="F172" s="43">
        <f aca="true" t="shared" si="41" ref="F172:U172">F14+F44+F62+F72+F112+F115+F121+F141+F145+F154+F159+F161+F164+F167</f>
        <v>451073009</v>
      </c>
      <c r="G172" s="43">
        <f t="shared" si="41"/>
        <v>89331682</v>
      </c>
      <c r="H172" s="43">
        <f t="shared" si="41"/>
        <v>394063361.45000005</v>
      </c>
      <c r="I172" s="43">
        <f t="shared" si="41"/>
        <v>99745407.48000003</v>
      </c>
      <c r="J172" s="43">
        <f t="shared" si="41"/>
        <v>25949994.93</v>
      </c>
      <c r="K172" s="133">
        <f t="shared" si="30"/>
        <v>24.645932345728884</v>
      </c>
      <c r="L172" s="43">
        <f t="shared" si="41"/>
        <v>377705163.08</v>
      </c>
      <c r="M172" s="43">
        <f t="shared" si="41"/>
        <v>54115841</v>
      </c>
      <c r="N172" s="43">
        <f t="shared" si="41"/>
        <v>11367440</v>
      </c>
      <c r="O172" s="43">
        <f t="shared" si="41"/>
        <v>2168292</v>
      </c>
      <c r="P172" s="43">
        <f t="shared" si="41"/>
        <v>323589322.08</v>
      </c>
      <c r="Q172" s="43">
        <f>Q14+Q44+Q62+Q72+Q112+Q115+Q121+Q141+Q145+Q154+Q159+Q161+Q164+Q167</f>
        <v>33964167.35000001</v>
      </c>
      <c r="R172" s="43">
        <f t="shared" si="41"/>
        <v>11486280.020000001</v>
      </c>
      <c r="S172" s="43">
        <f t="shared" si="41"/>
        <v>2291565.79</v>
      </c>
      <c r="T172" s="43">
        <f t="shared" si="41"/>
        <v>502331.68000000005</v>
      </c>
      <c r="U172" s="43">
        <f t="shared" si="41"/>
        <v>22477887.33</v>
      </c>
      <c r="V172" s="133">
        <f t="shared" si="32"/>
        <v>8.992243334202508</v>
      </c>
      <c r="W172" s="43">
        <f>W14+W44+W62+W72+W112+W115+W121+W141+W145+W154+W159+W161+W164+W167</f>
        <v>428027528.8000001</v>
      </c>
      <c r="X172" s="163"/>
    </row>
    <row r="173" spans="1:24" s="16" customFormat="1" ht="12.75">
      <c r="A173" s="17"/>
      <c r="B173" s="17"/>
      <c r="C173" s="17"/>
      <c r="D173" s="17"/>
      <c r="E173" s="45"/>
      <c r="F173" s="45"/>
      <c r="G173" s="45"/>
      <c r="H173" s="45"/>
      <c r="I173" s="45"/>
      <c r="J173" s="45"/>
      <c r="K173" s="139"/>
      <c r="L173" s="45"/>
      <c r="M173" s="45"/>
      <c r="N173" s="45"/>
      <c r="O173" s="45"/>
      <c r="P173" s="45"/>
      <c r="Q173" s="45"/>
      <c r="R173" s="45"/>
      <c r="S173" s="45"/>
      <c r="T173" s="45"/>
      <c r="U173" s="45"/>
      <c r="V173" s="139"/>
      <c r="W173" s="45"/>
      <c r="X173" s="163"/>
    </row>
    <row r="174" spans="1:24" s="16" customFormat="1" ht="12.75">
      <c r="A174" s="17"/>
      <c r="B174" s="17"/>
      <c r="C174" s="17"/>
      <c r="D174" s="17"/>
      <c r="E174" s="45"/>
      <c r="F174" s="45"/>
      <c r="G174" s="45"/>
      <c r="H174" s="45"/>
      <c r="I174" s="45"/>
      <c r="J174" s="45"/>
      <c r="K174" s="139"/>
      <c r="L174" s="45"/>
      <c r="M174" s="45"/>
      <c r="N174" s="45"/>
      <c r="O174" s="45"/>
      <c r="P174" s="45"/>
      <c r="Q174" s="45"/>
      <c r="R174" s="45"/>
      <c r="S174" s="45"/>
      <c r="T174" s="45"/>
      <c r="U174" s="45"/>
      <c r="V174" s="139"/>
      <c r="W174" s="45"/>
      <c r="X174" s="163"/>
    </row>
    <row r="175" spans="1:24" s="16" customFormat="1" ht="18" customHeight="1">
      <c r="A175" s="17"/>
      <c r="B175" s="17"/>
      <c r="C175" s="17"/>
      <c r="D175" s="17"/>
      <c r="E175" s="45"/>
      <c r="F175" s="45"/>
      <c r="G175" s="45"/>
      <c r="H175" s="45"/>
      <c r="I175" s="45"/>
      <c r="J175" s="45"/>
      <c r="K175" s="139"/>
      <c r="L175" s="45"/>
      <c r="M175" s="45"/>
      <c r="N175" s="45"/>
      <c r="O175" s="45"/>
      <c r="P175" s="45"/>
      <c r="Q175" s="45"/>
      <c r="R175" s="45"/>
      <c r="S175" s="45"/>
      <c r="T175" s="45"/>
      <c r="U175" s="45"/>
      <c r="V175" s="139"/>
      <c r="W175" s="45"/>
      <c r="X175" s="163"/>
    </row>
    <row r="176" spans="1:24" s="92" customFormat="1" ht="27.75">
      <c r="A176" s="88"/>
      <c r="B176" s="147" t="s">
        <v>242</v>
      </c>
      <c r="C176" s="147"/>
      <c r="D176" s="147"/>
      <c r="E176" s="89"/>
      <c r="F176" s="90"/>
      <c r="G176" s="90"/>
      <c r="H176" s="102"/>
      <c r="I176" s="102"/>
      <c r="J176" s="102"/>
      <c r="K176" s="140"/>
      <c r="L176" s="90"/>
      <c r="M176" s="90"/>
      <c r="N176" s="90"/>
      <c r="O176" s="176" t="s">
        <v>243</v>
      </c>
      <c r="P176" s="176"/>
      <c r="Q176" s="176"/>
      <c r="R176" s="176"/>
      <c r="S176" s="90"/>
      <c r="T176" s="90"/>
      <c r="U176" s="90"/>
      <c r="V176" s="90"/>
      <c r="W176" s="91"/>
      <c r="X176" s="163"/>
    </row>
    <row r="177" spans="1:24" s="11" customFormat="1" ht="23.25">
      <c r="A177" s="8"/>
      <c r="B177" s="164"/>
      <c r="C177" s="164"/>
      <c r="D177" s="9"/>
      <c r="E177" s="10"/>
      <c r="F177" s="10"/>
      <c r="G177" s="10"/>
      <c r="H177" s="10"/>
      <c r="I177" s="10"/>
      <c r="J177" s="97"/>
      <c r="K177" s="124"/>
      <c r="L177" s="10"/>
      <c r="M177" s="10"/>
      <c r="N177" s="146"/>
      <c r="O177" s="146"/>
      <c r="P177" s="146"/>
      <c r="Q177" s="74"/>
      <c r="R177" s="74"/>
      <c r="S177" s="74"/>
      <c r="T177" s="74"/>
      <c r="U177" s="74"/>
      <c r="V177" s="74"/>
      <c r="W177" s="8"/>
      <c r="X177" s="163"/>
    </row>
    <row r="178" spans="1:24" s="51" customFormat="1" ht="26.25">
      <c r="A178" s="50"/>
      <c r="B178" s="11" t="s">
        <v>336</v>
      </c>
      <c r="C178" s="93"/>
      <c r="D178" s="93"/>
      <c r="E178" s="93"/>
      <c r="F178" s="93"/>
      <c r="G178" s="93"/>
      <c r="H178" s="93"/>
      <c r="I178" s="93"/>
      <c r="J178" s="98"/>
      <c r="K178" s="141"/>
      <c r="L178" s="93"/>
      <c r="M178" s="93"/>
      <c r="N178" s="93"/>
      <c r="O178" s="93"/>
      <c r="P178" s="50"/>
      <c r="Q178" s="50"/>
      <c r="R178" s="50"/>
      <c r="S178" s="50"/>
      <c r="T178" s="50"/>
      <c r="U178" s="50"/>
      <c r="V178" s="50"/>
      <c r="W178" s="50"/>
      <c r="X178" s="163"/>
    </row>
    <row r="179" spans="1:24" s="11" customFormat="1" ht="23.25">
      <c r="A179" s="8"/>
      <c r="D179" s="13"/>
      <c r="J179" s="99"/>
      <c r="K179" s="126"/>
      <c r="P179" s="8"/>
      <c r="Q179" s="8"/>
      <c r="R179" s="8"/>
      <c r="S179" s="8"/>
      <c r="T179" s="8"/>
      <c r="U179" s="8"/>
      <c r="V179" s="8"/>
      <c r="W179" s="8"/>
      <c r="X179" s="54"/>
    </row>
    <row r="180" spans="1:24" s="7" customFormat="1" ht="23.25">
      <c r="A180" s="6"/>
      <c r="B180" s="18"/>
      <c r="C180" s="8"/>
      <c r="D180" s="8"/>
      <c r="E180" s="8"/>
      <c r="F180" s="8"/>
      <c r="G180" s="8"/>
      <c r="H180" s="8"/>
      <c r="I180" s="8"/>
      <c r="J180" s="100"/>
      <c r="K180" s="127"/>
      <c r="L180" s="8"/>
      <c r="M180" s="8"/>
      <c r="N180" s="8"/>
      <c r="O180" s="8"/>
      <c r="P180" s="8"/>
      <c r="Q180" s="8"/>
      <c r="R180" s="8"/>
      <c r="S180" s="8"/>
      <c r="T180" s="8"/>
      <c r="U180" s="8"/>
      <c r="V180" s="8"/>
      <c r="W180" s="6"/>
      <c r="X180" s="54"/>
    </row>
    <row r="181" spans="11:24" ht="12.75">
      <c r="K181" s="142"/>
      <c r="X181" s="54"/>
    </row>
    <row r="182" spans="11:24" ht="12.75">
      <c r="K182" s="142"/>
      <c r="X182" s="54"/>
    </row>
    <row r="183" spans="11:24" ht="12.75">
      <c r="K183" s="142"/>
      <c r="X183" s="54"/>
    </row>
    <row r="184" spans="11:24" ht="12.75">
      <c r="K184" s="142"/>
      <c r="X184" s="54"/>
    </row>
    <row r="185" ht="12.75">
      <c r="X185" s="54"/>
    </row>
    <row r="186" ht="12.75">
      <c r="X186" s="54"/>
    </row>
    <row r="187" ht="12.75">
      <c r="X187" s="54"/>
    </row>
    <row r="188" ht="12.75">
      <c r="X188" s="54"/>
    </row>
    <row r="189" ht="12.75">
      <c r="X189" s="54"/>
    </row>
    <row r="190" ht="12.75">
      <c r="X190" s="54"/>
    </row>
    <row r="191" ht="12.75">
      <c r="X191" s="54"/>
    </row>
    <row r="192" ht="12.75">
      <c r="X192" s="54"/>
    </row>
    <row r="193" ht="12.75">
      <c r="X193" s="54"/>
    </row>
    <row r="194" ht="12.75">
      <c r="X194" s="54"/>
    </row>
    <row r="195" ht="12.75">
      <c r="X195" s="54"/>
    </row>
    <row r="196" ht="12.75">
      <c r="X196" s="54"/>
    </row>
    <row r="197" ht="12.75">
      <c r="X197" s="54"/>
    </row>
    <row r="198" ht="12.75">
      <c r="X198" s="54"/>
    </row>
    <row r="199" ht="12.75">
      <c r="X199" s="54"/>
    </row>
    <row r="200" ht="12.75">
      <c r="X200" s="54"/>
    </row>
    <row r="201" ht="12.75">
      <c r="X201" s="54"/>
    </row>
  </sheetData>
  <sheetProtection/>
  <mergeCells count="55">
    <mergeCell ref="R5:W5"/>
    <mergeCell ref="O176:R176"/>
    <mergeCell ref="R1:W1"/>
    <mergeCell ref="R2:W2"/>
    <mergeCell ref="R3:W3"/>
    <mergeCell ref="R4:W4"/>
    <mergeCell ref="L9:U9"/>
    <mergeCell ref="L10:P10"/>
    <mergeCell ref="Q10:U10"/>
    <mergeCell ref="V9:V13"/>
    <mergeCell ref="R11:R13"/>
    <mergeCell ref="S11:T11"/>
    <mergeCell ref="U11:U13"/>
    <mergeCell ref="S12:S13"/>
    <mergeCell ref="T12:T13"/>
    <mergeCell ref="N11:O11"/>
    <mergeCell ref="D9:D13"/>
    <mergeCell ref="F12:F13"/>
    <mergeCell ref="E11:E13"/>
    <mergeCell ref="M11:M13"/>
    <mergeCell ref="G12:G13"/>
    <mergeCell ref="O12:O13"/>
    <mergeCell ref="E10:G10"/>
    <mergeCell ref="H10:J10"/>
    <mergeCell ref="E9:J9"/>
    <mergeCell ref="X1:X29"/>
    <mergeCell ref="X78:X80"/>
    <mergeCell ref="B7:W7"/>
    <mergeCell ref="B9:B13"/>
    <mergeCell ref="C9:C13"/>
    <mergeCell ref="L11:L13"/>
    <mergeCell ref="P11:P13"/>
    <mergeCell ref="F11:G11"/>
    <mergeCell ref="W9:W13"/>
    <mergeCell ref="Q11:Q13"/>
    <mergeCell ref="X82:X85"/>
    <mergeCell ref="X86:X96"/>
    <mergeCell ref="X30:X50"/>
    <mergeCell ref="X52:X69"/>
    <mergeCell ref="X70:X75"/>
    <mergeCell ref="X76:X77"/>
    <mergeCell ref="X97:X110"/>
    <mergeCell ref="X154:X178"/>
    <mergeCell ref="X134:X151"/>
    <mergeCell ref="X111:X132"/>
    <mergeCell ref="N12:N13"/>
    <mergeCell ref="B177:C177"/>
    <mergeCell ref="N177:P177"/>
    <mergeCell ref="B176:D176"/>
    <mergeCell ref="D77:D78"/>
    <mergeCell ref="K9:K13"/>
    <mergeCell ref="H11:H13"/>
    <mergeCell ref="I11:J11"/>
    <mergeCell ref="I12:I13"/>
    <mergeCell ref="J12:J13"/>
  </mergeCells>
  <printOptions horizontalCentered="1"/>
  <pageMargins left="0.2" right="0.2" top="1.03" bottom="0.4330708661417323" header="0.35433070866141736" footer="0.2362204724409449"/>
  <pageSetup fitToHeight="10" horizontalDpi="300" verticalDpi="300" orientation="landscape" paperSize="9" scale="44" r:id="rId1"/>
  <headerFooter alignWithMargins="0">
    <oddFooter>&amp;RСторінка &amp;P</oddFooter>
  </headerFooter>
  <rowBreaks count="1" manualBreakCount="1">
    <brk id="169" min="1" max="2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2016-05-26T08:19:57Z</cp:lastPrinted>
  <dcterms:created xsi:type="dcterms:W3CDTF">2014-01-17T10:52:16Z</dcterms:created>
  <dcterms:modified xsi:type="dcterms:W3CDTF">2016-05-26T08:20:05Z</dcterms:modified>
  <cp:category/>
  <cp:version/>
  <cp:contentType/>
  <cp:contentStatus/>
</cp:coreProperties>
</file>