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8"/>
  </bookViews>
  <sheets>
    <sheet name="дод 1" sheetId="1" r:id="rId1"/>
    <sheet name="дод 5" sheetId="2" r:id="rId2"/>
    <sheet name="дод 6" sheetId="3" r:id="rId3"/>
    <sheet name="дод 4" sheetId="4" r:id="rId4"/>
    <sheet name="дод 3" sheetId="5" r:id="rId5"/>
    <sheet name="дод 2" sheetId="6" r:id="rId6"/>
    <sheet name="дод 7" sheetId="7" r:id="rId7"/>
    <sheet name="дод 8" sheetId="8" r:id="rId8"/>
    <sheet name="дод 9" sheetId="9" r:id="rId9"/>
  </sheets>
  <externalReferences>
    <externalReference r:id="rId12"/>
    <externalReference r:id="rId13"/>
  </externalReferences>
  <definedNames>
    <definedName name="_xlnm.Print_Area" localSheetId="0">'дод 1'!$A$1:$R$41</definedName>
    <definedName name="_xlnm.Print_Area" localSheetId="5">'дод 2'!$A$1:$H$37</definedName>
    <definedName name="_xlnm.Print_Area" localSheetId="4">'дод 3'!$A$1:$K$24</definedName>
    <definedName name="_xlnm.Print_Area" localSheetId="3">'дод 4'!$A$1:$K$34</definedName>
    <definedName name="_xlnm.Print_Area" localSheetId="1">'дод 5'!$A$1:$K$22</definedName>
    <definedName name="_xlnm.Print_Area" localSheetId="2">'дод 6'!$A$1:$K$101</definedName>
    <definedName name="_xlnm.Print_Area" localSheetId="8">'дод 9'!$A$1:$K$26</definedName>
  </definedNames>
  <calcPr fullCalcOnLoad="1"/>
</workbook>
</file>

<file path=xl/sharedStrings.xml><?xml version="1.0" encoding="utf-8"?>
<sst xmlns="http://schemas.openxmlformats.org/spreadsheetml/2006/main" count="582" uniqueCount="243">
  <si>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</si>
  <si>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</si>
  <si>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</si>
  <si>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</si>
  <si>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</si>
  <si>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</si>
  <si>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</si>
  <si>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</si>
  <si>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</si>
  <si>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2014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</si>
  <si>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</si>
  <si>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</si>
  <si>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</si>
  <si>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</si>
  <si>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</si>
  <si>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</si>
  <si>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</si>
  <si>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</si>
  <si>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</si>
  <si>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</si>
  <si>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</si>
  <si>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</si>
  <si>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</si>
  <si>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</si>
  <si>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</si>
  <si>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</si>
  <si>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</si>
  <si>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</si>
  <si>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</si>
  <si>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</si>
  <si>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Міський голова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</si>
  <si>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</si>
  <si>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</si>
  <si>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</si>
  <si>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</si>
  <si>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</si>
  <si>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</si>
  <si>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</si>
  <si>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</si>
  <si>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</si>
  <si>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</si>
  <si>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 xml:space="preserve">Забезпечення благоустрою  кладовищ, діяльності спецслужби, поховання безрідних та функціонування громадських вбиралень 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</si>
  <si>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</si>
  <si>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</si>
  <si>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</si>
  <si>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 xml:space="preserve">Додаток </t>
  </si>
  <si>
    <t>до рішення Сумської міської ради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</si>
  <si>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</si>
  <si>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</si>
  <si>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</si>
  <si>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</si>
  <si>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</si>
  <si>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</si>
  <si>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</si>
  <si>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</si>
  <si>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</si>
  <si>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</si>
  <si>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</si>
  <si>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</si>
  <si>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</si>
  <si>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</si>
  <si>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2008 рік</t>
  </si>
  <si>
    <t>2009 рік</t>
  </si>
  <si>
    <t>2010 рік</t>
  </si>
  <si>
    <t>2017рік</t>
  </si>
  <si>
    <t>Поповнення статутного капіталу КП "Міськводоканал" СМР, а саме:</t>
  </si>
  <si>
    <t>Міський бюджет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</si>
  <si>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</si>
  <si>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</si>
  <si>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</si>
  <si>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Мулососа ИЛ-980-КО 510</t>
  </si>
  <si>
    <t>придбання Бульдозера ЕС-100 (для кагатування відходів очисних)</t>
  </si>
  <si>
    <t>придбання Гідравлічної станції  SUPER ASPID DOA (в комплекті з рукавами високого тиску з швидкоз'ємними з'єднаннями закритого типу  L=7м )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</si>
  <si>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</si>
  <si>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</si>
  <si>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</si>
  <si>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флуорометра (для лабораторного контролю якості питної води)</t>
  </si>
  <si>
    <t>придбання атомно-емісійного спектометра з індукційно-зв'язаною плазмою (для лабораторного контролю якості питної води)</t>
  </si>
  <si>
    <t>придбання рідинного хроматографа (для лабораторного контролю якості питної води)</t>
  </si>
  <si>
    <t>придбання газавого хроматографа (для лабораторного контролю якості питної води)</t>
  </si>
  <si>
    <t xml:space="preserve"> придбання насосних агрегатів (для каналізаційно-насосної станції: типу FZC.5.21.1.5210 або його аналог (Q=350 м3/год,  Н=40м) з шафою керування)</t>
  </si>
  <si>
    <t xml:space="preserve"> придбання насосних агрегатів (для мулонасосної станції № 2 очисних споруд: типу FZВ.7.25.1.5210 з двигуном 55 кВт з шафою керування)</t>
  </si>
  <si>
    <t xml:space="preserve">  придбання насосних агрегатів (для свердловин: типу GDB 2.06 (з двигуном SMP.10 110 кВт)</t>
  </si>
  <si>
    <r>
      <t xml:space="preserve"> придбання насосних агрегатів (для свердловин: типу GСА 5.10.2 (з двигуном SMP.8 37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100 мм з склорпластикових труб  140 п.м.</t>
    </r>
  </si>
  <si>
    <r>
      <t xml:space="preserve">  придбання насосних агрегатів (для свердловин: типу GСА 8.13 (з двигуном 92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150 мм з склорпластикових труб  160 п.м.</t>
    </r>
  </si>
  <si>
    <t>придбання насосних агрегатів (для свердловин: типу GВС 3.А5.2.1120 (з двигуном SMP.6-5,5 кВт) з шафами керування насосів UZC 5.04.</t>
  </si>
  <si>
    <t xml:space="preserve"> придбання насосних агрегатів (для свердловин: типу GСА 3.13.2 (з двигуном SMP.8-30 кВт) з шафами керування насосів UZS 5.12.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</si>
  <si>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</si>
  <si>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                      КП «Міськводоканал»  СМР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</si>
  <si>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</si>
  <si>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</si>
  <si>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Поповнення статутного капіталу КП "СУМИЖИЛКОМСЕРВІС" СМР, а саме:</t>
  </si>
  <si>
    <t xml:space="preserve">Департамент інфраструктури міста Сумської міської ради, КП "СУМИЖИЛКОМСЕРВІС" СМР </t>
  </si>
  <si>
    <t>придбання бульдозера Б10М</t>
  </si>
  <si>
    <t xml:space="preserve">Газонокосарки </t>
  </si>
  <si>
    <t>придбання автомобіля КРАЗ-65032-04 (самоскат)</t>
  </si>
  <si>
    <t>придбання автомобіля Газель 3221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</si>
  <si>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</si>
  <si>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</si>
  <si>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 АП-18-09</t>
  </si>
  <si>
    <t xml:space="preserve">придбання Крану автомобільного МАЗ КС-45729А-02 </t>
  </si>
  <si>
    <t xml:space="preserve">капітальний ремонт автотранспорту </t>
  </si>
  <si>
    <t>Поповнення статутного фонду  КП "Сумикомунінвест" СМР (придбання бензопили STIHL MS - 230)</t>
  </si>
  <si>
    <t xml:space="preserve">Департамент інфраструктури міста Сумської міської ради, КП "Сумикомунінвест" СМР 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</si>
  <si>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</si>
  <si>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</si>
  <si>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>придбання Автовишки АП-18</t>
  </si>
  <si>
    <t>придбання Автобуса для поховання</t>
  </si>
  <si>
    <t>придбання Самоскида ГАЗ 3309 СС</t>
  </si>
  <si>
    <t>придбання Екскаватора МТЗ</t>
  </si>
  <si>
    <t>придбання Сміттєвоза</t>
  </si>
  <si>
    <t>О.М. Лисенко</t>
  </si>
  <si>
    <t>Виконавець: Яременко Г.І.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</si>
  <si>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</si>
  <si>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</si>
  <si>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</si>
  <si>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</si>
  <si>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</si>
  <si>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Екскаватора типу JCB 4 СХ ЕСО</t>
  </si>
  <si>
    <t xml:space="preserve">житлово-комунального господарства м.Суми </t>
  </si>
  <si>
    <t>на  2015 - 2017 роки» (зі змінами)</t>
  </si>
  <si>
    <t>Потреба коштів всього тис. грн.</t>
  </si>
  <si>
    <t>Департамент інфраструктури міста Сумської міської ради</t>
  </si>
  <si>
    <t>в тому числі капітальний ремонт покрівлі житлових будинків</t>
  </si>
  <si>
    <t>Виконавець: Г.І. Яременко</t>
  </si>
  <si>
    <t>Додаток 3</t>
  </si>
  <si>
    <t>Забезпечення святкового оформлення міста до пам'ятних та історичних дат, культурно-мистецьких, релігійних та інших заходів міста Суми на період до 2017 року</t>
  </si>
  <si>
    <t>Святкова ілюмінація міста</t>
  </si>
  <si>
    <t>Департамент інфраструктури міста Сумської міської ради, КП ЕЗО "Міськсвітло" СМР та інші суб'єкти господарювання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</si>
  <si>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</si>
  <si>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Святкове оформлення міста</t>
  </si>
  <si>
    <t>Придбання та монтаж покажчиків міста</t>
  </si>
  <si>
    <t>Департамент інфраструктури міста Сумської міської ради та інші суб'єкти господарювання</t>
  </si>
  <si>
    <t>Виготовлення та розміщення рекламних матеріалів до святкових та урочистих подій</t>
  </si>
  <si>
    <t>Департамент містобудування та земельних відносин СМР, КП "АБК", КП ЕЗО "Міськсвітло" СМР, КП "СУМИЖИЛКОМСЕРВІС" СМР та інші суб'єкти господарювання</t>
  </si>
  <si>
    <t>Демонтаж рекламних засобів, розміщених самовільно та з порушенням порядку розміщення зовнішньої реклами</t>
  </si>
  <si>
    <t>Демонтаж незаконно встановлених тимчасових споруд</t>
  </si>
  <si>
    <t>Зберігання демонтованих тимчасових споруд та рекламних засобів</t>
  </si>
  <si>
    <t>8.</t>
  </si>
  <si>
    <t>Орендна плата за землю по вул.Боженко (майданчик для складування рослинних відходів, деревини та опалого листя)</t>
  </si>
  <si>
    <t>Оплата  податку на земельну ділянку за адресою: м. Суми, вул. Привокзальна,4/13(каналізаційно-насосна станція)</t>
  </si>
  <si>
    <t>Додаток 4</t>
  </si>
  <si>
    <t>придбання автосамоскиду зі змінним обладнанням (літо/зима)</t>
  </si>
  <si>
    <t>Забезпечення функціонування мереж зовнішнього освітлення міста Суми на період до 2017 року</t>
  </si>
  <si>
    <t>Технічне обслуговування та поточний ремонт системи вуличного освітлення</t>
  </si>
  <si>
    <t>Капітальний ремонт електричних мереж вуличного освітлення</t>
  </si>
  <si>
    <t>Електроенергія на вуличне освітлення</t>
  </si>
  <si>
    <t>Забезпечення належного облуговування каналізаційно-насосної станції за адресою: м. Суми, вул. Привокзальна,4/13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</si>
  <si>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</si>
  <si>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</si>
  <si>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Додаток 5</t>
  </si>
  <si>
    <t>Додаток 6</t>
  </si>
  <si>
    <t>№ з/п</t>
  </si>
  <si>
    <t xml:space="preserve">                     Додаток 2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</si>
  <si>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</si>
  <si>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</si>
  <si>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</si>
  <si>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Проведення ремонту об'єктів транспортної інфраструктури  м.Суми на період до 2017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</si>
  <si>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</si>
  <si>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</si>
  <si>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</si>
  <si>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</si>
  <si>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Капітальний ремонт  мостів та шляхопроводів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</si>
  <si>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</si>
  <si>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</si>
  <si>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шляхопроводу по вул. Привокзальній</t>
  </si>
  <si>
    <r>
      <t>Департамент інфраструктури міста та інші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єкти господарювання</t>
    </r>
  </si>
  <si>
    <t xml:space="preserve">Проведення обстеження та випробування мостів і шляхопроводів по місту </t>
  </si>
  <si>
    <t>Забезпечення проведення поточного ремонту проїздів, тротуарів,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</si>
  <si>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          КП "Шляхрембуд" СМР та ішні суб'єкти господарювання</t>
  </si>
  <si>
    <t>Забезпечення проведення капітального ремонту проїздів, тротуарів, внутрішньоквартальних проїзних доріг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</si>
  <si>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</si>
  <si>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</si>
  <si>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</si>
  <si>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</si>
  <si>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</si>
  <si>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</si>
  <si>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Будівництво об'єктів транспортної інфраструктури</t>
  </si>
  <si>
    <t>Забезпечення проведення ремонту та обслуговування технічних засобів регулювання дорожнім рухом</t>
  </si>
  <si>
    <t>Електроенергія для безперебійної роботи світлофорних об'єктів</t>
  </si>
  <si>
    <t>Виконавчий комітет Сумської міської ради,                                 КП "Шляхрембуд" СМР та ішні суб'єкти господарювання</t>
  </si>
  <si>
    <t>__________________</t>
  </si>
  <si>
    <t>Розроблення Комплексної схеми і зонування розміщення рекламних засобів на території м.Суми</t>
  </si>
  <si>
    <t>Поповнення статутного капіталу КП "Сумиенергоцентраль"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</si>
  <si>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</si>
  <si>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>Машина прибиральна "Беларусь" 320 МК</t>
  </si>
  <si>
    <t>Трактор "Беларусь" 82.1</t>
  </si>
  <si>
    <t>погрузчик</t>
  </si>
  <si>
    <t>ковш</t>
  </si>
  <si>
    <t>щітка</t>
  </si>
  <si>
    <t>отвал</t>
  </si>
  <si>
    <t>підрібнювач деревини ДП-660-Т</t>
  </si>
  <si>
    <t>прицеп ПТС-4</t>
  </si>
  <si>
    <t>Надання  фінансової допомоги на поворотній основі</t>
  </si>
  <si>
    <t xml:space="preserve"> </t>
  </si>
  <si>
    <t>Надання  бюджетних позичок на поворотній основі</t>
  </si>
  <si>
    <t>придбання бульдозера Т-170</t>
  </si>
  <si>
    <t>Розроблення нової Комплексної схеми розміщення тимчасових споруд для провадження підприємницької діяльності у місті Суми"</t>
  </si>
  <si>
    <t>придбання трактора FOTON FT 504 з навісним обладнанням</t>
  </si>
  <si>
    <t>придбання Поливомийної машини</t>
  </si>
  <si>
    <t>придбання Автопідіймача з висотою підйому 28-30 м</t>
  </si>
  <si>
    <t>придбання Автобуса для перевезення робітників</t>
  </si>
  <si>
    <t>придбання мотопомпи типу АНД-100</t>
  </si>
  <si>
    <t>придбання віброплити PCL 100</t>
  </si>
  <si>
    <t>придбання спектрофотометра</t>
  </si>
  <si>
    <t>Капітальний ремонт обєктів житлового господарства міста Суми на період до 2017 року</t>
  </si>
  <si>
    <t xml:space="preserve">Капітальний ремонт житлового фонду  </t>
  </si>
  <si>
    <t>Заміна ліфтів</t>
  </si>
  <si>
    <t>Капітальний ремонт та модернізація ліфтів</t>
  </si>
  <si>
    <t>Обласний, міський бюджет</t>
  </si>
  <si>
    <t>Капітальний ремонт системи ОДС</t>
  </si>
  <si>
    <t>Проведення експертного обстеження (технічного діагностування) ліфтів</t>
  </si>
  <si>
    <r>
      <t>Капітальний ремонт житлового фонду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єднань співвласників багатоквартирних будинків</t>
    </r>
  </si>
  <si>
    <t>Встановлення індивідуального опалення в квартирах житлового будинку № 110 по вул.Роменській</t>
  </si>
  <si>
    <t>Додаток 7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</si>
  <si>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</si>
  <si>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</si>
  <si>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КП «Міськводоканал»  СМР та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</si>
  <si>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</si>
  <si>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Додаток 8</t>
  </si>
  <si>
    <t>Капітальний ремонт об'єктів житлового господарства міста Суми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</si>
  <si>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</si>
  <si>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</si>
  <si>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Проведення капітального ремонту колекторів та каналізаційних мереж</t>
  </si>
  <si>
    <t xml:space="preserve">від 30.03.2016 року № 498-МР </t>
  </si>
  <si>
    <t>Департамент інфраструктури міста Сумської міської ради, КП "Сумижилкомсервіс" СМР, КП "Сумитеплоенергоцентраль"  СМР, КП "Шляхрембуд" СМР, КП "Сумикомунінвест" СМР</t>
  </si>
  <si>
    <r>
      <t>Забезпечення функціонування об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єктів житлово-комунального господарства міста Суми на період до 2017 року</t>
    </r>
  </si>
  <si>
    <t>Забезпечення належної та безперебійної роботи полігону ТПВ</t>
  </si>
  <si>
    <t xml:space="preserve">Департамент інфраструктури міста Сумської міської ради, КП "Сумижилкомсервіс" СМР 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</si>
  <si>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</si>
  <si>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</si>
  <si>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r>
      <t>Департамент інфраструктури міста Сумської міської ради, КП "Сумижитло" СМР та інші суб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єкти господарювання</t>
    </r>
  </si>
  <si>
    <t>Додаток 9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</si>
  <si>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</si>
  <si>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</si>
  <si>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</si>
  <si>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</si>
  <si>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</si>
  <si>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</si>
  <si>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</si>
  <si>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</si>
  <si>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r>
      <t xml:space="preserve">придбання термопластичного клапану для розподілення санітарної гарячої води R 156 </t>
    </r>
    <r>
      <rPr>
        <sz val="12"/>
        <rFont val="Times New Roman"/>
        <family val="1"/>
      </rPr>
      <t>¾ з комплексом підключення</t>
    </r>
  </si>
  <si>
    <t>придбання іншого обладнання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</si>
</sst>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196" fontId="2" fillId="0" borderId="15" xfId="0" applyNumberFormat="1" applyFont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200" fontId="2" fillId="33" borderId="13" xfId="0" applyNumberFormat="1" applyFont="1" applyFill="1" applyBorder="1" applyAlignment="1">
      <alignment horizontal="left" vertical="center" wrapText="1"/>
    </xf>
    <xf numFmtId="200" fontId="11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00" fontId="2" fillId="33" borderId="13" xfId="0" applyNumberFormat="1" applyFont="1" applyFill="1" applyBorder="1" applyAlignment="1">
      <alignment horizontal="left" vertical="top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196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96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33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196" fontId="3" fillId="36" borderId="13" xfId="0" applyNumberFormat="1" applyFont="1" applyFill="1" applyBorder="1" applyAlignment="1">
      <alignment horizontal="center" vertical="center" wrapText="1"/>
    </xf>
    <xf numFmtId="196" fontId="2" fillId="36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96" fontId="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6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96" fontId="6" fillId="0" borderId="0" xfId="0" applyNumberFormat="1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96" fontId="52" fillId="0" borderId="15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196" fontId="2" fillId="33" borderId="15" xfId="0" applyNumberFormat="1" applyFont="1" applyFill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96" fontId="3" fillId="0" borderId="13" xfId="53" applyNumberFormat="1" applyFont="1" applyBorder="1" applyAlignment="1">
      <alignment horizontal="center" vertical="center" wrapText="1"/>
      <protection/>
    </xf>
    <xf numFmtId="196" fontId="2" fillId="0" borderId="15" xfId="53" applyNumberFormat="1" applyFont="1" applyBorder="1" applyAlignment="1">
      <alignment horizontal="center" vertical="center" wrapText="1"/>
      <protection/>
    </xf>
    <xf numFmtId="196" fontId="2" fillId="0" borderId="15" xfId="53" applyNumberFormat="1" applyFont="1" applyFill="1" applyBorder="1" applyAlignment="1">
      <alignment horizontal="center" vertical="center" wrapText="1"/>
      <protection/>
    </xf>
    <xf numFmtId="0" fontId="0" fillId="0" borderId="13" xfId="53" applyBorder="1" applyAlignment="1">
      <alignment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2" fontId="5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 vertical="center" wrapText="1"/>
    </xf>
    <xf numFmtId="196" fontId="3" fillId="37" borderId="13" xfId="0" applyNumberFormat="1" applyFont="1" applyFill="1" applyBorder="1" applyAlignment="1">
      <alignment horizontal="center" vertical="center" wrapText="1"/>
    </xf>
    <xf numFmtId="196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197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1">
        <row r="30">
          <cell r="G30">
            <v>171175</v>
          </cell>
        </row>
      </sheetData>
      <sheetData sheetId="2">
        <row r="22">
          <cell r="E22">
            <v>16775</v>
          </cell>
          <cell r="G22">
            <v>23900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  <cell r="I27">
            <v>1340</v>
          </cell>
        </row>
      </sheetData>
      <sheetData sheetId="6">
        <row r="26">
          <cell r="G26">
            <v>3185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  <cell r="G20">
            <v>2000</v>
          </cell>
        </row>
      </sheetData>
      <sheetData sheetId="10">
        <row r="21">
          <cell r="E21">
            <v>2372.7599999999998</v>
          </cell>
          <cell r="J21">
            <v>2977.7599999999998</v>
          </cell>
        </row>
      </sheetData>
      <sheetData sheetId="12">
        <row r="27">
          <cell r="F27">
            <v>300</v>
          </cell>
          <cell r="I27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view="pageBreakPreview" zoomScale="60" zoomScalePageLayoutView="0" workbookViewId="0" topLeftCell="A19">
      <selection activeCell="I48" sqref="I48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2.14062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2.14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2.140625" style="0" customWidth="1"/>
    <col min="14" max="14" width="11.57421875" style="0" customWidth="1"/>
    <col min="15" max="15" width="6.140625" style="0" hidden="1" customWidth="1"/>
    <col min="16" max="16" width="13.140625" style="0" customWidth="1"/>
    <col min="17" max="17" width="11.8515625" style="0" customWidth="1"/>
    <col min="18" max="18" width="14.00390625" style="0" customWidth="1"/>
    <col min="20" max="20" width="10.7109375" style="0" bestFit="1" customWidth="1"/>
  </cols>
  <sheetData>
    <row r="1" spans="1:18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53" t="s">
        <v>29</v>
      </c>
      <c r="N1" s="153"/>
      <c r="O1" s="153"/>
      <c r="P1" s="153"/>
      <c r="Q1" s="153"/>
      <c r="R1" s="153"/>
    </row>
    <row r="2" spans="1:18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54" t="s">
        <v>10</v>
      </c>
      <c r="N2" s="154"/>
      <c r="O2" s="154"/>
      <c r="P2" s="154"/>
      <c r="Q2" s="154"/>
      <c r="R2" s="154"/>
    </row>
    <row r="3" spans="1:18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54" t="s">
        <v>32</v>
      </c>
      <c r="N3" s="154"/>
      <c r="O3" s="154"/>
      <c r="P3" s="154"/>
      <c r="Q3" s="154"/>
      <c r="R3" s="154"/>
    </row>
    <row r="4" spans="1:18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54" t="s">
        <v>11</v>
      </c>
      <c r="N4" s="154"/>
      <c r="O4" s="154"/>
      <c r="P4" s="154"/>
      <c r="Q4" s="154"/>
      <c r="R4" s="154"/>
    </row>
    <row r="5" spans="1:18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54" t="s">
        <v>3</v>
      </c>
      <c r="N5" s="154"/>
      <c r="O5" s="154"/>
      <c r="P5" s="154"/>
      <c r="Q5" s="154"/>
      <c r="R5" s="154"/>
    </row>
    <row r="6" spans="1:18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54" t="s">
        <v>34</v>
      </c>
      <c r="N6" s="154"/>
      <c r="O6" s="154"/>
      <c r="P6" s="154"/>
      <c r="Q6" s="154"/>
      <c r="R6" s="154"/>
    </row>
    <row r="7" spans="1:18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224</v>
      </c>
      <c r="N7" s="13"/>
      <c r="O7" s="13" t="s">
        <v>35</v>
      </c>
      <c r="P7" s="13"/>
      <c r="Q7" s="13"/>
      <c r="R7" s="13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18" customHeight="1">
      <c r="A9" s="157" t="s">
        <v>19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</row>
    <row r="10" spans="1:18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64" t="s">
        <v>12</v>
      </c>
      <c r="L10" s="164"/>
      <c r="M10" s="164"/>
      <c r="N10" s="164"/>
      <c r="O10" s="164"/>
      <c r="P10" s="164"/>
      <c r="Q10" s="164"/>
      <c r="R10" s="164"/>
    </row>
    <row r="11" spans="1:18" ht="19.5" customHeight="1">
      <c r="A11" s="158" t="s">
        <v>1</v>
      </c>
      <c r="B11" s="158" t="s">
        <v>13</v>
      </c>
      <c r="C11" s="155" t="s">
        <v>14</v>
      </c>
      <c r="D11" s="16"/>
      <c r="E11" s="161" t="s">
        <v>15</v>
      </c>
      <c r="F11" s="162"/>
      <c r="G11" s="163"/>
      <c r="H11" s="155" t="s">
        <v>4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</row>
    <row r="12" spans="1:18" ht="21" customHeight="1">
      <c r="A12" s="159"/>
      <c r="B12" s="159"/>
      <c r="C12" s="155"/>
      <c r="D12" s="14"/>
      <c r="E12" s="158" t="s">
        <v>16</v>
      </c>
      <c r="F12" s="158" t="s">
        <v>17</v>
      </c>
      <c r="G12" s="158" t="s">
        <v>18</v>
      </c>
      <c r="H12" s="155" t="s">
        <v>5</v>
      </c>
      <c r="I12" s="155"/>
      <c r="J12" s="155"/>
      <c r="K12" s="156" t="s">
        <v>8</v>
      </c>
      <c r="L12" s="155" t="s">
        <v>6</v>
      </c>
      <c r="M12" s="155"/>
      <c r="N12" s="155"/>
      <c r="O12" s="156" t="s">
        <v>9</v>
      </c>
      <c r="P12" s="155" t="s">
        <v>7</v>
      </c>
      <c r="Q12" s="155"/>
      <c r="R12" s="155"/>
    </row>
    <row r="13" spans="1:18" ht="46.5" customHeight="1">
      <c r="A13" s="160"/>
      <c r="B13" s="160"/>
      <c r="C13" s="158"/>
      <c r="D13" s="15"/>
      <c r="E13" s="160"/>
      <c r="F13" s="160"/>
      <c r="G13" s="160"/>
      <c r="H13" s="17" t="s">
        <v>16</v>
      </c>
      <c r="I13" s="17" t="s">
        <v>17</v>
      </c>
      <c r="J13" s="17" t="s">
        <v>18</v>
      </c>
      <c r="K13" s="156"/>
      <c r="L13" s="17" t="s">
        <v>16</v>
      </c>
      <c r="M13" s="17" t="s">
        <v>17</v>
      </c>
      <c r="N13" s="17" t="s">
        <v>18</v>
      </c>
      <c r="O13" s="156"/>
      <c r="P13" s="17" t="s">
        <v>16</v>
      </c>
      <c r="Q13" s="17" t="s">
        <v>17</v>
      </c>
      <c r="R13" s="17" t="s">
        <v>18</v>
      </c>
    </row>
    <row r="14" spans="1:20" ht="43.5" customHeight="1">
      <c r="A14" s="22">
        <v>1</v>
      </c>
      <c r="B14" s="23" t="s">
        <v>20</v>
      </c>
      <c r="C14" s="25">
        <f>E14+F14+G14</f>
        <v>491269</v>
      </c>
      <c r="D14" s="25">
        <f>E14+F14+G14</f>
        <v>491269</v>
      </c>
      <c r="E14" s="25">
        <f>H14</f>
        <v>2117.8</v>
      </c>
      <c r="F14" s="25"/>
      <c r="G14" s="25">
        <f>J14+N14+R14</f>
        <v>489151.2</v>
      </c>
      <c r="H14" s="24">
        <f>2117.8</f>
        <v>2117.8</v>
      </c>
      <c r="I14" s="24"/>
      <c r="J14" s="26">
        <f>119401.9-1000-3-127.9-13</f>
        <v>118258</v>
      </c>
      <c r="K14" s="24" t="e">
        <f>#REF!</f>
        <v>#REF!</v>
      </c>
      <c r="L14" s="24"/>
      <c r="M14" s="24"/>
      <c r="N14" s="24">
        <f>170218.2+3000+26500</f>
        <v>199718.2</v>
      </c>
      <c r="O14" s="24" t="e">
        <f>#REF!</f>
        <v>#REF!</v>
      </c>
      <c r="P14" s="24"/>
      <c r="Q14" s="24"/>
      <c r="R14" s="24">
        <f>'[1]Шляхрембуд дороги'!G30</f>
        <v>171175</v>
      </c>
      <c r="T14" s="6"/>
    </row>
    <row r="15" spans="1:18" ht="34.5" customHeight="1">
      <c r="A15" s="22">
        <f>A14+1</f>
        <v>2</v>
      </c>
      <c r="B15" s="23" t="s">
        <v>21</v>
      </c>
      <c r="C15" s="25">
        <f aca="true" t="shared" si="0" ref="C15:C27">E15+F15+G15</f>
        <v>66276.8</v>
      </c>
      <c r="D15" s="25">
        <f aca="true" t="shared" si="1" ref="D15:D25">E15+F15+G15</f>
        <v>66276.8</v>
      </c>
      <c r="E15" s="25"/>
      <c r="F15" s="25"/>
      <c r="G15" s="25">
        <f aca="true" t="shared" si="2" ref="G15:G27">J15+N15+R15</f>
        <v>66276.8</v>
      </c>
      <c r="H15" s="24"/>
      <c r="I15" s="24"/>
      <c r="J15" s="26">
        <f>'[1]міськсвітло'!E22</f>
        <v>16775</v>
      </c>
      <c r="K15" s="24">
        <v>4760</v>
      </c>
      <c r="L15" s="24"/>
      <c r="M15" s="24"/>
      <c r="N15" s="24">
        <f>22600+3000+1.8</f>
        <v>25601.8</v>
      </c>
      <c r="O15" s="24">
        <v>4807</v>
      </c>
      <c r="P15" s="24"/>
      <c r="Q15" s="24"/>
      <c r="R15" s="24">
        <f>'[1]міськсвітло'!G22</f>
        <v>23900</v>
      </c>
    </row>
    <row r="16" spans="1:18" ht="36" customHeight="1">
      <c r="A16" s="22">
        <f aca="true" t="shared" si="3" ref="A16:A23">A15+1</f>
        <v>3</v>
      </c>
      <c r="B16" s="23" t="s">
        <v>22</v>
      </c>
      <c r="C16" s="25">
        <f t="shared" si="0"/>
        <v>27201.5</v>
      </c>
      <c r="D16" s="25">
        <f t="shared" si="1"/>
        <v>27201.5</v>
      </c>
      <c r="E16" s="25"/>
      <c r="F16" s="25"/>
      <c r="G16" s="25">
        <f t="shared" si="2"/>
        <v>27201.5</v>
      </c>
      <c r="H16" s="24"/>
      <c r="I16" s="24"/>
      <c r="J16" s="26">
        <f>'[1]зеленбуд'!E44</f>
        <v>7480.3</v>
      </c>
      <c r="K16" s="24">
        <v>13299.9</v>
      </c>
      <c r="L16" s="24"/>
      <c r="M16" s="24"/>
      <c r="N16" s="24">
        <v>9615.2</v>
      </c>
      <c r="O16" s="24">
        <v>11861</v>
      </c>
      <c r="P16" s="24"/>
      <c r="Q16" s="24"/>
      <c r="R16" s="24">
        <f>'[1]зеленбуд'!G44</f>
        <v>10106</v>
      </c>
    </row>
    <row r="17" spans="1:18" ht="48.75" customHeight="1">
      <c r="A17" s="22">
        <f t="shared" si="3"/>
        <v>4</v>
      </c>
      <c r="B17" s="23" t="s">
        <v>41</v>
      </c>
      <c r="C17" s="25">
        <f t="shared" si="0"/>
        <v>25794.5</v>
      </c>
      <c r="D17" s="25">
        <f t="shared" si="1"/>
        <v>25794.5</v>
      </c>
      <c r="E17" s="25"/>
      <c r="F17" s="25"/>
      <c r="G17" s="25">
        <f t="shared" si="2"/>
        <v>25794.5</v>
      </c>
      <c r="H17" s="24"/>
      <c r="I17" s="24"/>
      <c r="J17" s="26">
        <v>6413</v>
      </c>
      <c r="K17" s="24">
        <v>117795.5</v>
      </c>
      <c r="L17" s="24"/>
      <c r="M17" s="24"/>
      <c r="N17" s="24">
        <v>10231.5</v>
      </c>
      <c r="O17" s="24">
        <v>130320.5</v>
      </c>
      <c r="P17" s="24"/>
      <c r="Q17" s="24"/>
      <c r="R17" s="24">
        <f>'[1]спецкомбінат'!J21</f>
        <v>9150</v>
      </c>
    </row>
    <row r="18" spans="1:18" ht="27" customHeight="1">
      <c r="A18" s="22">
        <f t="shared" si="3"/>
        <v>5</v>
      </c>
      <c r="B18" s="23" t="s">
        <v>23</v>
      </c>
      <c r="C18" s="25">
        <f t="shared" si="0"/>
        <v>3515</v>
      </c>
      <c r="D18" s="25">
        <f t="shared" si="1"/>
        <v>3515</v>
      </c>
      <c r="E18" s="25"/>
      <c r="F18" s="25"/>
      <c r="G18" s="25">
        <f t="shared" si="2"/>
        <v>3515</v>
      </c>
      <c r="H18" s="24"/>
      <c r="I18" s="24"/>
      <c r="J18" s="26">
        <f>'[1]саночистка'!E27</f>
        <v>1035</v>
      </c>
      <c r="K18" s="24">
        <v>7405.3</v>
      </c>
      <c r="L18" s="24"/>
      <c r="M18" s="24"/>
      <c r="N18" s="24">
        <v>1140</v>
      </c>
      <c r="O18" s="24">
        <v>8198.7</v>
      </c>
      <c r="P18" s="24"/>
      <c r="Q18" s="24"/>
      <c r="R18" s="24">
        <f>'[1]саночистка'!I27</f>
        <v>1340</v>
      </c>
    </row>
    <row r="19" spans="1:18" ht="35.25" customHeight="1">
      <c r="A19" s="22">
        <f t="shared" si="3"/>
        <v>6</v>
      </c>
      <c r="B19" s="23" t="s">
        <v>24</v>
      </c>
      <c r="C19" s="25">
        <f t="shared" si="0"/>
        <v>9871.5</v>
      </c>
      <c r="D19" s="25">
        <f t="shared" si="1"/>
        <v>9871.5</v>
      </c>
      <c r="E19" s="25"/>
      <c r="F19" s="25"/>
      <c r="G19" s="25">
        <f t="shared" si="2"/>
        <v>9871.5</v>
      </c>
      <c r="H19" s="24"/>
      <c r="I19" s="24"/>
      <c r="J19" s="26">
        <f>2957.5+100</f>
        <v>3057.5</v>
      </c>
      <c r="K19" s="24">
        <v>22035.5</v>
      </c>
      <c r="L19" s="24"/>
      <c r="M19" s="24"/>
      <c r="N19" s="24">
        <v>3629</v>
      </c>
      <c r="O19" s="24">
        <v>21202</v>
      </c>
      <c r="P19" s="24"/>
      <c r="Q19" s="24"/>
      <c r="R19" s="24">
        <f>'[1]поточний ремонт'!G26</f>
        <v>3185</v>
      </c>
    </row>
    <row r="20" spans="1:18" ht="32.25" customHeight="1">
      <c r="A20" s="22">
        <f t="shared" si="3"/>
        <v>7</v>
      </c>
      <c r="B20" s="23" t="s">
        <v>25</v>
      </c>
      <c r="C20" s="25">
        <f t="shared" si="0"/>
        <v>1460</v>
      </c>
      <c r="D20" s="25">
        <f t="shared" si="1"/>
        <v>1460</v>
      </c>
      <c r="E20" s="25"/>
      <c r="F20" s="25"/>
      <c r="G20" s="25">
        <f t="shared" si="2"/>
        <v>1460</v>
      </c>
      <c r="H20" s="24"/>
      <c r="I20" s="24"/>
      <c r="J20" s="26">
        <f>'[1]евтаназія'!E26</f>
        <v>400</v>
      </c>
      <c r="K20" s="24">
        <v>13568.2</v>
      </c>
      <c r="L20" s="24"/>
      <c r="M20" s="24"/>
      <c r="N20" s="24">
        <f>'[1]евтаназія'!F26</f>
        <v>480</v>
      </c>
      <c r="O20" s="24">
        <v>9730.1</v>
      </c>
      <c r="P20" s="24"/>
      <c r="Q20" s="24"/>
      <c r="R20" s="24">
        <f>'[1]евтаназія'!I26</f>
        <v>580</v>
      </c>
    </row>
    <row r="21" spans="1:18" ht="32.25" customHeight="1">
      <c r="A21" s="22">
        <f t="shared" si="3"/>
        <v>8</v>
      </c>
      <c r="B21" s="23" t="s">
        <v>26</v>
      </c>
      <c r="C21" s="25">
        <f t="shared" si="0"/>
        <v>17112</v>
      </c>
      <c r="D21" s="25">
        <f t="shared" si="1"/>
        <v>17112</v>
      </c>
      <c r="E21" s="25"/>
      <c r="F21" s="25"/>
      <c r="G21" s="25">
        <f t="shared" si="2"/>
        <v>17112</v>
      </c>
      <c r="H21" s="24"/>
      <c r="I21" s="24"/>
      <c r="J21" s="26">
        <f>'[1]капітальний ремонт'!E20</f>
        <v>3365</v>
      </c>
      <c r="K21" s="24">
        <v>2008.9</v>
      </c>
      <c r="L21" s="24"/>
      <c r="M21" s="24"/>
      <c r="N21" s="24">
        <v>11747</v>
      </c>
      <c r="O21" s="24">
        <v>1978.9</v>
      </c>
      <c r="P21" s="24"/>
      <c r="Q21" s="24"/>
      <c r="R21" s="24">
        <f>'[1]капітальний ремонт'!G20</f>
        <v>2000</v>
      </c>
    </row>
    <row r="22" spans="1:18" ht="37.5" customHeight="1">
      <c r="A22" s="22">
        <f t="shared" si="3"/>
        <v>9</v>
      </c>
      <c r="B22" s="23" t="s">
        <v>220</v>
      </c>
      <c r="C22" s="25">
        <f>E22+F22+G22</f>
        <v>171828</v>
      </c>
      <c r="D22" s="25">
        <f t="shared" si="1"/>
        <v>171828</v>
      </c>
      <c r="E22" s="25">
        <f>H22+L22+P22</f>
        <v>4800</v>
      </c>
      <c r="F22" s="25">
        <f>I22+M22+Q22</f>
        <v>7500</v>
      </c>
      <c r="G22" s="25">
        <f>J22+N22+R22</f>
        <v>159528</v>
      </c>
      <c r="H22" s="24">
        <v>4800</v>
      </c>
      <c r="I22" s="24">
        <v>2500</v>
      </c>
      <c r="J22" s="26">
        <f>19978-250+23500</f>
        <v>43228</v>
      </c>
      <c r="K22" s="24">
        <v>882.7</v>
      </c>
      <c r="L22" s="24"/>
      <c r="M22" s="24">
        <v>2500</v>
      </c>
      <c r="N22" s="24">
        <f>69320+250+23500</f>
        <v>93070</v>
      </c>
      <c r="O22" s="24">
        <v>469.8</v>
      </c>
      <c r="P22" s="24"/>
      <c r="Q22" s="24">
        <v>2500</v>
      </c>
      <c r="R22" s="24">
        <v>23230</v>
      </c>
    </row>
    <row r="23" spans="1:18" ht="46.5" customHeight="1">
      <c r="A23" s="22">
        <f t="shared" si="3"/>
        <v>10</v>
      </c>
      <c r="B23" s="23" t="s">
        <v>27</v>
      </c>
      <c r="C23" s="25">
        <f t="shared" si="0"/>
        <v>8798.6</v>
      </c>
      <c r="D23" s="25">
        <f t="shared" si="1"/>
        <v>8798.6</v>
      </c>
      <c r="E23" s="25"/>
      <c r="F23" s="25"/>
      <c r="G23" s="25">
        <f t="shared" si="2"/>
        <v>8798.6</v>
      </c>
      <c r="H23" s="24"/>
      <c r="I23" s="24"/>
      <c r="J23" s="26">
        <f>'[1]святкове'!E21</f>
        <v>2372.7599999999998</v>
      </c>
      <c r="K23" s="24">
        <v>1969.3</v>
      </c>
      <c r="L23" s="24"/>
      <c r="M23" s="24"/>
      <c r="N23" s="24">
        <f>2989.08+110+64+3.3+281.7</f>
        <v>3448.08</v>
      </c>
      <c r="O23" s="24">
        <v>2146</v>
      </c>
      <c r="P23" s="24"/>
      <c r="Q23" s="24"/>
      <c r="R23" s="24">
        <f>'[1]святкове'!J21</f>
        <v>2977.7599999999998</v>
      </c>
    </row>
    <row r="24" spans="1:18" ht="38.25" customHeight="1">
      <c r="A24" s="22">
        <v>11</v>
      </c>
      <c r="B24" s="23" t="s">
        <v>28</v>
      </c>
      <c r="C24" s="25">
        <f t="shared" si="0"/>
        <v>8302.2</v>
      </c>
      <c r="D24" s="25">
        <f t="shared" si="1"/>
        <v>8302.2</v>
      </c>
      <c r="E24" s="25"/>
      <c r="F24" s="25"/>
      <c r="G24" s="25">
        <f t="shared" si="2"/>
        <v>8302.2</v>
      </c>
      <c r="H24" s="24"/>
      <c r="I24" s="24"/>
      <c r="J24" s="26">
        <f>1470.4+1000+127.9+224.2-120</f>
        <v>2702.5</v>
      </c>
      <c r="K24" s="24"/>
      <c r="L24" s="24"/>
      <c r="M24" s="24"/>
      <c r="N24" s="24">
        <f>1850+70.1+50.1+500+3129.5</f>
        <v>5599.7</v>
      </c>
      <c r="O24" s="24"/>
      <c r="P24" s="24"/>
      <c r="Q24" s="24"/>
      <c r="R24" s="24">
        <f>O24</f>
        <v>0</v>
      </c>
    </row>
    <row r="25" spans="1:18" s="30" customFormat="1" ht="34.5" customHeight="1">
      <c r="A25" s="27">
        <v>12</v>
      </c>
      <c r="B25" s="28" t="s">
        <v>37</v>
      </c>
      <c r="C25" s="29">
        <f t="shared" si="0"/>
        <v>2872.8</v>
      </c>
      <c r="D25" s="29">
        <f t="shared" si="1"/>
        <v>2872.8</v>
      </c>
      <c r="E25" s="29"/>
      <c r="F25" s="29"/>
      <c r="G25" s="29">
        <f t="shared" si="2"/>
        <v>2872.8</v>
      </c>
      <c r="H25" s="26"/>
      <c r="I25" s="26"/>
      <c r="J25" s="26">
        <f>583.8+1589</f>
        <v>2172.8</v>
      </c>
      <c r="K25" s="26"/>
      <c r="L25" s="26"/>
      <c r="M25" s="26"/>
      <c r="N25" s="26">
        <f>'[1]оренда'!F27+100</f>
        <v>400</v>
      </c>
      <c r="O25" s="26"/>
      <c r="P25" s="26"/>
      <c r="Q25" s="26"/>
      <c r="R25" s="26">
        <f>'[1]оренда'!I27</f>
        <v>300</v>
      </c>
    </row>
    <row r="26" spans="1:18" ht="15.75">
      <c r="A26" s="22">
        <v>13</v>
      </c>
      <c r="B26" s="23" t="s">
        <v>33</v>
      </c>
      <c r="C26" s="25">
        <f t="shared" si="0"/>
        <v>4467</v>
      </c>
      <c r="D26" s="25"/>
      <c r="E26" s="25"/>
      <c r="F26" s="25"/>
      <c r="G26" s="25">
        <f t="shared" si="2"/>
        <v>4467</v>
      </c>
      <c r="H26" s="24"/>
      <c r="I26" s="24"/>
      <c r="J26" s="26">
        <f>3+3</f>
        <v>6</v>
      </c>
      <c r="K26" s="24"/>
      <c r="L26" s="24"/>
      <c r="M26" s="24"/>
      <c r="N26" s="24">
        <v>4461</v>
      </c>
      <c r="O26" s="24"/>
      <c r="P26" s="24"/>
      <c r="Q26" s="24"/>
      <c r="R26" s="24"/>
    </row>
    <row r="27" spans="1:18" ht="15.75">
      <c r="A27" s="22">
        <v>14</v>
      </c>
      <c r="B27" s="23" t="s">
        <v>195</v>
      </c>
      <c r="C27" s="25">
        <f t="shared" si="0"/>
        <v>9294</v>
      </c>
      <c r="D27" s="25"/>
      <c r="E27" s="25"/>
      <c r="F27" s="107"/>
      <c r="G27" s="25">
        <f t="shared" si="2"/>
        <v>9294</v>
      </c>
      <c r="H27" s="141"/>
      <c r="I27" s="24"/>
      <c r="J27" s="26">
        <v>1214</v>
      </c>
      <c r="K27" s="24"/>
      <c r="L27" s="24"/>
      <c r="M27" s="24"/>
      <c r="N27" s="24">
        <f>8000+80</f>
        <v>8080</v>
      </c>
      <c r="O27" s="24"/>
      <c r="P27" s="24"/>
      <c r="Q27" s="24"/>
      <c r="R27" s="24"/>
    </row>
    <row r="28" spans="1:18" ht="15.75">
      <c r="A28" s="22">
        <v>15</v>
      </c>
      <c r="B28" s="23" t="s">
        <v>43</v>
      </c>
      <c r="C28" s="25">
        <f aca="true" t="shared" si="4" ref="C28:C33">G28</f>
        <v>1700</v>
      </c>
      <c r="D28" s="25"/>
      <c r="E28" s="25"/>
      <c r="F28" s="25"/>
      <c r="G28" s="25">
        <f aca="true" t="shared" si="5" ref="G28:G33">J28+N28+R28</f>
        <v>1700</v>
      </c>
      <c r="H28" s="24"/>
      <c r="I28" s="24"/>
      <c r="J28" s="26">
        <f>200-200</f>
        <v>0</v>
      </c>
      <c r="K28" s="24"/>
      <c r="L28" s="24"/>
      <c r="M28" s="24"/>
      <c r="N28" s="24">
        <f>500+200+500</f>
        <v>1200</v>
      </c>
      <c r="O28" s="24"/>
      <c r="P28" s="24"/>
      <c r="Q28" s="24"/>
      <c r="R28" s="24">
        <v>500</v>
      </c>
    </row>
    <row r="29" spans="1:18" ht="31.5">
      <c r="A29" s="22">
        <v>16</v>
      </c>
      <c r="B29" s="23" t="s">
        <v>38</v>
      </c>
      <c r="C29" s="25">
        <f t="shared" si="4"/>
        <v>4784.42</v>
      </c>
      <c r="D29" s="25"/>
      <c r="E29" s="25"/>
      <c r="F29" s="25"/>
      <c r="G29" s="25">
        <f t="shared" si="5"/>
        <v>4784.42</v>
      </c>
      <c r="H29" s="24"/>
      <c r="I29" s="24"/>
      <c r="J29" s="26">
        <v>1084.42</v>
      </c>
      <c r="K29" s="24"/>
      <c r="L29" s="24"/>
      <c r="M29" s="24"/>
      <c r="N29" s="24">
        <v>3700</v>
      </c>
      <c r="O29" s="24"/>
      <c r="P29" s="24"/>
      <c r="Q29" s="24"/>
      <c r="R29" s="24"/>
    </row>
    <row r="30" spans="1:18" ht="49.5" customHeight="1">
      <c r="A30" s="22">
        <v>17</v>
      </c>
      <c r="B30" s="23" t="s">
        <v>39</v>
      </c>
      <c r="C30" s="25">
        <f t="shared" si="4"/>
        <v>465</v>
      </c>
      <c r="D30" s="25"/>
      <c r="E30" s="25"/>
      <c r="F30" s="25"/>
      <c r="G30" s="25">
        <f t="shared" si="5"/>
        <v>465</v>
      </c>
      <c r="H30" s="24"/>
      <c r="I30" s="24"/>
      <c r="J30" s="26"/>
      <c r="K30" s="24"/>
      <c r="L30" s="24"/>
      <c r="M30" s="24"/>
      <c r="N30" s="24">
        <f>465+4461-4461</f>
        <v>465</v>
      </c>
      <c r="O30" s="24"/>
      <c r="P30" s="24"/>
      <c r="Q30" s="24"/>
      <c r="R30" s="24"/>
    </row>
    <row r="31" spans="1:18" ht="49.5" customHeight="1">
      <c r="A31" s="22">
        <v>18</v>
      </c>
      <c r="B31" s="23" t="s">
        <v>42</v>
      </c>
      <c r="C31" s="25">
        <f t="shared" si="4"/>
        <v>64516.7</v>
      </c>
      <c r="D31" s="25"/>
      <c r="E31" s="25"/>
      <c r="F31" s="25"/>
      <c r="G31" s="25">
        <f t="shared" si="5"/>
        <v>64516.7</v>
      </c>
      <c r="H31" s="24"/>
      <c r="I31" s="24"/>
      <c r="J31" s="26"/>
      <c r="K31" s="24"/>
      <c r="L31" s="24"/>
      <c r="M31" s="24"/>
      <c r="N31" s="24">
        <f>49855.6+12000+250+339.9+1116.3+677.7+277.2</f>
        <v>64516.7</v>
      </c>
      <c r="O31" s="24"/>
      <c r="P31" s="24"/>
      <c r="Q31" s="24"/>
      <c r="R31" s="24"/>
    </row>
    <row r="32" spans="1:18" ht="48.75" customHeight="1">
      <c r="A32" s="22">
        <v>19</v>
      </c>
      <c r="B32" s="23" t="s">
        <v>40</v>
      </c>
      <c r="C32" s="25">
        <f t="shared" si="4"/>
        <v>980</v>
      </c>
      <c r="D32" s="25"/>
      <c r="E32" s="25"/>
      <c r="F32" s="25"/>
      <c r="G32" s="25">
        <f t="shared" si="5"/>
        <v>980</v>
      </c>
      <c r="H32" s="24"/>
      <c r="I32" s="24"/>
      <c r="J32" s="26"/>
      <c r="K32" s="24"/>
      <c r="L32" s="24"/>
      <c r="M32" s="24"/>
      <c r="N32" s="24">
        <v>980</v>
      </c>
      <c r="O32" s="24"/>
      <c r="P32" s="24"/>
      <c r="Q32" s="24"/>
      <c r="R32" s="24"/>
    </row>
    <row r="33" spans="1:18" ht="39.75" customHeight="1">
      <c r="A33" s="22">
        <v>20</v>
      </c>
      <c r="B33" s="23" t="s">
        <v>44</v>
      </c>
      <c r="C33" s="25">
        <f t="shared" si="4"/>
        <v>4461</v>
      </c>
      <c r="D33" s="25"/>
      <c r="E33" s="25"/>
      <c r="F33" s="25"/>
      <c r="G33" s="25">
        <f t="shared" si="5"/>
        <v>4461</v>
      </c>
      <c r="H33" s="24"/>
      <c r="I33" s="24"/>
      <c r="J33" s="26"/>
      <c r="K33" s="24"/>
      <c r="L33" s="24"/>
      <c r="M33" s="24"/>
      <c r="N33" s="24">
        <v>4461</v>
      </c>
      <c r="O33" s="24"/>
      <c r="P33" s="24"/>
      <c r="Q33" s="24"/>
      <c r="R33" s="24"/>
    </row>
    <row r="34" spans="1:18" ht="15.75">
      <c r="A34" s="167" t="s">
        <v>0</v>
      </c>
      <c r="B34" s="167"/>
      <c r="C34" s="25">
        <f>G34+F34+E34</f>
        <v>924970.0200000001</v>
      </c>
      <c r="D34" s="25">
        <f>SUM(D14:D25)</f>
        <v>834301.9</v>
      </c>
      <c r="E34" s="25">
        <f>SUM(E14:E25)+E26+E27+E28+E29+E30+E31+E32+E33</f>
        <v>6917.8</v>
      </c>
      <c r="F34" s="25">
        <f>SUM(F14:F25)+F26+F27+F28+F29+F30+F31+F32+F33</f>
        <v>7500</v>
      </c>
      <c r="G34" s="25">
        <f>J34+N34+R34</f>
        <v>910552.2200000001</v>
      </c>
      <c r="H34" s="25">
        <f>SUM(H14:H25)+H26+H27+H28+H29+H30+H31+H32+H33</f>
        <v>6917.8</v>
      </c>
      <c r="I34" s="25">
        <f>SUM(I14:I25)+I26+I27+I28+I29+I30+I31+I32+I33</f>
        <v>2500</v>
      </c>
      <c r="J34" s="25">
        <f>J14+J15+J16+J17+J18+J19+J20+J21+J22+J23+J24+J25+J26+J27+J28+J29+J30+J31+J32+J33</f>
        <v>209564.28</v>
      </c>
      <c r="K34" s="25" t="e">
        <f>SUM(K14:K25)</f>
        <v>#REF!</v>
      </c>
      <c r="L34" s="25">
        <f>SUM(L14:L25)+L26+L27+L28+L29+L30+L31+L32+L33</f>
        <v>0</v>
      </c>
      <c r="M34" s="25">
        <f>SUM(M14:M25)+M26+M27+M28+M29+M30+M31+M32+M33</f>
        <v>2500</v>
      </c>
      <c r="N34" s="25">
        <f>N14+N15+N16+N17+N18+N19+N20+N21+N22+N23+N24+N25+N28+N29+N30+N31+N32+N33+N26+N27</f>
        <v>452544.18000000005</v>
      </c>
      <c r="O34" s="25" t="e">
        <f>SUM(O14:O25)</f>
        <v>#REF!</v>
      </c>
      <c r="P34" s="25">
        <f>SUM(P14:P25)+P26+P27+P28+P29+P30+P31+P32+P33</f>
        <v>0</v>
      </c>
      <c r="Q34" s="25">
        <f>SUM(Q14:Q25)+Q26+Q27+Q28+Q29+Q30+Q31+Q32+Q33</f>
        <v>2500</v>
      </c>
      <c r="R34" s="25">
        <f>R14+R15+R16+R17+R18+R19+R20+R21+R22+R23+R25+R28+R29+R30+R31+R32+R33</f>
        <v>248443.76</v>
      </c>
    </row>
    <row r="35" spans="1:16" ht="6.75" customHeight="1">
      <c r="A35" s="4"/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20" ht="25.5" customHeight="1">
      <c r="A36" s="168" t="s">
        <v>30</v>
      </c>
      <c r="B36" s="168"/>
      <c r="C36" s="31"/>
      <c r="D36" s="9"/>
      <c r="E36" s="11"/>
      <c r="F36" s="9"/>
      <c r="G36" s="9"/>
      <c r="H36" s="7"/>
      <c r="I36" s="7"/>
      <c r="J36" s="7"/>
      <c r="N36" s="19"/>
      <c r="P36" s="169" t="s">
        <v>2</v>
      </c>
      <c r="Q36" s="169"/>
      <c r="R36" s="5"/>
      <c r="S36" s="5"/>
      <c r="T36" s="5"/>
    </row>
    <row r="37" spans="1:20" ht="25.5" customHeight="1">
      <c r="A37" s="34"/>
      <c r="B37" s="34"/>
      <c r="C37" s="31"/>
      <c r="D37" s="9"/>
      <c r="E37" s="11"/>
      <c r="F37" s="9"/>
      <c r="G37" s="9"/>
      <c r="H37" s="7"/>
      <c r="I37" s="7"/>
      <c r="J37" s="7"/>
      <c r="N37" s="19"/>
      <c r="P37" s="90"/>
      <c r="Q37" s="90"/>
      <c r="R37" s="5"/>
      <c r="S37" s="5"/>
      <c r="T37" s="5"/>
    </row>
    <row r="38" spans="1:19" ht="15" customHeight="1">
      <c r="A38" s="165" t="s">
        <v>36</v>
      </c>
      <c r="B38" s="165"/>
      <c r="C38" s="12"/>
      <c r="D38" s="8"/>
      <c r="E38" s="8"/>
      <c r="F38" s="1"/>
      <c r="G38" s="1"/>
      <c r="H38" s="166"/>
      <c r="I38" s="166"/>
      <c r="J38" s="166"/>
      <c r="K38" s="166"/>
      <c r="L38" s="166"/>
      <c r="M38" s="166"/>
      <c r="N38" s="166"/>
      <c r="O38" s="166"/>
      <c r="P38" s="10"/>
      <c r="Q38" s="18"/>
      <c r="S38" s="10"/>
    </row>
    <row r="39" spans="1:7" ht="29.25" customHeight="1">
      <c r="A39" s="13" t="s">
        <v>31</v>
      </c>
      <c r="B39" s="13"/>
      <c r="C39" s="19"/>
      <c r="D39" s="19"/>
      <c r="E39" s="19"/>
      <c r="F39" s="19"/>
      <c r="G39" s="19"/>
    </row>
    <row r="40" spans="1:16" ht="12.75" hidden="1">
      <c r="A40" s="20"/>
      <c r="B40" s="21"/>
      <c r="O40" s="19"/>
      <c r="P40" s="19"/>
    </row>
    <row r="41" spans="1:2" ht="12.75">
      <c r="A41" s="20"/>
      <c r="B41" s="20"/>
    </row>
    <row r="42" spans="1:18" ht="12.75">
      <c r="A42" s="20"/>
      <c r="B42" s="2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2" ht="12.75">
      <c r="A43" s="20"/>
      <c r="B43" s="20"/>
    </row>
    <row r="44" spans="1:2" ht="12.75">
      <c r="A44" s="20"/>
      <c r="B44" s="20"/>
    </row>
    <row r="45" spans="1:16" ht="12.75">
      <c r="A45" s="20"/>
      <c r="B45" s="20"/>
      <c r="O45" s="19"/>
      <c r="P45" s="19"/>
    </row>
    <row r="46" spans="1:16" ht="12.75">
      <c r="A46" s="20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>
      <c r="A47" s="20"/>
      <c r="B47" s="20"/>
      <c r="C47" s="19"/>
      <c r="D47" s="19"/>
      <c r="E47" s="19"/>
      <c r="F47" s="19"/>
      <c r="G47" s="19"/>
      <c r="O47" s="19"/>
      <c r="P47" s="19"/>
    </row>
    <row r="48" spans="1:2" ht="12.75">
      <c r="A48" s="20"/>
      <c r="B48" s="20"/>
    </row>
    <row r="49" spans="1:2" ht="12.75">
      <c r="A49" s="20"/>
      <c r="B49" s="20"/>
    </row>
    <row r="50" spans="1:16" ht="12.75">
      <c r="A50" s="20"/>
      <c r="B50" s="20"/>
      <c r="O50" s="19" t="e">
        <f>O47+O14+929.5+692.9</f>
        <v>#REF!</v>
      </c>
      <c r="P50" s="19"/>
    </row>
    <row r="51" spans="1:2" ht="12.75">
      <c r="A51" s="20"/>
      <c r="B51" s="20"/>
    </row>
    <row r="52" spans="1:16" ht="12.75">
      <c r="A52" s="20"/>
      <c r="B52" s="20"/>
      <c r="O52" s="19" t="e">
        <f>O50+16506</f>
        <v>#REF!</v>
      </c>
      <c r="P52" s="19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ht="12.75">
      <c r="A79" s="20"/>
    </row>
  </sheetData>
  <sheetProtection/>
  <mergeCells count="26">
    <mergeCell ref="K10:R10"/>
    <mergeCell ref="K12:K13"/>
    <mergeCell ref="A38:B38"/>
    <mergeCell ref="H38:O38"/>
    <mergeCell ref="A34:B34"/>
    <mergeCell ref="A36:B36"/>
    <mergeCell ref="P36:Q36"/>
    <mergeCell ref="G12:G13"/>
    <mergeCell ref="E12:E13"/>
    <mergeCell ref="F12:F13"/>
    <mergeCell ref="B11:B13"/>
    <mergeCell ref="C11:C13"/>
    <mergeCell ref="E11:G11"/>
    <mergeCell ref="H11:R11"/>
    <mergeCell ref="P12:R12"/>
    <mergeCell ref="H12:J12"/>
    <mergeCell ref="M1:R1"/>
    <mergeCell ref="M2:R2"/>
    <mergeCell ref="M3:R3"/>
    <mergeCell ref="M4:R4"/>
    <mergeCell ref="L12:N12"/>
    <mergeCell ref="O12:O13"/>
    <mergeCell ref="M5:R5"/>
    <mergeCell ref="M6:R6"/>
    <mergeCell ref="A9:R9"/>
    <mergeCell ref="A11:A1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zoomScalePageLayoutView="0" workbookViewId="0" topLeftCell="A1">
      <selection activeCell="S14" sqref="S14"/>
    </sheetView>
  </sheetViews>
  <sheetFormatPr defaultColWidth="9.140625" defaultRowHeight="12.75"/>
  <cols>
    <col min="1" max="1" width="6.7109375" style="108" customWidth="1"/>
    <col min="2" max="2" width="44.421875" style="108" customWidth="1"/>
    <col min="3" max="3" width="18.00390625" style="108" customWidth="1"/>
    <col min="4" max="4" width="12.00390625" style="108" customWidth="1"/>
    <col min="5" max="5" width="9.7109375" style="108" customWidth="1"/>
    <col min="6" max="6" width="10.8515625" style="108" customWidth="1"/>
    <col min="7" max="8" width="11.57421875" style="108" hidden="1" customWidth="1"/>
    <col min="9" max="9" width="12.57421875" style="108" hidden="1" customWidth="1"/>
    <col min="10" max="10" width="10.00390625" style="108" customWidth="1"/>
    <col min="11" max="11" width="43.28125" style="108" customWidth="1"/>
    <col min="12" max="13" width="9.140625" style="108" hidden="1" customWidth="1"/>
    <col min="14" max="14" width="9.8515625" style="108" hidden="1" customWidth="1"/>
    <col min="15" max="15" width="10.140625" style="108" customWidth="1"/>
    <col min="16" max="16384" width="9.140625" style="108" customWidth="1"/>
  </cols>
  <sheetData>
    <row r="1" spans="2:12" ht="15.75">
      <c r="B1" s="109"/>
      <c r="C1" s="109"/>
      <c r="D1" s="109"/>
      <c r="E1" s="109"/>
      <c r="F1" s="109"/>
      <c r="G1" s="109"/>
      <c r="H1" s="109"/>
      <c r="I1" s="110" t="s">
        <v>45</v>
      </c>
      <c r="J1" s="170" t="s">
        <v>150</v>
      </c>
      <c r="K1" s="170"/>
      <c r="L1" s="110" t="s">
        <v>45</v>
      </c>
    </row>
    <row r="2" spans="2:12" ht="15.75">
      <c r="B2" s="109"/>
      <c r="C2" s="109"/>
      <c r="D2" s="109"/>
      <c r="E2" s="109"/>
      <c r="F2" s="109"/>
      <c r="G2" s="109"/>
      <c r="H2" s="109"/>
      <c r="I2" s="111" t="s">
        <v>46</v>
      </c>
      <c r="J2" s="171" t="s">
        <v>46</v>
      </c>
      <c r="K2" s="171"/>
      <c r="L2" s="111" t="s">
        <v>46</v>
      </c>
    </row>
    <row r="3" spans="2:12" ht="15.75">
      <c r="B3" s="109"/>
      <c r="C3" s="109"/>
      <c r="D3" s="109"/>
      <c r="E3" s="109"/>
      <c r="F3" s="109"/>
      <c r="G3" s="109"/>
      <c r="H3" s="109"/>
      <c r="I3" s="111" t="s">
        <v>47</v>
      </c>
      <c r="J3" s="111" t="s">
        <v>48</v>
      </c>
      <c r="K3" s="111"/>
      <c r="L3" s="111" t="s">
        <v>47</v>
      </c>
    </row>
    <row r="4" spans="2:12" ht="15.75">
      <c r="B4" s="109"/>
      <c r="C4" s="109"/>
      <c r="D4" s="109"/>
      <c r="E4" s="109"/>
      <c r="F4" s="109"/>
      <c r="G4" s="109"/>
      <c r="H4" s="109"/>
      <c r="I4" s="111" t="s">
        <v>49</v>
      </c>
      <c r="J4" s="111" t="s">
        <v>50</v>
      </c>
      <c r="K4" s="111"/>
      <c r="L4" s="111" t="s">
        <v>49</v>
      </c>
    </row>
    <row r="5" spans="2:12" ht="15.75">
      <c r="B5" s="109"/>
      <c r="C5" s="109"/>
      <c r="D5" s="109"/>
      <c r="E5" s="109"/>
      <c r="F5" s="109"/>
      <c r="G5" s="109"/>
      <c r="H5" s="109"/>
      <c r="I5" s="111" t="s">
        <v>51</v>
      </c>
      <c r="J5" s="111" t="s">
        <v>52</v>
      </c>
      <c r="K5" s="111"/>
      <c r="L5" s="111" t="s">
        <v>51</v>
      </c>
    </row>
    <row r="6" spans="2:12" ht="15.75">
      <c r="B6" s="109"/>
      <c r="C6" s="109"/>
      <c r="D6" s="109"/>
      <c r="E6" s="109"/>
      <c r="F6" s="109"/>
      <c r="G6" s="109"/>
      <c r="H6" s="112"/>
      <c r="I6" s="111" t="s">
        <v>53</v>
      </c>
      <c r="J6" s="111" t="s">
        <v>54</v>
      </c>
      <c r="K6" s="111"/>
      <c r="L6" s="111" t="s">
        <v>53</v>
      </c>
    </row>
    <row r="7" spans="2:15" ht="15.75">
      <c r="B7" s="109"/>
      <c r="C7" s="109"/>
      <c r="D7" s="109"/>
      <c r="E7" s="109"/>
      <c r="F7" s="109"/>
      <c r="G7" s="109"/>
      <c r="H7" s="112"/>
      <c r="I7" s="111" t="s">
        <v>55</v>
      </c>
      <c r="J7" s="172" t="s">
        <v>224</v>
      </c>
      <c r="K7" s="171"/>
      <c r="L7" s="113"/>
      <c r="M7" s="113"/>
      <c r="N7" s="113"/>
      <c r="O7" s="113"/>
    </row>
    <row r="8" spans="2:12" ht="15.75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ht="1.5" customHeight="1">
      <c r="L9" s="109"/>
    </row>
    <row r="10" spans="2:12" ht="42.75" customHeight="1">
      <c r="B10" s="173" t="s">
        <v>195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09"/>
    </row>
    <row r="11" spans="1:12" ht="15.75" customHeight="1">
      <c r="A11" s="176" t="s">
        <v>152</v>
      </c>
      <c r="B11" s="176" t="s">
        <v>57</v>
      </c>
      <c r="C11" s="176" t="s">
        <v>58</v>
      </c>
      <c r="D11" s="176" t="s">
        <v>59</v>
      </c>
      <c r="E11" s="179" t="s">
        <v>4</v>
      </c>
      <c r="F11" s="179"/>
      <c r="G11" s="179"/>
      <c r="H11" s="179"/>
      <c r="I11" s="179"/>
      <c r="J11" s="180"/>
      <c r="K11" s="181" t="s">
        <v>60</v>
      </c>
      <c r="L11" s="109"/>
    </row>
    <row r="12" spans="1:12" ht="15.75">
      <c r="A12" s="178"/>
      <c r="B12" s="178"/>
      <c r="C12" s="178"/>
      <c r="D12" s="178"/>
      <c r="E12" s="176" t="s">
        <v>5</v>
      </c>
      <c r="F12" s="176" t="s">
        <v>6</v>
      </c>
      <c r="G12" s="176" t="s">
        <v>61</v>
      </c>
      <c r="H12" s="176" t="s">
        <v>62</v>
      </c>
      <c r="I12" s="176" t="s">
        <v>63</v>
      </c>
      <c r="J12" s="181" t="s">
        <v>7</v>
      </c>
      <c r="K12" s="181"/>
      <c r="L12" s="109"/>
    </row>
    <row r="13" spans="1:12" ht="15.75">
      <c r="A13" s="177"/>
      <c r="B13" s="177"/>
      <c r="C13" s="177"/>
      <c r="D13" s="177"/>
      <c r="E13" s="177"/>
      <c r="F13" s="177"/>
      <c r="G13" s="177"/>
      <c r="H13" s="177"/>
      <c r="I13" s="177"/>
      <c r="J13" s="181"/>
      <c r="K13" s="181"/>
      <c r="L13" s="109"/>
    </row>
    <row r="14" spans="1:12" ht="94.5">
      <c r="A14" s="115">
        <v>1</v>
      </c>
      <c r="B14" s="116" t="s">
        <v>193</v>
      </c>
      <c r="C14" s="117" t="s">
        <v>66</v>
      </c>
      <c r="D14" s="118">
        <f>E15+F14</f>
        <v>9294</v>
      </c>
      <c r="E14" s="119">
        <f>1214</f>
        <v>1214</v>
      </c>
      <c r="F14" s="120">
        <f>8000+80</f>
        <v>8080</v>
      </c>
      <c r="G14" s="119"/>
      <c r="H14" s="119"/>
      <c r="I14" s="119"/>
      <c r="J14" s="119" t="s">
        <v>194</v>
      </c>
      <c r="K14" s="117" t="s">
        <v>225</v>
      </c>
      <c r="L14" s="109"/>
    </row>
    <row r="15" spans="1:12" ht="32.25" customHeight="1">
      <c r="A15" s="121"/>
      <c r="B15" s="114" t="s">
        <v>0</v>
      </c>
      <c r="C15" s="122"/>
      <c r="D15" s="118">
        <f>D14</f>
        <v>9294</v>
      </c>
      <c r="E15" s="118">
        <f aca="true" t="shared" si="0" ref="E15:J15">E14</f>
        <v>1214</v>
      </c>
      <c r="F15" s="118">
        <f t="shared" si="0"/>
        <v>8080</v>
      </c>
      <c r="G15" s="118">
        <f t="shared" si="0"/>
        <v>0</v>
      </c>
      <c r="H15" s="118">
        <f t="shared" si="0"/>
        <v>0</v>
      </c>
      <c r="I15" s="118">
        <f t="shared" si="0"/>
        <v>0</v>
      </c>
      <c r="J15" s="118" t="str">
        <f t="shared" si="0"/>
        <v> </v>
      </c>
      <c r="K15" s="123"/>
      <c r="L15" s="109"/>
    </row>
    <row r="16" spans="2:12" ht="15.75">
      <c r="B16" s="124"/>
      <c r="C16" s="124"/>
      <c r="D16" s="125"/>
      <c r="E16" s="125"/>
      <c r="G16" s="125"/>
      <c r="H16" s="125"/>
      <c r="I16" s="125"/>
      <c r="J16" s="125"/>
      <c r="K16" s="126"/>
      <c r="L16" s="109"/>
    </row>
    <row r="17" spans="2:12" ht="15.75" hidden="1">
      <c r="B17" s="124"/>
      <c r="C17" s="124"/>
      <c r="D17" s="125"/>
      <c r="E17" s="125"/>
      <c r="F17" s="125"/>
      <c r="G17" s="125"/>
      <c r="H17" s="125"/>
      <c r="I17" s="125"/>
      <c r="J17" s="125"/>
      <c r="K17" s="126"/>
      <c r="L17" s="109"/>
    </row>
    <row r="18" spans="2:12" ht="18.75">
      <c r="B18" s="127"/>
      <c r="C18" s="128"/>
      <c r="E18" s="125"/>
      <c r="F18" s="125"/>
      <c r="G18" s="125"/>
      <c r="H18" s="125"/>
      <c r="I18" s="125"/>
      <c r="J18" s="125"/>
      <c r="K18" s="128"/>
      <c r="L18" s="109"/>
    </row>
    <row r="19" spans="2:12" ht="48" customHeight="1">
      <c r="B19" s="174" t="s">
        <v>30</v>
      </c>
      <c r="C19" s="174"/>
      <c r="D19" s="129"/>
      <c r="E19" s="130"/>
      <c r="F19" s="130"/>
      <c r="J19" s="131"/>
      <c r="K19" s="132" t="s">
        <v>2</v>
      </c>
      <c r="L19" s="131"/>
    </row>
    <row r="20" spans="2:11" ht="18.75">
      <c r="B20" s="175" t="s">
        <v>112</v>
      </c>
      <c r="C20" s="175"/>
      <c r="D20" s="133"/>
      <c r="E20" s="134"/>
      <c r="F20" s="134"/>
      <c r="G20" s="134"/>
      <c r="H20" s="134"/>
      <c r="I20" s="134"/>
      <c r="J20" s="109"/>
      <c r="K20" s="109"/>
    </row>
    <row r="21" spans="2:13" ht="33" customHeight="1">
      <c r="B21" s="135" t="s">
        <v>31</v>
      </c>
      <c r="C21" s="135"/>
      <c r="D21" s="134"/>
      <c r="E21" s="134"/>
      <c r="F21" s="134"/>
      <c r="G21" s="134"/>
      <c r="H21" s="134"/>
      <c r="I21" s="134"/>
      <c r="J21" s="109"/>
      <c r="K21" s="109"/>
      <c r="M21" s="111"/>
    </row>
    <row r="22" spans="2:11" ht="15.75">
      <c r="B22" s="136"/>
      <c r="C22" s="137"/>
      <c r="D22" s="138"/>
      <c r="E22" s="134"/>
      <c r="F22" s="134"/>
      <c r="G22" s="134"/>
      <c r="H22" s="134"/>
      <c r="I22" s="134"/>
      <c r="J22" s="109"/>
      <c r="K22" s="109"/>
    </row>
    <row r="23" spans="3:10" ht="15.75">
      <c r="C23" s="138"/>
      <c r="D23" s="134"/>
      <c r="E23" s="134"/>
      <c r="F23" s="134"/>
      <c r="G23" s="134"/>
      <c r="H23" s="134"/>
      <c r="I23" s="134"/>
      <c r="J23" s="134"/>
    </row>
    <row r="24" spans="3:10" ht="15.75">
      <c r="C24" s="139"/>
      <c r="D24" s="134"/>
      <c r="E24" s="134"/>
      <c r="F24" s="134"/>
      <c r="G24" s="134"/>
      <c r="H24" s="134"/>
      <c r="I24" s="134"/>
      <c r="J24" s="134"/>
    </row>
    <row r="26" ht="12.75">
      <c r="H26" s="140"/>
    </row>
  </sheetData>
  <sheetProtection/>
  <mergeCells count="18">
    <mergeCell ref="A11:A13"/>
    <mergeCell ref="B11:B13"/>
    <mergeCell ref="C11:C13"/>
    <mergeCell ref="D11:D13"/>
    <mergeCell ref="E11:J11"/>
    <mergeCell ref="K11:K13"/>
    <mergeCell ref="I12:I13"/>
    <mergeCell ref="J12:J13"/>
    <mergeCell ref="J1:K1"/>
    <mergeCell ref="J2:K2"/>
    <mergeCell ref="J7:K7"/>
    <mergeCell ref="B10:K10"/>
    <mergeCell ref="B19:C19"/>
    <mergeCell ref="B20:C20"/>
    <mergeCell ref="E12:E13"/>
    <mergeCell ref="F12:F13"/>
    <mergeCell ref="G12:G13"/>
    <mergeCell ref="H12:H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view="pageBreakPreview" zoomScale="89" zoomScaleSheetLayoutView="89" zoomScalePageLayoutView="0" workbookViewId="0" topLeftCell="A1">
      <selection activeCell="B99" sqref="B99:C99"/>
    </sheetView>
  </sheetViews>
  <sheetFormatPr defaultColWidth="9.140625" defaultRowHeight="12.75"/>
  <cols>
    <col min="1" max="1" width="4.140625" style="0" customWidth="1"/>
    <col min="2" max="2" width="45.00390625" style="0" customWidth="1"/>
    <col min="3" max="3" width="17.57421875" style="0" customWidth="1"/>
    <col min="4" max="4" width="14.28125" style="0" customWidth="1"/>
    <col min="5" max="5" width="10.421875" style="0" customWidth="1"/>
    <col min="6" max="6" width="16.7109375" style="0" customWidth="1"/>
    <col min="7" max="8" width="11.57421875" style="0" hidden="1" customWidth="1"/>
    <col min="9" max="9" width="12.57421875" style="0" hidden="1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53" t="s">
        <v>151</v>
      </c>
      <c r="K1" s="153"/>
      <c r="L1" s="2" t="s">
        <v>45</v>
      </c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54" t="s">
        <v>46</v>
      </c>
      <c r="K2" s="154"/>
      <c r="L2" s="3" t="s">
        <v>46</v>
      </c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 t="s">
        <v>47</v>
      </c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 t="s">
        <v>49</v>
      </c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52</v>
      </c>
      <c r="K5" s="3"/>
      <c r="L5" s="3" t="s">
        <v>51</v>
      </c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54</v>
      </c>
      <c r="K6" s="3"/>
      <c r="L6" s="3" t="s">
        <v>53</v>
      </c>
    </row>
    <row r="7" spans="2:15" ht="15.75">
      <c r="B7" s="1"/>
      <c r="C7" s="1"/>
      <c r="D7" s="1"/>
      <c r="E7" s="1"/>
      <c r="F7" s="1"/>
      <c r="G7" s="1"/>
      <c r="H7" s="11"/>
      <c r="I7" s="3" t="s">
        <v>55</v>
      </c>
      <c r="J7" s="183" t="s">
        <v>224</v>
      </c>
      <c r="K7" s="154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45" customHeight="1">
      <c r="B9" s="184" t="s">
        <v>42</v>
      </c>
      <c r="C9" s="184"/>
      <c r="D9" s="184"/>
      <c r="E9" s="184"/>
      <c r="F9" s="184"/>
      <c r="G9" s="184"/>
      <c r="H9" s="184"/>
      <c r="I9" s="184"/>
      <c r="J9" s="184"/>
      <c r="K9" s="184"/>
      <c r="L9" s="1"/>
    </row>
    <row r="10" spans="2:12" ht="15.75">
      <c r="B10" s="1"/>
      <c r="C10" s="1"/>
      <c r="D10" s="185"/>
      <c r="E10" s="185"/>
      <c r="F10" s="185"/>
      <c r="G10" s="185"/>
      <c r="H10" s="185"/>
      <c r="I10" s="1"/>
      <c r="J10" s="1"/>
      <c r="K10" s="35" t="s">
        <v>56</v>
      </c>
      <c r="L10" s="1"/>
    </row>
    <row r="11" spans="1:12" ht="15.75" customHeight="1">
      <c r="A11" s="158" t="s">
        <v>1</v>
      </c>
      <c r="B11" s="158" t="s">
        <v>57</v>
      </c>
      <c r="C11" s="158" t="s">
        <v>58</v>
      </c>
      <c r="D11" s="158" t="s">
        <v>59</v>
      </c>
      <c r="E11" s="186" t="s">
        <v>4</v>
      </c>
      <c r="F11" s="186"/>
      <c r="G11" s="186"/>
      <c r="H11" s="186"/>
      <c r="I11" s="186"/>
      <c r="J11" s="187"/>
      <c r="K11" s="155" t="s">
        <v>60</v>
      </c>
      <c r="L11" s="1"/>
    </row>
    <row r="12" spans="1:12" ht="15.75">
      <c r="A12" s="159"/>
      <c r="B12" s="159"/>
      <c r="C12" s="159"/>
      <c r="D12" s="159"/>
      <c r="E12" s="158" t="s">
        <v>5</v>
      </c>
      <c r="F12" s="158" t="s">
        <v>6</v>
      </c>
      <c r="G12" s="158" t="s">
        <v>61</v>
      </c>
      <c r="H12" s="158" t="s">
        <v>62</v>
      </c>
      <c r="I12" s="158" t="s">
        <v>63</v>
      </c>
      <c r="J12" s="155" t="s">
        <v>64</v>
      </c>
      <c r="K12" s="155"/>
      <c r="L12" s="1"/>
    </row>
    <row r="13" spans="1:12" ht="15.75">
      <c r="A13" s="160"/>
      <c r="B13" s="160"/>
      <c r="C13" s="160"/>
      <c r="D13" s="160"/>
      <c r="E13" s="160"/>
      <c r="F13" s="160"/>
      <c r="G13" s="160"/>
      <c r="H13" s="160"/>
      <c r="I13" s="160"/>
      <c r="J13" s="155"/>
      <c r="K13" s="155"/>
      <c r="L13" s="1"/>
    </row>
    <row r="14" spans="1:12" ht="47.25">
      <c r="A14" s="36">
        <v>1</v>
      </c>
      <c r="B14" s="37" t="s">
        <v>65</v>
      </c>
      <c r="C14" s="38" t="s">
        <v>66</v>
      </c>
      <c r="D14" s="39">
        <f>SUM(E14:J14)</f>
        <v>23854.6</v>
      </c>
      <c r="E14" s="40"/>
      <c r="F14" s="41">
        <f>F15+F16+F17+F18+F19+F20+F21+F22+F24+F25+F26+F27+F28+F29+F30+F31+F32+F33+F34+F35+F36+F38+F39+F40</f>
        <v>23854.6</v>
      </c>
      <c r="G14" s="40"/>
      <c r="H14" s="40"/>
      <c r="I14" s="40"/>
      <c r="J14" s="40"/>
      <c r="K14" s="38" t="s">
        <v>67</v>
      </c>
      <c r="L14" s="1"/>
    </row>
    <row r="15" spans="1:12" ht="18.75">
      <c r="A15" s="36"/>
      <c r="B15" s="42" t="s">
        <v>68</v>
      </c>
      <c r="C15" s="38"/>
      <c r="D15" s="39"/>
      <c r="E15" s="40"/>
      <c r="F15" s="40">
        <v>1800</v>
      </c>
      <c r="G15" s="40"/>
      <c r="H15" s="40"/>
      <c r="I15" s="40"/>
      <c r="J15" s="40"/>
      <c r="K15" s="38"/>
      <c r="L15" s="1"/>
    </row>
    <row r="16" spans="1:12" ht="31.5">
      <c r="A16" s="36"/>
      <c r="B16" s="42" t="s">
        <v>69</v>
      </c>
      <c r="C16" s="38"/>
      <c r="D16" s="39"/>
      <c r="E16" s="40"/>
      <c r="F16" s="40">
        <v>1200</v>
      </c>
      <c r="G16" s="40"/>
      <c r="H16" s="40"/>
      <c r="I16" s="40"/>
      <c r="J16" s="40"/>
      <c r="K16" s="38"/>
      <c r="L16" s="1"/>
    </row>
    <row r="17" spans="1:12" ht="20.25" customHeight="1">
      <c r="A17" s="36"/>
      <c r="B17" s="42" t="s">
        <v>70</v>
      </c>
      <c r="C17" s="38"/>
      <c r="D17" s="39"/>
      <c r="E17" s="40"/>
      <c r="F17" s="40">
        <v>700</v>
      </c>
      <c r="G17" s="40"/>
      <c r="H17" s="40"/>
      <c r="I17" s="40"/>
      <c r="J17" s="40"/>
      <c r="K17" s="38"/>
      <c r="L17" s="1"/>
    </row>
    <row r="18" spans="1:12" ht="23.25" customHeight="1">
      <c r="A18" s="36"/>
      <c r="B18" s="42" t="s">
        <v>118</v>
      </c>
      <c r="C18" s="38"/>
      <c r="D18" s="39"/>
      <c r="E18" s="40"/>
      <c r="F18" s="40">
        <f>2300+250</f>
        <v>2550</v>
      </c>
      <c r="G18" s="40"/>
      <c r="H18" s="40"/>
      <c r="I18" s="40"/>
      <c r="J18" s="40"/>
      <c r="K18" s="38"/>
      <c r="L18" s="1"/>
    </row>
    <row r="19" spans="1:12" ht="31.5" customHeight="1">
      <c r="A19" s="36"/>
      <c r="B19" s="42" t="s">
        <v>71</v>
      </c>
      <c r="C19" s="38"/>
      <c r="D19" s="39"/>
      <c r="E19" s="40"/>
      <c r="F19" s="40">
        <v>1000</v>
      </c>
      <c r="G19" s="40"/>
      <c r="H19" s="40"/>
      <c r="I19" s="40"/>
      <c r="J19" s="40"/>
      <c r="K19" s="38"/>
      <c r="L19" s="1"/>
    </row>
    <row r="20" spans="1:12" ht="65.25" customHeight="1">
      <c r="A20" s="36"/>
      <c r="B20" s="42" t="s">
        <v>72</v>
      </c>
      <c r="C20" s="38"/>
      <c r="D20" s="39"/>
      <c r="E20" s="40"/>
      <c r="F20" s="40">
        <v>147</v>
      </c>
      <c r="G20" s="40"/>
      <c r="H20" s="40"/>
      <c r="I20" s="40"/>
      <c r="J20" s="40"/>
      <c r="K20" s="38"/>
      <c r="L20" s="1"/>
    </row>
    <row r="21" spans="1:12" ht="18.75">
      <c r="A21" s="36"/>
      <c r="B21" s="42" t="s">
        <v>73</v>
      </c>
      <c r="C21" s="38"/>
      <c r="D21" s="39"/>
      <c r="E21" s="40"/>
      <c r="F21" s="40">
        <v>145</v>
      </c>
      <c r="G21" s="40"/>
      <c r="H21" s="40"/>
      <c r="I21" s="40"/>
      <c r="J21" s="40"/>
      <c r="K21" s="38"/>
      <c r="L21" s="1"/>
    </row>
    <row r="22" spans="1:12" ht="32.25" customHeight="1">
      <c r="A22" s="36"/>
      <c r="B22" s="42" t="s">
        <v>74</v>
      </c>
      <c r="C22" s="38"/>
      <c r="D22" s="39"/>
      <c r="E22" s="40"/>
      <c r="F22" s="40">
        <v>185</v>
      </c>
      <c r="G22" s="40"/>
      <c r="H22" s="40"/>
      <c r="I22" s="40"/>
      <c r="J22" s="40"/>
      <c r="K22" s="38"/>
      <c r="L22" s="1"/>
    </row>
    <row r="23" spans="1:12" ht="55.5" customHeight="1" hidden="1">
      <c r="A23" s="36"/>
      <c r="B23" s="43" t="s">
        <v>75</v>
      </c>
      <c r="C23" s="38"/>
      <c r="D23" s="39"/>
      <c r="E23" s="40"/>
      <c r="F23" s="40">
        <v>493.4</v>
      </c>
      <c r="G23" s="40"/>
      <c r="H23" s="40"/>
      <c r="I23" s="40"/>
      <c r="J23" s="40"/>
      <c r="K23" s="38"/>
      <c r="L23" s="1"/>
    </row>
    <row r="24" spans="1:12" ht="36.75" customHeight="1">
      <c r="A24" s="36"/>
      <c r="B24" s="42" t="s">
        <v>76</v>
      </c>
      <c r="C24" s="38"/>
      <c r="D24" s="39"/>
      <c r="E24" s="40"/>
      <c r="F24" s="40">
        <v>493.4</v>
      </c>
      <c r="G24" s="40"/>
      <c r="H24" s="40"/>
      <c r="I24" s="40"/>
      <c r="J24" s="40"/>
      <c r="K24" s="38"/>
      <c r="L24" s="1"/>
    </row>
    <row r="25" spans="1:12" ht="60.75" customHeight="1">
      <c r="A25" s="36"/>
      <c r="B25" s="42" t="s">
        <v>77</v>
      </c>
      <c r="C25" s="38"/>
      <c r="D25" s="39"/>
      <c r="E25" s="40"/>
      <c r="F25" s="40">
        <v>3145.6</v>
      </c>
      <c r="G25" s="40"/>
      <c r="H25" s="40"/>
      <c r="I25" s="40"/>
      <c r="J25" s="40"/>
      <c r="K25" s="38"/>
      <c r="L25" s="1"/>
    </row>
    <row r="26" spans="1:12" ht="47.25">
      <c r="A26" s="36"/>
      <c r="B26" s="42" t="s">
        <v>78</v>
      </c>
      <c r="C26" s="38"/>
      <c r="D26" s="39"/>
      <c r="E26" s="40"/>
      <c r="F26" s="40">
        <v>458</v>
      </c>
      <c r="G26" s="40"/>
      <c r="H26" s="40"/>
      <c r="I26" s="40"/>
      <c r="J26" s="40"/>
      <c r="K26" s="38"/>
      <c r="L26" s="1"/>
    </row>
    <row r="27" spans="1:12" ht="47.25">
      <c r="A27" s="36"/>
      <c r="B27" s="42" t="s">
        <v>79</v>
      </c>
      <c r="C27" s="38"/>
      <c r="D27" s="39"/>
      <c r="E27" s="40"/>
      <c r="F27" s="40">
        <v>782</v>
      </c>
      <c r="G27" s="40"/>
      <c r="H27" s="40"/>
      <c r="I27" s="40"/>
      <c r="J27" s="40"/>
      <c r="K27" s="38"/>
      <c r="L27" s="1"/>
    </row>
    <row r="28" spans="1:12" ht="63">
      <c r="A28" s="36"/>
      <c r="B28" s="42" t="s">
        <v>80</v>
      </c>
      <c r="C28" s="38"/>
      <c r="D28" s="39"/>
      <c r="E28" s="40"/>
      <c r="F28" s="40">
        <v>2340</v>
      </c>
      <c r="G28" s="40"/>
      <c r="H28" s="40"/>
      <c r="I28" s="40"/>
      <c r="J28" s="40"/>
      <c r="K28" s="38"/>
      <c r="L28" s="1"/>
    </row>
    <row r="29" spans="1:12" ht="72" customHeight="1">
      <c r="A29" s="36"/>
      <c r="B29" s="42" t="s">
        <v>81</v>
      </c>
      <c r="C29" s="38"/>
      <c r="D29" s="39"/>
      <c r="E29" s="40"/>
      <c r="F29" s="40">
        <v>2368.9</v>
      </c>
      <c r="G29" s="40"/>
      <c r="H29" s="40"/>
      <c r="I29" s="40"/>
      <c r="J29" s="40"/>
      <c r="K29" s="38"/>
      <c r="L29" s="1"/>
    </row>
    <row r="30" spans="1:12" ht="55.5" customHeight="1">
      <c r="A30" s="36"/>
      <c r="B30" s="42" t="s">
        <v>82</v>
      </c>
      <c r="C30" s="38"/>
      <c r="D30" s="39"/>
      <c r="E30" s="40"/>
      <c r="F30" s="40">
        <v>445.7</v>
      </c>
      <c r="G30" s="40"/>
      <c r="H30" s="40"/>
      <c r="I30" s="40"/>
      <c r="J30" s="40"/>
      <c r="K30" s="38"/>
      <c r="L30" s="1"/>
    </row>
    <row r="31" spans="1:12" ht="63">
      <c r="A31" s="36"/>
      <c r="B31" s="42" t="s">
        <v>83</v>
      </c>
      <c r="C31" s="38"/>
      <c r="D31" s="39"/>
      <c r="E31" s="40"/>
      <c r="F31" s="40">
        <v>350.1</v>
      </c>
      <c r="G31" s="40"/>
      <c r="H31" s="40"/>
      <c r="I31" s="40"/>
      <c r="J31" s="40"/>
      <c r="K31" s="38"/>
      <c r="L31" s="1"/>
    </row>
    <row r="32" spans="1:12" ht="66" customHeight="1">
      <c r="A32" s="36"/>
      <c r="B32" s="42" t="s">
        <v>84</v>
      </c>
      <c r="C32" s="38"/>
      <c r="D32" s="39"/>
      <c r="E32" s="40"/>
      <c r="F32" s="40">
        <v>792.1</v>
      </c>
      <c r="G32" s="40"/>
      <c r="H32" s="40"/>
      <c r="I32" s="40"/>
      <c r="J32" s="40"/>
      <c r="K32" s="38"/>
      <c r="L32" s="1"/>
    </row>
    <row r="33" spans="1:12" ht="66" customHeight="1">
      <c r="A33" s="36"/>
      <c r="B33" s="42" t="s">
        <v>85</v>
      </c>
      <c r="C33" s="38"/>
      <c r="D33" s="39"/>
      <c r="E33" s="40"/>
      <c r="F33" s="40">
        <v>161</v>
      </c>
      <c r="G33" s="40"/>
      <c r="H33" s="40"/>
      <c r="I33" s="40"/>
      <c r="J33" s="40"/>
      <c r="K33" s="38"/>
      <c r="L33" s="1"/>
    </row>
    <row r="34" spans="1:12" ht="66" customHeight="1">
      <c r="A34" s="36"/>
      <c r="B34" s="42" t="s">
        <v>86</v>
      </c>
      <c r="C34" s="38"/>
      <c r="D34" s="39"/>
      <c r="E34" s="40"/>
      <c r="F34" s="40">
        <v>251.6</v>
      </c>
      <c r="G34" s="40"/>
      <c r="H34" s="40"/>
      <c r="I34" s="40"/>
      <c r="J34" s="40"/>
      <c r="K34" s="38"/>
      <c r="L34" s="1"/>
    </row>
    <row r="35" spans="1:12" ht="75" customHeight="1">
      <c r="A35" s="36"/>
      <c r="B35" s="44" t="s">
        <v>87</v>
      </c>
      <c r="C35" s="38"/>
      <c r="D35" s="39"/>
      <c r="E35" s="40"/>
      <c r="F35" s="40">
        <v>3220</v>
      </c>
      <c r="G35" s="40"/>
      <c r="H35" s="40"/>
      <c r="I35" s="40"/>
      <c r="J35" s="40"/>
      <c r="K35" s="38"/>
      <c r="L35" s="1"/>
    </row>
    <row r="36" spans="1:12" ht="54.75" customHeight="1">
      <c r="A36" s="36"/>
      <c r="B36" s="44" t="s">
        <v>88</v>
      </c>
      <c r="C36" s="38"/>
      <c r="D36" s="39"/>
      <c r="E36" s="40"/>
      <c r="F36" s="40">
        <v>1000</v>
      </c>
      <c r="G36" s="40"/>
      <c r="H36" s="40"/>
      <c r="I36" s="40"/>
      <c r="J36" s="40"/>
      <c r="K36" s="38"/>
      <c r="L36" s="1"/>
    </row>
    <row r="37" spans="1:12" ht="55.5" customHeight="1" hidden="1">
      <c r="A37" s="36"/>
      <c r="B37" s="37"/>
      <c r="C37" s="38"/>
      <c r="D37" s="39"/>
      <c r="E37" s="40"/>
      <c r="F37" s="40"/>
      <c r="G37" s="40"/>
      <c r="H37" s="40"/>
      <c r="I37" s="40"/>
      <c r="J37" s="40"/>
      <c r="K37" s="38"/>
      <c r="L37" s="1"/>
    </row>
    <row r="38" spans="1:12" ht="18.75">
      <c r="A38" s="36"/>
      <c r="B38" s="37" t="s">
        <v>202</v>
      </c>
      <c r="C38" s="38"/>
      <c r="D38" s="39"/>
      <c r="E38" s="40"/>
      <c r="F38" s="40">
        <v>190</v>
      </c>
      <c r="G38" s="40"/>
      <c r="H38" s="40"/>
      <c r="I38" s="40"/>
      <c r="J38" s="40"/>
      <c r="K38" s="38"/>
      <c r="L38" s="1"/>
    </row>
    <row r="39" spans="1:12" ht="18.75">
      <c r="A39" s="36"/>
      <c r="B39" s="37" t="s">
        <v>203</v>
      </c>
      <c r="C39" s="38"/>
      <c r="D39" s="39"/>
      <c r="E39" s="40"/>
      <c r="F39" s="40">
        <v>59.5</v>
      </c>
      <c r="G39" s="40"/>
      <c r="H39" s="40"/>
      <c r="I39" s="40"/>
      <c r="J39" s="40"/>
      <c r="K39" s="38"/>
      <c r="L39" s="1"/>
    </row>
    <row r="40" spans="1:12" ht="18.75">
      <c r="A40" s="36"/>
      <c r="B40" s="37" t="s">
        <v>204</v>
      </c>
      <c r="C40" s="38"/>
      <c r="D40" s="39"/>
      <c r="E40" s="40"/>
      <c r="F40" s="40">
        <v>69.7</v>
      </c>
      <c r="G40" s="40"/>
      <c r="H40" s="40"/>
      <c r="I40" s="40"/>
      <c r="J40" s="40"/>
      <c r="K40" s="38"/>
      <c r="L40" s="1"/>
    </row>
    <row r="41" spans="1:14" ht="47.25">
      <c r="A41" s="36">
        <v>2</v>
      </c>
      <c r="B41" s="37" t="s">
        <v>89</v>
      </c>
      <c r="C41" s="38" t="s">
        <v>66</v>
      </c>
      <c r="D41" s="39">
        <f>SUM(E41:J41)</f>
        <v>5137.500000000001</v>
      </c>
      <c r="E41" s="45"/>
      <c r="F41" s="41">
        <f>SUM(F42:F54)</f>
        <v>5137.500000000001</v>
      </c>
      <c r="G41" s="40"/>
      <c r="H41" s="40"/>
      <c r="I41" s="40"/>
      <c r="J41" s="40"/>
      <c r="K41" s="38" t="s">
        <v>90</v>
      </c>
      <c r="L41" s="1"/>
      <c r="N41" s="46">
        <v>441</v>
      </c>
    </row>
    <row r="42" spans="1:14" ht="18.75">
      <c r="A42" s="36"/>
      <c r="B42" s="42" t="s">
        <v>199</v>
      </c>
      <c r="C42" s="38"/>
      <c r="D42" s="39"/>
      <c r="E42" s="45"/>
      <c r="F42" s="40">
        <v>1525.2</v>
      </c>
      <c r="G42" s="40"/>
      <c r="H42" s="40"/>
      <c r="I42" s="40"/>
      <c r="J42" s="40"/>
      <c r="K42" s="38"/>
      <c r="L42" s="1"/>
      <c r="N42" s="46"/>
    </row>
    <row r="43" spans="1:14" ht="31.5">
      <c r="A43" s="36"/>
      <c r="B43" s="42" t="s">
        <v>200</v>
      </c>
      <c r="C43" s="38"/>
      <c r="D43" s="39"/>
      <c r="E43" s="45"/>
      <c r="F43" s="40">
        <f>2446.1+339.9</f>
        <v>2786</v>
      </c>
      <c r="G43" s="40"/>
      <c r="H43" s="40"/>
      <c r="I43" s="40"/>
      <c r="J43" s="40"/>
      <c r="K43" s="38"/>
      <c r="L43" s="1"/>
      <c r="N43" s="46"/>
    </row>
    <row r="44" spans="1:14" ht="31.5">
      <c r="A44" s="36"/>
      <c r="B44" s="42" t="s">
        <v>201</v>
      </c>
      <c r="C44" s="38"/>
      <c r="D44" s="39"/>
      <c r="E44" s="45"/>
      <c r="F44" s="40">
        <v>549.1</v>
      </c>
      <c r="G44" s="40"/>
      <c r="H44" s="40"/>
      <c r="I44" s="40"/>
      <c r="J44" s="40"/>
      <c r="K44" s="38"/>
      <c r="L44" s="1"/>
      <c r="N44" s="46"/>
    </row>
    <row r="45" spans="1:14" ht="18.75">
      <c r="A45" s="36"/>
      <c r="B45" s="42" t="s">
        <v>233</v>
      </c>
      <c r="C45" s="38"/>
      <c r="D45" s="39"/>
      <c r="E45" s="45"/>
      <c r="F45" s="148">
        <v>24.818</v>
      </c>
      <c r="G45" s="40"/>
      <c r="H45" s="40"/>
      <c r="I45" s="40"/>
      <c r="J45" s="40"/>
      <c r="K45" s="38"/>
      <c r="L45" s="1"/>
      <c r="N45" s="46"/>
    </row>
    <row r="46" spans="1:14" ht="18.75">
      <c r="A46" s="36"/>
      <c r="B46" s="42" t="s">
        <v>234</v>
      </c>
      <c r="C46" s="38"/>
      <c r="D46" s="39"/>
      <c r="E46" s="45"/>
      <c r="F46" s="148">
        <v>22.025</v>
      </c>
      <c r="G46" s="40"/>
      <c r="H46" s="40"/>
      <c r="I46" s="40"/>
      <c r="J46" s="40"/>
      <c r="K46" s="38"/>
      <c r="L46" s="1"/>
      <c r="N46" s="46"/>
    </row>
    <row r="47" spans="1:14" ht="31.5">
      <c r="A47" s="36"/>
      <c r="B47" s="42" t="s">
        <v>235</v>
      </c>
      <c r="C47" s="38"/>
      <c r="D47" s="39"/>
      <c r="E47" s="45"/>
      <c r="F47" s="148">
        <f>15.118*6</f>
        <v>90.708</v>
      </c>
      <c r="G47" s="40"/>
      <c r="H47" s="40"/>
      <c r="I47" s="40"/>
      <c r="J47" s="40"/>
      <c r="K47" s="38"/>
      <c r="L47" s="1"/>
      <c r="N47" s="46"/>
    </row>
    <row r="48" spans="1:14" ht="31.5">
      <c r="A48" s="36"/>
      <c r="B48" s="42" t="s">
        <v>236</v>
      </c>
      <c r="C48" s="38"/>
      <c r="D48" s="39"/>
      <c r="E48" s="45"/>
      <c r="F48" s="40">
        <v>3.6</v>
      </c>
      <c r="G48" s="40"/>
      <c r="H48" s="40"/>
      <c r="I48" s="40"/>
      <c r="J48" s="40"/>
      <c r="K48" s="38"/>
      <c r="L48" s="1"/>
      <c r="N48" s="46"/>
    </row>
    <row r="49" spans="1:14" ht="21.75" customHeight="1">
      <c r="A49" s="36"/>
      <c r="B49" s="42" t="s">
        <v>237</v>
      </c>
      <c r="C49" s="38"/>
      <c r="D49" s="39"/>
      <c r="E49" s="45"/>
      <c r="F49" s="148">
        <v>6.899</v>
      </c>
      <c r="G49" s="40"/>
      <c r="H49" s="40"/>
      <c r="I49" s="40"/>
      <c r="J49" s="40"/>
      <c r="K49" s="38"/>
      <c r="L49" s="1"/>
      <c r="N49" s="46"/>
    </row>
    <row r="50" spans="1:14" ht="47.25">
      <c r="A50" s="36"/>
      <c r="B50" s="42" t="s">
        <v>238</v>
      </c>
      <c r="C50" s="38"/>
      <c r="D50" s="39"/>
      <c r="E50" s="45"/>
      <c r="F50" s="148">
        <v>6.26</v>
      </c>
      <c r="G50" s="40"/>
      <c r="H50" s="40"/>
      <c r="I50" s="40"/>
      <c r="J50" s="40"/>
      <c r="K50" s="38"/>
      <c r="L50" s="1"/>
      <c r="N50" s="46"/>
    </row>
    <row r="51" spans="1:14" ht="47.25">
      <c r="A51" s="36"/>
      <c r="B51" s="42" t="s">
        <v>239</v>
      </c>
      <c r="C51" s="38"/>
      <c r="D51" s="39"/>
      <c r="E51" s="45"/>
      <c r="F51" s="148">
        <v>10.678</v>
      </c>
      <c r="G51" s="40"/>
      <c r="H51" s="40"/>
      <c r="I51" s="40"/>
      <c r="J51" s="40"/>
      <c r="K51" s="38"/>
      <c r="L51" s="1"/>
      <c r="N51" s="46"/>
    </row>
    <row r="52" spans="1:14" ht="50.25" customHeight="1">
      <c r="A52" s="36"/>
      <c r="B52" s="42" t="s">
        <v>240</v>
      </c>
      <c r="C52" s="38"/>
      <c r="D52" s="39"/>
      <c r="E52" s="45"/>
      <c r="F52" s="148">
        <v>7.372</v>
      </c>
      <c r="G52" s="40"/>
      <c r="H52" s="40"/>
      <c r="I52" s="40"/>
      <c r="J52" s="40"/>
      <c r="K52" s="38"/>
      <c r="L52" s="1"/>
      <c r="N52" s="46"/>
    </row>
    <row r="53" spans="1:14" ht="47.25">
      <c r="A53" s="36"/>
      <c r="B53" s="42" t="s">
        <v>241</v>
      </c>
      <c r="C53" s="38"/>
      <c r="D53" s="39"/>
      <c r="E53" s="45"/>
      <c r="F53" s="148">
        <v>2.692</v>
      </c>
      <c r="G53" s="40"/>
      <c r="H53" s="40"/>
      <c r="I53" s="40"/>
      <c r="J53" s="40"/>
      <c r="K53" s="38"/>
      <c r="L53" s="1"/>
      <c r="N53" s="46"/>
    </row>
    <row r="54" spans="1:14" ht="18.75">
      <c r="A54" s="36"/>
      <c r="B54" s="42" t="s">
        <v>242</v>
      </c>
      <c r="C54" s="38"/>
      <c r="D54" s="39"/>
      <c r="E54" s="45"/>
      <c r="F54" s="148">
        <v>102.148</v>
      </c>
      <c r="G54" s="40"/>
      <c r="H54" s="40"/>
      <c r="I54" s="40"/>
      <c r="J54" s="40"/>
      <c r="K54" s="38"/>
      <c r="L54" s="1"/>
      <c r="N54" s="46"/>
    </row>
    <row r="55" spans="1:14" ht="47.25">
      <c r="A55" s="36">
        <v>3</v>
      </c>
      <c r="B55" s="37" t="s">
        <v>91</v>
      </c>
      <c r="C55" s="38" t="s">
        <v>66</v>
      </c>
      <c r="D55" s="39">
        <f>SUM(E55:J55)</f>
        <v>6600.1</v>
      </c>
      <c r="E55" s="45"/>
      <c r="F55" s="41">
        <f>F56+F58+F59+F60+F62</f>
        <v>6600.1</v>
      </c>
      <c r="G55" s="40"/>
      <c r="H55" s="40"/>
      <c r="I55" s="40"/>
      <c r="J55" s="40"/>
      <c r="K55" s="38" t="s">
        <v>92</v>
      </c>
      <c r="L55" s="1"/>
      <c r="N55" s="46"/>
    </row>
    <row r="56" spans="1:14" ht="18.75">
      <c r="A56" s="36"/>
      <c r="B56" s="42" t="s">
        <v>93</v>
      </c>
      <c r="C56" s="38"/>
      <c r="D56" s="39"/>
      <c r="E56" s="45"/>
      <c r="F56" s="40">
        <v>2250</v>
      </c>
      <c r="G56" s="40"/>
      <c r="H56" s="40"/>
      <c r="I56" s="40"/>
      <c r="J56" s="40"/>
      <c r="K56" s="38"/>
      <c r="L56" s="1"/>
      <c r="N56" s="46"/>
    </row>
    <row r="57" spans="1:14" ht="17.25" customHeight="1" hidden="1">
      <c r="A57" s="36"/>
      <c r="B57" s="47" t="s">
        <v>94</v>
      </c>
      <c r="C57" s="38"/>
      <c r="D57" s="39"/>
      <c r="E57" s="45"/>
      <c r="F57" s="40"/>
      <c r="G57" s="40"/>
      <c r="H57" s="40"/>
      <c r="I57" s="40"/>
      <c r="J57" s="40"/>
      <c r="K57" s="38"/>
      <c r="L57" s="1"/>
      <c r="N57" s="46"/>
    </row>
    <row r="58" spans="1:14" ht="33.75" customHeight="1">
      <c r="A58" s="36"/>
      <c r="B58" s="42" t="s">
        <v>95</v>
      </c>
      <c r="C58" s="38"/>
      <c r="D58" s="39"/>
      <c r="E58" s="45"/>
      <c r="F58" s="40">
        <v>1715.3</v>
      </c>
      <c r="G58" s="40"/>
      <c r="H58" s="40"/>
      <c r="I58" s="40"/>
      <c r="J58" s="40"/>
      <c r="K58" s="38"/>
      <c r="L58" s="1"/>
      <c r="N58" s="46"/>
    </row>
    <row r="59" spans="1:14" ht="18.75" customHeight="1">
      <c r="A59" s="36"/>
      <c r="B59" s="42" t="s">
        <v>96</v>
      </c>
      <c r="C59" s="38"/>
      <c r="D59" s="39"/>
      <c r="E59" s="45"/>
      <c r="F59" s="40">
        <v>446.3</v>
      </c>
      <c r="G59" s="40"/>
      <c r="H59" s="40"/>
      <c r="I59" s="40"/>
      <c r="J59" s="40"/>
      <c r="K59" s="38"/>
      <c r="L59" s="1"/>
      <c r="N59" s="46"/>
    </row>
    <row r="60" spans="1:14" ht="18.75">
      <c r="A60" s="36"/>
      <c r="B60" s="42" t="s">
        <v>196</v>
      </c>
      <c r="C60" s="38"/>
      <c r="D60" s="39"/>
      <c r="E60" s="45"/>
      <c r="F60" s="40">
        <v>1830</v>
      </c>
      <c r="G60" s="40"/>
      <c r="H60" s="40"/>
      <c r="I60" s="40"/>
      <c r="J60" s="40"/>
      <c r="K60" s="38"/>
      <c r="L60" s="1"/>
      <c r="N60" s="46"/>
    </row>
    <row r="61" spans="1:14" ht="66" customHeight="1" hidden="1">
      <c r="A61" s="36"/>
      <c r="B61" s="37"/>
      <c r="C61" s="38"/>
      <c r="D61" s="39"/>
      <c r="E61" s="45"/>
      <c r="F61" s="40"/>
      <c r="G61" s="40"/>
      <c r="H61" s="40"/>
      <c r="I61" s="40"/>
      <c r="J61" s="40"/>
      <c r="K61" s="38"/>
      <c r="L61" s="1"/>
      <c r="N61" s="46"/>
    </row>
    <row r="62" spans="1:14" ht="31.5">
      <c r="A62" s="36"/>
      <c r="B62" s="37" t="s">
        <v>198</v>
      </c>
      <c r="C62" s="38"/>
      <c r="D62" s="39"/>
      <c r="E62" s="45"/>
      <c r="F62" s="40">
        <v>358.5</v>
      </c>
      <c r="G62" s="40"/>
      <c r="H62" s="40"/>
      <c r="I62" s="40"/>
      <c r="J62" s="40"/>
      <c r="K62" s="38"/>
      <c r="L62" s="1"/>
      <c r="N62" s="46"/>
    </row>
    <row r="63" spans="1:14" ht="42" customHeight="1">
      <c r="A63" s="36">
        <v>4</v>
      </c>
      <c r="B63" s="37" t="s">
        <v>97</v>
      </c>
      <c r="C63" s="38" t="s">
        <v>66</v>
      </c>
      <c r="D63" s="39">
        <f>SUM(E63:J63)</f>
        <v>8200</v>
      </c>
      <c r="E63" s="45"/>
      <c r="F63" s="41">
        <v>8200</v>
      </c>
      <c r="G63" s="40"/>
      <c r="H63" s="40"/>
      <c r="I63" s="40"/>
      <c r="J63" s="40"/>
      <c r="K63" s="38" t="s">
        <v>98</v>
      </c>
      <c r="L63" s="1"/>
      <c r="N63" s="46"/>
    </row>
    <row r="64" spans="1:14" ht="16.5" customHeight="1">
      <c r="A64" s="36"/>
      <c r="B64" s="42" t="s">
        <v>99</v>
      </c>
      <c r="C64" s="38"/>
      <c r="D64" s="39"/>
      <c r="E64" s="45"/>
      <c r="F64" s="40">
        <v>5000</v>
      </c>
      <c r="G64" s="40"/>
      <c r="H64" s="40"/>
      <c r="I64" s="40"/>
      <c r="J64" s="40"/>
      <c r="K64" s="38"/>
      <c r="L64" s="1"/>
      <c r="N64" s="46"/>
    </row>
    <row r="65" spans="1:14" ht="34.5" customHeight="1">
      <c r="A65" s="36"/>
      <c r="B65" s="42" t="s">
        <v>100</v>
      </c>
      <c r="C65" s="38"/>
      <c r="D65" s="39"/>
      <c r="E65" s="45"/>
      <c r="F65" s="40">
        <v>3000</v>
      </c>
      <c r="G65" s="40"/>
      <c r="H65" s="40"/>
      <c r="I65" s="40"/>
      <c r="J65" s="40"/>
      <c r="K65" s="38"/>
      <c r="L65" s="1"/>
      <c r="N65" s="46"/>
    </row>
    <row r="66" spans="1:14" ht="21.75" customHeight="1">
      <c r="A66" s="36"/>
      <c r="B66" s="42" t="s">
        <v>101</v>
      </c>
      <c r="C66" s="38"/>
      <c r="D66" s="39"/>
      <c r="E66" s="45"/>
      <c r="F66" s="40">
        <v>200</v>
      </c>
      <c r="G66" s="40"/>
      <c r="H66" s="40"/>
      <c r="I66" s="40"/>
      <c r="J66" s="40"/>
      <c r="K66" s="38"/>
      <c r="L66" s="1"/>
      <c r="N66" s="46"/>
    </row>
    <row r="67" spans="1:14" ht="48" customHeight="1">
      <c r="A67" s="36">
        <v>5</v>
      </c>
      <c r="B67" s="42" t="s">
        <v>102</v>
      </c>
      <c r="C67" s="103" t="s">
        <v>66</v>
      </c>
      <c r="D67" s="104">
        <f>SUM(E67:J67)</f>
        <v>8.2</v>
      </c>
      <c r="E67" s="105"/>
      <c r="F67" s="106">
        <v>8.2</v>
      </c>
      <c r="G67" s="102"/>
      <c r="H67" s="102"/>
      <c r="I67" s="102"/>
      <c r="J67" s="102"/>
      <c r="K67" s="38" t="s">
        <v>103</v>
      </c>
      <c r="L67" s="1"/>
      <c r="N67" s="46"/>
    </row>
    <row r="68" spans="1:14" ht="47.25">
      <c r="A68" s="36">
        <v>6</v>
      </c>
      <c r="B68" s="37" t="s">
        <v>104</v>
      </c>
      <c r="C68" s="22" t="s">
        <v>66</v>
      </c>
      <c r="D68" s="48">
        <f>SUM(E68:J68)</f>
        <v>7600</v>
      </c>
      <c r="E68" s="49"/>
      <c r="F68" s="41">
        <v>7600</v>
      </c>
      <c r="G68" s="40"/>
      <c r="H68" s="40"/>
      <c r="I68" s="40"/>
      <c r="J68" s="40"/>
      <c r="K68" s="38" t="s">
        <v>105</v>
      </c>
      <c r="L68" s="1"/>
      <c r="N68" s="46"/>
    </row>
    <row r="69" spans="1:14" ht="18.75">
      <c r="A69" s="36"/>
      <c r="B69" s="42" t="s">
        <v>106</v>
      </c>
      <c r="C69" s="50"/>
      <c r="D69" s="48"/>
      <c r="E69" s="49"/>
      <c r="F69" s="40">
        <v>1300</v>
      </c>
      <c r="G69" s="40"/>
      <c r="H69" s="40"/>
      <c r="I69" s="40"/>
      <c r="J69" s="40"/>
      <c r="K69" s="38"/>
      <c r="L69" s="1"/>
      <c r="N69" s="46"/>
    </row>
    <row r="70" spans="1:14" ht="20.25" customHeight="1">
      <c r="A70" s="36"/>
      <c r="B70" s="42" t="s">
        <v>107</v>
      </c>
      <c r="C70" s="50"/>
      <c r="D70" s="48"/>
      <c r="E70" s="49"/>
      <c r="F70" s="40">
        <v>3200</v>
      </c>
      <c r="G70" s="40"/>
      <c r="H70" s="40"/>
      <c r="I70" s="40"/>
      <c r="J70" s="40"/>
      <c r="K70" s="38"/>
      <c r="L70" s="1"/>
      <c r="N70" s="46"/>
    </row>
    <row r="71" spans="1:14" ht="18" customHeight="1">
      <c r="A71" s="36"/>
      <c r="B71" s="42" t="s">
        <v>108</v>
      </c>
      <c r="C71" s="50"/>
      <c r="D71" s="48"/>
      <c r="E71" s="49"/>
      <c r="F71" s="40">
        <v>700</v>
      </c>
      <c r="G71" s="40"/>
      <c r="H71" s="40"/>
      <c r="I71" s="40"/>
      <c r="J71" s="40"/>
      <c r="K71" s="38"/>
      <c r="L71" s="1"/>
      <c r="N71" s="46"/>
    </row>
    <row r="72" spans="1:14" ht="16.5" customHeight="1">
      <c r="A72" s="36"/>
      <c r="B72" s="42" t="s">
        <v>109</v>
      </c>
      <c r="C72" s="50"/>
      <c r="D72" s="48"/>
      <c r="E72" s="49"/>
      <c r="F72" s="40">
        <v>1500</v>
      </c>
      <c r="G72" s="40"/>
      <c r="H72" s="40"/>
      <c r="I72" s="40"/>
      <c r="J72" s="40"/>
      <c r="K72" s="38"/>
      <c r="L72" s="1"/>
      <c r="N72" s="46"/>
    </row>
    <row r="73" spans="1:14" ht="16.5" customHeight="1">
      <c r="A73" s="36"/>
      <c r="B73" s="42" t="s">
        <v>110</v>
      </c>
      <c r="C73" s="50"/>
      <c r="D73" s="48"/>
      <c r="E73" s="49"/>
      <c r="F73" s="40">
        <v>900</v>
      </c>
      <c r="G73" s="40"/>
      <c r="H73" s="40"/>
      <c r="I73" s="40"/>
      <c r="J73" s="40"/>
      <c r="K73" s="38"/>
      <c r="L73" s="1"/>
      <c r="N73" s="46"/>
    </row>
    <row r="74" spans="1:14" ht="52.5" customHeight="1">
      <c r="A74" s="36">
        <v>7</v>
      </c>
      <c r="B74" s="37" t="s">
        <v>113</v>
      </c>
      <c r="C74" s="22" t="s">
        <v>66</v>
      </c>
      <c r="D74" s="48">
        <f>SUM(E74:J74)</f>
        <v>12000</v>
      </c>
      <c r="E74" s="49"/>
      <c r="F74" s="41">
        <f>F75+F76+F77+F78</f>
        <v>12000</v>
      </c>
      <c r="G74" s="40"/>
      <c r="H74" s="40"/>
      <c r="I74" s="40"/>
      <c r="J74" s="40"/>
      <c r="K74" s="38" t="s">
        <v>114</v>
      </c>
      <c r="L74" s="1"/>
      <c r="N74" s="46"/>
    </row>
    <row r="75" spans="1:14" ht="16.5" customHeight="1">
      <c r="A75" s="36"/>
      <c r="B75" s="42" t="s">
        <v>115</v>
      </c>
      <c r="C75" s="50"/>
      <c r="D75" s="48"/>
      <c r="E75" s="49"/>
      <c r="F75" s="40">
        <v>2800</v>
      </c>
      <c r="G75" s="40"/>
      <c r="H75" s="40"/>
      <c r="I75" s="40"/>
      <c r="J75" s="40"/>
      <c r="K75" s="38"/>
      <c r="L75" s="1"/>
      <c r="N75" s="46"/>
    </row>
    <row r="76" spans="1:14" ht="15.75" customHeight="1">
      <c r="A76" s="36"/>
      <c r="B76" s="42" t="s">
        <v>116</v>
      </c>
      <c r="C76" s="50"/>
      <c r="D76" s="48"/>
      <c r="E76" s="49"/>
      <c r="F76" s="40">
        <v>3800</v>
      </c>
      <c r="G76" s="40"/>
      <c r="H76" s="40"/>
      <c r="I76" s="40"/>
      <c r="J76" s="40"/>
      <c r="K76" s="38"/>
      <c r="L76" s="1"/>
      <c r="N76" s="46"/>
    </row>
    <row r="77" spans="1:14" ht="16.5" customHeight="1" hidden="1">
      <c r="A77" s="36"/>
      <c r="B77" s="42" t="s">
        <v>117</v>
      </c>
      <c r="C77" s="50"/>
      <c r="D77" s="48"/>
      <c r="E77" s="49"/>
      <c r="F77" s="40">
        <v>0</v>
      </c>
      <c r="G77" s="40"/>
      <c r="H77" s="40"/>
      <c r="I77" s="40"/>
      <c r="J77" s="40"/>
      <c r="K77" s="38"/>
      <c r="L77" s="1"/>
      <c r="N77" s="46"/>
    </row>
    <row r="78" spans="1:14" ht="35.25" customHeight="1">
      <c r="A78" s="36"/>
      <c r="B78" s="42" t="s">
        <v>142</v>
      </c>
      <c r="C78" s="50"/>
      <c r="D78" s="48"/>
      <c r="E78" s="49"/>
      <c r="F78" s="40">
        <v>5400</v>
      </c>
      <c r="G78" s="40"/>
      <c r="H78" s="40"/>
      <c r="I78" s="40"/>
      <c r="J78" s="40"/>
      <c r="K78" s="38"/>
      <c r="L78" s="1"/>
      <c r="N78" s="46"/>
    </row>
    <row r="79" spans="1:14" ht="16.5" customHeight="1" hidden="1">
      <c r="A79" s="36"/>
      <c r="B79" s="42" t="s">
        <v>110</v>
      </c>
      <c r="C79" s="50"/>
      <c r="D79" s="48"/>
      <c r="E79" s="49"/>
      <c r="F79" s="40">
        <v>900</v>
      </c>
      <c r="G79" s="40"/>
      <c r="H79" s="40"/>
      <c r="I79" s="40"/>
      <c r="J79" s="40"/>
      <c r="K79" s="38"/>
      <c r="L79" s="1"/>
      <c r="N79" s="46"/>
    </row>
    <row r="80" spans="1:14" ht="16.5" customHeight="1" hidden="1">
      <c r="A80" s="36"/>
      <c r="B80" s="42"/>
      <c r="C80" s="50"/>
      <c r="D80" s="48"/>
      <c r="E80" s="49"/>
      <c r="F80" s="40"/>
      <c r="G80" s="40"/>
      <c r="H80" s="40"/>
      <c r="I80" s="40"/>
      <c r="J80" s="40"/>
      <c r="K80" s="38"/>
      <c r="L80" s="1"/>
      <c r="N80" s="46"/>
    </row>
    <row r="81" spans="1:14" ht="16.5" customHeight="1" hidden="1">
      <c r="A81" s="36"/>
      <c r="B81" s="42"/>
      <c r="C81" s="50"/>
      <c r="D81" s="48"/>
      <c r="E81" s="49"/>
      <c r="F81" s="40"/>
      <c r="G81" s="40"/>
      <c r="H81" s="40"/>
      <c r="I81" s="40"/>
      <c r="J81" s="40"/>
      <c r="K81" s="38"/>
      <c r="L81" s="1"/>
      <c r="N81" s="46"/>
    </row>
    <row r="82" spans="1:14" ht="16.5" customHeight="1" hidden="1">
      <c r="A82" s="36"/>
      <c r="B82" s="42"/>
      <c r="C82" s="50"/>
      <c r="D82" s="48"/>
      <c r="E82" s="49"/>
      <c r="F82" s="40"/>
      <c r="G82" s="40"/>
      <c r="H82" s="40"/>
      <c r="I82" s="40"/>
      <c r="J82" s="40"/>
      <c r="K82" s="38"/>
      <c r="L82" s="1"/>
      <c r="N82" s="46"/>
    </row>
    <row r="83" spans="1:14" ht="16.5" customHeight="1" hidden="1">
      <c r="A83" s="36"/>
      <c r="B83" s="42"/>
      <c r="C83" s="50"/>
      <c r="D83" s="48"/>
      <c r="E83" s="49"/>
      <c r="F83" s="40"/>
      <c r="G83" s="40"/>
      <c r="H83" s="40"/>
      <c r="I83" s="40"/>
      <c r="J83" s="40"/>
      <c r="K83" s="38"/>
      <c r="L83" s="1"/>
      <c r="N83" s="46"/>
    </row>
    <row r="84" spans="1:14" ht="16.5" customHeight="1" hidden="1">
      <c r="A84" s="36"/>
      <c r="B84" s="42"/>
      <c r="C84" s="50"/>
      <c r="D84" s="48"/>
      <c r="E84" s="49"/>
      <c r="F84" s="40"/>
      <c r="G84" s="40"/>
      <c r="H84" s="40"/>
      <c r="I84" s="40"/>
      <c r="J84" s="40"/>
      <c r="K84" s="38"/>
      <c r="L84" s="1"/>
      <c r="N84" s="46"/>
    </row>
    <row r="85" spans="1:14" ht="16.5" customHeight="1" hidden="1">
      <c r="A85" s="36"/>
      <c r="B85" s="42"/>
      <c r="C85" s="50"/>
      <c r="D85" s="48"/>
      <c r="E85" s="49"/>
      <c r="F85" s="40"/>
      <c r="G85" s="40"/>
      <c r="H85" s="40"/>
      <c r="I85" s="40"/>
      <c r="J85" s="40"/>
      <c r="K85" s="38"/>
      <c r="L85" s="1"/>
      <c r="N85" s="46"/>
    </row>
    <row r="86" spans="1:14" ht="16.5" customHeight="1" hidden="1">
      <c r="A86" s="36"/>
      <c r="B86" s="42"/>
      <c r="C86" s="50"/>
      <c r="D86" s="48"/>
      <c r="E86" s="49"/>
      <c r="F86" s="40"/>
      <c r="G86" s="40"/>
      <c r="H86" s="40"/>
      <c r="I86" s="40"/>
      <c r="J86" s="40"/>
      <c r="K86" s="38"/>
      <c r="L86" s="1"/>
      <c r="N86" s="46"/>
    </row>
    <row r="87" spans="1:14" ht="47.25">
      <c r="A87" s="36">
        <v>8</v>
      </c>
      <c r="B87" s="37" t="s">
        <v>183</v>
      </c>
      <c r="C87" s="22" t="s">
        <v>66</v>
      </c>
      <c r="D87" s="41">
        <f>F87</f>
        <v>1116.25</v>
      </c>
      <c r="E87" s="41"/>
      <c r="F87" s="41">
        <f>F88+F89+F90+F91+F92+F93+F94+F95</f>
        <v>1116.25</v>
      </c>
      <c r="G87" s="40"/>
      <c r="H87" s="40"/>
      <c r="I87" s="40"/>
      <c r="J87" s="40"/>
      <c r="K87" s="38" t="s">
        <v>184</v>
      </c>
      <c r="L87" s="1"/>
      <c r="N87" s="46"/>
    </row>
    <row r="88" spans="1:14" ht="16.5" customHeight="1">
      <c r="A88" s="36"/>
      <c r="B88" s="42" t="s">
        <v>185</v>
      </c>
      <c r="C88" s="50"/>
      <c r="D88" s="48"/>
      <c r="E88" s="49"/>
      <c r="F88" s="40">
        <v>330</v>
      </c>
      <c r="G88" s="40"/>
      <c r="H88" s="40"/>
      <c r="I88" s="40"/>
      <c r="J88" s="40"/>
      <c r="K88" s="38"/>
      <c r="L88" s="1"/>
      <c r="N88" s="46"/>
    </row>
    <row r="89" spans="1:14" ht="16.5" customHeight="1">
      <c r="A89" s="36"/>
      <c r="B89" s="42" t="s">
        <v>186</v>
      </c>
      <c r="C89" s="50"/>
      <c r="D89" s="48"/>
      <c r="E89" s="49"/>
      <c r="F89" s="40">
        <v>450</v>
      </c>
      <c r="G89" s="40"/>
      <c r="H89" s="40"/>
      <c r="I89" s="40"/>
      <c r="J89" s="40"/>
      <c r="K89" s="38"/>
      <c r="L89" s="1"/>
      <c r="N89" s="46"/>
    </row>
    <row r="90" spans="1:14" ht="16.5" customHeight="1">
      <c r="A90" s="36"/>
      <c r="B90" s="42" t="s">
        <v>187</v>
      </c>
      <c r="C90" s="50"/>
      <c r="D90" s="48"/>
      <c r="E90" s="49"/>
      <c r="F90" s="40">
        <v>48.4</v>
      </c>
      <c r="G90" s="40"/>
      <c r="H90" s="40"/>
      <c r="I90" s="40"/>
      <c r="J90" s="40"/>
      <c r="K90" s="38"/>
      <c r="L90" s="1"/>
      <c r="N90" s="46"/>
    </row>
    <row r="91" spans="1:14" ht="16.5" customHeight="1">
      <c r="A91" s="36"/>
      <c r="B91" s="42" t="s">
        <v>188</v>
      </c>
      <c r="C91" s="50"/>
      <c r="D91" s="48"/>
      <c r="E91" s="49"/>
      <c r="F91" s="40">
        <v>19.7</v>
      </c>
      <c r="G91" s="40"/>
      <c r="H91" s="40"/>
      <c r="I91" s="40"/>
      <c r="J91" s="40"/>
      <c r="K91" s="38"/>
      <c r="L91" s="1"/>
      <c r="N91" s="46"/>
    </row>
    <row r="92" spans="1:14" ht="16.5" customHeight="1">
      <c r="A92" s="36"/>
      <c r="B92" s="42" t="s">
        <v>189</v>
      </c>
      <c r="C92" s="50"/>
      <c r="D92" s="48"/>
      <c r="E92" s="49"/>
      <c r="F92" s="40">
        <v>14.2</v>
      </c>
      <c r="G92" s="40"/>
      <c r="H92" s="40"/>
      <c r="I92" s="40"/>
      <c r="J92" s="40"/>
      <c r="K92" s="38"/>
      <c r="L92" s="1"/>
      <c r="N92" s="46"/>
    </row>
    <row r="93" spans="1:14" ht="16.5" customHeight="1">
      <c r="A93" s="36"/>
      <c r="B93" s="42" t="s">
        <v>190</v>
      </c>
      <c r="C93" s="50"/>
      <c r="D93" s="48"/>
      <c r="E93" s="49"/>
      <c r="F93" s="40">
        <v>22.4</v>
      </c>
      <c r="G93" s="40"/>
      <c r="H93" s="40"/>
      <c r="I93" s="40"/>
      <c r="J93" s="40"/>
      <c r="K93" s="38"/>
      <c r="L93" s="1"/>
      <c r="N93" s="46"/>
    </row>
    <row r="94" spans="1:14" ht="16.5" customHeight="1">
      <c r="A94" s="36"/>
      <c r="B94" s="42" t="s">
        <v>191</v>
      </c>
      <c r="C94" s="50"/>
      <c r="D94" s="48"/>
      <c r="E94" s="49"/>
      <c r="F94" s="40">
        <v>106.95</v>
      </c>
      <c r="G94" s="40"/>
      <c r="H94" s="40"/>
      <c r="I94" s="40"/>
      <c r="J94" s="40"/>
      <c r="K94" s="38"/>
      <c r="L94" s="1"/>
      <c r="N94" s="46"/>
    </row>
    <row r="95" spans="1:14" ht="16.5" customHeight="1">
      <c r="A95" s="36"/>
      <c r="B95" s="42" t="s">
        <v>192</v>
      </c>
      <c r="C95" s="50"/>
      <c r="D95" s="48"/>
      <c r="E95" s="49"/>
      <c r="F95" s="40">
        <v>124.6</v>
      </c>
      <c r="G95" s="40"/>
      <c r="H95" s="40"/>
      <c r="I95" s="40"/>
      <c r="J95" s="40"/>
      <c r="K95" s="38"/>
      <c r="L95" s="1"/>
      <c r="N95" s="46"/>
    </row>
    <row r="96" spans="1:12" ht="32.25" customHeight="1">
      <c r="A96" s="51"/>
      <c r="B96" s="32" t="s">
        <v>0</v>
      </c>
      <c r="C96" s="33"/>
      <c r="D96" s="39">
        <f>D14+D41++D55+D63+D67+D68+D74</f>
        <v>63400.399999999994</v>
      </c>
      <c r="E96" s="52">
        <f>E14+E41+E55+E63+E67</f>
        <v>0</v>
      </c>
      <c r="F96" s="39">
        <f>F14+F41+F55+F63+F67+F68+F74+F87</f>
        <v>64516.649999999994</v>
      </c>
      <c r="G96" s="39">
        <f>G14+G41+G55</f>
        <v>0</v>
      </c>
      <c r="H96" s="39">
        <f>H14+H41+H55</f>
        <v>0</v>
      </c>
      <c r="I96" s="39">
        <f>I14+I41+I55</f>
        <v>0</v>
      </c>
      <c r="J96" s="39">
        <f>J14+J41</f>
        <v>0</v>
      </c>
      <c r="K96" s="53"/>
      <c r="L96" s="1"/>
    </row>
    <row r="97" spans="2:12" ht="15.75">
      <c r="B97" s="4"/>
      <c r="C97" s="4"/>
      <c r="D97" s="7"/>
      <c r="E97" s="7"/>
      <c r="F97" s="7"/>
      <c r="G97" s="7"/>
      <c r="H97" s="7"/>
      <c r="I97" s="7"/>
      <c r="J97" s="7"/>
      <c r="K97" s="54"/>
      <c r="L97" s="1"/>
    </row>
    <row r="98" spans="2:12" ht="48" customHeight="1">
      <c r="B98" s="168" t="s">
        <v>30</v>
      </c>
      <c r="C98" s="168"/>
      <c r="D98" s="34"/>
      <c r="E98" s="9"/>
      <c r="F98" s="9"/>
      <c r="J98" s="55"/>
      <c r="K98" s="56" t="s">
        <v>111</v>
      </c>
      <c r="L98" s="55"/>
    </row>
    <row r="99" spans="2:11" ht="18.75">
      <c r="B99" s="182" t="s">
        <v>112</v>
      </c>
      <c r="C99" s="182"/>
      <c r="D99" s="57"/>
      <c r="E99" s="8"/>
      <c r="F99" s="8"/>
      <c r="G99" s="8"/>
      <c r="H99" s="8"/>
      <c r="I99" s="8"/>
      <c r="J99" s="1"/>
      <c r="K99" s="1"/>
    </row>
    <row r="100" spans="2:13" ht="27" customHeight="1">
      <c r="B100" s="58" t="s">
        <v>31</v>
      </c>
      <c r="C100" s="58"/>
      <c r="D100" s="8"/>
      <c r="E100" s="8"/>
      <c r="F100" s="8"/>
      <c r="G100" s="8"/>
      <c r="H100" s="8"/>
      <c r="I100" s="8"/>
      <c r="J100" s="1"/>
      <c r="K100" s="1"/>
      <c r="M100" s="3"/>
    </row>
    <row r="101" spans="2:11" ht="15.75">
      <c r="B101" s="59"/>
      <c r="C101" s="12"/>
      <c r="D101" s="60"/>
      <c r="E101" s="8"/>
      <c r="F101" s="8"/>
      <c r="G101" s="8"/>
      <c r="H101" s="8"/>
      <c r="I101" s="8"/>
      <c r="J101" s="1"/>
      <c r="K101" s="1"/>
    </row>
    <row r="102" spans="3:10" ht="15.75">
      <c r="C102" s="60"/>
      <c r="D102" s="8"/>
      <c r="E102" s="8"/>
      <c r="F102" s="8"/>
      <c r="G102" s="8"/>
      <c r="H102" s="8"/>
      <c r="I102" s="8"/>
      <c r="J102" s="8"/>
    </row>
    <row r="103" spans="3:10" ht="15.75">
      <c r="C103" s="61"/>
      <c r="D103" s="8"/>
      <c r="E103" s="8"/>
      <c r="F103" s="8"/>
      <c r="G103" s="8"/>
      <c r="H103" s="8"/>
      <c r="I103" s="8"/>
      <c r="J103" s="8"/>
    </row>
    <row r="105" ht="12.75">
      <c r="H105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98:C98"/>
    <mergeCell ref="B99:C99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zoomScalePageLayoutView="0" workbookViewId="0" topLeftCell="A1">
      <selection activeCell="C33" sqref="C33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18.00390625" style="0" customWidth="1"/>
    <col min="4" max="4" width="13.57421875" style="0" customWidth="1"/>
    <col min="5" max="5" width="10.421875" style="0" customWidth="1"/>
    <col min="6" max="6" width="9.57421875" style="0" bestFit="1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  <col min="12" max="13" width="9.140625" style="0" hidden="1" customWidth="1"/>
    <col min="14" max="14" width="9.8515625" style="0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53" t="s">
        <v>141</v>
      </c>
      <c r="K1" s="153"/>
      <c r="L1" s="2" t="s">
        <v>45</v>
      </c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54" t="s">
        <v>46</v>
      </c>
      <c r="K2" s="154"/>
      <c r="L2" s="3" t="s">
        <v>46</v>
      </c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 t="s">
        <v>47</v>
      </c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 t="s">
        <v>49</v>
      </c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119</v>
      </c>
      <c r="K5" s="3"/>
      <c r="L5" s="3" t="s">
        <v>51</v>
      </c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120</v>
      </c>
      <c r="K6" s="3"/>
      <c r="L6" s="3" t="s">
        <v>53</v>
      </c>
    </row>
    <row r="7" spans="2:15" ht="15.75">
      <c r="B7" s="1"/>
      <c r="C7" s="1"/>
      <c r="D7" s="1"/>
      <c r="E7" s="1"/>
      <c r="F7" s="1"/>
      <c r="G7" s="1"/>
      <c r="H7" s="11"/>
      <c r="I7" s="3" t="s">
        <v>55</v>
      </c>
      <c r="J7" s="188" t="s">
        <v>224</v>
      </c>
      <c r="K7" s="189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6" customHeight="1">
      <c r="B9" s="190" t="s">
        <v>126</v>
      </c>
      <c r="C9" s="190"/>
      <c r="D9" s="190"/>
      <c r="E9" s="190"/>
      <c r="F9" s="190"/>
      <c r="G9" s="190"/>
      <c r="H9" s="190"/>
      <c r="I9" s="190"/>
      <c r="J9" s="190"/>
      <c r="K9" s="190"/>
      <c r="L9" s="1"/>
    </row>
    <row r="10" spans="2:12" ht="15.75">
      <c r="B10" s="1"/>
      <c r="C10" s="1"/>
      <c r="D10" s="185"/>
      <c r="E10" s="185"/>
      <c r="F10" s="185"/>
      <c r="G10" s="185"/>
      <c r="H10" s="185"/>
      <c r="I10" s="1"/>
      <c r="J10" s="1"/>
      <c r="K10" s="1"/>
      <c r="L10" s="1"/>
    </row>
    <row r="11" spans="1:12" ht="15.75" customHeight="1">
      <c r="A11" s="191" t="s">
        <v>1</v>
      </c>
      <c r="B11" s="158" t="s">
        <v>57</v>
      </c>
      <c r="C11" s="158" t="s">
        <v>58</v>
      </c>
      <c r="D11" s="158" t="s">
        <v>121</v>
      </c>
      <c r="E11" s="186" t="s">
        <v>4</v>
      </c>
      <c r="F11" s="186"/>
      <c r="G11" s="186"/>
      <c r="H11" s="186"/>
      <c r="I11" s="186"/>
      <c r="J11" s="187"/>
      <c r="K11" s="155" t="s">
        <v>60</v>
      </c>
      <c r="L11" s="1"/>
    </row>
    <row r="12" spans="1:12" ht="15.75">
      <c r="A12" s="192"/>
      <c r="B12" s="159"/>
      <c r="C12" s="159"/>
      <c r="D12" s="159"/>
      <c r="E12" s="158" t="s">
        <v>5</v>
      </c>
      <c r="F12" s="158" t="s">
        <v>6</v>
      </c>
      <c r="G12" s="158" t="s">
        <v>61</v>
      </c>
      <c r="H12" s="158" t="s">
        <v>62</v>
      </c>
      <c r="I12" s="158" t="s">
        <v>63</v>
      </c>
      <c r="J12" s="155" t="s">
        <v>7</v>
      </c>
      <c r="K12" s="155"/>
      <c r="L12" s="1"/>
    </row>
    <row r="13" spans="1:12" ht="15.75">
      <c r="A13" s="193"/>
      <c r="B13" s="160"/>
      <c r="C13" s="160"/>
      <c r="D13" s="160"/>
      <c r="E13" s="160"/>
      <c r="F13" s="160"/>
      <c r="G13" s="160"/>
      <c r="H13" s="160"/>
      <c r="I13" s="160"/>
      <c r="J13" s="155"/>
      <c r="K13" s="155"/>
      <c r="L13" s="1"/>
    </row>
    <row r="14" spans="1:12" ht="64.5" customHeight="1">
      <c r="A14" s="63">
        <v>1</v>
      </c>
      <c r="B14" s="64" t="s">
        <v>127</v>
      </c>
      <c r="C14" s="38" t="s">
        <v>66</v>
      </c>
      <c r="D14" s="65">
        <f aca="true" t="shared" si="0" ref="D14:D20">E14+F14+J14</f>
        <v>2200</v>
      </c>
      <c r="E14" s="66">
        <v>605</v>
      </c>
      <c r="F14" s="82">
        <v>725</v>
      </c>
      <c r="G14" s="66"/>
      <c r="H14" s="66"/>
      <c r="I14" s="66"/>
      <c r="J14" s="66">
        <v>870</v>
      </c>
      <c r="K14" s="38" t="s">
        <v>128</v>
      </c>
      <c r="L14" s="1"/>
    </row>
    <row r="15" spans="1:12" ht="45" hidden="1">
      <c r="A15" s="63"/>
      <c r="B15" s="64" t="s">
        <v>123</v>
      </c>
      <c r="C15" s="38" t="s">
        <v>66</v>
      </c>
      <c r="D15" s="65">
        <f t="shared" si="0"/>
        <v>0</v>
      </c>
      <c r="E15" s="66"/>
      <c r="F15" s="82"/>
      <c r="G15" s="66"/>
      <c r="H15" s="66"/>
      <c r="I15" s="66"/>
      <c r="J15" s="66"/>
      <c r="K15" s="83" t="s">
        <v>129</v>
      </c>
      <c r="L15" s="1"/>
    </row>
    <row r="16" spans="1:12" ht="45">
      <c r="A16" s="67">
        <v>2</v>
      </c>
      <c r="B16" s="64" t="s">
        <v>130</v>
      </c>
      <c r="C16" s="38" t="s">
        <v>66</v>
      </c>
      <c r="D16" s="65">
        <f t="shared" si="0"/>
        <v>2835</v>
      </c>
      <c r="E16" s="66">
        <v>780</v>
      </c>
      <c r="F16" s="82">
        <v>935</v>
      </c>
      <c r="G16" s="66"/>
      <c r="H16" s="66"/>
      <c r="I16" s="66"/>
      <c r="J16" s="66">
        <v>1120</v>
      </c>
      <c r="K16" s="83" t="s">
        <v>129</v>
      </c>
      <c r="L16" s="1"/>
    </row>
    <row r="17" spans="1:12" ht="47.25">
      <c r="A17" s="67">
        <v>3</v>
      </c>
      <c r="B17" s="64" t="s">
        <v>131</v>
      </c>
      <c r="C17" s="38" t="s">
        <v>66</v>
      </c>
      <c r="D17" s="65">
        <f t="shared" si="0"/>
        <v>382.484</v>
      </c>
      <c r="E17" s="66">
        <f>100-0.216</f>
        <v>99.784</v>
      </c>
      <c r="F17" s="82">
        <f>100+82.7</f>
        <v>182.7</v>
      </c>
      <c r="G17" s="66"/>
      <c r="H17" s="66"/>
      <c r="I17" s="66"/>
      <c r="J17" s="66">
        <v>100</v>
      </c>
      <c r="K17" s="38" t="s">
        <v>132</v>
      </c>
      <c r="L17" s="1"/>
    </row>
    <row r="18" spans="1:12" ht="31.5">
      <c r="A18" s="67">
        <v>4</v>
      </c>
      <c r="B18" s="64" t="s">
        <v>133</v>
      </c>
      <c r="C18" s="38" t="s">
        <v>66</v>
      </c>
      <c r="D18" s="65">
        <f t="shared" si="0"/>
        <v>753.75</v>
      </c>
      <c r="E18" s="66">
        <v>251.25</v>
      </c>
      <c r="F18" s="66">
        <v>251.25</v>
      </c>
      <c r="G18" s="66"/>
      <c r="H18" s="66"/>
      <c r="I18" s="66"/>
      <c r="J18" s="66">
        <v>251.25</v>
      </c>
      <c r="K18" s="194" t="s">
        <v>134</v>
      </c>
      <c r="L18" s="1"/>
    </row>
    <row r="19" spans="1:12" ht="47.25">
      <c r="A19" s="67">
        <v>5</v>
      </c>
      <c r="B19" s="64" t="s">
        <v>135</v>
      </c>
      <c r="C19" s="38" t="s">
        <v>66</v>
      </c>
      <c r="D19" s="65">
        <f t="shared" si="0"/>
        <v>1087.3600000000001</v>
      </c>
      <c r="E19" s="66">
        <v>293.68</v>
      </c>
      <c r="F19" s="82">
        <v>500</v>
      </c>
      <c r="G19" s="66"/>
      <c r="H19" s="66"/>
      <c r="I19" s="66"/>
      <c r="J19" s="66">
        <v>293.68</v>
      </c>
      <c r="K19" s="195"/>
      <c r="L19" s="1"/>
    </row>
    <row r="20" spans="1:12" ht="30.75" customHeight="1">
      <c r="A20" s="67">
        <v>6</v>
      </c>
      <c r="B20" s="37" t="s">
        <v>136</v>
      </c>
      <c r="C20" s="38" t="s">
        <v>66</v>
      </c>
      <c r="D20" s="65">
        <f t="shared" si="0"/>
        <v>542.0699999999999</v>
      </c>
      <c r="E20" s="68">
        <v>180.69</v>
      </c>
      <c r="F20" s="68">
        <v>180.69</v>
      </c>
      <c r="G20" s="66"/>
      <c r="H20" s="66"/>
      <c r="I20" s="66"/>
      <c r="J20" s="66">
        <v>180.69</v>
      </c>
      <c r="K20" s="195"/>
      <c r="L20" s="1"/>
    </row>
    <row r="21" spans="1:12" ht="31.5">
      <c r="A21" s="67">
        <v>7</v>
      </c>
      <c r="B21" s="37" t="s">
        <v>137</v>
      </c>
      <c r="C21" s="38" t="s">
        <v>66</v>
      </c>
      <c r="D21" s="65">
        <f>E21+F21+J21</f>
        <v>486.41999999999996</v>
      </c>
      <c r="E21" s="68">
        <v>162.14</v>
      </c>
      <c r="F21" s="68">
        <v>162.14</v>
      </c>
      <c r="G21" s="66"/>
      <c r="H21" s="66"/>
      <c r="I21" s="66"/>
      <c r="J21" s="66">
        <v>162.14</v>
      </c>
      <c r="K21" s="195"/>
      <c r="L21" s="1"/>
    </row>
    <row r="22" spans="1:12" ht="47.25">
      <c r="A22" s="67" t="s">
        <v>138</v>
      </c>
      <c r="B22" s="96" t="s">
        <v>182</v>
      </c>
      <c r="C22" s="38" t="s">
        <v>66</v>
      </c>
      <c r="D22" s="100">
        <v>110</v>
      </c>
      <c r="E22" s="101"/>
      <c r="F22" s="101">
        <v>110</v>
      </c>
      <c r="G22" s="101"/>
      <c r="H22" s="101"/>
      <c r="I22" s="101"/>
      <c r="J22" s="101"/>
      <c r="K22" s="196"/>
      <c r="L22" s="1"/>
    </row>
    <row r="23" spans="1:12" ht="54" customHeight="1">
      <c r="A23" s="67">
        <v>9</v>
      </c>
      <c r="B23" s="64" t="s">
        <v>139</v>
      </c>
      <c r="C23" s="84" t="s">
        <v>66</v>
      </c>
      <c r="D23" s="65">
        <f>E23+F23+J23</f>
        <v>169</v>
      </c>
      <c r="E23" s="68"/>
      <c r="F23" s="82">
        <f>105+64</f>
        <v>169</v>
      </c>
      <c r="G23" s="66"/>
      <c r="H23" s="66"/>
      <c r="I23" s="66"/>
      <c r="J23" s="66"/>
      <c r="K23" s="84" t="s">
        <v>122</v>
      </c>
      <c r="L23" s="1"/>
    </row>
    <row r="24" spans="1:12" ht="69" customHeight="1">
      <c r="A24" s="99">
        <v>10</v>
      </c>
      <c r="B24" s="37" t="s">
        <v>140</v>
      </c>
      <c r="C24" s="38" t="s">
        <v>66</v>
      </c>
      <c r="D24" s="65">
        <f>E24+F24+J24</f>
        <v>33.516</v>
      </c>
      <c r="E24" s="68">
        <v>0.216</v>
      </c>
      <c r="F24" s="82">
        <f>30+3.3</f>
        <v>33.3</v>
      </c>
      <c r="G24" s="66"/>
      <c r="H24" s="66"/>
      <c r="I24" s="66"/>
      <c r="J24" s="66"/>
      <c r="K24" s="84" t="s">
        <v>122</v>
      </c>
      <c r="L24" s="1"/>
    </row>
    <row r="25" spans="1:12" ht="87.75" customHeight="1">
      <c r="A25" s="99">
        <v>11</v>
      </c>
      <c r="B25" s="37" t="s">
        <v>197</v>
      </c>
      <c r="C25" s="142" t="s">
        <v>66</v>
      </c>
      <c r="D25" s="65">
        <f>E25+F25+J25</f>
        <v>199</v>
      </c>
      <c r="E25" s="68"/>
      <c r="F25" s="82">
        <v>199</v>
      </c>
      <c r="G25" s="66"/>
      <c r="H25" s="66"/>
      <c r="I25" s="66"/>
      <c r="J25" s="66"/>
      <c r="K25" s="84" t="s">
        <v>134</v>
      </c>
      <c r="L25" s="1"/>
    </row>
    <row r="26" spans="1:12" ht="32.25" customHeight="1">
      <c r="A26" s="69"/>
      <c r="B26" s="32" t="s">
        <v>0</v>
      </c>
      <c r="C26" s="33"/>
      <c r="D26" s="70">
        <f aca="true" t="shared" si="1" ref="D26:J26">D14+D16+D17+D18+D19+D20+D21+D23+D24+D22+D25</f>
        <v>8798.6</v>
      </c>
      <c r="E26" s="70">
        <f t="shared" si="1"/>
        <v>2372.7599999999998</v>
      </c>
      <c r="F26" s="70">
        <f t="shared" si="1"/>
        <v>3448.08</v>
      </c>
      <c r="G26" s="70">
        <f t="shared" si="1"/>
        <v>0</v>
      </c>
      <c r="H26" s="70">
        <f t="shared" si="1"/>
        <v>0</v>
      </c>
      <c r="I26" s="70">
        <f t="shared" si="1"/>
        <v>0</v>
      </c>
      <c r="J26" s="70">
        <f t="shared" si="1"/>
        <v>2977.7599999999998</v>
      </c>
      <c r="K26" s="53"/>
      <c r="L26" s="1"/>
    </row>
    <row r="27" spans="2:12" ht="15.75">
      <c r="B27" s="4"/>
      <c r="C27" s="4"/>
      <c r="D27" s="7"/>
      <c r="E27" s="7"/>
      <c r="F27" s="7"/>
      <c r="G27" s="7"/>
      <c r="H27" s="7"/>
      <c r="I27" s="7"/>
      <c r="J27" s="7"/>
      <c r="K27" s="54"/>
      <c r="L27" s="1"/>
    </row>
    <row r="28" spans="2:12" ht="15.75" hidden="1">
      <c r="B28" s="4"/>
      <c r="C28" s="4"/>
      <c r="D28" s="7"/>
      <c r="E28" s="7"/>
      <c r="F28" s="7"/>
      <c r="G28" s="7"/>
      <c r="H28" s="7"/>
      <c r="I28" s="7"/>
      <c r="J28" s="7"/>
      <c r="K28" s="54"/>
      <c r="L28" s="1"/>
    </row>
    <row r="29" spans="2:12" ht="18.75">
      <c r="B29" s="71"/>
      <c r="C29" s="72"/>
      <c r="E29" s="7"/>
      <c r="F29" s="7"/>
      <c r="G29" s="7"/>
      <c r="H29" s="7"/>
      <c r="I29" s="7"/>
      <c r="J29" s="7"/>
      <c r="K29" s="72"/>
      <c r="L29" s="1"/>
    </row>
    <row r="30" spans="2:13" s="73" customFormat="1" ht="18.75" customHeight="1">
      <c r="B30" s="74" t="s">
        <v>30</v>
      </c>
      <c r="C30" s="74"/>
      <c r="E30" s="74"/>
      <c r="F30" s="197" t="s">
        <v>2</v>
      </c>
      <c r="G30" s="197"/>
      <c r="H30" s="197"/>
      <c r="I30" s="197"/>
      <c r="J30" s="197"/>
      <c r="K30" s="76"/>
      <c r="L30" s="75" t="s">
        <v>2</v>
      </c>
      <c r="M30" s="76"/>
    </row>
    <row r="31" spans="2:13" s="73" customFormat="1" ht="18.75" customHeight="1">
      <c r="B31" s="74"/>
      <c r="C31" s="74"/>
      <c r="E31" s="74"/>
      <c r="F31" s="149"/>
      <c r="G31" s="149"/>
      <c r="H31" s="149"/>
      <c r="I31" s="149"/>
      <c r="J31" s="149"/>
      <c r="K31" s="76"/>
      <c r="L31" s="75"/>
      <c r="M31" s="76"/>
    </row>
    <row r="32" spans="2:12" s="73" customFormat="1" ht="18.75" customHeight="1">
      <c r="B32" s="77" t="s">
        <v>124</v>
      </c>
      <c r="C32" s="77"/>
      <c r="E32" s="78"/>
      <c r="F32" s="79"/>
      <c r="G32" s="79"/>
      <c r="H32" s="79"/>
      <c r="I32" s="79"/>
      <c r="J32" s="79"/>
      <c r="K32" s="80"/>
      <c r="L32" s="80"/>
    </row>
    <row r="33" spans="2:14" s="73" customFormat="1" ht="42" customHeight="1">
      <c r="B33" s="81" t="s">
        <v>31</v>
      </c>
      <c r="D33" s="81"/>
      <c r="E33" s="79"/>
      <c r="F33" s="79"/>
      <c r="G33" s="79"/>
      <c r="H33" s="79"/>
      <c r="I33" s="79"/>
      <c r="J33" s="79"/>
      <c r="K33" s="80"/>
      <c r="L33" s="80"/>
      <c r="N33" s="62"/>
    </row>
    <row r="34" spans="2:11" ht="15.75">
      <c r="B34" s="59"/>
      <c r="C34" s="12"/>
      <c r="D34" s="60"/>
      <c r="E34" s="8"/>
      <c r="F34" s="8"/>
      <c r="G34" s="8"/>
      <c r="H34" s="8"/>
      <c r="I34" s="8"/>
      <c r="J34" s="1"/>
      <c r="K34" s="1"/>
    </row>
    <row r="35" spans="3:10" ht="15.75">
      <c r="C35" s="60"/>
      <c r="D35" s="8"/>
      <c r="E35" s="8"/>
      <c r="F35" s="8"/>
      <c r="G35" s="8"/>
      <c r="H35" s="8"/>
      <c r="I35" s="8"/>
      <c r="J35" s="8"/>
    </row>
    <row r="36" spans="3:10" ht="15.75">
      <c r="C36" s="61"/>
      <c r="D36" s="8"/>
      <c r="E36" s="8"/>
      <c r="F36" s="8"/>
      <c r="G36" s="8"/>
      <c r="H36" s="8"/>
      <c r="I36" s="8"/>
      <c r="J36" s="8"/>
    </row>
    <row r="38" ht="12.75">
      <c r="H38" s="6"/>
    </row>
  </sheetData>
  <sheetProtection/>
  <mergeCells count="19">
    <mergeCell ref="K18:K22"/>
    <mergeCell ref="F30:J30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J7" sqref="J7:K7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9.140625" style="0" bestFit="1" customWidth="1"/>
    <col min="7" max="8" width="11.57421875" style="0" hidden="1" customWidth="1"/>
    <col min="9" max="9" width="12.57421875" style="0" hidden="1" customWidth="1"/>
    <col min="10" max="10" width="9.14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53" t="s">
        <v>125</v>
      </c>
      <c r="K1" s="153"/>
      <c r="L1" s="2" t="s">
        <v>45</v>
      </c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54" t="s">
        <v>46</v>
      </c>
      <c r="K2" s="154"/>
      <c r="L2" s="3" t="s">
        <v>46</v>
      </c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 t="s">
        <v>47</v>
      </c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 t="s">
        <v>49</v>
      </c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52</v>
      </c>
      <c r="K5" s="3"/>
      <c r="L5" s="3" t="s">
        <v>51</v>
      </c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54</v>
      </c>
      <c r="K6" s="3"/>
      <c r="L6" s="3" t="s">
        <v>53</v>
      </c>
    </row>
    <row r="7" spans="2:15" ht="15.75">
      <c r="B7" s="1"/>
      <c r="C7" s="1"/>
      <c r="D7" s="1"/>
      <c r="E7" s="1"/>
      <c r="F7" s="1"/>
      <c r="G7" s="1"/>
      <c r="H7" s="11"/>
      <c r="I7" s="3" t="s">
        <v>55</v>
      </c>
      <c r="J7" s="183" t="s">
        <v>224</v>
      </c>
      <c r="K7" s="154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 customHeight="1">
      <c r="B9" s="190" t="s">
        <v>143</v>
      </c>
      <c r="C9" s="190"/>
      <c r="D9" s="190"/>
      <c r="E9" s="190"/>
      <c r="F9" s="190"/>
      <c r="G9" s="190"/>
      <c r="H9" s="190"/>
      <c r="I9" s="190"/>
      <c r="J9" s="190"/>
      <c r="K9" s="190"/>
      <c r="L9" s="1"/>
    </row>
    <row r="10" spans="2:12" ht="15.75">
      <c r="B10" s="1"/>
      <c r="C10" s="1"/>
      <c r="D10" s="185"/>
      <c r="E10" s="185"/>
      <c r="F10" s="185"/>
      <c r="G10" s="185"/>
      <c r="H10" s="185"/>
      <c r="I10" s="1"/>
      <c r="J10" s="1"/>
      <c r="K10" s="35" t="s">
        <v>56</v>
      </c>
      <c r="L10" s="1"/>
    </row>
    <row r="11" spans="1:12" ht="15.75" customHeight="1">
      <c r="A11" s="158" t="s">
        <v>1</v>
      </c>
      <c r="B11" s="158" t="s">
        <v>57</v>
      </c>
      <c r="C11" s="158" t="s">
        <v>58</v>
      </c>
      <c r="D11" s="158" t="s">
        <v>59</v>
      </c>
      <c r="E11" s="186" t="s">
        <v>4</v>
      </c>
      <c r="F11" s="186"/>
      <c r="G11" s="186"/>
      <c r="H11" s="186"/>
      <c r="I11" s="186"/>
      <c r="J11" s="187"/>
      <c r="K11" s="155" t="s">
        <v>60</v>
      </c>
      <c r="L11" s="1"/>
    </row>
    <row r="12" spans="1:12" ht="15.75">
      <c r="A12" s="159"/>
      <c r="B12" s="159"/>
      <c r="C12" s="159"/>
      <c r="D12" s="159"/>
      <c r="E12" s="158" t="s">
        <v>5</v>
      </c>
      <c r="F12" s="158" t="s">
        <v>6</v>
      </c>
      <c r="G12" s="158" t="s">
        <v>61</v>
      </c>
      <c r="H12" s="158" t="s">
        <v>62</v>
      </c>
      <c r="I12" s="158" t="s">
        <v>63</v>
      </c>
      <c r="J12" s="155" t="s">
        <v>64</v>
      </c>
      <c r="K12" s="155"/>
      <c r="L12" s="1"/>
    </row>
    <row r="13" spans="1:12" ht="15.75">
      <c r="A13" s="160"/>
      <c r="B13" s="160"/>
      <c r="C13" s="160"/>
      <c r="D13" s="160"/>
      <c r="E13" s="160"/>
      <c r="F13" s="160"/>
      <c r="G13" s="160"/>
      <c r="H13" s="160"/>
      <c r="I13" s="160"/>
      <c r="J13" s="155"/>
      <c r="K13" s="155"/>
      <c r="L13" s="1"/>
    </row>
    <row r="14" spans="1:12" ht="73.5" customHeight="1">
      <c r="A14" s="36">
        <v>1</v>
      </c>
      <c r="B14" s="37" t="s">
        <v>144</v>
      </c>
      <c r="C14" s="38" t="s">
        <v>66</v>
      </c>
      <c r="D14" s="39">
        <f>SUM(E14:J14)</f>
        <v>24275</v>
      </c>
      <c r="E14" s="40">
        <v>6675</v>
      </c>
      <c r="F14" s="45">
        <v>8000</v>
      </c>
      <c r="G14" s="40"/>
      <c r="H14" s="40"/>
      <c r="I14" s="40"/>
      <c r="J14" s="40">
        <v>9600</v>
      </c>
      <c r="K14" s="38" t="s">
        <v>128</v>
      </c>
      <c r="L14" s="1"/>
    </row>
    <row r="15" spans="1:14" ht="69" customHeight="1">
      <c r="A15" s="36">
        <v>2</v>
      </c>
      <c r="B15" s="37" t="s">
        <v>145</v>
      </c>
      <c r="C15" s="38" t="s">
        <v>66</v>
      </c>
      <c r="D15" s="39">
        <f>SUM(E15:J15)</f>
        <v>25001.8</v>
      </c>
      <c r="E15" s="45">
        <v>6200</v>
      </c>
      <c r="F15" s="40">
        <f>10000+1.8</f>
        <v>10001.8</v>
      </c>
      <c r="G15" s="40"/>
      <c r="H15" s="40"/>
      <c r="I15" s="40"/>
      <c r="J15" s="40">
        <v>8800</v>
      </c>
      <c r="K15" s="38" t="s">
        <v>128</v>
      </c>
      <c r="L15" s="1"/>
      <c r="N15" s="85">
        <v>441</v>
      </c>
    </row>
    <row r="16" spans="1:14" ht="55.5" customHeight="1">
      <c r="A16" s="36">
        <v>3</v>
      </c>
      <c r="B16" s="37" t="s">
        <v>146</v>
      </c>
      <c r="C16" s="38" t="s">
        <v>66</v>
      </c>
      <c r="D16" s="39">
        <f>SUM(E16:J16)</f>
        <v>17000</v>
      </c>
      <c r="E16" s="45">
        <v>3900</v>
      </c>
      <c r="F16" s="40">
        <f>4600+3000</f>
        <v>7600</v>
      </c>
      <c r="G16" s="40"/>
      <c r="H16" s="40"/>
      <c r="I16" s="40"/>
      <c r="J16" s="40">
        <v>5500</v>
      </c>
      <c r="K16" s="38" t="s">
        <v>132</v>
      </c>
      <c r="L16" s="1"/>
      <c r="N16" s="85"/>
    </row>
    <row r="17" spans="1:14" ht="48" customHeight="1" hidden="1">
      <c r="A17" s="36">
        <v>4</v>
      </c>
      <c r="B17" s="37" t="s">
        <v>147</v>
      </c>
      <c r="C17" s="38" t="s">
        <v>66</v>
      </c>
      <c r="D17" s="39">
        <f>SUM(E17:J17)</f>
        <v>0</v>
      </c>
      <c r="E17" s="45"/>
      <c r="F17" s="40"/>
      <c r="G17" s="40"/>
      <c r="H17" s="40"/>
      <c r="I17" s="40"/>
      <c r="J17" s="40"/>
      <c r="K17" s="38" t="s">
        <v>148</v>
      </c>
      <c r="L17" s="1"/>
      <c r="N17" s="85"/>
    </row>
    <row r="18" spans="1:14" ht="48" customHeight="1" hidden="1">
      <c r="A18" s="36">
        <v>5</v>
      </c>
      <c r="B18" s="86" t="s">
        <v>149</v>
      </c>
      <c r="C18" s="87" t="s">
        <v>66</v>
      </c>
      <c r="D18" s="88">
        <f>SUM(E18:J18)</f>
        <v>0</v>
      </c>
      <c r="E18" s="89"/>
      <c r="F18" s="40"/>
      <c r="G18" s="40"/>
      <c r="H18" s="40"/>
      <c r="I18" s="40"/>
      <c r="J18" s="40"/>
      <c r="K18" s="38" t="s">
        <v>148</v>
      </c>
      <c r="L18" s="1"/>
      <c r="N18" s="85"/>
    </row>
    <row r="19" spans="1:12" ht="32.25" customHeight="1">
      <c r="A19" s="51"/>
      <c r="B19" s="32" t="s">
        <v>0</v>
      </c>
      <c r="C19" s="33"/>
      <c r="D19" s="39">
        <f aca="true" t="shared" si="0" ref="D19:J19">D14+D15+D16+D17+D18</f>
        <v>66276.8</v>
      </c>
      <c r="E19" s="52">
        <f t="shared" si="0"/>
        <v>16775</v>
      </c>
      <c r="F19" s="52">
        <f t="shared" si="0"/>
        <v>25601.8</v>
      </c>
      <c r="G19" s="52">
        <f t="shared" si="0"/>
        <v>0</v>
      </c>
      <c r="H19" s="52">
        <f t="shared" si="0"/>
        <v>0</v>
      </c>
      <c r="I19" s="52">
        <f t="shared" si="0"/>
        <v>0</v>
      </c>
      <c r="J19" s="52">
        <f t="shared" si="0"/>
        <v>23900</v>
      </c>
      <c r="K19" s="53"/>
      <c r="L19" s="1"/>
    </row>
    <row r="20" spans="2:12" ht="15.75">
      <c r="B20" s="4"/>
      <c r="C20" s="4"/>
      <c r="D20" s="7"/>
      <c r="E20" s="7"/>
      <c r="F20" s="7"/>
      <c r="G20" s="7"/>
      <c r="H20" s="7"/>
      <c r="I20" s="7"/>
      <c r="J20" s="7"/>
      <c r="K20" s="54"/>
      <c r="L20" s="1"/>
    </row>
    <row r="21" spans="2:12" ht="48" customHeight="1">
      <c r="B21" s="168" t="s">
        <v>30</v>
      </c>
      <c r="C21" s="168"/>
      <c r="D21" s="34"/>
      <c r="E21" s="9"/>
      <c r="F21" s="9"/>
      <c r="J21" s="55"/>
      <c r="K21" s="56" t="s">
        <v>111</v>
      </c>
      <c r="L21" s="55"/>
    </row>
    <row r="22" spans="2:11" ht="18.75">
      <c r="B22" s="182" t="s">
        <v>112</v>
      </c>
      <c r="C22" s="182"/>
      <c r="D22" s="57"/>
      <c r="E22" s="8"/>
      <c r="F22" s="8"/>
      <c r="G22" s="8"/>
      <c r="H22" s="8"/>
      <c r="I22" s="8"/>
      <c r="J22" s="1"/>
      <c r="K22" s="1"/>
    </row>
    <row r="23" spans="2:13" ht="30.75" customHeight="1">
      <c r="B23" s="58" t="s">
        <v>31</v>
      </c>
      <c r="C23" s="58"/>
      <c r="D23" s="8"/>
      <c r="E23" s="8"/>
      <c r="F23" s="8"/>
      <c r="G23" s="8"/>
      <c r="H23" s="8"/>
      <c r="I23" s="8"/>
      <c r="J23" s="1"/>
      <c r="K23" s="1"/>
      <c r="M23" s="3"/>
    </row>
    <row r="24" spans="2:11" ht="15.75">
      <c r="B24" s="59"/>
      <c r="C24" s="12"/>
      <c r="D24" s="60"/>
      <c r="E24" s="8"/>
      <c r="F24" s="8"/>
      <c r="G24" s="8"/>
      <c r="H24" s="8"/>
      <c r="I24" s="8"/>
      <c r="J24" s="1"/>
      <c r="K24" s="1"/>
    </row>
    <row r="25" spans="3:10" ht="15.75">
      <c r="C25" s="60"/>
      <c r="D25" s="8"/>
      <c r="E25" s="8"/>
      <c r="F25" s="8"/>
      <c r="G25" s="8"/>
      <c r="H25" s="8"/>
      <c r="I25" s="8"/>
      <c r="J25" s="8"/>
    </row>
    <row r="26" spans="3:10" ht="15.75">
      <c r="C26" s="61"/>
      <c r="D26" s="8"/>
      <c r="E26" s="8"/>
      <c r="F26" s="8"/>
      <c r="G26" s="8"/>
      <c r="H26" s="8"/>
      <c r="I26" s="8"/>
      <c r="J26" s="8"/>
    </row>
    <row r="28" ht="12.75">
      <c r="H28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1:C21"/>
    <mergeCell ref="B22:C22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3"/>
  <sheetViews>
    <sheetView view="pageBreakPreview" zoomScale="60" zoomScalePageLayoutView="0" workbookViewId="0" topLeftCell="A28">
      <selection activeCell="D43" sqref="D43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10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153</v>
      </c>
      <c r="I1" s="3"/>
      <c r="J1" s="3"/>
      <c r="K1" s="3"/>
    </row>
    <row r="2" spans="8:11" ht="15.75">
      <c r="H2" s="3" t="s">
        <v>46</v>
      </c>
      <c r="I2" s="3"/>
      <c r="J2" s="3"/>
      <c r="K2" s="3"/>
    </row>
    <row r="3" spans="8:11" ht="15.75">
      <c r="H3" s="154" t="s">
        <v>154</v>
      </c>
      <c r="I3" s="154"/>
      <c r="J3" s="3"/>
      <c r="K3" s="3"/>
    </row>
    <row r="4" spans="8:11" ht="15.75">
      <c r="H4" s="154" t="s">
        <v>155</v>
      </c>
      <c r="I4" s="154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54" t="s">
        <v>156</v>
      </c>
      <c r="I6" s="154"/>
      <c r="J6" s="3"/>
      <c r="K6" s="3"/>
    </row>
    <row r="7" spans="2:13" ht="15.75" customHeight="1">
      <c r="B7" s="1"/>
      <c r="C7" s="1"/>
      <c r="D7" s="1"/>
      <c r="H7" s="13" t="s">
        <v>224</v>
      </c>
      <c r="I7" s="13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198" t="s">
        <v>157</v>
      </c>
      <c r="C9" s="198"/>
      <c r="D9" s="198"/>
      <c r="E9" s="198"/>
      <c r="F9" s="198"/>
      <c r="G9" s="198"/>
      <c r="H9" s="198"/>
      <c r="I9" s="1"/>
    </row>
    <row r="10" spans="2:9" ht="13.5" customHeight="1">
      <c r="B10" s="91"/>
      <c r="C10" s="91"/>
      <c r="D10" s="91"/>
      <c r="E10" s="91"/>
      <c r="F10" s="91"/>
      <c r="G10" s="91"/>
      <c r="H10" s="91"/>
      <c r="I10" s="1"/>
    </row>
    <row r="11" spans="1:9" ht="19.5" customHeight="1">
      <c r="A11" s="158" t="s">
        <v>152</v>
      </c>
      <c r="B11" s="158" t="s">
        <v>57</v>
      </c>
      <c r="C11" s="158" t="s">
        <v>58</v>
      </c>
      <c r="D11" s="158" t="s">
        <v>59</v>
      </c>
      <c r="E11" s="155" t="s">
        <v>4</v>
      </c>
      <c r="F11" s="155"/>
      <c r="G11" s="155"/>
      <c r="H11" s="155" t="s">
        <v>60</v>
      </c>
      <c r="I11" s="1"/>
    </row>
    <row r="12" spans="1:9" ht="15.75" customHeight="1">
      <c r="A12" s="159"/>
      <c r="B12" s="159"/>
      <c r="C12" s="159"/>
      <c r="D12" s="159"/>
      <c r="E12" s="158" t="s">
        <v>5</v>
      </c>
      <c r="F12" s="158" t="s">
        <v>6</v>
      </c>
      <c r="G12" s="158" t="s">
        <v>7</v>
      </c>
      <c r="H12" s="155"/>
      <c r="I12" s="1"/>
    </row>
    <row r="13" spans="1:9" ht="12" customHeight="1">
      <c r="A13" s="160"/>
      <c r="B13" s="160"/>
      <c r="C13" s="160"/>
      <c r="D13" s="160"/>
      <c r="E13" s="160"/>
      <c r="F13" s="160"/>
      <c r="G13" s="160"/>
      <c r="H13" s="155"/>
      <c r="I13" s="1"/>
    </row>
    <row r="14" spans="1:9" ht="33.75" customHeight="1" hidden="1">
      <c r="A14" s="22">
        <v>1</v>
      </c>
      <c r="B14" s="37" t="s">
        <v>158</v>
      </c>
      <c r="C14" s="38" t="s">
        <v>66</v>
      </c>
      <c r="D14" s="92" t="e">
        <f>#REF!+E14+F14+G14</f>
        <v>#REF!</v>
      </c>
      <c r="E14" s="92"/>
      <c r="F14" s="92"/>
      <c r="G14" s="92"/>
      <c r="H14" s="38" t="s">
        <v>159</v>
      </c>
      <c r="I14" s="1"/>
    </row>
    <row r="15" spans="1:9" ht="52.5" customHeight="1">
      <c r="A15" s="22">
        <v>1</v>
      </c>
      <c r="B15" s="37" t="s">
        <v>160</v>
      </c>
      <c r="C15" s="38" t="s">
        <v>66</v>
      </c>
      <c r="D15" s="39">
        <f>E15+F15+G15</f>
        <v>128517.8</v>
      </c>
      <c r="E15" s="92">
        <f>15000+7500+2117.8</f>
        <v>24617.8</v>
      </c>
      <c r="F15" s="92">
        <f>45000+26500</f>
        <v>71500</v>
      </c>
      <c r="G15" s="92">
        <f>21600+10800</f>
        <v>32400</v>
      </c>
      <c r="H15" s="93" t="s">
        <v>161</v>
      </c>
      <c r="I15" s="1"/>
    </row>
    <row r="16" spans="1:9" ht="34.5" customHeight="1" hidden="1">
      <c r="A16" s="22">
        <f>A15+1</f>
        <v>2</v>
      </c>
      <c r="B16" s="37" t="s">
        <v>162</v>
      </c>
      <c r="C16" s="38" t="s">
        <v>66</v>
      </c>
      <c r="D16" s="39">
        <f aca="true" t="shared" si="0" ref="D16:D30">E16+F16+G16</f>
        <v>0</v>
      </c>
      <c r="E16" s="92"/>
      <c r="F16" s="92"/>
      <c r="G16" s="92"/>
      <c r="H16" s="38" t="s">
        <v>159</v>
      </c>
      <c r="I16" s="1"/>
    </row>
    <row r="17" spans="1:9" ht="48" customHeight="1">
      <c r="A17" s="22">
        <v>2</v>
      </c>
      <c r="B17" s="37" t="s">
        <v>163</v>
      </c>
      <c r="C17" s="38" t="s">
        <v>66</v>
      </c>
      <c r="D17" s="39">
        <f t="shared" si="0"/>
        <v>110380</v>
      </c>
      <c r="E17" s="92">
        <f>22000+7500</f>
        <v>29500</v>
      </c>
      <c r="F17" s="92">
        <f>26400+12000</f>
        <v>38400</v>
      </c>
      <c r="G17" s="92">
        <f>31680+10800</f>
        <v>42480</v>
      </c>
      <c r="H17" s="93" t="s">
        <v>161</v>
      </c>
      <c r="I17" s="1"/>
    </row>
    <row r="18" spans="1:9" ht="45.75" customHeight="1">
      <c r="A18" s="22">
        <v>3</v>
      </c>
      <c r="B18" s="37" t="s">
        <v>164</v>
      </c>
      <c r="C18" s="38" t="s">
        <v>66</v>
      </c>
      <c r="D18" s="39">
        <f t="shared" si="0"/>
        <v>69160</v>
      </c>
      <c r="E18" s="92">
        <v>19000</v>
      </c>
      <c r="F18" s="94">
        <v>22800</v>
      </c>
      <c r="G18" s="92">
        <v>27360</v>
      </c>
      <c r="H18" s="93" t="s">
        <v>161</v>
      </c>
      <c r="I18" s="1"/>
    </row>
    <row r="19" spans="1:9" ht="31.5">
      <c r="A19" s="22">
        <v>4</v>
      </c>
      <c r="B19" s="37" t="s">
        <v>165</v>
      </c>
      <c r="C19" s="38" t="s">
        <v>66</v>
      </c>
      <c r="D19" s="48">
        <f t="shared" si="0"/>
        <v>37</v>
      </c>
      <c r="E19" s="92">
        <v>37</v>
      </c>
      <c r="F19" s="94"/>
      <c r="G19" s="92"/>
      <c r="H19" s="93" t="s">
        <v>166</v>
      </c>
      <c r="I19" s="1"/>
    </row>
    <row r="20" spans="1:9" ht="31.5">
      <c r="A20" s="22">
        <v>5</v>
      </c>
      <c r="B20" s="37" t="s">
        <v>167</v>
      </c>
      <c r="C20" s="38" t="s">
        <v>66</v>
      </c>
      <c r="D20" s="48">
        <f>E20+F20+G20</f>
        <v>200</v>
      </c>
      <c r="E20" s="92"/>
      <c r="F20" s="95">
        <v>200</v>
      </c>
      <c r="G20" s="92"/>
      <c r="H20" s="93" t="s">
        <v>166</v>
      </c>
      <c r="I20" s="1"/>
    </row>
    <row r="21" spans="1:9" ht="65.25" customHeight="1">
      <c r="A21" s="38">
        <v>6</v>
      </c>
      <c r="B21" s="37" t="s">
        <v>168</v>
      </c>
      <c r="C21" s="38" t="s">
        <v>66</v>
      </c>
      <c r="D21" s="39">
        <f t="shared" si="0"/>
        <v>27452.7</v>
      </c>
      <c r="E21" s="94">
        <v>6352.7</v>
      </c>
      <c r="F21" s="95">
        <v>9600</v>
      </c>
      <c r="G21" s="92">
        <v>11500</v>
      </c>
      <c r="H21" s="93" t="s">
        <v>169</v>
      </c>
      <c r="I21" s="1"/>
    </row>
    <row r="22" spans="1:9" ht="57" customHeight="1">
      <c r="A22" s="38">
        <v>7</v>
      </c>
      <c r="B22" s="37" t="s">
        <v>170</v>
      </c>
      <c r="C22" s="38" t="s">
        <v>66</v>
      </c>
      <c r="D22" s="39">
        <f t="shared" si="0"/>
        <v>118100</v>
      </c>
      <c r="E22" s="94">
        <f>31000-700</f>
        <v>30300</v>
      </c>
      <c r="F22" s="95">
        <f>37200+6000</f>
        <v>43200</v>
      </c>
      <c r="G22" s="95">
        <v>44600</v>
      </c>
      <c r="H22" s="93" t="s">
        <v>169</v>
      </c>
      <c r="I22" s="1"/>
    </row>
    <row r="23" spans="1:9" ht="18" customHeight="1" hidden="1">
      <c r="A23" s="38"/>
      <c r="B23" s="37" t="s">
        <v>171</v>
      </c>
      <c r="C23" s="96"/>
      <c r="D23" s="39">
        <f t="shared" si="0"/>
        <v>0</v>
      </c>
      <c r="E23" s="92"/>
      <c r="F23" s="94"/>
      <c r="G23" s="92"/>
      <c r="H23" s="93" t="s">
        <v>172</v>
      </c>
      <c r="I23" s="1"/>
    </row>
    <row r="24" spans="1:9" ht="20.25" customHeight="1" hidden="1">
      <c r="A24" s="38"/>
      <c r="B24" s="37" t="s">
        <v>173</v>
      </c>
      <c r="C24" s="96"/>
      <c r="D24" s="39">
        <f t="shared" si="0"/>
        <v>0</v>
      </c>
      <c r="E24" s="92"/>
      <c r="F24" s="94"/>
      <c r="G24" s="92"/>
      <c r="H24" s="93" t="s">
        <v>172</v>
      </c>
      <c r="I24" s="1"/>
    </row>
    <row r="25" spans="1:9" ht="21" customHeight="1" hidden="1">
      <c r="A25" s="38"/>
      <c r="B25" s="37" t="s">
        <v>174</v>
      </c>
      <c r="C25" s="96"/>
      <c r="D25" s="39">
        <f t="shared" si="0"/>
        <v>0</v>
      </c>
      <c r="E25" s="92"/>
      <c r="F25" s="94"/>
      <c r="G25" s="92"/>
      <c r="H25" s="93" t="s">
        <v>172</v>
      </c>
      <c r="I25" s="1"/>
    </row>
    <row r="26" spans="1:9" ht="30.75" customHeight="1" hidden="1">
      <c r="A26" s="38"/>
      <c r="B26" s="37" t="s">
        <v>175</v>
      </c>
      <c r="C26" s="38" t="s">
        <v>66</v>
      </c>
      <c r="D26" s="39">
        <f t="shared" si="0"/>
        <v>0</v>
      </c>
      <c r="E26" s="92"/>
      <c r="F26" s="92"/>
      <c r="G26" s="92"/>
      <c r="H26" s="93" t="s">
        <v>172</v>
      </c>
      <c r="I26" s="1"/>
    </row>
    <row r="27" spans="1:9" ht="18" customHeight="1" hidden="1">
      <c r="A27" s="38"/>
      <c r="B27" s="37" t="s">
        <v>176</v>
      </c>
      <c r="C27" s="38" t="s">
        <v>66</v>
      </c>
      <c r="D27" s="39">
        <f t="shared" si="0"/>
        <v>0</v>
      </c>
      <c r="E27" s="92"/>
      <c r="F27" s="92"/>
      <c r="G27" s="92"/>
      <c r="H27" s="93" t="s">
        <v>172</v>
      </c>
      <c r="I27" s="1"/>
    </row>
    <row r="28" spans="1:9" ht="47.25">
      <c r="A28" s="38">
        <v>8</v>
      </c>
      <c r="B28" s="37" t="s">
        <v>177</v>
      </c>
      <c r="C28" s="38" t="s">
        <v>66</v>
      </c>
      <c r="D28" s="39">
        <f t="shared" si="0"/>
        <v>22200</v>
      </c>
      <c r="E28" s="92">
        <v>5000</v>
      </c>
      <c r="F28" s="92">
        <v>10000</v>
      </c>
      <c r="G28" s="92">
        <v>7200</v>
      </c>
      <c r="H28" s="38" t="s">
        <v>161</v>
      </c>
      <c r="I28" s="1"/>
    </row>
    <row r="29" spans="1:9" ht="48.75" customHeight="1">
      <c r="A29" s="38">
        <v>9</v>
      </c>
      <c r="B29" s="37" t="s">
        <v>178</v>
      </c>
      <c r="C29" s="38" t="s">
        <v>66</v>
      </c>
      <c r="D29" s="39">
        <f t="shared" si="0"/>
        <v>14789.2</v>
      </c>
      <c r="E29" s="92">
        <v>5436</v>
      </c>
      <c r="F29" s="92">
        <v>3883.2</v>
      </c>
      <c r="G29" s="92">
        <v>5470</v>
      </c>
      <c r="H29" s="38" t="s">
        <v>161</v>
      </c>
      <c r="I29" s="1"/>
    </row>
    <row r="30" spans="1:9" ht="51" customHeight="1">
      <c r="A30" s="38">
        <v>10</v>
      </c>
      <c r="B30" s="37" t="s">
        <v>179</v>
      </c>
      <c r="C30" s="38" t="s">
        <v>66</v>
      </c>
      <c r="D30" s="39">
        <f t="shared" si="0"/>
        <v>432.3</v>
      </c>
      <c r="E30" s="92">
        <f>110+22.3</f>
        <v>132.3</v>
      </c>
      <c r="F30" s="92">
        <v>135</v>
      </c>
      <c r="G30" s="92">
        <v>165</v>
      </c>
      <c r="H30" s="38" t="s">
        <v>180</v>
      </c>
      <c r="I30" s="1"/>
    </row>
    <row r="31" spans="1:9" ht="15.75">
      <c r="A31" s="69"/>
      <c r="B31" s="97" t="s">
        <v>0</v>
      </c>
      <c r="C31" s="97"/>
      <c r="D31" s="39">
        <f>D15+D17+D18+D19+D21+D22+D28+D29+D30+D20</f>
        <v>491269</v>
      </c>
      <c r="E31" s="39">
        <f>E15+E17+E18+E19+E21+E22+E28+E29+E30+E20</f>
        <v>120375.8</v>
      </c>
      <c r="F31" s="39">
        <f>F15+F17+F18+F19+F21+F22+F28+F29+F30+F20</f>
        <v>199718.2</v>
      </c>
      <c r="G31" s="39">
        <f>G15+G17+G18+G19+G21+G22+G28+G29+G30+G20</f>
        <v>171175</v>
      </c>
      <c r="H31" s="53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11" ht="18.75">
      <c r="B33" s="168" t="s">
        <v>30</v>
      </c>
      <c r="C33" s="168"/>
      <c r="D33" s="34"/>
      <c r="E33" s="9"/>
      <c r="F33" s="98"/>
      <c r="H33" s="90" t="s">
        <v>2</v>
      </c>
      <c r="J33" s="55"/>
      <c r="K33" s="56"/>
    </row>
    <row r="34" spans="2:11" ht="18.75">
      <c r="B34" s="34"/>
      <c r="C34" s="34"/>
      <c r="D34" s="34"/>
      <c r="E34" s="9"/>
      <c r="F34" s="98"/>
      <c r="H34" s="90"/>
      <c r="J34" s="55"/>
      <c r="K34" s="56"/>
    </row>
    <row r="35" spans="2:11" ht="18.75">
      <c r="B35" s="165" t="s">
        <v>112</v>
      </c>
      <c r="C35" s="165"/>
      <c r="D35" s="57"/>
      <c r="E35" s="8"/>
      <c r="F35" s="8"/>
      <c r="G35" s="8"/>
      <c r="H35" s="8"/>
      <c r="I35" s="8"/>
      <c r="J35" s="1"/>
      <c r="K35" s="1"/>
    </row>
    <row r="36" spans="2:11" ht="28.5" customHeight="1">
      <c r="B36" s="58" t="s">
        <v>181</v>
      </c>
      <c r="C36" s="58"/>
      <c r="D36" s="8"/>
      <c r="E36" s="8"/>
      <c r="F36" s="8"/>
      <c r="G36" s="8"/>
      <c r="H36" s="8"/>
      <c r="I36" s="8"/>
      <c r="J36" s="1"/>
      <c r="K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</sheetData>
  <sheetProtection/>
  <mergeCells count="15">
    <mergeCell ref="B33:C33"/>
    <mergeCell ref="B35:C35"/>
    <mergeCell ref="H3:I3"/>
    <mergeCell ref="H4:I4"/>
    <mergeCell ref="H6:I6"/>
    <mergeCell ref="B9:H9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">
      <selection activeCell="A24" sqref="A24:IV24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18.00390625" style="0" customWidth="1"/>
    <col min="4" max="4" width="13.57421875" style="0" customWidth="1"/>
    <col min="5" max="5" width="10.421875" style="0" customWidth="1"/>
    <col min="6" max="6" width="10.7109375" style="0" bestFit="1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45</v>
      </c>
      <c r="J1" s="153" t="s">
        <v>214</v>
      </c>
      <c r="K1" s="153"/>
    </row>
    <row r="2" spans="2:11" ht="15.75">
      <c r="B2" s="1"/>
      <c r="C2" s="1"/>
      <c r="D2" s="1"/>
      <c r="E2" s="1"/>
      <c r="F2" s="1"/>
      <c r="G2" s="1"/>
      <c r="H2" s="1"/>
      <c r="I2" s="3" t="s">
        <v>46</v>
      </c>
      <c r="J2" s="154" t="s">
        <v>46</v>
      </c>
      <c r="K2" s="154"/>
    </row>
    <row r="3" spans="2:11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119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120</v>
      </c>
      <c r="K6" s="3"/>
    </row>
    <row r="7" spans="2:11" ht="15.75">
      <c r="B7" s="1"/>
      <c r="C7" s="1"/>
      <c r="D7" s="1"/>
      <c r="E7" s="1"/>
      <c r="F7" s="1"/>
      <c r="G7" s="1"/>
      <c r="H7" s="11"/>
      <c r="I7" s="3" t="s">
        <v>55</v>
      </c>
      <c r="J7" s="188" t="s">
        <v>224</v>
      </c>
      <c r="K7" s="189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190" t="s">
        <v>205</v>
      </c>
      <c r="C9" s="190"/>
      <c r="D9" s="190"/>
      <c r="E9" s="190"/>
      <c r="F9" s="190"/>
      <c r="G9" s="190"/>
      <c r="H9" s="190"/>
      <c r="I9" s="190"/>
      <c r="J9" s="190"/>
      <c r="K9" s="190"/>
    </row>
    <row r="10" spans="2:11" ht="15.75">
      <c r="B10" s="1"/>
      <c r="C10" s="1"/>
      <c r="D10" s="185"/>
      <c r="E10" s="185"/>
      <c r="F10" s="185"/>
      <c r="G10" s="185"/>
      <c r="H10" s="185"/>
      <c r="I10" s="1"/>
      <c r="J10" s="1"/>
      <c r="K10" s="1"/>
    </row>
    <row r="11" spans="1:11" ht="15.75">
      <c r="A11" s="191" t="s">
        <v>1</v>
      </c>
      <c r="B11" s="158" t="s">
        <v>57</v>
      </c>
      <c r="C11" s="158" t="s">
        <v>58</v>
      </c>
      <c r="D11" s="158" t="s">
        <v>121</v>
      </c>
      <c r="E11" s="186" t="s">
        <v>4</v>
      </c>
      <c r="F11" s="186"/>
      <c r="G11" s="186"/>
      <c r="H11" s="186"/>
      <c r="I11" s="186"/>
      <c r="J11" s="187"/>
      <c r="K11" s="155" t="s">
        <v>60</v>
      </c>
    </row>
    <row r="12" spans="1:11" ht="17.25" customHeight="1">
      <c r="A12" s="192"/>
      <c r="B12" s="159"/>
      <c r="C12" s="159"/>
      <c r="D12" s="159"/>
      <c r="E12" s="158" t="s">
        <v>5</v>
      </c>
      <c r="F12" s="158" t="s">
        <v>6</v>
      </c>
      <c r="G12" s="158" t="s">
        <v>61</v>
      </c>
      <c r="H12" s="158" t="s">
        <v>62</v>
      </c>
      <c r="I12" s="158" t="s">
        <v>63</v>
      </c>
      <c r="J12" s="155" t="s">
        <v>7</v>
      </c>
      <c r="K12" s="155"/>
    </row>
    <row r="13" spans="1:11" ht="12.75">
      <c r="A13" s="193"/>
      <c r="B13" s="160"/>
      <c r="C13" s="160"/>
      <c r="D13" s="160"/>
      <c r="E13" s="160"/>
      <c r="F13" s="160"/>
      <c r="G13" s="160"/>
      <c r="H13" s="160"/>
      <c r="I13" s="160"/>
      <c r="J13" s="155"/>
      <c r="K13" s="155"/>
    </row>
    <row r="14" spans="1:11" ht="31.5">
      <c r="A14" s="63">
        <v>1</v>
      </c>
      <c r="B14" s="64" t="s">
        <v>206</v>
      </c>
      <c r="C14" s="38" t="s">
        <v>66</v>
      </c>
      <c r="D14" s="65">
        <f aca="true" t="shared" si="0" ref="D14:D21">E14+F14+J14</f>
        <v>66600</v>
      </c>
      <c r="E14" s="66">
        <f>7500</f>
        <v>7500</v>
      </c>
      <c r="F14" s="66">
        <f>30000+8000+12500</f>
        <v>50500</v>
      </c>
      <c r="G14" s="66"/>
      <c r="H14" s="66"/>
      <c r="I14" s="66"/>
      <c r="J14" s="66">
        <f>8600</f>
        <v>8600</v>
      </c>
      <c r="K14" s="38" t="s">
        <v>122</v>
      </c>
    </row>
    <row r="15" spans="1:11" ht="31.5">
      <c r="A15" s="63"/>
      <c r="B15" s="64" t="s">
        <v>123</v>
      </c>
      <c r="C15" s="38" t="s">
        <v>66</v>
      </c>
      <c r="D15" s="65">
        <f t="shared" si="0"/>
        <v>42500</v>
      </c>
      <c r="E15" s="66">
        <v>5000</v>
      </c>
      <c r="F15" s="66">
        <f>20000+12500</f>
        <v>32500</v>
      </c>
      <c r="G15" s="66"/>
      <c r="H15" s="66"/>
      <c r="I15" s="66"/>
      <c r="J15" s="66">
        <v>5000</v>
      </c>
      <c r="K15" s="38" t="s">
        <v>122</v>
      </c>
    </row>
    <row r="16" spans="1:11" ht="31.5">
      <c r="A16" s="67">
        <v>2</v>
      </c>
      <c r="B16" s="64" t="s">
        <v>207</v>
      </c>
      <c r="C16" s="38" t="s">
        <v>66</v>
      </c>
      <c r="D16" s="65">
        <f t="shared" si="0"/>
        <v>7330</v>
      </c>
      <c r="E16" s="66">
        <f>4800-1630-40-800</f>
        <v>2330</v>
      </c>
      <c r="F16" s="66">
        <v>5000</v>
      </c>
      <c r="G16" s="66"/>
      <c r="H16" s="66"/>
      <c r="I16" s="66"/>
      <c r="J16" s="66"/>
      <c r="K16" s="38" t="s">
        <v>122</v>
      </c>
    </row>
    <row r="17" spans="1:11" ht="31.5">
      <c r="A17" s="67">
        <v>3</v>
      </c>
      <c r="B17" s="64" t="s">
        <v>208</v>
      </c>
      <c r="C17" s="38" t="s">
        <v>209</v>
      </c>
      <c r="D17" s="65">
        <f t="shared" si="0"/>
        <v>56420</v>
      </c>
      <c r="E17" s="66">
        <f>10500+800</f>
        <v>11300</v>
      </c>
      <c r="F17" s="66">
        <v>30000</v>
      </c>
      <c r="G17" s="66"/>
      <c r="H17" s="66"/>
      <c r="I17" s="66"/>
      <c r="J17" s="66">
        <v>15120</v>
      </c>
      <c r="K17" s="38" t="s">
        <v>122</v>
      </c>
    </row>
    <row r="18" spans="1:11" ht="31.5">
      <c r="A18" s="67">
        <v>4</v>
      </c>
      <c r="B18" s="64" t="s">
        <v>210</v>
      </c>
      <c r="C18" s="38" t="s">
        <v>66</v>
      </c>
      <c r="D18" s="65">
        <f t="shared" si="0"/>
        <v>7498</v>
      </c>
      <c r="E18" s="66">
        <v>3178</v>
      </c>
      <c r="F18" s="66">
        <v>4320</v>
      </c>
      <c r="G18" s="66"/>
      <c r="H18" s="66"/>
      <c r="I18" s="66"/>
      <c r="J18" s="66"/>
      <c r="K18" s="38" t="s">
        <v>122</v>
      </c>
    </row>
    <row r="19" spans="1:11" ht="31.5">
      <c r="A19" s="67">
        <v>5</v>
      </c>
      <c r="B19" s="64" t="s">
        <v>211</v>
      </c>
      <c r="C19" s="38" t="s">
        <v>66</v>
      </c>
      <c r="D19" s="65">
        <f t="shared" si="0"/>
        <v>1270</v>
      </c>
      <c r="E19" s="66">
        <f>300+40</f>
        <v>340</v>
      </c>
      <c r="F19" s="66">
        <v>500</v>
      </c>
      <c r="G19" s="66"/>
      <c r="H19" s="66"/>
      <c r="I19" s="66"/>
      <c r="J19" s="66">
        <v>430</v>
      </c>
      <c r="K19" s="38" t="s">
        <v>122</v>
      </c>
    </row>
    <row r="20" spans="1:11" ht="31.5">
      <c r="A20" s="67">
        <v>6</v>
      </c>
      <c r="B20" s="37" t="s">
        <v>212</v>
      </c>
      <c r="C20" s="38" t="s">
        <v>66</v>
      </c>
      <c r="D20" s="65">
        <f t="shared" si="0"/>
        <v>8580</v>
      </c>
      <c r="E20" s="68">
        <v>1000</v>
      </c>
      <c r="F20" s="68">
        <f>2000+1000+3000</f>
        <v>6000</v>
      </c>
      <c r="G20" s="66"/>
      <c r="H20" s="66"/>
      <c r="I20" s="66"/>
      <c r="J20" s="66">
        <v>1580</v>
      </c>
      <c r="K20" s="38" t="s">
        <v>122</v>
      </c>
    </row>
    <row r="21" spans="1:11" ht="47.25">
      <c r="A21" s="67">
        <v>7</v>
      </c>
      <c r="B21" s="37" t="s">
        <v>213</v>
      </c>
      <c r="C21" s="38" t="s">
        <v>66</v>
      </c>
      <c r="D21" s="65">
        <f t="shared" si="0"/>
        <v>1630</v>
      </c>
      <c r="E21" s="68">
        <v>1630</v>
      </c>
      <c r="F21" s="68"/>
      <c r="G21" s="66"/>
      <c r="H21" s="66"/>
      <c r="I21" s="66"/>
      <c r="J21" s="66"/>
      <c r="K21" s="38" t="s">
        <v>122</v>
      </c>
    </row>
    <row r="22" spans="1:11" ht="15.75">
      <c r="A22" s="69"/>
      <c r="B22" s="32" t="s">
        <v>0</v>
      </c>
      <c r="C22" s="33"/>
      <c r="D22" s="70">
        <f>D14+D16+D17+D18+D19+D20+D21</f>
        <v>149328</v>
      </c>
      <c r="E22" s="70">
        <f>E14+E16+E17+E18+E19+E20+E21</f>
        <v>27278</v>
      </c>
      <c r="F22" s="70">
        <f>F14+F16+F17+F18+F19+F20+F21</f>
        <v>96320</v>
      </c>
      <c r="G22" s="70">
        <f>SUM(G14:G20)</f>
        <v>0</v>
      </c>
      <c r="H22" s="70">
        <f>SUM(H14:H20)</f>
        <v>0</v>
      </c>
      <c r="I22" s="70">
        <f>SUM(I14:I20)</f>
        <v>0</v>
      </c>
      <c r="J22" s="70">
        <f>J14+J16+J17+J18+J19+J20+J21</f>
        <v>25730</v>
      </c>
      <c r="K22" s="53"/>
    </row>
    <row r="23" spans="2:11" ht="15.75">
      <c r="B23" s="4"/>
      <c r="C23" s="4"/>
      <c r="D23" s="7"/>
      <c r="E23" s="7"/>
      <c r="F23" s="7"/>
      <c r="G23" s="7"/>
      <c r="H23" s="7"/>
      <c r="I23" s="7"/>
      <c r="J23" s="7"/>
      <c r="K23" s="54"/>
    </row>
    <row r="24" spans="2:11" ht="18.75">
      <c r="B24" s="71"/>
      <c r="C24" s="72"/>
      <c r="E24" s="7"/>
      <c r="F24" s="7"/>
      <c r="G24" s="7"/>
      <c r="H24" s="7"/>
      <c r="I24" s="7"/>
      <c r="J24" s="7"/>
      <c r="K24" s="72"/>
    </row>
    <row r="25" spans="1:11" ht="18.75">
      <c r="A25" s="73"/>
      <c r="B25" s="74" t="s">
        <v>30</v>
      </c>
      <c r="C25" s="74"/>
      <c r="D25" s="73"/>
      <c r="E25" s="74"/>
      <c r="F25" s="197" t="s">
        <v>2</v>
      </c>
      <c r="G25" s="197"/>
      <c r="H25" s="197"/>
      <c r="I25" s="197"/>
      <c r="J25" s="197"/>
      <c r="K25" s="76"/>
    </row>
    <row r="26" spans="1:11" ht="18.75">
      <c r="A26" s="73"/>
      <c r="B26" s="74"/>
      <c r="C26" s="74"/>
      <c r="D26" s="73"/>
      <c r="E26" s="74"/>
      <c r="F26" s="149"/>
      <c r="G26" s="149"/>
      <c r="H26" s="149"/>
      <c r="I26" s="149"/>
      <c r="J26" s="149"/>
      <c r="K26" s="76"/>
    </row>
    <row r="27" spans="1:11" ht="18.75">
      <c r="A27" s="73"/>
      <c r="B27" s="77" t="s">
        <v>124</v>
      </c>
      <c r="C27" s="77"/>
      <c r="D27" s="73"/>
      <c r="E27" s="78"/>
      <c r="F27" s="79"/>
      <c r="G27" s="79"/>
      <c r="H27" s="79"/>
      <c r="I27" s="79"/>
      <c r="J27" s="79"/>
      <c r="K27" s="80"/>
    </row>
    <row r="28" spans="1:11" ht="30.75" customHeight="1">
      <c r="A28" s="73"/>
      <c r="B28" s="81" t="s">
        <v>31</v>
      </c>
      <c r="C28" s="73"/>
      <c r="D28" s="81"/>
      <c r="E28" s="79"/>
      <c r="F28" s="79"/>
      <c r="G28" s="79"/>
      <c r="H28" s="79"/>
      <c r="I28" s="79"/>
      <c r="J28" s="79"/>
      <c r="K28" s="80"/>
    </row>
    <row r="29" spans="2:11" ht="15.75">
      <c r="B29" s="59"/>
      <c r="C29" s="12"/>
      <c r="D29" s="60"/>
      <c r="E29" s="8"/>
      <c r="F29" s="8"/>
      <c r="G29" s="8"/>
      <c r="H29" s="8"/>
      <c r="I29" s="8"/>
      <c r="J29" s="1"/>
      <c r="K29" s="1"/>
    </row>
    <row r="30" spans="3:10" ht="15.75">
      <c r="C30" s="60"/>
      <c r="D30" s="8"/>
      <c r="E30" s="8"/>
      <c r="F30" s="8"/>
      <c r="G30" s="8"/>
      <c r="H30" s="8"/>
      <c r="I30" s="8"/>
      <c r="J30" s="8"/>
    </row>
    <row r="31" spans="3:10" ht="15.75">
      <c r="C31" s="61"/>
      <c r="D31" s="8"/>
      <c r="E31" s="8"/>
      <c r="F31" s="8"/>
      <c r="G31" s="8"/>
      <c r="H31" s="8"/>
      <c r="I31" s="8"/>
      <c r="J31" s="8"/>
    </row>
    <row r="33" ht="12.75">
      <c r="H33" s="6"/>
    </row>
  </sheetData>
  <sheetProtection/>
  <mergeCells count="18">
    <mergeCell ref="F25:J25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D30" sqref="D30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9.140625" style="0" bestFit="1" customWidth="1"/>
    <col min="7" max="8" width="11.57421875" style="0" hidden="1" customWidth="1"/>
    <col min="9" max="9" width="12.57421875" style="0" hidden="1" customWidth="1"/>
    <col min="10" max="10" width="9.14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53" t="s">
        <v>219</v>
      </c>
      <c r="K1" s="153"/>
      <c r="L1" s="2" t="s">
        <v>45</v>
      </c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54" t="s">
        <v>46</v>
      </c>
      <c r="K2" s="154"/>
      <c r="L2" s="3" t="s">
        <v>46</v>
      </c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 t="s">
        <v>47</v>
      </c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 t="s">
        <v>49</v>
      </c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52</v>
      </c>
      <c r="K5" s="3"/>
      <c r="L5" s="3" t="s">
        <v>51</v>
      </c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54</v>
      </c>
      <c r="K6" s="3"/>
      <c r="L6" s="3" t="s">
        <v>53</v>
      </c>
    </row>
    <row r="7" spans="2:15" ht="15.75">
      <c r="B7" s="1"/>
      <c r="C7" s="1"/>
      <c r="D7" s="1"/>
      <c r="E7" s="1"/>
      <c r="F7" s="1"/>
      <c r="G7" s="1"/>
      <c r="H7" s="11"/>
      <c r="I7" s="3" t="s">
        <v>55</v>
      </c>
      <c r="J7" s="183" t="s">
        <v>224</v>
      </c>
      <c r="K7" s="154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>
      <c r="B9" s="190" t="s">
        <v>215</v>
      </c>
      <c r="C9" s="190"/>
      <c r="D9" s="190"/>
      <c r="E9" s="190"/>
      <c r="F9" s="190"/>
      <c r="G9" s="190"/>
      <c r="H9" s="190"/>
      <c r="I9" s="190"/>
      <c r="J9" s="190"/>
      <c r="K9" s="190"/>
      <c r="L9" s="1"/>
    </row>
    <row r="10" spans="2:12" ht="15.75">
      <c r="B10" s="1"/>
      <c r="C10" s="1"/>
      <c r="D10" s="185"/>
      <c r="E10" s="185"/>
      <c r="F10" s="185"/>
      <c r="G10" s="185"/>
      <c r="H10" s="185"/>
      <c r="I10" s="1"/>
      <c r="J10" s="1"/>
      <c r="K10" s="35" t="s">
        <v>56</v>
      </c>
      <c r="L10" s="1"/>
    </row>
    <row r="11" spans="1:12" ht="15.75">
      <c r="A11" s="158" t="s">
        <v>1</v>
      </c>
      <c r="B11" s="158" t="s">
        <v>57</v>
      </c>
      <c r="C11" s="158" t="s">
        <v>58</v>
      </c>
      <c r="D11" s="158" t="s">
        <v>59</v>
      </c>
      <c r="E11" s="186" t="s">
        <v>4</v>
      </c>
      <c r="F11" s="186"/>
      <c r="G11" s="186"/>
      <c r="H11" s="186"/>
      <c r="I11" s="186"/>
      <c r="J11" s="187"/>
      <c r="K11" s="155" t="s">
        <v>60</v>
      </c>
      <c r="L11" s="1"/>
    </row>
    <row r="12" spans="1:12" ht="15.75">
      <c r="A12" s="159"/>
      <c r="B12" s="159"/>
      <c r="C12" s="159"/>
      <c r="D12" s="159"/>
      <c r="E12" s="158" t="s">
        <v>5</v>
      </c>
      <c r="F12" s="158" t="s">
        <v>6</v>
      </c>
      <c r="G12" s="158" t="s">
        <v>61</v>
      </c>
      <c r="H12" s="158" t="s">
        <v>62</v>
      </c>
      <c r="I12" s="158" t="s">
        <v>63</v>
      </c>
      <c r="J12" s="155" t="s">
        <v>64</v>
      </c>
      <c r="K12" s="155"/>
      <c r="L12" s="1"/>
    </row>
    <row r="13" spans="1:12" ht="15.75">
      <c r="A13" s="160"/>
      <c r="B13" s="160"/>
      <c r="C13" s="160"/>
      <c r="D13" s="160"/>
      <c r="E13" s="160"/>
      <c r="F13" s="160"/>
      <c r="G13" s="160"/>
      <c r="H13" s="160"/>
      <c r="I13" s="160"/>
      <c r="J13" s="155"/>
      <c r="K13" s="155"/>
      <c r="L13" s="1"/>
    </row>
    <row r="14" spans="1:12" ht="63">
      <c r="A14" s="36">
        <v>1</v>
      </c>
      <c r="B14" s="37" t="s">
        <v>216</v>
      </c>
      <c r="C14" s="38" t="s">
        <v>66</v>
      </c>
      <c r="D14" s="39">
        <f aca="true" t="shared" si="0" ref="D14:D21">SUM(E14:J14)</f>
        <v>120</v>
      </c>
      <c r="E14" s="40"/>
      <c r="F14" s="45">
        <v>120</v>
      </c>
      <c r="G14" s="40"/>
      <c r="H14" s="40"/>
      <c r="I14" s="40"/>
      <c r="J14" s="40"/>
      <c r="K14" s="38" t="s">
        <v>148</v>
      </c>
      <c r="L14" s="1"/>
    </row>
    <row r="15" spans="1:14" ht="63">
      <c r="A15" s="36">
        <v>2</v>
      </c>
      <c r="B15" s="37" t="s">
        <v>217</v>
      </c>
      <c r="C15" s="38" t="s">
        <v>66</v>
      </c>
      <c r="D15" s="39">
        <f t="shared" si="0"/>
        <v>4300</v>
      </c>
      <c r="E15" s="45">
        <f>1200+1000</f>
        <v>2200</v>
      </c>
      <c r="F15" s="40">
        <v>2100</v>
      </c>
      <c r="G15" s="40"/>
      <c r="H15" s="40"/>
      <c r="I15" s="40"/>
      <c r="J15" s="40"/>
      <c r="K15" s="38" t="s">
        <v>148</v>
      </c>
      <c r="L15" s="1"/>
      <c r="N15" s="85">
        <v>441</v>
      </c>
    </row>
    <row r="16" spans="1:14" ht="63">
      <c r="A16" s="36">
        <v>3</v>
      </c>
      <c r="B16" s="37" t="s">
        <v>218</v>
      </c>
      <c r="C16" s="38" t="s">
        <v>66</v>
      </c>
      <c r="D16" s="39">
        <f t="shared" si="0"/>
        <v>150.4</v>
      </c>
      <c r="E16" s="45">
        <v>150.4</v>
      </c>
      <c r="F16" s="40"/>
      <c r="G16" s="40"/>
      <c r="H16" s="40"/>
      <c r="I16" s="40"/>
      <c r="J16" s="40"/>
      <c r="K16" s="38" t="s">
        <v>148</v>
      </c>
      <c r="L16" s="1"/>
      <c r="N16" s="85"/>
    </row>
    <row r="17" spans="1:14" ht="63">
      <c r="A17" s="36">
        <v>4</v>
      </c>
      <c r="B17" s="37" t="s">
        <v>147</v>
      </c>
      <c r="C17" s="38" t="s">
        <v>66</v>
      </c>
      <c r="D17" s="39">
        <f t="shared" si="0"/>
        <v>257.9</v>
      </c>
      <c r="E17" s="45">
        <v>127.9</v>
      </c>
      <c r="F17" s="40">
        <v>130</v>
      </c>
      <c r="G17" s="40"/>
      <c r="H17" s="40"/>
      <c r="I17" s="40"/>
      <c r="J17" s="40"/>
      <c r="K17" s="38" t="s">
        <v>148</v>
      </c>
      <c r="L17" s="1"/>
      <c r="N17" s="85"/>
    </row>
    <row r="18" spans="1:14" ht="63">
      <c r="A18" s="36">
        <v>5</v>
      </c>
      <c r="B18" s="143" t="s">
        <v>149</v>
      </c>
      <c r="C18" s="144" t="s">
        <v>66</v>
      </c>
      <c r="D18" s="145">
        <f t="shared" si="0"/>
        <v>224.2</v>
      </c>
      <c r="E18" s="146">
        <v>224.2</v>
      </c>
      <c r="F18" s="40"/>
      <c r="G18" s="40"/>
      <c r="H18" s="40"/>
      <c r="I18" s="40"/>
      <c r="J18" s="40"/>
      <c r="K18" s="38" t="s">
        <v>148</v>
      </c>
      <c r="L18" s="1"/>
      <c r="N18" s="85"/>
    </row>
    <row r="19" spans="1:14" ht="63">
      <c r="A19" s="36">
        <v>6</v>
      </c>
      <c r="B19" s="143" t="s">
        <v>221</v>
      </c>
      <c r="C19" s="144" t="s">
        <v>66</v>
      </c>
      <c r="D19" s="145">
        <f t="shared" si="0"/>
        <v>70.1</v>
      </c>
      <c r="E19" s="146"/>
      <c r="F19" s="40">
        <v>70.1</v>
      </c>
      <c r="G19" s="40"/>
      <c r="H19" s="40"/>
      <c r="I19" s="40"/>
      <c r="J19" s="40"/>
      <c r="K19" s="38" t="s">
        <v>148</v>
      </c>
      <c r="L19" s="1"/>
      <c r="N19" s="85"/>
    </row>
    <row r="20" spans="1:14" ht="63">
      <c r="A20" s="36">
        <v>7</v>
      </c>
      <c r="B20" s="143" t="s">
        <v>222</v>
      </c>
      <c r="C20" s="144" t="s">
        <v>66</v>
      </c>
      <c r="D20" s="145">
        <f t="shared" si="0"/>
        <v>50.1</v>
      </c>
      <c r="E20" s="146"/>
      <c r="F20" s="40">
        <v>50.1</v>
      </c>
      <c r="G20" s="40"/>
      <c r="H20" s="40"/>
      <c r="I20" s="40"/>
      <c r="J20" s="40"/>
      <c r="K20" s="38" t="s">
        <v>148</v>
      </c>
      <c r="L20" s="1"/>
      <c r="N20" s="85"/>
    </row>
    <row r="21" spans="1:14" ht="63">
      <c r="A21" s="36">
        <v>8</v>
      </c>
      <c r="B21" s="143" t="s">
        <v>223</v>
      </c>
      <c r="C21" s="147"/>
      <c r="D21" s="145">
        <f t="shared" si="0"/>
        <v>3129.5</v>
      </c>
      <c r="E21" s="146"/>
      <c r="F21" s="40">
        <v>3129.5</v>
      </c>
      <c r="G21" s="40"/>
      <c r="H21" s="40"/>
      <c r="I21" s="40"/>
      <c r="J21" s="40"/>
      <c r="K21" s="38" t="s">
        <v>148</v>
      </c>
      <c r="L21" s="1"/>
      <c r="N21" s="85"/>
    </row>
    <row r="22" spans="1:12" ht="15.75">
      <c r="A22" s="51"/>
      <c r="B22" s="32" t="s">
        <v>0</v>
      </c>
      <c r="C22" s="33"/>
      <c r="D22" s="39">
        <f>D14+D15+D16+D17+D18+D19+D20+D21</f>
        <v>8302.2</v>
      </c>
      <c r="E22" s="39">
        <f aca="true" t="shared" si="1" ref="E22:J22">E14+E15+E16+E17+E18+E19+E20+E21</f>
        <v>2702.5</v>
      </c>
      <c r="F22" s="39">
        <f t="shared" si="1"/>
        <v>5599.7</v>
      </c>
      <c r="G22" s="39">
        <f t="shared" si="1"/>
        <v>0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53"/>
      <c r="L22" s="1"/>
    </row>
    <row r="23" spans="2:12" ht="15.75">
      <c r="B23" s="4"/>
      <c r="C23" s="4"/>
      <c r="D23" s="7"/>
      <c r="E23" s="7"/>
      <c r="F23" s="7"/>
      <c r="G23" s="7"/>
      <c r="H23" s="7"/>
      <c r="I23" s="7"/>
      <c r="J23" s="7"/>
      <c r="K23" s="54"/>
      <c r="L23" s="1"/>
    </row>
    <row r="24" spans="2:12" ht="18.75">
      <c r="B24" s="168" t="s">
        <v>30</v>
      </c>
      <c r="C24" s="168"/>
      <c r="D24" s="34"/>
      <c r="E24" s="9"/>
      <c r="F24" s="9"/>
      <c r="J24" s="55"/>
      <c r="K24" s="56" t="s">
        <v>111</v>
      </c>
      <c r="L24" s="55"/>
    </row>
    <row r="25" spans="2:12" ht="18.75">
      <c r="B25" s="34"/>
      <c r="C25" s="34"/>
      <c r="D25" s="34"/>
      <c r="E25" s="9"/>
      <c r="F25" s="9"/>
      <c r="J25" s="55"/>
      <c r="K25" s="56"/>
      <c r="L25" s="55"/>
    </row>
    <row r="26" spans="2:11" ht="18.75">
      <c r="B26" s="182" t="s">
        <v>112</v>
      </c>
      <c r="C26" s="182"/>
      <c r="D26" s="57"/>
      <c r="E26" s="8"/>
      <c r="F26" s="8"/>
      <c r="G26" s="8"/>
      <c r="H26" s="8"/>
      <c r="I26" s="8"/>
      <c r="J26" s="1"/>
      <c r="K26" s="1"/>
    </row>
    <row r="27" spans="2:13" ht="34.5" customHeight="1">
      <c r="B27" s="58" t="s">
        <v>31</v>
      </c>
      <c r="C27" s="58"/>
      <c r="D27" s="8"/>
      <c r="E27" s="8"/>
      <c r="F27" s="8"/>
      <c r="G27" s="8"/>
      <c r="H27" s="8"/>
      <c r="I27" s="8"/>
      <c r="J27" s="1"/>
      <c r="K27" s="1"/>
      <c r="M27" s="3"/>
    </row>
    <row r="28" spans="2:11" ht="15.75">
      <c r="B28" s="59"/>
      <c r="C28" s="12"/>
      <c r="D28" s="60"/>
      <c r="E28" s="8"/>
      <c r="F28" s="8"/>
      <c r="G28" s="8"/>
      <c r="H28" s="8"/>
      <c r="I28" s="8"/>
      <c r="J28" s="1"/>
      <c r="K28" s="1"/>
    </row>
    <row r="29" spans="3:10" ht="15.75">
      <c r="C29" s="60"/>
      <c r="D29" s="8"/>
      <c r="E29" s="8"/>
      <c r="F29" s="8"/>
      <c r="G29" s="8"/>
      <c r="H29" s="8"/>
      <c r="I29" s="8"/>
      <c r="J29" s="8"/>
    </row>
    <row r="30" spans="3:10" ht="15.75">
      <c r="C30" s="61"/>
      <c r="D30" s="8"/>
      <c r="E30" s="8"/>
      <c r="F30" s="8"/>
      <c r="G30" s="8"/>
      <c r="H30" s="8"/>
      <c r="I30" s="8"/>
      <c r="J30" s="8"/>
    </row>
    <row r="32" ht="12.75">
      <c r="H32" s="6"/>
    </row>
  </sheetData>
  <sheetProtection/>
  <mergeCells count="19">
    <mergeCell ref="B24:C24"/>
    <mergeCell ref="B26:C26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60" zoomScalePageLayoutView="0" workbookViewId="0" topLeftCell="A1">
      <selection activeCell="F14" sqref="F14"/>
    </sheetView>
  </sheetViews>
  <sheetFormatPr defaultColWidth="9.140625" defaultRowHeight="12.75"/>
  <cols>
    <col min="1" max="1" width="6.140625" style="0" customWidth="1"/>
    <col min="2" max="2" width="32.57421875" style="0" customWidth="1"/>
    <col min="3" max="3" width="19.8515625" style="0" customWidth="1"/>
    <col min="4" max="4" width="17.28125" style="0" customWidth="1"/>
    <col min="6" max="6" width="8.8515625" style="0" customWidth="1"/>
    <col min="7" max="9" width="9.140625" style="0" hidden="1" customWidth="1"/>
    <col min="11" max="11" width="39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53" t="s">
        <v>232</v>
      </c>
      <c r="K1" s="153"/>
      <c r="L1" s="2"/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54" t="s">
        <v>46</v>
      </c>
      <c r="K2" s="154"/>
      <c r="L2" s="3"/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/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/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52</v>
      </c>
      <c r="K5" s="3"/>
      <c r="L5" s="3"/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54</v>
      </c>
      <c r="K6" s="3"/>
      <c r="L6" s="3"/>
    </row>
    <row r="7" spans="2:13" ht="15.75" customHeight="1">
      <c r="B7" s="1"/>
      <c r="C7" s="1"/>
      <c r="D7" s="1"/>
      <c r="E7" s="1"/>
      <c r="F7" s="1"/>
      <c r="G7" s="1"/>
      <c r="H7" s="11"/>
      <c r="I7" s="3" t="s">
        <v>55</v>
      </c>
      <c r="J7" s="183" t="s">
        <v>224</v>
      </c>
      <c r="K7" s="154"/>
      <c r="L7" s="13"/>
      <c r="M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190" t="s">
        <v>226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"/>
    </row>
    <row r="10" spans="2:12" ht="15.75">
      <c r="B10" s="1"/>
      <c r="C10" s="1"/>
      <c r="D10" s="185"/>
      <c r="E10" s="185"/>
      <c r="F10" s="185"/>
      <c r="G10" s="185"/>
      <c r="H10" s="185"/>
      <c r="I10" s="1"/>
      <c r="J10" s="1"/>
      <c r="K10" s="1"/>
      <c r="L10" s="1"/>
    </row>
    <row r="11" spans="1:12" ht="15.75">
      <c r="A11" s="158" t="s">
        <v>152</v>
      </c>
      <c r="B11" s="158" t="s">
        <v>57</v>
      </c>
      <c r="C11" s="158" t="s">
        <v>58</v>
      </c>
      <c r="D11" s="158" t="s">
        <v>59</v>
      </c>
      <c r="E11" s="186" t="s">
        <v>4</v>
      </c>
      <c r="F11" s="186"/>
      <c r="G11" s="186"/>
      <c r="H11" s="186"/>
      <c r="I11" s="186"/>
      <c r="J11" s="187"/>
      <c r="K11" s="155" t="s">
        <v>60</v>
      </c>
      <c r="L11" s="1"/>
    </row>
    <row r="12" spans="1:12" ht="15.75">
      <c r="A12" s="159"/>
      <c r="B12" s="159"/>
      <c r="C12" s="159"/>
      <c r="D12" s="159"/>
      <c r="E12" s="158" t="s">
        <v>5</v>
      </c>
      <c r="F12" s="158" t="s">
        <v>6</v>
      </c>
      <c r="G12" s="158" t="s">
        <v>61</v>
      </c>
      <c r="H12" s="158" t="s">
        <v>62</v>
      </c>
      <c r="I12" s="158" t="s">
        <v>63</v>
      </c>
      <c r="J12" s="155" t="s">
        <v>7</v>
      </c>
      <c r="K12" s="155"/>
      <c r="L12" s="1"/>
    </row>
    <row r="13" spans="1:12" ht="15.75">
      <c r="A13" s="160"/>
      <c r="B13" s="160"/>
      <c r="C13" s="160"/>
      <c r="D13" s="160"/>
      <c r="E13" s="160"/>
      <c r="F13" s="160"/>
      <c r="G13" s="160"/>
      <c r="H13" s="160"/>
      <c r="I13" s="160"/>
      <c r="J13" s="155"/>
      <c r="K13" s="155"/>
      <c r="L13" s="1"/>
    </row>
    <row r="14" spans="1:12" ht="47.25">
      <c r="A14" s="36">
        <v>1</v>
      </c>
      <c r="B14" s="37" t="s">
        <v>227</v>
      </c>
      <c r="C14" s="38" t="s">
        <v>66</v>
      </c>
      <c r="D14" s="39">
        <v>1058.7</v>
      </c>
      <c r="E14" s="40">
        <v>458.7</v>
      </c>
      <c r="F14" s="45">
        <v>300</v>
      </c>
      <c r="G14" s="40"/>
      <c r="H14" s="40"/>
      <c r="I14" s="40"/>
      <c r="J14" s="40">
        <v>300</v>
      </c>
      <c r="K14" s="38" t="s">
        <v>228</v>
      </c>
      <c r="L14" s="1"/>
    </row>
    <row r="15" spans="1:12" s="152" customFormat="1" ht="47.25">
      <c r="A15" s="150">
        <v>2</v>
      </c>
      <c r="B15" s="143" t="s">
        <v>229</v>
      </c>
      <c r="C15" s="144" t="s">
        <v>66</v>
      </c>
      <c r="D15" s="145">
        <v>125.1</v>
      </c>
      <c r="E15" s="146">
        <v>125.1</v>
      </c>
      <c r="F15" s="146">
        <v>100</v>
      </c>
      <c r="G15" s="146"/>
      <c r="H15" s="146"/>
      <c r="I15" s="146"/>
      <c r="J15" s="146"/>
      <c r="K15" s="144" t="s">
        <v>103</v>
      </c>
      <c r="L15" s="151"/>
    </row>
    <row r="16" spans="1:12" ht="63">
      <c r="A16" s="36">
        <v>3</v>
      </c>
      <c r="B16" s="143" t="s">
        <v>230</v>
      </c>
      <c r="C16" s="144" t="s">
        <v>66</v>
      </c>
      <c r="D16" s="145">
        <v>1589</v>
      </c>
      <c r="E16" s="146">
        <v>1589</v>
      </c>
      <c r="F16" s="40"/>
      <c r="G16" s="40"/>
      <c r="H16" s="40"/>
      <c r="I16" s="40"/>
      <c r="J16" s="40"/>
      <c r="K16" s="38" t="s">
        <v>231</v>
      </c>
      <c r="L16" s="1"/>
    </row>
    <row r="17" spans="1:12" ht="15.75">
      <c r="A17" s="51"/>
      <c r="B17" s="32" t="s">
        <v>0</v>
      </c>
      <c r="C17" s="33"/>
      <c r="D17" s="39">
        <f aca="true" t="shared" si="0" ref="D17:J17">D14+D15+D16</f>
        <v>2772.8</v>
      </c>
      <c r="E17" s="39">
        <f t="shared" si="0"/>
        <v>2172.8</v>
      </c>
      <c r="F17" s="39">
        <f t="shared" si="0"/>
        <v>400</v>
      </c>
      <c r="G17" s="39">
        <f t="shared" si="0"/>
        <v>0</v>
      </c>
      <c r="H17" s="39">
        <f t="shared" si="0"/>
        <v>0</v>
      </c>
      <c r="I17" s="39">
        <f t="shared" si="0"/>
        <v>0</v>
      </c>
      <c r="J17" s="39">
        <f t="shared" si="0"/>
        <v>300</v>
      </c>
      <c r="K17" s="53"/>
      <c r="L17" s="1"/>
    </row>
    <row r="18" spans="1:12" ht="15.75">
      <c r="A18" s="199"/>
      <c r="B18" s="4"/>
      <c r="C18" s="4"/>
      <c r="D18" s="7"/>
      <c r="E18" s="7"/>
      <c r="F18" s="7"/>
      <c r="G18" s="7"/>
      <c r="H18" s="7"/>
      <c r="I18" s="7"/>
      <c r="J18" s="7"/>
      <c r="K18" s="54"/>
      <c r="L18" s="1"/>
    </row>
    <row r="19" spans="1:12" ht="15.75">
      <c r="A19" s="199"/>
      <c r="B19" s="4"/>
      <c r="C19" s="4"/>
      <c r="D19" s="7"/>
      <c r="E19" s="7"/>
      <c r="F19" s="7"/>
      <c r="G19" s="7"/>
      <c r="H19" s="7"/>
      <c r="I19" s="7"/>
      <c r="J19" s="7"/>
      <c r="K19" s="54"/>
      <c r="L19" s="1"/>
    </row>
    <row r="20" spans="2:12" ht="15.75">
      <c r="B20" s="4"/>
      <c r="C20" s="4"/>
      <c r="D20" s="7"/>
      <c r="E20" s="7"/>
      <c r="F20" s="7"/>
      <c r="G20" s="7"/>
      <c r="H20" s="7"/>
      <c r="I20" s="7"/>
      <c r="J20" s="7"/>
      <c r="K20" s="54"/>
      <c r="L20" s="1"/>
    </row>
    <row r="21" spans="2:12" ht="18.75">
      <c r="B21" s="71"/>
      <c r="C21" s="72"/>
      <c r="E21" s="7"/>
      <c r="F21" s="7"/>
      <c r="G21" s="7"/>
      <c r="H21" s="7"/>
      <c r="I21" s="7"/>
      <c r="J21" s="7"/>
      <c r="K21" s="72"/>
      <c r="L21" s="1"/>
    </row>
    <row r="22" spans="2:12" ht="18.75">
      <c r="B22" s="168" t="s">
        <v>30</v>
      </c>
      <c r="C22" s="168"/>
      <c r="D22" s="34"/>
      <c r="E22" s="9"/>
      <c r="F22" s="9"/>
      <c r="J22" s="55"/>
      <c r="K22" s="56" t="s">
        <v>2</v>
      </c>
      <c r="L22" s="55"/>
    </row>
    <row r="23" spans="2:12" ht="18.75">
      <c r="B23" s="34"/>
      <c r="C23" s="34"/>
      <c r="D23" s="34"/>
      <c r="E23" s="9"/>
      <c r="F23" s="9"/>
      <c r="J23" s="55"/>
      <c r="K23" s="56"/>
      <c r="L23" s="55"/>
    </row>
    <row r="24" spans="2:12" ht="18.75">
      <c r="B24" s="34"/>
      <c r="C24" s="34"/>
      <c r="D24" s="34"/>
      <c r="E24" s="9"/>
      <c r="F24" s="9"/>
      <c r="J24" s="55"/>
      <c r="K24" s="56"/>
      <c r="L24" s="55"/>
    </row>
    <row r="25" spans="2:11" ht="18.75">
      <c r="B25" s="182" t="s">
        <v>112</v>
      </c>
      <c r="C25" s="182"/>
      <c r="D25" s="57"/>
      <c r="E25" s="8"/>
      <c r="F25" s="8"/>
      <c r="G25" s="8"/>
      <c r="H25" s="8"/>
      <c r="I25" s="8"/>
      <c r="J25" s="1"/>
      <c r="K25" s="1"/>
    </row>
    <row r="26" spans="2:13" ht="33" customHeight="1">
      <c r="B26" s="58" t="s">
        <v>31</v>
      </c>
      <c r="C26" s="58"/>
      <c r="D26" s="8"/>
      <c r="E26" s="8"/>
      <c r="F26" s="8"/>
      <c r="G26" s="8"/>
      <c r="H26" s="8"/>
      <c r="I26" s="8"/>
      <c r="J26" s="1"/>
      <c r="K26" s="1"/>
      <c r="M26" s="3"/>
    </row>
    <row r="27" spans="2:11" ht="15.75">
      <c r="B27" s="59"/>
      <c r="C27" s="12"/>
      <c r="D27" s="60"/>
      <c r="E27" s="8"/>
      <c r="F27" s="8"/>
      <c r="G27" s="8"/>
      <c r="H27" s="8"/>
      <c r="I27" s="8"/>
      <c r="J27" s="1"/>
      <c r="K27" s="1"/>
    </row>
    <row r="28" spans="3:10" ht="15.75">
      <c r="C28" s="60"/>
      <c r="D28" s="8"/>
      <c r="E28" s="8"/>
      <c r="F28" s="8"/>
      <c r="G28" s="8"/>
      <c r="H28" s="8"/>
      <c r="I28" s="8"/>
      <c r="J28" s="8"/>
    </row>
    <row r="29" spans="3:10" ht="15.75">
      <c r="C29" s="61"/>
      <c r="D29" s="8"/>
      <c r="E29" s="8"/>
      <c r="F29" s="8"/>
      <c r="G29" s="8"/>
      <c r="H29" s="8"/>
      <c r="I29" s="8"/>
      <c r="J29" s="8"/>
    </row>
    <row r="31" ht="12.75">
      <c r="H31" s="6"/>
    </row>
  </sheetData>
  <sheetProtection/>
  <mergeCells count="19">
    <mergeCell ref="B22:C22"/>
    <mergeCell ref="B25:C25"/>
    <mergeCell ref="A9:K9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D10:H10"/>
    <mergeCell ref="A11:A13"/>
    <mergeCell ref="B11:B13"/>
    <mergeCell ref="C11:C13"/>
    <mergeCell ref="D11:D13"/>
    <mergeCell ref="E11:J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Eremenko</cp:lastModifiedBy>
  <cp:lastPrinted>2016-04-01T07:54:46Z</cp:lastPrinted>
  <dcterms:created xsi:type="dcterms:W3CDTF">1996-10-08T23:32:33Z</dcterms:created>
  <dcterms:modified xsi:type="dcterms:W3CDTF">2016-04-01T07:55:06Z</dcterms:modified>
  <cp:category/>
  <cp:version/>
  <cp:contentType/>
  <cp:contentStatus/>
</cp:coreProperties>
</file>