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120" windowHeight="9120" activeTab="0"/>
  </bookViews>
  <sheets>
    <sheet name="дод. 2" sheetId="1" r:id="rId1"/>
  </sheets>
  <definedNames>
    <definedName name="_xlfn.AGGREGATE" hidden="1">#NAME?</definedName>
    <definedName name="_xlnm.Print_Titles" localSheetId="0">'дод. 2'!$9:$13</definedName>
    <definedName name="_xlnm.Print_Area" localSheetId="0">'дод. 2'!$B$1:$W$197</definedName>
  </definedNames>
  <calcPr fullCalcOnLoad="1"/>
</workbook>
</file>

<file path=xl/sharedStrings.xml><?xml version="1.0" encoding="utf-8"?>
<sst xmlns="http://schemas.openxmlformats.org/spreadsheetml/2006/main" count="534" uniqueCount="326">
  <si>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</si>
  <si>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</si>
  <si>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</si>
  <si>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</si>
  <si>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</si>
  <si>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</si>
  <si>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</si>
  <si>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</si>
  <si>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</si>
  <si>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</si>
  <si>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</si>
  <si>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</si>
  <si>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Код тимчасової класифікації видатків та кредитування місцевого бюджету</t>
  </si>
  <si>
    <t>грн.</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</si>
  <si>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</si>
  <si>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</si>
  <si>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</si>
  <si>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</si>
  <si>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</si>
  <si>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</si>
  <si>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</si>
  <si>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</si>
  <si>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</si>
  <si>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</si>
  <si>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</si>
  <si>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</si>
  <si>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</si>
  <si>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</si>
  <si>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</si>
  <si>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</si>
  <si>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</si>
  <si>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</si>
  <si>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</si>
  <si>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</si>
  <si>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</si>
  <si>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</si>
  <si>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</si>
  <si>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</si>
  <si>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</si>
  <si>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</si>
  <si>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</si>
  <si>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</si>
  <si>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</si>
  <si>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</si>
  <si>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</si>
  <si>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</si>
  <si>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</si>
  <si>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</si>
  <si>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</si>
  <si>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</si>
  <si>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</si>
  <si>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</si>
  <si>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</si>
  <si>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</si>
  <si>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</si>
  <si>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240604</t>
  </si>
  <si>
    <t>Інша діяльність у сфері охорони навколишнього природного середовища</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</si>
  <si>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</si>
  <si>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</si>
  <si>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</si>
  <si>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</si>
  <si>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</si>
  <si>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</si>
  <si>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</si>
  <si>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</si>
  <si>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</si>
  <si>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</si>
  <si>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</si>
  <si>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</si>
  <si>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</si>
  <si>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</si>
  <si>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</si>
  <si>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</si>
  <si>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</si>
  <si>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</si>
  <si>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</si>
  <si>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</si>
  <si>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</si>
  <si>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</si>
  <si>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</si>
  <si>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</si>
  <si>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</si>
  <si>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240605</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</si>
  <si>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</si>
  <si>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</si>
  <si>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</si>
  <si>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</si>
  <si>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</si>
  <si>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</si>
  <si>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</si>
  <si>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</si>
  <si>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</si>
  <si>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</si>
  <si>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</si>
  <si>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</si>
  <si>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</si>
  <si>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</si>
  <si>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070303</t>
  </si>
  <si>
    <t>Дитячі будинки (в т.ч.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</si>
  <si>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</si>
  <si>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</si>
  <si>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</si>
  <si>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</si>
  <si>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</si>
  <si>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</si>
  <si>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</si>
  <si>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</si>
  <si>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</si>
  <si>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</si>
  <si>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</si>
  <si>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</si>
  <si>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</si>
  <si>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</si>
  <si>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</si>
  <si>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</si>
  <si>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</si>
  <si>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</si>
  <si>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</si>
  <si>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</si>
  <si>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</si>
  <si>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</si>
  <si>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</si>
  <si>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</si>
  <si>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</si>
  <si>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</si>
  <si>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</si>
  <si>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</si>
  <si>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</si>
  <si>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</si>
  <si>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</si>
  <si>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</si>
  <si>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</si>
  <si>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</si>
  <si>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</si>
  <si>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</si>
  <si>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</si>
  <si>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</si>
  <si>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</si>
  <si>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</si>
  <si>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Компенсаця населенню додаткових витрат на оплату послуг газопостачання, центрального опалення та централізованого постачання гарячої води</t>
  </si>
  <si>
    <t>090413</t>
  </si>
  <si>
    <t>Допомоги на догляд за інвалідом І чи ІІ групи внаслідок психічного розладу</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</si>
  <si>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</si>
  <si>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</si>
  <si>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</si>
  <si>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</si>
  <si>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</si>
  <si>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</si>
  <si>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</si>
  <si>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</si>
  <si>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</si>
  <si>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</si>
  <si>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</si>
  <si>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</si>
  <si>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</si>
  <si>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</si>
  <si>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</si>
  <si>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</si>
  <si>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</si>
  <si>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</si>
  <si>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</si>
  <si>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</si>
  <si>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</si>
  <si>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</si>
  <si>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</si>
  <si>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</si>
  <si>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</si>
  <si>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</si>
  <si>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</si>
  <si>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</si>
  <si>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</si>
  <si>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</si>
  <si>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</si>
  <si>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</si>
  <si>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</si>
  <si>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</si>
  <si>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</si>
  <si>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</si>
  <si>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</si>
  <si>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</si>
  <si>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</si>
  <si>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</si>
  <si>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</si>
  <si>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</si>
  <si>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</si>
  <si>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</si>
  <si>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240602</t>
  </si>
  <si>
    <t>Утилізація відходів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</si>
  <si>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</si>
  <si>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</si>
  <si>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</si>
  <si>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</si>
  <si>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</si>
  <si>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</si>
  <si>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</si>
  <si>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</si>
  <si>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</si>
  <si>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</si>
  <si>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</si>
  <si>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</si>
  <si>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</si>
  <si>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</si>
  <si>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</si>
  <si>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</si>
  <si>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</si>
  <si>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</si>
  <si>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</si>
  <si>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</si>
  <si>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</si>
  <si>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</si>
  <si>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</si>
  <si>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</si>
  <si>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</si>
  <si>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</si>
  <si>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</si>
  <si>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</si>
  <si>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</si>
  <si>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</si>
  <si>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</si>
  <si>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</si>
  <si>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</si>
  <si>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</si>
  <si>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 xml:space="preserve">15 Управління соціального захисту населення Сумської міської ради </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</si>
  <si>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</si>
  <si>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</si>
  <si>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</si>
  <si>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</si>
  <si>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</si>
  <si>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</si>
  <si>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</si>
  <si>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</si>
  <si>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</si>
  <si>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</si>
  <si>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</si>
  <si>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</si>
  <si>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</si>
  <si>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</si>
  <si>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0512</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</si>
  <si>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</si>
  <si>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</si>
  <si>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</si>
  <si>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75 Департамент фінансів, економіки та бюджетних відносин Сумської міської ради</t>
  </si>
  <si>
    <t>76 Департамент фінансів, економіки та бюджетних відносин Сумської міської ради (в частині міжбюджетних трансфертів, резервного фонду)</t>
  </si>
  <si>
    <t>0180</t>
  </si>
  <si>
    <t>50 Управління «Інспекція з благоустрою міста Суми» Сумської міської ради</t>
  </si>
  <si>
    <t xml:space="preserve">Допомога до досягнення дитиною трирічного віку </t>
  </si>
  <si>
    <t>250301</t>
  </si>
  <si>
    <t>Реверсна дотація</t>
  </si>
  <si>
    <t>250315</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</si>
  <si>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</si>
  <si>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</si>
  <si>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t>
  </si>
  <si>
    <t>Найменування
згідно з типовою відомчою / тимчасовою класифікацією видатків та кредитування місцевого бюджету</t>
  </si>
  <si>
    <t>Інші пільги ветеранам війни, особам, на яких поширюється чинність Закону України «Про статус ветеранів війни, гарантії їх соціального захисту» ,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</si>
  <si>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</si>
  <si>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</si>
  <si>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 xml:space="preserve"> особам, звільненим із служби цивільного захисту за віком, чрез хворобу або за вислугою років, та які стали інвалідами під час виконання службових обов' 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</si>
  <si>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Інші додаткові дотації</t>
  </si>
  <si>
    <t>250344</t>
  </si>
  <si>
    <t>Субвенція з місцевого бюджету державному бюджету на виконання програм соціально-економічного та культурного розвитку регіонів</t>
  </si>
  <si>
    <t>170703</t>
  </si>
  <si>
    <t>Видатки на проведення робіт, пов'язаних із будівництвом, реконструкцією, ремонтом та утриманням автомобільних доріг</t>
  </si>
  <si>
    <t>0456</t>
  </si>
  <si>
    <t>080300</t>
  </si>
  <si>
    <t>0721</t>
  </si>
  <si>
    <t>Поліклініки і амбулаторії (крім спеціалізованих поліклінік та загальних і спеціалізованих стоматологічних поліклінік)</t>
  </si>
  <si>
    <t>Міський голова</t>
  </si>
  <si>
    <t>О.М. Лисенко</t>
  </si>
  <si>
    <t>090417</t>
  </si>
  <si>
    <t>Витрати на поховання учасників бойових дій та інвалідів війни</t>
  </si>
  <si>
    <t>10303</t>
  </si>
  <si>
    <t>091212</t>
  </si>
  <si>
    <t>Обробка інформації з нарахування та виплати допомог і компенсацій</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</si>
  <si>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</si>
  <si>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</si>
  <si>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</si>
  <si>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</si>
  <si>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081009</t>
  </si>
  <si>
    <t>Забезпечення централізованих заходів з лікування хворих на цукровий та нецукровий діабет</t>
  </si>
  <si>
    <t xml:space="preserve">                Додаток № 2</t>
  </si>
  <si>
    <t>Затверджено по бюджету з урахуванням змін</t>
  </si>
  <si>
    <t>Касові видатки</t>
  </si>
  <si>
    <t>080209</t>
  </si>
  <si>
    <t>0724</t>
  </si>
  <si>
    <t>Центри екстренної медичної допомоги та медицини катастроф, станції екстренної (швидкої) медичної допомоги</t>
  </si>
  <si>
    <t>«Про  звіт  про   виконання   міського</t>
  </si>
  <si>
    <t>до  рішення  Сумської  міської   ради</t>
  </si>
  <si>
    <t>120300</t>
  </si>
  <si>
    <t>0830</t>
  </si>
  <si>
    <t>Книговидання</t>
  </si>
  <si>
    <t>200600</t>
  </si>
  <si>
    <t>200700</t>
  </si>
  <si>
    <t>Інші природоохоронні заходи</t>
  </si>
  <si>
    <t>200100</t>
  </si>
  <si>
    <t>Охорона і раціональне використання водних ресурсів</t>
  </si>
  <si>
    <t>150202</t>
  </si>
  <si>
    <t>0443</t>
  </si>
  <si>
    <t>Розробка схем та проектних рішень масового застосування</t>
  </si>
  <si>
    <t>Виконавець: Липова С.А.</t>
  </si>
  <si>
    <t>100602</t>
  </si>
  <si>
    <t>Субвенція з місцевого бюджету державному бюджету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 /або погоджувалися органами державної влади чи місцевого самоврядування.</t>
  </si>
  <si>
    <t>150118</t>
  </si>
  <si>
    <t>0640</t>
  </si>
  <si>
    <t>Житлове будівництво та придбання житла для окремих категорій населення</t>
  </si>
  <si>
    <t>49 Управління «Інспекція державного архітектурно - будівельного контролю» Сумської міської ради</t>
  </si>
  <si>
    <t>250388</t>
  </si>
  <si>
    <t>Субвенція з державного бюджету місцевим бюджетам на проведення виборів депутатів місцевих рад та сільських, селищних, міських голів</t>
  </si>
  <si>
    <t>090501</t>
  </si>
  <si>
    <t>1050</t>
  </si>
  <si>
    <t>Організація та проведення громадських робіт</t>
  </si>
  <si>
    <t>170101</t>
  </si>
  <si>
    <t>170601</t>
  </si>
  <si>
    <t>451</t>
  </si>
  <si>
    <t>Регулювання цін на послуги місцевого автотранспорту</t>
  </si>
  <si>
    <t>Регулювання цін на послуги міського електротранспорту</t>
  </si>
  <si>
    <t>453</t>
  </si>
  <si>
    <t>250203</t>
  </si>
  <si>
    <t>160</t>
  </si>
  <si>
    <t>Проведення виборів дкпутатів місцевих рад рад та сільських, селищних, міських голів</t>
  </si>
  <si>
    <t>100208</t>
  </si>
  <si>
    <t>620</t>
  </si>
  <si>
    <t>Видатки на впровадження засобів обліку витрат та регулювання споживання води та теплової енергії</t>
  </si>
  <si>
    <t>Звіт про виконання видаткової частини міського бюджету міста Суми                                                                                                                                                                                                                                                                                                                                                           за 2015 рік за головними розпорядниками коштів</t>
  </si>
  <si>
    <t>бюджету  за   2015    рік»</t>
  </si>
  <si>
    <t>від  24 лютого  2016 року № 366 -МР</t>
  </si>
  <si>
    <t>% вико-нання до затвердженого по бюджету</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</si>
</sst>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s>
  <fonts count="42">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0"/>
    </font>
    <font>
      <sz val="18"/>
      <name val="Times New Roman"/>
      <family val="0"/>
    </font>
    <font>
      <b/>
      <sz val="18"/>
      <name val="Times New Roman"/>
      <family val="0"/>
    </font>
    <font>
      <sz val="11"/>
      <name val="Times New Roman"/>
      <family val="0"/>
    </font>
    <font>
      <b/>
      <sz val="11"/>
      <name val="Times New Roman"/>
      <family val="0"/>
    </font>
    <font>
      <sz val="14"/>
      <name val="Times New Roman"/>
      <family val="0"/>
    </font>
    <font>
      <sz val="20"/>
      <name val="Times New Roman"/>
      <family val="0"/>
    </font>
    <font>
      <b/>
      <sz val="20"/>
      <name val="Times New Roman"/>
      <family val="0"/>
    </font>
    <font>
      <sz val="22"/>
      <name val="Times New Roman"/>
      <family val="0"/>
    </font>
    <font>
      <sz val="12"/>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6"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0"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1"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26">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32" fillId="0" borderId="0" xfId="0" applyNumberFormat="1" applyFont="1" applyFill="1" applyAlignment="1" applyProtection="1">
      <alignment/>
      <protection/>
    </xf>
    <xf numFmtId="0" fontId="32" fillId="0" borderId="0" xfId="0" applyFont="1" applyFill="1" applyAlignment="1">
      <alignment/>
    </xf>
    <xf numFmtId="0" fontId="33" fillId="0" borderId="0" xfId="0" applyNumberFormat="1" applyFont="1" applyFill="1" applyAlignment="1" applyProtection="1">
      <alignment/>
      <protection/>
    </xf>
    <xf numFmtId="3" fontId="33" fillId="0" borderId="0" xfId="0" applyNumberFormat="1" applyFont="1" applyFill="1" applyBorder="1" applyAlignment="1">
      <alignment vertical="center" wrapText="1"/>
    </xf>
    <xf numFmtId="3" fontId="33" fillId="0" borderId="0" xfId="0" applyNumberFormat="1" applyFont="1" applyFill="1" applyBorder="1" applyAlignment="1">
      <alignment horizontal="center" vertical="center" wrapText="1"/>
    </xf>
    <xf numFmtId="0" fontId="33" fillId="0" borderId="0" xfId="0" applyFont="1" applyFill="1" applyAlignment="1">
      <alignment/>
    </xf>
    <xf numFmtId="3" fontId="33" fillId="0" borderId="0" xfId="0" applyNumberFormat="1" applyFont="1"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33" fillId="0" borderId="0" xfId="0" applyFont="1" applyFill="1" applyAlignment="1">
      <alignment horizontal="center" vertical="center"/>
    </xf>
    <xf numFmtId="0" fontId="35" fillId="0" borderId="13" xfId="0" applyNumberFormat="1" applyFont="1" applyFill="1" applyBorder="1" applyAlignment="1" applyProtection="1">
      <alignment/>
      <protection/>
    </xf>
    <xf numFmtId="0" fontId="35" fillId="0" borderId="0" xfId="0" applyFont="1" applyFill="1" applyAlignment="1">
      <alignment/>
    </xf>
    <xf numFmtId="0" fontId="35" fillId="0" borderId="14" xfId="0" applyNumberFormat="1" applyFont="1" applyFill="1" applyBorder="1" applyAlignment="1" applyProtection="1">
      <alignment/>
      <protection/>
    </xf>
    <xf numFmtId="0" fontId="35" fillId="0" borderId="15"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35" fillId="0" borderId="0" xfId="0" applyNumberFormat="1" applyFont="1" applyFill="1" applyAlignment="1" applyProtection="1">
      <alignment vertical="center"/>
      <protection/>
    </xf>
    <xf numFmtId="0" fontId="36" fillId="0" borderId="16" xfId="0" applyFont="1" applyFill="1" applyBorder="1" applyAlignment="1">
      <alignment vertical="center" wrapText="1"/>
    </xf>
    <xf numFmtId="0" fontId="35" fillId="0" borderId="0" xfId="0" applyFont="1" applyFill="1" applyAlignment="1">
      <alignment vertical="center"/>
    </xf>
    <xf numFmtId="49" fontId="35" fillId="0" borderId="17" xfId="0" applyNumberFormat="1" applyFont="1" applyFill="1" applyBorder="1" applyAlignment="1">
      <alignment horizontal="center" vertical="center"/>
    </xf>
    <xf numFmtId="0" fontId="35" fillId="0" borderId="17" xfId="0" applyFont="1" applyFill="1" applyBorder="1" applyAlignment="1">
      <alignment horizontal="left" vertical="center" wrapText="1"/>
    </xf>
    <xf numFmtId="0" fontId="35" fillId="0" borderId="0" xfId="0" applyFont="1" applyFill="1" applyAlignment="1">
      <alignment vertical="center" wrapText="1"/>
    </xf>
    <xf numFmtId="49" fontId="35" fillId="0" borderId="17" xfId="0" applyNumberFormat="1" applyFont="1" applyFill="1" applyBorder="1" applyAlignment="1">
      <alignment horizontal="center" vertical="center" wrapText="1"/>
    </xf>
    <xf numFmtId="49" fontId="36" fillId="0" borderId="17" xfId="0" applyNumberFormat="1" applyFont="1" applyFill="1" applyBorder="1" applyAlignment="1">
      <alignment horizontal="center" vertical="center"/>
    </xf>
    <xf numFmtId="0" fontId="36" fillId="0" borderId="17" xfId="0" applyFont="1" applyFill="1" applyBorder="1" applyAlignment="1">
      <alignment horizontal="left" vertical="center" wrapText="1"/>
    </xf>
    <xf numFmtId="49" fontId="35" fillId="0" borderId="17" xfId="0" applyNumberFormat="1" applyFont="1" applyFill="1" applyBorder="1" applyAlignment="1">
      <alignment horizontal="center" vertical="center"/>
    </xf>
    <xf numFmtId="0" fontId="35" fillId="0" borderId="17" xfId="0" applyFont="1" applyFill="1" applyBorder="1" applyAlignment="1">
      <alignment horizontal="left" vertical="center" wrapText="1"/>
    </xf>
    <xf numFmtId="49" fontId="35" fillId="0" borderId="18" xfId="0" applyNumberFormat="1" applyFont="1" applyFill="1" applyBorder="1" applyAlignment="1">
      <alignment horizontal="center" vertical="center"/>
    </xf>
    <xf numFmtId="49" fontId="35" fillId="0" borderId="19" xfId="0" applyNumberFormat="1" applyFont="1" applyFill="1" applyBorder="1" applyAlignment="1">
      <alignment vertical="center"/>
    </xf>
    <xf numFmtId="49" fontId="35" fillId="0" borderId="19" xfId="0" applyNumberFormat="1" applyFont="1" applyFill="1" applyBorder="1" applyAlignment="1">
      <alignment horizontal="center" vertical="center"/>
    </xf>
    <xf numFmtId="49" fontId="35" fillId="0" borderId="16" xfId="0" applyNumberFormat="1" applyFont="1" applyFill="1" applyBorder="1" applyAlignment="1">
      <alignment horizontal="center" vertical="center"/>
    </xf>
    <xf numFmtId="0" fontId="35" fillId="0" borderId="17" xfId="0" applyFont="1" applyFill="1" applyBorder="1" applyAlignment="1">
      <alignment vertical="center" wrapText="1"/>
    </xf>
    <xf numFmtId="0" fontId="35" fillId="0" borderId="0" xfId="0" applyFont="1" applyFill="1" applyBorder="1" applyAlignment="1">
      <alignment vertical="center"/>
    </xf>
    <xf numFmtId="4" fontId="35" fillId="0" borderId="17" xfId="95" applyNumberFormat="1" applyFont="1" applyFill="1" applyBorder="1" applyAlignment="1">
      <alignment vertical="center"/>
      <protection/>
    </xf>
    <xf numFmtId="0" fontId="0" fillId="0" borderId="12" xfId="0" applyFont="1" applyFill="1" applyBorder="1" applyAlignment="1">
      <alignment horizontal="center"/>
    </xf>
    <xf numFmtId="4" fontId="36" fillId="0" borderId="17" xfId="95" applyNumberFormat="1" applyFont="1" applyFill="1" applyBorder="1" applyAlignment="1">
      <alignment vertical="center"/>
      <protection/>
    </xf>
    <xf numFmtId="49" fontId="5" fillId="0" borderId="17" xfId="0" applyNumberFormat="1" applyFont="1" applyFill="1" applyBorder="1" applyAlignment="1">
      <alignment horizontal="center" vertical="center"/>
    </xf>
    <xf numFmtId="4" fontId="0" fillId="0" borderId="0" xfId="0" applyNumberFormat="1" applyFont="1" applyFill="1" applyAlignment="1" applyProtection="1">
      <alignment/>
      <protection/>
    </xf>
    <xf numFmtId="0" fontId="35" fillId="0" borderId="17" xfId="0" applyFont="1" applyFill="1" applyBorder="1" applyAlignment="1">
      <alignment horizontal="left" vertical="center" wrapText="1"/>
    </xf>
    <xf numFmtId="0" fontId="37" fillId="0" borderId="12" xfId="0" applyNumberFormat="1" applyFont="1" applyFill="1" applyBorder="1" applyAlignment="1" applyProtection="1">
      <alignment horizontal="right" vertical="center"/>
      <protection/>
    </xf>
    <xf numFmtId="0" fontId="38" fillId="0" borderId="0" xfId="0" applyFont="1" applyFill="1" applyAlignment="1">
      <alignment vertical="center"/>
    </xf>
    <xf numFmtId="0" fontId="38" fillId="0" borderId="0" xfId="0" applyFont="1" applyFill="1" applyAlignment="1">
      <alignment vertical="center"/>
    </xf>
    <xf numFmtId="0" fontId="38" fillId="0" borderId="0" xfId="0" applyNumberFormat="1" applyFont="1" applyFill="1" applyAlignment="1" applyProtection="1">
      <alignment/>
      <protection/>
    </xf>
    <xf numFmtId="0" fontId="38" fillId="0" borderId="0" xfId="0" applyFont="1" applyFill="1" applyAlignment="1">
      <alignment/>
    </xf>
    <xf numFmtId="49" fontId="37" fillId="0" borderId="0" xfId="0" applyNumberFormat="1" applyFont="1" applyFill="1" applyAlignment="1">
      <alignment horizontal="center" vertical="center" textRotation="180" wrapText="1"/>
    </xf>
    <xf numFmtId="49" fontId="35" fillId="0" borderId="17" xfId="0" applyNumberFormat="1" applyFont="1" applyFill="1" applyBorder="1" applyAlignment="1">
      <alignment horizontal="center" vertical="center"/>
    </xf>
    <xf numFmtId="49" fontId="37" fillId="0" borderId="0" xfId="0" applyNumberFormat="1" applyFont="1" applyFill="1" applyAlignment="1">
      <alignment vertical="center" textRotation="180" wrapText="1"/>
    </xf>
    <xf numFmtId="4" fontId="35" fillId="0" borderId="0" xfId="0" applyNumberFormat="1" applyFont="1" applyFill="1" applyAlignment="1">
      <alignment vertical="center"/>
    </xf>
    <xf numFmtId="4" fontId="0" fillId="0" borderId="0" xfId="0" applyNumberFormat="1" applyFont="1" applyFill="1" applyAlignment="1" applyProtection="1">
      <alignment/>
      <protection/>
    </xf>
    <xf numFmtId="0" fontId="35" fillId="0" borderId="14" xfId="0" applyFont="1" applyFill="1" applyBorder="1" applyAlignment="1">
      <alignment vertical="top" wrapText="1"/>
    </xf>
    <xf numFmtId="0" fontId="35" fillId="0" borderId="15" xfId="0" applyFont="1" applyFill="1" applyBorder="1" applyAlignment="1">
      <alignment vertical="top" wrapText="1"/>
    </xf>
    <xf numFmtId="3" fontId="33" fillId="0" borderId="0" xfId="0" applyNumberFormat="1" applyFont="1" applyFill="1" applyBorder="1" applyAlignment="1">
      <alignment horizontal="left" vertical="center" wrapText="1"/>
    </xf>
    <xf numFmtId="0" fontId="35" fillId="0" borderId="15" xfId="0" applyFont="1" applyFill="1" applyBorder="1" applyAlignment="1">
      <alignment horizontal="left" vertical="center" wrapText="1"/>
    </xf>
    <xf numFmtId="0" fontId="38" fillId="0" borderId="0" xfId="0" applyFont="1" applyFill="1" applyAlignment="1">
      <alignment horizontal="center" vertical="center"/>
    </xf>
    <xf numFmtId="0" fontId="0" fillId="0" borderId="0" xfId="0" applyFont="1" applyFill="1" applyBorder="1" applyAlignment="1">
      <alignment horizontal="center"/>
    </xf>
    <xf numFmtId="0" fontId="38" fillId="0" borderId="0" xfId="0" applyFont="1" applyFill="1" applyAlignment="1">
      <alignment vertical="center" wrapText="1"/>
    </xf>
    <xf numFmtId="4" fontId="35" fillId="0" borderId="17" xfId="95" applyNumberFormat="1" applyFont="1" applyFill="1" applyBorder="1" applyAlignment="1">
      <alignment vertical="center"/>
      <protection/>
    </xf>
    <xf numFmtId="4" fontId="35" fillId="0" borderId="18"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6" xfId="95" applyNumberFormat="1" applyFont="1" applyFill="1" applyBorder="1" applyAlignment="1">
      <alignment vertical="center"/>
      <protection/>
    </xf>
    <xf numFmtId="4" fontId="35" fillId="0" borderId="17" xfId="95" applyNumberFormat="1" applyFont="1" applyFill="1" applyBorder="1" applyAlignment="1">
      <alignment horizontal="right" vertical="center"/>
      <protection/>
    </xf>
    <xf numFmtId="184" fontId="36" fillId="0" borderId="17" xfId="95" applyNumberFormat="1" applyFont="1" applyFill="1" applyBorder="1" applyAlignment="1">
      <alignment vertical="center"/>
      <protection/>
    </xf>
    <xf numFmtId="184" fontId="35" fillId="0" borderId="17" xfId="95" applyNumberFormat="1" applyFont="1" applyFill="1" applyBorder="1" applyAlignment="1">
      <alignment vertical="center"/>
      <protection/>
    </xf>
    <xf numFmtId="184" fontId="36" fillId="0" borderId="17" xfId="95" applyNumberFormat="1" applyFont="1" applyFill="1" applyBorder="1" applyAlignment="1">
      <alignment vertical="center"/>
      <protection/>
    </xf>
    <xf numFmtId="184" fontId="35" fillId="0" borderId="20" xfId="95" applyNumberFormat="1" applyFont="1" applyFill="1" applyBorder="1" applyAlignment="1">
      <alignment vertical="center"/>
      <protection/>
    </xf>
    <xf numFmtId="4" fontId="35" fillId="0" borderId="20" xfId="95" applyNumberFormat="1" applyFont="1" applyFill="1" applyBorder="1" applyAlignment="1">
      <alignment vertical="center"/>
      <protection/>
    </xf>
    <xf numFmtId="184" fontId="35" fillId="0" borderId="21" xfId="95" applyNumberFormat="1" applyFont="1" applyFill="1" applyBorder="1" applyAlignment="1">
      <alignment vertical="center"/>
      <protection/>
    </xf>
    <xf numFmtId="4" fontId="35" fillId="0" borderId="21" xfId="95" applyNumberFormat="1" applyFont="1" applyFill="1" applyBorder="1" applyAlignment="1">
      <alignment vertical="center"/>
      <protection/>
    </xf>
    <xf numFmtId="184" fontId="35" fillId="0" borderId="22" xfId="95" applyNumberFormat="1" applyFont="1" applyFill="1" applyBorder="1" applyAlignment="1">
      <alignment vertical="center"/>
      <protection/>
    </xf>
    <xf numFmtId="4" fontId="35" fillId="0" borderId="22" xfId="95" applyNumberFormat="1" applyFont="1" applyFill="1" applyBorder="1" applyAlignment="1">
      <alignment vertical="center"/>
      <protection/>
    </xf>
    <xf numFmtId="184" fontId="35" fillId="0" borderId="18" xfId="95" applyNumberFormat="1" applyFont="1" applyFill="1" applyBorder="1" applyAlignment="1">
      <alignment vertical="center"/>
      <protection/>
    </xf>
    <xf numFmtId="184" fontId="35" fillId="0" borderId="19" xfId="95" applyNumberFormat="1" applyFont="1" applyFill="1" applyBorder="1" applyAlignment="1">
      <alignment vertical="center"/>
      <protection/>
    </xf>
    <xf numFmtId="184" fontId="35" fillId="0" borderId="16" xfId="95" applyNumberFormat="1" applyFont="1" applyFill="1" applyBorder="1" applyAlignment="1">
      <alignment vertical="center"/>
      <protection/>
    </xf>
    <xf numFmtId="0" fontId="40" fillId="0" borderId="0" xfId="0" applyNumberFormat="1" applyFont="1" applyFill="1" applyAlignment="1" applyProtection="1">
      <alignment/>
      <protection/>
    </xf>
    <xf numFmtId="3" fontId="40" fillId="0" borderId="0" xfId="0" applyNumberFormat="1" applyFont="1" applyFill="1" applyBorder="1" applyAlignment="1">
      <alignment vertical="center" wrapText="1"/>
    </xf>
    <xf numFmtId="3" fontId="40" fillId="0" borderId="0" xfId="0" applyNumberFormat="1" applyFont="1" applyFill="1" applyBorder="1" applyAlignment="1">
      <alignment horizontal="center" vertical="center" wrapText="1"/>
    </xf>
    <xf numFmtId="184" fontId="35" fillId="0" borderId="17" xfId="95" applyNumberFormat="1" applyFont="1" applyFill="1" applyBorder="1" applyAlignment="1">
      <alignment vertical="center"/>
      <protection/>
    </xf>
    <xf numFmtId="0" fontId="40" fillId="0" borderId="0" xfId="0" applyNumberFormat="1" applyFont="1" applyFill="1" applyBorder="1" applyAlignment="1" applyProtection="1">
      <alignment vertical="center" wrapText="1"/>
      <protection/>
    </xf>
    <xf numFmtId="0" fontId="40" fillId="0" borderId="0" xfId="0" applyFont="1" applyFill="1" applyAlignment="1">
      <alignment/>
    </xf>
    <xf numFmtId="3" fontId="39" fillId="0" borderId="0" xfId="0" applyNumberFormat="1" applyFont="1" applyFill="1" applyBorder="1" applyAlignment="1">
      <alignment horizontal="center" vertical="center" wrapText="1"/>
    </xf>
    <xf numFmtId="49" fontId="37" fillId="0" borderId="14" xfId="0" applyNumberFormat="1" applyFont="1" applyFill="1" applyBorder="1" applyAlignment="1">
      <alignment horizontal="center" vertical="center" textRotation="180" wrapText="1"/>
    </xf>
    <xf numFmtId="4" fontId="0" fillId="0" borderId="0" xfId="0" applyNumberFormat="1" applyFont="1" applyFill="1" applyAlignment="1" applyProtection="1">
      <alignment/>
      <protection/>
    </xf>
    <xf numFmtId="4" fontId="0" fillId="0" borderId="0" xfId="0" applyNumberFormat="1" applyFont="1" applyFill="1" applyBorder="1" applyAlignment="1">
      <alignment horizontal="center"/>
    </xf>
    <xf numFmtId="4" fontId="33" fillId="0" borderId="0" xfId="0" applyNumberFormat="1" applyFont="1" applyFill="1" applyBorder="1" applyAlignment="1">
      <alignment horizontal="center" vertical="center" wrapText="1"/>
    </xf>
    <xf numFmtId="4" fontId="39" fillId="0" borderId="0" xfId="0" applyNumberFormat="1" applyFont="1" applyFill="1" applyBorder="1" applyAlignment="1">
      <alignment horizontal="center" vertical="center" wrapText="1"/>
    </xf>
    <xf numFmtId="4" fontId="33" fillId="0" borderId="0" xfId="0" applyNumberFormat="1" applyFont="1" applyFill="1" applyAlignment="1">
      <alignment/>
    </xf>
    <xf numFmtId="4" fontId="33" fillId="0" borderId="0" xfId="0" applyNumberFormat="1" applyFont="1" applyFill="1" applyAlignment="1" applyProtection="1">
      <alignment/>
      <protection/>
    </xf>
    <xf numFmtId="49" fontId="36" fillId="0" borderId="17" xfId="0" applyNumberFormat="1"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0" fontId="38" fillId="0" borderId="0" xfId="0" applyFont="1" applyFill="1" applyAlignment="1">
      <alignment horizontal="left" vertical="center"/>
    </xf>
    <xf numFmtId="3" fontId="40" fillId="0" borderId="0" xfId="0" applyNumberFormat="1" applyFont="1" applyFill="1" applyBorder="1" applyAlignment="1">
      <alignment horizontal="center" vertical="center" wrapText="1"/>
    </xf>
    <xf numFmtId="0" fontId="38" fillId="0" borderId="0" xfId="0" applyFont="1" applyFill="1" applyAlignment="1">
      <alignment horizontal="left" vertical="center" wrapText="1"/>
    </xf>
    <xf numFmtId="0" fontId="35" fillId="0" borderId="17" xfId="0" applyNumberFormat="1" applyFont="1" applyFill="1" applyBorder="1" applyAlignment="1" applyProtection="1">
      <alignment horizontal="center" vertical="center" wrapText="1"/>
      <protection/>
    </xf>
    <xf numFmtId="0" fontId="35" fillId="0" borderId="18" xfId="0" applyNumberFormat="1" applyFont="1" applyFill="1" applyBorder="1" applyAlignment="1" applyProtection="1">
      <alignment horizontal="center" vertical="center" textRotation="90" wrapText="1"/>
      <protection/>
    </xf>
    <xf numFmtId="0" fontId="35" fillId="0" borderId="19" xfId="0" applyNumberFormat="1" applyFont="1" applyFill="1" applyBorder="1" applyAlignment="1" applyProtection="1">
      <alignment horizontal="center" vertical="center" textRotation="90" wrapText="1"/>
      <protection/>
    </xf>
    <xf numFmtId="0" fontId="35" fillId="0" borderId="16" xfId="0" applyNumberFormat="1" applyFont="1" applyFill="1" applyBorder="1" applyAlignment="1" applyProtection="1">
      <alignment horizontal="center" vertical="center" textRotation="90" wrapText="1"/>
      <protection/>
    </xf>
    <xf numFmtId="0" fontId="35" fillId="0" borderId="18"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center" vertical="center" wrapText="1"/>
      <protection/>
    </xf>
    <xf numFmtId="0" fontId="35" fillId="0" borderId="16" xfId="0" applyNumberFormat="1" applyFont="1" applyFill="1" applyBorder="1" applyAlignment="1" applyProtection="1">
      <alignment horizontal="center" vertical="center" wrapText="1"/>
      <protection/>
    </xf>
    <xf numFmtId="0" fontId="35" fillId="0" borderId="23" xfId="0" applyNumberFormat="1" applyFont="1" applyFill="1" applyBorder="1" applyAlignment="1" applyProtection="1">
      <alignment horizontal="center" vertical="center" wrapText="1"/>
      <protection/>
    </xf>
    <xf numFmtId="0" fontId="35" fillId="0" borderId="24" xfId="0" applyNumberFormat="1" applyFont="1" applyFill="1" applyBorder="1" applyAlignment="1" applyProtection="1">
      <alignment horizontal="center" vertical="center" wrapText="1"/>
      <protection/>
    </xf>
    <xf numFmtId="0" fontId="35" fillId="0" borderId="18"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center" vertical="center" wrapText="1"/>
      <protection/>
    </xf>
    <xf numFmtId="0" fontId="35" fillId="0" borderId="16" xfId="0" applyNumberFormat="1" applyFont="1" applyFill="1" applyBorder="1" applyAlignment="1" applyProtection="1">
      <alignment horizontal="center" vertical="center" wrapText="1"/>
      <protection/>
    </xf>
    <xf numFmtId="0" fontId="35" fillId="0" borderId="23" xfId="0" applyNumberFormat="1" applyFont="1" applyFill="1" applyBorder="1" applyAlignment="1" applyProtection="1">
      <alignment horizontal="center" vertical="center" wrapText="1"/>
      <protection/>
    </xf>
    <xf numFmtId="0" fontId="35" fillId="0" borderId="24" xfId="0" applyNumberFormat="1" applyFont="1" applyFill="1" applyBorder="1" applyAlignment="1" applyProtection="1">
      <alignment horizontal="center" vertical="center" wrapText="1"/>
      <protection/>
    </xf>
    <xf numFmtId="4" fontId="35" fillId="0" borderId="18" xfId="0" applyNumberFormat="1" applyFont="1" applyFill="1" applyBorder="1" applyAlignment="1" applyProtection="1">
      <alignment horizontal="center" vertical="center" wrapText="1"/>
      <protection/>
    </xf>
    <xf numFmtId="4" fontId="35" fillId="0" borderId="16" xfId="0" applyNumberFormat="1" applyFont="1" applyFill="1" applyBorder="1" applyAlignment="1" applyProtection="1">
      <alignment horizontal="center" vertical="center" wrapText="1"/>
      <protection/>
    </xf>
    <xf numFmtId="0" fontId="35" fillId="0" borderId="13" xfId="0" applyFont="1" applyFill="1" applyBorder="1" applyAlignment="1">
      <alignment vertical="center" wrapText="1"/>
    </xf>
    <xf numFmtId="0" fontId="35" fillId="0" borderId="14" xfId="0" applyFont="1" applyFill="1" applyBorder="1" applyAlignment="1">
      <alignment vertical="center" wrapText="1"/>
    </xf>
    <xf numFmtId="49" fontId="37" fillId="0" borderId="0" xfId="0" applyNumberFormat="1" applyFont="1" applyFill="1" applyAlignment="1">
      <alignment horizontal="center" vertical="center" textRotation="180" wrapText="1"/>
    </xf>
    <xf numFmtId="49" fontId="37" fillId="0" borderId="14" xfId="0" applyNumberFormat="1" applyFont="1" applyFill="1" applyBorder="1" applyAlignment="1">
      <alignment horizontal="center" vertical="center" textRotation="180" wrapText="1"/>
    </xf>
    <xf numFmtId="0" fontId="34" fillId="0" borderId="0" xfId="0" applyNumberFormat="1" applyFont="1" applyFill="1" applyBorder="1" applyAlignment="1" applyProtection="1">
      <alignment horizontal="center" vertical="top" wrapText="1"/>
      <protection/>
    </xf>
    <xf numFmtId="49" fontId="37" fillId="0" borderId="0" xfId="0" applyNumberFormat="1" applyFont="1" applyFill="1" applyBorder="1" applyAlignment="1">
      <alignment horizontal="center" vertical="center" textRotation="180" wrapText="1"/>
    </xf>
    <xf numFmtId="49" fontId="33" fillId="0" borderId="0" xfId="0" applyNumberFormat="1" applyFont="1" applyFill="1" applyBorder="1" applyAlignment="1">
      <alignment horizontal="left" vertical="center" wrapText="1"/>
    </xf>
    <xf numFmtId="3" fontId="33" fillId="0" borderId="0" xfId="0" applyNumberFormat="1" applyFont="1" applyFill="1" applyBorder="1" applyAlignment="1">
      <alignment horizontal="left" vertical="center" wrapText="1"/>
    </xf>
    <xf numFmtId="49" fontId="40" fillId="0" borderId="0" xfId="0" applyNumberFormat="1" applyFont="1" applyFill="1" applyBorder="1" applyAlignment="1">
      <alignment horizontal="left" vertical="center" wrapText="1"/>
    </xf>
    <xf numFmtId="0" fontId="35" fillId="0" borderId="13" xfId="0" applyFont="1" applyFill="1" applyBorder="1" applyAlignment="1">
      <alignment vertical="top" wrapText="1"/>
    </xf>
    <xf numFmtId="0" fontId="35" fillId="0" borderId="14" xfId="0" applyFont="1" applyFill="1" applyBorder="1" applyAlignment="1">
      <alignment vertical="top"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dimension ref="A1:Z220"/>
  <sheetViews>
    <sheetView showGridLines="0" showZeros="0" tabSelected="1" view="pageBreakPreview" zoomScale="85" zoomScaleNormal="70" zoomScaleSheetLayoutView="85" zoomScalePageLayoutView="0" workbookViewId="0" topLeftCell="H1">
      <selection activeCell="N2" sqref="N2"/>
    </sheetView>
  </sheetViews>
  <sheetFormatPr defaultColWidth="9.16015625" defaultRowHeight="12.75"/>
  <cols>
    <col min="1" max="1" width="3.83203125" style="14" hidden="1" customWidth="1"/>
    <col min="2" max="3" width="11.66015625" style="14" customWidth="1"/>
    <col min="4" max="4" width="46" style="14" customWidth="1"/>
    <col min="5" max="5" width="18.66015625" style="14" customWidth="1"/>
    <col min="6" max="6" width="16.16015625" style="14" customWidth="1"/>
    <col min="7" max="7" width="15.83203125" style="14" customWidth="1"/>
    <col min="8" max="8" width="18" style="14" customWidth="1"/>
    <col min="9" max="9" width="16.66015625" style="14" customWidth="1"/>
    <col min="10" max="10" width="15.83203125" style="88" customWidth="1"/>
    <col min="11" max="11" width="8.66015625" style="14" customWidth="1"/>
    <col min="12" max="12" width="17.16015625" style="14" customWidth="1"/>
    <col min="13" max="13" width="15.83203125" style="14" customWidth="1"/>
    <col min="14" max="14" width="15" style="14" customWidth="1"/>
    <col min="15" max="15" width="13.66015625" style="14" customWidth="1"/>
    <col min="16" max="16" width="17.66015625" style="14" customWidth="1"/>
    <col min="17" max="17" width="17.16015625" style="14" customWidth="1"/>
    <col min="18" max="18" width="15.16015625" style="14" customWidth="1"/>
    <col min="19" max="19" width="13.83203125" style="14" customWidth="1"/>
    <col min="20" max="20" width="13.5" style="14" customWidth="1"/>
    <col min="21" max="21" width="16.66015625" style="14" customWidth="1"/>
    <col min="22" max="22" width="7.83203125" style="14" customWidth="1"/>
    <col min="23" max="23" width="16.66015625" style="14" customWidth="1"/>
    <col min="24" max="24" width="6.16015625" style="51" customWidth="1"/>
    <col min="25" max="25" width="9.16015625" style="13" customWidth="1"/>
    <col min="26" max="26" width="14.16015625" style="13" bestFit="1" customWidth="1"/>
    <col min="27" max="16384" width="9.16015625" style="13" customWidth="1"/>
  </cols>
  <sheetData>
    <row r="1" spans="1:24" ht="26.25">
      <c r="A1" s="1"/>
      <c r="B1" s="1"/>
      <c r="C1" s="1"/>
      <c r="D1" s="1"/>
      <c r="E1" s="1"/>
      <c r="F1" s="1"/>
      <c r="G1" s="1"/>
      <c r="H1" s="1"/>
      <c r="I1" s="1"/>
      <c r="J1" s="55"/>
      <c r="K1" s="1"/>
      <c r="L1" s="1"/>
      <c r="M1" s="1"/>
      <c r="N1" s="47"/>
      <c r="O1" s="47"/>
      <c r="P1" s="47"/>
      <c r="Q1" s="47"/>
      <c r="R1" s="96" t="s">
        <v>279</v>
      </c>
      <c r="S1" s="96"/>
      <c r="T1" s="96"/>
      <c r="U1" s="96"/>
      <c r="V1" s="96"/>
      <c r="W1" s="96"/>
      <c r="X1" s="117"/>
    </row>
    <row r="2" spans="1:24" ht="26.25">
      <c r="A2" s="1"/>
      <c r="B2" s="1"/>
      <c r="C2" s="1"/>
      <c r="D2" s="1"/>
      <c r="E2" s="1"/>
      <c r="F2" s="1"/>
      <c r="G2" s="1"/>
      <c r="H2" s="1"/>
      <c r="I2" s="1"/>
      <c r="J2" s="55"/>
      <c r="K2" s="1"/>
      <c r="L2" s="1"/>
      <c r="M2" s="1"/>
      <c r="N2" s="60"/>
      <c r="O2" s="47"/>
      <c r="P2" s="47"/>
      <c r="Q2" s="47"/>
      <c r="R2" s="96" t="s">
        <v>286</v>
      </c>
      <c r="S2" s="96"/>
      <c r="T2" s="96"/>
      <c r="U2" s="96"/>
      <c r="V2" s="96"/>
      <c r="W2" s="96"/>
      <c r="X2" s="117"/>
    </row>
    <row r="3" spans="14:24" ht="26.25">
      <c r="N3" s="62"/>
      <c r="O3" s="62"/>
      <c r="P3" s="62"/>
      <c r="Q3" s="62"/>
      <c r="R3" s="98" t="s">
        <v>285</v>
      </c>
      <c r="S3" s="98"/>
      <c r="T3" s="98"/>
      <c r="U3" s="98"/>
      <c r="V3" s="98"/>
      <c r="W3" s="98"/>
      <c r="X3" s="117"/>
    </row>
    <row r="4" spans="14:24" ht="26.25">
      <c r="N4" s="62"/>
      <c r="O4" s="62"/>
      <c r="P4" s="62"/>
      <c r="Q4" s="62"/>
      <c r="R4" s="98" t="s">
        <v>323</v>
      </c>
      <c r="S4" s="98"/>
      <c r="T4" s="98"/>
      <c r="U4" s="98"/>
      <c r="V4" s="98"/>
      <c r="W4" s="98"/>
      <c r="X4" s="117"/>
    </row>
    <row r="5" spans="14:24" ht="26.25">
      <c r="N5" s="47"/>
      <c r="O5" s="47"/>
      <c r="P5" s="47"/>
      <c r="Q5" s="47"/>
      <c r="R5" s="96" t="s">
        <v>324</v>
      </c>
      <c r="S5" s="96"/>
      <c r="T5" s="96"/>
      <c r="U5" s="96"/>
      <c r="V5" s="96"/>
      <c r="W5" s="96"/>
      <c r="X5" s="117"/>
    </row>
    <row r="6" spans="14:24" ht="55.5" customHeight="1">
      <c r="N6" s="47"/>
      <c r="O6" s="47"/>
      <c r="P6" s="48"/>
      <c r="Q6" s="48"/>
      <c r="R6" s="48"/>
      <c r="S6" s="48"/>
      <c r="T6" s="48"/>
      <c r="U6" s="48"/>
      <c r="V6" s="48"/>
      <c r="W6" s="48"/>
      <c r="X6" s="117"/>
    </row>
    <row r="7" spans="1:24" ht="57" customHeight="1">
      <c r="A7" s="16"/>
      <c r="B7" s="119" t="s">
        <v>322</v>
      </c>
      <c r="C7" s="119"/>
      <c r="D7" s="119"/>
      <c r="E7" s="119"/>
      <c r="F7" s="119"/>
      <c r="G7" s="119"/>
      <c r="H7" s="119"/>
      <c r="I7" s="119"/>
      <c r="J7" s="119"/>
      <c r="K7" s="119"/>
      <c r="L7" s="119"/>
      <c r="M7" s="119"/>
      <c r="N7" s="119"/>
      <c r="O7" s="119"/>
      <c r="P7" s="119"/>
      <c r="Q7" s="119"/>
      <c r="R7" s="119"/>
      <c r="S7" s="119"/>
      <c r="T7" s="119"/>
      <c r="U7" s="119"/>
      <c r="V7" s="119"/>
      <c r="W7" s="119"/>
      <c r="X7" s="117"/>
    </row>
    <row r="8" spans="2:24" ht="18.75">
      <c r="B8" s="41"/>
      <c r="C8" s="41"/>
      <c r="D8" s="41"/>
      <c r="E8" s="41"/>
      <c r="F8" s="5"/>
      <c r="G8" s="2"/>
      <c r="H8" s="61"/>
      <c r="I8" s="61"/>
      <c r="J8" s="89"/>
      <c r="K8" s="61"/>
      <c r="L8" s="3"/>
      <c r="M8" s="4"/>
      <c r="N8" s="4"/>
      <c r="O8" s="4"/>
      <c r="P8" s="4"/>
      <c r="Q8" s="4"/>
      <c r="R8" s="4"/>
      <c r="S8" s="4"/>
      <c r="T8" s="4"/>
      <c r="U8" s="4"/>
      <c r="V8" s="4"/>
      <c r="W8" s="46" t="s">
        <v>13</v>
      </c>
      <c r="X8" s="117"/>
    </row>
    <row r="9" spans="1:24" s="19" customFormat="1" ht="21.75" customHeight="1">
      <c r="A9" s="18"/>
      <c r="B9" s="108" t="s">
        <v>12</v>
      </c>
      <c r="C9" s="108" t="s">
        <v>10</v>
      </c>
      <c r="D9" s="108" t="s">
        <v>252</v>
      </c>
      <c r="E9" s="99" t="s">
        <v>0</v>
      </c>
      <c r="F9" s="99"/>
      <c r="G9" s="99"/>
      <c r="H9" s="99"/>
      <c r="I9" s="99"/>
      <c r="J9" s="99"/>
      <c r="K9" s="100" t="s">
        <v>325</v>
      </c>
      <c r="L9" s="99" t="s">
        <v>1</v>
      </c>
      <c r="M9" s="99"/>
      <c r="N9" s="99"/>
      <c r="O9" s="99"/>
      <c r="P9" s="99"/>
      <c r="Q9" s="99"/>
      <c r="R9" s="99"/>
      <c r="S9" s="99"/>
      <c r="T9" s="99"/>
      <c r="U9" s="99"/>
      <c r="V9" s="100" t="s">
        <v>325</v>
      </c>
      <c r="W9" s="108" t="s">
        <v>2</v>
      </c>
      <c r="X9" s="117"/>
    </row>
    <row r="10" spans="1:24" s="19" customFormat="1" ht="21.75" customHeight="1">
      <c r="A10" s="20"/>
      <c r="B10" s="109"/>
      <c r="C10" s="109"/>
      <c r="D10" s="109"/>
      <c r="E10" s="99" t="s">
        <v>280</v>
      </c>
      <c r="F10" s="99"/>
      <c r="G10" s="99"/>
      <c r="H10" s="99" t="s">
        <v>281</v>
      </c>
      <c r="I10" s="99"/>
      <c r="J10" s="99"/>
      <c r="K10" s="101"/>
      <c r="L10" s="99" t="s">
        <v>280</v>
      </c>
      <c r="M10" s="99"/>
      <c r="N10" s="99"/>
      <c r="O10" s="99"/>
      <c r="P10" s="99"/>
      <c r="Q10" s="99" t="s">
        <v>281</v>
      </c>
      <c r="R10" s="99"/>
      <c r="S10" s="99"/>
      <c r="T10" s="99"/>
      <c r="U10" s="99"/>
      <c r="V10" s="101"/>
      <c r="W10" s="109"/>
      <c r="X10" s="117"/>
    </row>
    <row r="11" spans="1:24" s="19" customFormat="1" ht="16.5" customHeight="1">
      <c r="A11" s="20"/>
      <c r="B11" s="109"/>
      <c r="C11" s="109"/>
      <c r="D11" s="109"/>
      <c r="E11" s="108" t="s">
        <v>3</v>
      </c>
      <c r="F11" s="111" t="s">
        <v>5</v>
      </c>
      <c r="G11" s="112"/>
      <c r="H11" s="108" t="s">
        <v>3</v>
      </c>
      <c r="I11" s="111" t="s">
        <v>5</v>
      </c>
      <c r="J11" s="112"/>
      <c r="K11" s="101"/>
      <c r="L11" s="108" t="s">
        <v>3</v>
      </c>
      <c r="M11" s="103" t="s">
        <v>4</v>
      </c>
      <c r="N11" s="106" t="s">
        <v>5</v>
      </c>
      <c r="O11" s="107"/>
      <c r="P11" s="103" t="s">
        <v>6</v>
      </c>
      <c r="Q11" s="103" t="s">
        <v>3</v>
      </c>
      <c r="R11" s="103" t="s">
        <v>4</v>
      </c>
      <c r="S11" s="106" t="s">
        <v>5</v>
      </c>
      <c r="T11" s="107"/>
      <c r="U11" s="103" t="s">
        <v>6</v>
      </c>
      <c r="V11" s="101"/>
      <c r="W11" s="109"/>
      <c r="X11" s="117"/>
    </row>
    <row r="12" spans="1:24" s="19" customFormat="1" ht="20.25" customHeight="1">
      <c r="A12" s="21"/>
      <c r="B12" s="109"/>
      <c r="C12" s="109"/>
      <c r="D12" s="109"/>
      <c r="E12" s="109"/>
      <c r="F12" s="108" t="s">
        <v>7</v>
      </c>
      <c r="G12" s="108" t="s">
        <v>8</v>
      </c>
      <c r="H12" s="109"/>
      <c r="I12" s="108" t="s">
        <v>7</v>
      </c>
      <c r="J12" s="113" t="s">
        <v>8</v>
      </c>
      <c r="K12" s="101"/>
      <c r="L12" s="109"/>
      <c r="M12" s="104"/>
      <c r="N12" s="103" t="s">
        <v>7</v>
      </c>
      <c r="O12" s="103" t="s">
        <v>8</v>
      </c>
      <c r="P12" s="104"/>
      <c r="Q12" s="104"/>
      <c r="R12" s="104"/>
      <c r="S12" s="103" t="s">
        <v>7</v>
      </c>
      <c r="T12" s="103" t="s">
        <v>8</v>
      </c>
      <c r="U12" s="104"/>
      <c r="V12" s="101"/>
      <c r="W12" s="109"/>
      <c r="X12" s="117"/>
    </row>
    <row r="13" spans="1:24" s="19" customFormat="1" ht="110.25" customHeight="1">
      <c r="A13" s="22"/>
      <c r="B13" s="110"/>
      <c r="C13" s="110"/>
      <c r="D13" s="110"/>
      <c r="E13" s="110"/>
      <c r="F13" s="110"/>
      <c r="G13" s="110"/>
      <c r="H13" s="110"/>
      <c r="I13" s="110"/>
      <c r="J13" s="114"/>
      <c r="K13" s="102"/>
      <c r="L13" s="110"/>
      <c r="M13" s="105"/>
      <c r="N13" s="105"/>
      <c r="O13" s="105"/>
      <c r="P13" s="105"/>
      <c r="Q13" s="105"/>
      <c r="R13" s="105"/>
      <c r="S13" s="105"/>
      <c r="T13" s="105"/>
      <c r="U13" s="105"/>
      <c r="V13" s="102"/>
      <c r="W13" s="110"/>
      <c r="X13" s="117"/>
    </row>
    <row r="14" spans="1:24" s="25" customFormat="1" ht="28.5">
      <c r="A14" s="23"/>
      <c r="B14" s="94"/>
      <c r="C14" s="94"/>
      <c r="D14" s="24" t="s">
        <v>14</v>
      </c>
      <c r="E14" s="42">
        <f aca="true" t="shared" si="0" ref="E14:W14">E15+E16+E17+E18+E19+E20+E21+E22+E23+E24+E25+E26+E27+E28+E29+E30+E31+E32+E33+E34+E35+E36+E37+E38+E39+E40+E41+E43+E42+E44</f>
        <v>59396409.75</v>
      </c>
      <c r="F14" s="42">
        <f t="shared" si="0"/>
        <v>21372836</v>
      </c>
      <c r="G14" s="42">
        <f t="shared" si="0"/>
        <v>3159638</v>
      </c>
      <c r="H14" s="42">
        <f t="shared" si="0"/>
        <v>56104608.120000005</v>
      </c>
      <c r="I14" s="42">
        <f t="shared" si="0"/>
        <v>21366882.380000003</v>
      </c>
      <c r="J14" s="42">
        <f t="shared" si="0"/>
        <v>2512173.960000001</v>
      </c>
      <c r="K14" s="68">
        <f>H14/E14*100</f>
        <v>94.4579114396725</v>
      </c>
      <c r="L14" s="42">
        <f t="shared" si="0"/>
        <v>52342218.68</v>
      </c>
      <c r="M14" s="42">
        <f t="shared" si="0"/>
        <v>400027.72</v>
      </c>
      <c r="N14" s="42">
        <f t="shared" si="0"/>
        <v>104948</v>
      </c>
      <c r="O14" s="42">
        <f t="shared" si="0"/>
        <v>121378</v>
      </c>
      <c r="P14" s="42">
        <f t="shared" si="0"/>
        <v>51942190.96</v>
      </c>
      <c r="Q14" s="42">
        <f t="shared" si="0"/>
        <v>46658857.61000001</v>
      </c>
      <c r="R14" s="42">
        <f t="shared" si="0"/>
        <v>352193.77</v>
      </c>
      <c r="S14" s="42">
        <f t="shared" si="0"/>
        <v>98234.12</v>
      </c>
      <c r="T14" s="42">
        <f t="shared" si="0"/>
        <v>77028.11</v>
      </c>
      <c r="U14" s="42">
        <f t="shared" si="0"/>
        <v>46306663.84</v>
      </c>
      <c r="V14" s="68">
        <f>Q14/L14*100</f>
        <v>89.1419179138243</v>
      </c>
      <c r="W14" s="42">
        <f t="shared" si="0"/>
        <v>102763465.73</v>
      </c>
      <c r="X14" s="117"/>
    </row>
    <row r="15" spans="1:24" s="25" customFormat="1" ht="15">
      <c r="A15" s="23"/>
      <c r="B15" s="26" t="s">
        <v>11</v>
      </c>
      <c r="C15" s="26" t="s">
        <v>9</v>
      </c>
      <c r="D15" s="27" t="s">
        <v>15</v>
      </c>
      <c r="E15" s="40">
        <v>23261319</v>
      </c>
      <c r="F15" s="40">
        <v>13318381</v>
      </c>
      <c r="G15" s="40">
        <v>1611387</v>
      </c>
      <c r="H15" s="40">
        <v>22711544.06</v>
      </c>
      <c r="I15" s="40">
        <v>13318381</v>
      </c>
      <c r="J15" s="40">
        <v>1178178.51</v>
      </c>
      <c r="K15" s="69">
        <f>H15/E15*100</f>
        <v>97.63652723218318</v>
      </c>
      <c r="L15" s="40">
        <f>M15+P15</f>
        <v>1281040</v>
      </c>
      <c r="M15" s="40"/>
      <c r="N15" s="40"/>
      <c r="O15" s="40"/>
      <c r="P15" s="40">
        <f>1200000-300000+364926+16114</f>
        <v>1281040</v>
      </c>
      <c r="Q15" s="40">
        <f>R15+U15</f>
        <v>1317013.48</v>
      </c>
      <c r="R15" s="40">
        <v>1687.48</v>
      </c>
      <c r="S15" s="40"/>
      <c r="T15" s="40"/>
      <c r="U15" s="40">
        <v>1315326</v>
      </c>
      <c r="V15" s="83">
        <f>Q15/L15*100</f>
        <v>102.8081465059639</v>
      </c>
      <c r="W15" s="40">
        <f>H15+Q15</f>
        <v>24028557.54</v>
      </c>
      <c r="X15" s="117"/>
    </row>
    <row r="16" spans="1:24" s="25" customFormat="1" ht="30">
      <c r="A16" s="23"/>
      <c r="B16" s="26" t="s">
        <v>16</v>
      </c>
      <c r="C16" s="26" t="s">
        <v>197</v>
      </c>
      <c r="D16" s="27" t="s">
        <v>17</v>
      </c>
      <c r="E16" s="40">
        <v>183634</v>
      </c>
      <c r="F16" s="42"/>
      <c r="G16" s="42"/>
      <c r="H16" s="63">
        <v>145673.83</v>
      </c>
      <c r="I16" s="63"/>
      <c r="J16" s="63"/>
      <c r="K16" s="69">
        <f aca="true" t="shared" si="1" ref="K16:K79">H16/E16*100</f>
        <v>79.32835422634153</v>
      </c>
      <c r="L16" s="40">
        <f aca="true" t="shared" si="2" ref="L16:L44">M16+P16</f>
        <v>0</v>
      </c>
      <c r="M16" s="42"/>
      <c r="N16" s="42"/>
      <c r="O16" s="42"/>
      <c r="P16" s="42"/>
      <c r="Q16" s="40">
        <f aca="true" t="shared" si="3" ref="Q16:Q44">R16+U16</f>
        <v>0</v>
      </c>
      <c r="R16" s="42"/>
      <c r="S16" s="42"/>
      <c r="T16" s="42"/>
      <c r="U16" s="42"/>
      <c r="V16" s="83"/>
      <c r="W16" s="40">
        <f aca="true" t="shared" si="4" ref="W16:W74">H16+Q16</f>
        <v>145673.83</v>
      </c>
      <c r="X16" s="117"/>
    </row>
    <row r="17" spans="1:24" s="25" customFormat="1" ht="30">
      <c r="A17" s="23"/>
      <c r="B17" s="26" t="s">
        <v>18</v>
      </c>
      <c r="C17" s="26" t="s">
        <v>198</v>
      </c>
      <c r="D17" s="27" t="s">
        <v>19</v>
      </c>
      <c r="E17" s="40">
        <v>672355</v>
      </c>
      <c r="F17" s="40">
        <v>431484</v>
      </c>
      <c r="G17" s="40">
        <v>61987</v>
      </c>
      <c r="H17" s="40">
        <v>655518.16</v>
      </c>
      <c r="I17" s="40">
        <v>431431.99</v>
      </c>
      <c r="J17" s="40">
        <v>53136.11</v>
      </c>
      <c r="K17" s="69">
        <f t="shared" si="1"/>
        <v>97.49584073889538</v>
      </c>
      <c r="L17" s="40">
        <f t="shared" si="2"/>
        <v>0</v>
      </c>
      <c r="M17" s="40"/>
      <c r="N17" s="40"/>
      <c r="O17" s="40"/>
      <c r="P17" s="40"/>
      <c r="Q17" s="40">
        <f t="shared" si="3"/>
        <v>0</v>
      </c>
      <c r="R17" s="40"/>
      <c r="S17" s="40"/>
      <c r="T17" s="40"/>
      <c r="U17" s="40"/>
      <c r="V17" s="83"/>
      <c r="W17" s="40">
        <f t="shared" si="4"/>
        <v>655518.16</v>
      </c>
      <c r="X17" s="117"/>
    </row>
    <row r="18" spans="1:24" s="25" customFormat="1" ht="30">
      <c r="A18" s="23"/>
      <c r="B18" s="26" t="s">
        <v>20</v>
      </c>
      <c r="C18" s="26" t="s">
        <v>198</v>
      </c>
      <c r="D18" s="27" t="s">
        <v>21</v>
      </c>
      <c r="E18" s="40">
        <v>30700</v>
      </c>
      <c r="F18" s="40"/>
      <c r="G18" s="40"/>
      <c r="H18" s="40">
        <v>27200</v>
      </c>
      <c r="I18" s="40"/>
      <c r="J18" s="40"/>
      <c r="K18" s="69">
        <f t="shared" si="1"/>
        <v>88.59934853420195</v>
      </c>
      <c r="L18" s="40">
        <f t="shared" si="2"/>
        <v>0</v>
      </c>
      <c r="M18" s="40"/>
      <c r="N18" s="40"/>
      <c r="O18" s="40"/>
      <c r="P18" s="40"/>
      <c r="Q18" s="40">
        <f t="shared" si="3"/>
        <v>0</v>
      </c>
      <c r="R18" s="40"/>
      <c r="S18" s="40"/>
      <c r="T18" s="40"/>
      <c r="U18" s="40"/>
      <c r="V18" s="83"/>
      <c r="W18" s="40">
        <f t="shared" si="4"/>
        <v>27200</v>
      </c>
      <c r="X18" s="117"/>
    </row>
    <row r="19" spans="1:24" s="25" customFormat="1" ht="30">
      <c r="A19" s="23"/>
      <c r="B19" s="26" t="s">
        <v>22</v>
      </c>
      <c r="C19" s="26" t="s">
        <v>198</v>
      </c>
      <c r="D19" s="27" t="s">
        <v>23</v>
      </c>
      <c r="E19" s="40">
        <v>95000</v>
      </c>
      <c r="F19" s="40"/>
      <c r="G19" s="40"/>
      <c r="H19" s="40">
        <v>93695.5</v>
      </c>
      <c r="I19" s="40"/>
      <c r="J19" s="40"/>
      <c r="K19" s="69">
        <f t="shared" si="1"/>
        <v>98.62684210526315</v>
      </c>
      <c r="L19" s="40">
        <f t="shared" si="2"/>
        <v>0</v>
      </c>
      <c r="M19" s="40"/>
      <c r="N19" s="40"/>
      <c r="O19" s="40"/>
      <c r="P19" s="40"/>
      <c r="Q19" s="40">
        <f t="shared" si="3"/>
        <v>0</v>
      </c>
      <c r="R19" s="40"/>
      <c r="S19" s="40"/>
      <c r="T19" s="40"/>
      <c r="U19" s="40"/>
      <c r="V19" s="83"/>
      <c r="W19" s="40">
        <f t="shared" si="4"/>
        <v>93695.5</v>
      </c>
      <c r="X19" s="117"/>
    </row>
    <row r="20" spans="1:24" s="25" customFormat="1" ht="15">
      <c r="A20" s="23"/>
      <c r="B20" s="26" t="s">
        <v>24</v>
      </c>
      <c r="C20" s="26" t="s">
        <v>198</v>
      </c>
      <c r="D20" s="27" t="s">
        <v>25</v>
      </c>
      <c r="E20" s="40">
        <v>487421</v>
      </c>
      <c r="F20" s="40">
        <v>286788</v>
      </c>
      <c r="G20" s="40">
        <v>70617</v>
      </c>
      <c r="H20" s="40">
        <v>479640.14</v>
      </c>
      <c r="I20" s="40">
        <v>284419.8</v>
      </c>
      <c r="J20" s="40">
        <v>66344.1</v>
      </c>
      <c r="K20" s="69">
        <f t="shared" si="1"/>
        <v>98.40366746611247</v>
      </c>
      <c r="L20" s="40">
        <f t="shared" si="2"/>
        <v>14900</v>
      </c>
      <c r="M20" s="40"/>
      <c r="N20" s="40"/>
      <c r="O20" s="40"/>
      <c r="P20" s="40">
        <v>14900</v>
      </c>
      <c r="Q20" s="40">
        <f t="shared" si="3"/>
        <v>14900</v>
      </c>
      <c r="R20" s="40"/>
      <c r="S20" s="40"/>
      <c r="T20" s="40"/>
      <c r="U20" s="40">
        <v>14900</v>
      </c>
      <c r="V20" s="83">
        <f aca="true" t="shared" si="5" ref="V20:V76">Q20/L20*100</f>
        <v>100</v>
      </c>
      <c r="W20" s="40">
        <f t="shared" si="4"/>
        <v>494540.14</v>
      </c>
      <c r="X20" s="117"/>
    </row>
    <row r="21" spans="1:24" s="25" customFormat="1" ht="84" customHeight="1">
      <c r="A21" s="23"/>
      <c r="B21" s="26" t="s">
        <v>26</v>
      </c>
      <c r="C21" s="26" t="s">
        <v>198</v>
      </c>
      <c r="D21" s="28" t="s">
        <v>27</v>
      </c>
      <c r="E21" s="40">
        <v>784000</v>
      </c>
      <c r="F21" s="40"/>
      <c r="G21" s="40"/>
      <c r="H21" s="40">
        <v>782700</v>
      </c>
      <c r="I21" s="40"/>
      <c r="J21" s="40"/>
      <c r="K21" s="69">
        <f t="shared" si="1"/>
        <v>99.8341836734694</v>
      </c>
      <c r="L21" s="40">
        <f t="shared" si="2"/>
        <v>0</v>
      </c>
      <c r="M21" s="40"/>
      <c r="N21" s="40"/>
      <c r="O21" s="40"/>
      <c r="P21" s="40"/>
      <c r="Q21" s="40">
        <f t="shared" si="3"/>
        <v>0</v>
      </c>
      <c r="R21" s="40"/>
      <c r="S21" s="40"/>
      <c r="T21" s="40"/>
      <c r="U21" s="40"/>
      <c r="V21" s="83"/>
      <c r="W21" s="40">
        <f t="shared" si="4"/>
        <v>782700</v>
      </c>
      <c r="X21" s="117"/>
    </row>
    <row r="22" spans="1:24" s="25" customFormat="1" ht="15">
      <c r="A22" s="23"/>
      <c r="B22" s="26" t="s">
        <v>28</v>
      </c>
      <c r="C22" s="26" t="s">
        <v>199</v>
      </c>
      <c r="D22" s="27" t="s">
        <v>29</v>
      </c>
      <c r="E22" s="40">
        <v>123285</v>
      </c>
      <c r="F22" s="40"/>
      <c r="G22" s="40">
        <v>123085</v>
      </c>
      <c r="H22" s="40">
        <v>92445.76</v>
      </c>
      <c r="I22" s="40"/>
      <c r="J22" s="40">
        <v>92445.76</v>
      </c>
      <c r="K22" s="69">
        <f t="shared" si="1"/>
        <v>74.98540779494667</v>
      </c>
      <c r="L22" s="40">
        <f t="shared" si="2"/>
        <v>0</v>
      </c>
      <c r="M22" s="40"/>
      <c r="N22" s="40"/>
      <c r="O22" s="40"/>
      <c r="P22" s="40"/>
      <c r="Q22" s="40">
        <f t="shared" si="3"/>
        <v>0</v>
      </c>
      <c r="R22" s="40"/>
      <c r="S22" s="40"/>
      <c r="T22" s="40"/>
      <c r="U22" s="40"/>
      <c r="V22" s="83"/>
      <c r="W22" s="40">
        <f t="shared" si="4"/>
        <v>92445.76</v>
      </c>
      <c r="X22" s="117"/>
    </row>
    <row r="23" spans="1:24" s="25" customFormat="1" ht="15">
      <c r="A23" s="23"/>
      <c r="B23" s="26" t="s">
        <v>30</v>
      </c>
      <c r="C23" s="26" t="s">
        <v>200</v>
      </c>
      <c r="D23" s="27" t="s">
        <v>31</v>
      </c>
      <c r="E23" s="40">
        <v>1503749</v>
      </c>
      <c r="F23" s="40">
        <v>808325</v>
      </c>
      <c r="G23" s="40">
        <v>96880</v>
      </c>
      <c r="H23" s="40">
        <v>1488992.45</v>
      </c>
      <c r="I23" s="40">
        <v>804972.09</v>
      </c>
      <c r="J23" s="40">
        <v>86561.59</v>
      </c>
      <c r="K23" s="69">
        <f t="shared" si="1"/>
        <v>99.01868263919044</v>
      </c>
      <c r="L23" s="40">
        <f t="shared" si="2"/>
        <v>284958</v>
      </c>
      <c r="M23" s="40"/>
      <c r="N23" s="40"/>
      <c r="O23" s="40"/>
      <c r="P23" s="40">
        <f>32000+200000+52958</f>
        <v>284958</v>
      </c>
      <c r="Q23" s="40">
        <f t="shared" si="3"/>
        <v>291946</v>
      </c>
      <c r="R23" s="40">
        <v>7000</v>
      </c>
      <c r="S23" s="40"/>
      <c r="T23" s="40"/>
      <c r="U23" s="40">
        <v>284946</v>
      </c>
      <c r="V23" s="83">
        <f t="shared" si="5"/>
        <v>102.45229121484569</v>
      </c>
      <c r="W23" s="40">
        <f t="shared" si="4"/>
        <v>1780938.45</v>
      </c>
      <c r="X23" s="117"/>
    </row>
    <row r="24" spans="1:24" s="25" customFormat="1" ht="15">
      <c r="A24" s="23"/>
      <c r="B24" s="26" t="s">
        <v>287</v>
      </c>
      <c r="C24" s="26" t="s">
        <v>288</v>
      </c>
      <c r="D24" s="27" t="s">
        <v>289</v>
      </c>
      <c r="E24" s="40">
        <v>316723</v>
      </c>
      <c r="F24" s="40"/>
      <c r="G24" s="40"/>
      <c r="H24" s="40">
        <v>316720.31</v>
      </c>
      <c r="I24" s="40"/>
      <c r="J24" s="40"/>
      <c r="K24" s="69">
        <f t="shared" si="1"/>
        <v>99.99915067740581</v>
      </c>
      <c r="L24" s="40">
        <f t="shared" si="2"/>
        <v>0</v>
      </c>
      <c r="M24" s="40"/>
      <c r="N24" s="40"/>
      <c r="O24" s="40"/>
      <c r="P24" s="40"/>
      <c r="Q24" s="40">
        <f t="shared" si="3"/>
        <v>0</v>
      </c>
      <c r="R24" s="40"/>
      <c r="S24" s="40"/>
      <c r="T24" s="40"/>
      <c r="U24" s="40"/>
      <c r="V24" s="83"/>
      <c r="W24" s="40">
        <f t="shared" si="4"/>
        <v>316720.31</v>
      </c>
      <c r="X24" s="117"/>
    </row>
    <row r="25" spans="1:24" s="25" customFormat="1" ht="36.75" customHeight="1">
      <c r="A25" s="23"/>
      <c r="B25" s="26" t="s">
        <v>32</v>
      </c>
      <c r="C25" s="26" t="s">
        <v>201</v>
      </c>
      <c r="D25" s="27" t="s">
        <v>33</v>
      </c>
      <c r="E25" s="40">
        <v>251163</v>
      </c>
      <c r="F25" s="40"/>
      <c r="G25" s="40"/>
      <c r="H25" s="40">
        <v>216700.57</v>
      </c>
      <c r="I25" s="40"/>
      <c r="J25" s="40"/>
      <c r="K25" s="69">
        <f t="shared" si="1"/>
        <v>86.2788587490992</v>
      </c>
      <c r="L25" s="40">
        <f t="shared" si="2"/>
        <v>0</v>
      </c>
      <c r="M25" s="40"/>
      <c r="N25" s="40"/>
      <c r="O25" s="40"/>
      <c r="P25" s="40"/>
      <c r="Q25" s="40">
        <f t="shared" si="3"/>
        <v>0</v>
      </c>
      <c r="R25" s="40"/>
      <c r="S25" s="40"/>
      <c r="T25" s="40"/>
      <c r="U25" s="40"/>
      <c r="V25" s="83"/>
      <c r="W25" s="40">
        <f t="shared" si="4"/>
        <v>216700.57</v>
      </c>
      <c r="X25" s="117"/>
    </row>
    <row r="26" spans="1:24" s="25" customFormat="1" ht="44.25" customHeight="1">
      <c r="A26" s="23"/>
      <c r="B26" s="26" t="s">
        <v>34</v>
      </c>
      <c r="C26" s="26" t="s">
        <v>201</v>
      </c>
      <c r="D26" s="27" t="s">
        <v>35</v>
      </c>
      <c r="E26" s="40">
        <v>260564</v>
      </c>
      <c r="F26" s="40"/>
      <c r="G26" s="40"/>
      <c r="H26" s="40">
        <v>255071.36</v>
      </c>
      <c r="I26" s="40"/>
      <c r="J26" s="40"/>
      <c r="K26" s="69">
        <f t="shared" si="1"/>
        <v>97.89201885141462</v>
      </c>
      <c r="L26" s="40">
        <f t="shared" si="2"/>
        <v>0</v>
      </c>
      <c r="M26" s="40"/>
      <c r="N26" s="40"/>
      <c r="O26" s="40"/>
      <c r="P26" s="40"/>
      <c r="Q26" s="40">
        <f t="shared" si="3"/>
        <v>0</v>
      </c>
      <c r="R26" s="40"/>
      <c r="S26" s="40"/>
      <c r="T26" s="40"/>
      <c r="U26" s="40"/>
      <c r="V26" s="83"/>
      <c r="W26" s="40">
        <f t="shared" si="4"/>
        <v>255071.36</v>
      </c>
      <c r="X26" s="117"/>
    </row>
    <row r="27" spans="1:24" s="25" customFormat="1" ht="42" customHeight="1">
      <c r="A27" s="23"/>
      <c r="B27" s="26" t="s">
        <v>36</v>
      </c>
      <c r="C27" s="26" t="s">
        <v>201</v>
      </c>
      <c r="D27" s="27" t="s">
        <v>37</v>
      </c>
      <c r="E27" s="40">
        <v>4872963</v>
      </c>
      <c r="F27" s="40">
        <v>3058460</v>
      </c>
      <c r="G27" s="40">
        <v>422510</v>
      </c>
      <c r="H27" s="40">
        <v>4846437.41</v>
      </c>
      <c r="I27" s="40">
        <v>3058426.68</v>
      </c>
      <c r="J27" s="40">
        <v>403993.12</v>
      </c>
      <c r="K27" s="69">
        <f t="shared" si="1"/>
        <v>99.45565788207298</v>
      </c>
      <c r="L27" s="40">
        <f t="shared" si="2"/>
        <v>494393</v>
      </c>
      <c r="M27" s="42"/>
      <c r="N27" s="42"/>
      <c r="O27" s="42"/>
      <c r="P27" s="40">
        <f>406393+28000+60000</f>
        <v>494393</v>
      </c>
      <c r="Q27" s="40">
        <f t="shared" si="3"/>
        <v>491846.52</v>
      </c>
      <c r="R27" s="40"/>
      <c r="S27" s="40"/>
      <c r="T27" s="40"/>
      <c r="U27" s="40">
        <v>491846.52</v>
      </c>
      <c r="V27" s="83">
        <f t="shared" si="5"/>
        <v>99.48492798239458</v>
      </c>
      <c r="W27" s="40">
        <f t="shared" si="4"/>
        <v>5338283.93</v>
      </c>
      <c r="X27" s="117"/>
    </row>
    <row r="28" spans="1:24" s="25" customFormat="1" ht="15">
      <c r="A28" s="23"/>
      <c r="B28" s="26" t="s">
        <v>38</v>
      </c>
      <c r="C28" s="26" t="s">
        <v>201</v>
      </c>
      <c r="D28" s="27" t="s">
        <v>25</v>
      </c>
      <c r="E28" s="40">
        <v>2160053</v>
      </c>
      <c r="F28" s="40"/>
      <c r="G28" s="40"/>
      <c r="H28" s="40">
        <v>2126586.04</v>
      </c>
      <c r="I28" s="40"/>
      <c r="J28" s="40"/>
      <c r="K28" s="69">
        <f t="shared" si="1"/>
        <v>98.4506417203652</v>
      </c>
      <c r="L28" s="40">
        <f t="shared" si="2"/>
        <v>0</v>
      </c>
      <c r="M28" s="42"/>
      <c r="N28" s="42"/>
      <c r="O28" s="42"/>
      <c r="P28" s="40"/>
      <c r="Q28" s="40">
        <f t="shared" si="3"/>
        <v>0</v>
      </c>
      <c r="R28" s="40"/>
      <c r="S28" s="40"/>
      <c r="T28" s="40"/>
      <c r="U28" s="40"/>
      <c r="V28" s="83"/>
      <c r="W28" s="40">
        <f t="shared" si="4"/>
        <v>2126586.04</v>
      </c>
      <c r="X28" s="117"/>
    </row>
    <row r="29" spans="1:24" s="25" customFormat="1" ht="30">
      <c r="A29" s="23"/>
      <c r="B29" s="26" t="s">
        <v>39</v>
      </c>
      <c r="C29" s="26" t="s">
        <v>201</v>
      </c>
      <c r="D29" s="27" t="s">
        <v>40</v>
      </c>
      <c r="E29" s="40">
        <v>1885131</v>
      </c>
      <c r="F29" s="40">
        <v>855382</v>
      </c>
      <c r="G29" s="40">
        <v>386529</v>
      </c>
      <c r="H29" s="40">
        <v>1841888.78</v>
      </c>
      <c r="I29" s="40">
        <v>855369.41</v>
      </c>
      <c r="J29" s="40">
        <v>350190.93</v>
      </c>
      <c r="K29" s="69">
        <f t="shared" si="1"/>
        <v>97.7061424378465</v>
      </c>
      <c r="L29" s="40">
        <f t="shared" si="2"/>
        <v>818039</v>
      </c>
      <c r="M29" s="40">
        <v>286555</v>
      </c>
      <c r="N29" s="40">
        <v>104948</v>
      </c>
      <c r="O29" s="40">
        <v>121378</v>
      </c>
      <c r="P29" s="40">
        <f>399341+100000+32143</f>
        <v>531484</v>
      </c>
      <c r="Q29" s="40">
        <f t="shared" si="3"/>
        <v>773950.0499999999</v>
      </c>
      <c r="R29" s="40">
        <v>247241.84</v>
      </c>
      <c r="S29" s="40">
        <v>98234.12</v>
      </c>
      <c r="T29" s="40">
        <v>76228.11</v>
      </c>
      <c r="U29" s="40">
        <v>526708.21</v>
      </c>
      <c r="V29" s="83">
        <f t="shared" si="5"/>
        <v>94.61040977263919</v>
      </c>
      <c r="W29" s="40">
        <f t="shared" si="4"/>
        <v>2615838.83</v>
      </c>
      <c r="X29" s="117"/>
    </row>
    <row r="30" spans="1:24" s="25" customFormat="1" ht="63.75" customHeight="1">
      <c r="A30" s="23"/>
      <c r="B30" s="26" t="s">
        <v>41</v>
      </c>
      <c r="C30" s="26" t="s">
        <v>201</v>
      </c>
      <c r="D30" s="27" t="s">
        <v>42</v>
      </c>
      <c r="E30" s="40">
        <v>3301365</v>
      </c>
      <c r="F30" s="40"/>
      <c r="G30" s="40"/>
      <c r="H30" s="40">
        <v>3298372.63</v>
      </c>
      <c r="I30" s="40"/>
      <c r="J30" s="40"/>
      <c r="K30" s="69">
        <f t="shared" si="1"/>
        <v>99.90935961337203</v>
      </c>
      <c r="L30" s="40">
        <f t="shared" si="2"/>
        <v>0</v>
      </c>
      <c r="M30" s="42"/>
      <c r="N30" s="42"/>
      <c r="O30" s="42"/>
      <c r="P30" s="40"/>
      <c r="Q30" s="40">
        <f t="shared" si="3"/>
        <v>0</v>
      </c>
      <c r="R30" s="40"/>
      <c r="S30" s="40"/>
      <c r="T30" s="40"/>
      <c r="U30" s="40"/>
      <c r="V30" s="83"/>
      <c r="W30" s="40">
        <f t="shared" si="4"/>
        <v>3298372.63</v>
      </c>
      <c r="X30" s="118"/>
    </row>
    <row r="31" spans="1:24" s="25" customFormat="1" ht="42" customHeight="1">
      <c r="A31" s="23"/>
      <c r="B31" s="26" t="s">
        <v>310</v>
      </c>
      <c r="C31" s="26" t="s">
        <v>312</v>
      </c>
      <c r="D31" s="27" t="s">
        <v>313</v>
      </c>
      <c r="E31" s="40">
        <v>574097</v>
      </c>
      <c r="F31" s="40"/>
      <c r="G31" s="40"/>
      <c r="H31" s="40">
        <v>574097</v>
      </c>
      <c r="I31" s="40"/>
      <c r="J31" s="40"/>
      <c r="K31" s="69">
        <f t="shared" si="1"/>
        <v>100</v>
      </c>
      <c r="L31" s="40">
        <f t="shared" si="2"/>
        <v>0</v>
      </c>
      <c r="M31" s="42"/>
      <c r="N31" s="42"/>
      <c r="O31" s="42"/>
      <c r="P31" s="40"/>
      <c r="Q31" s="40">
        <f t="shared" si="3"/>
        <v>0</v>
      </c>
      <c r="R31" s="40"/>
      <c r="S31" s="40"/>
      <c r="T31" s="40"/>
      <c r="U31" s="40"/>
      <c r="V31" s="83"/>
      <c r="W31" s="40">
        <f t="shared" si="4"/>
        <v>574097</v>
      </c>
      <c r="X31" s="118"/>
    </row>
    <row r="32" spans="1:24" s="25" customFormat="1" ht="36.75" customHeight="1">
      <c r="A32" s="23"/>
      <c r="B32" s="26" t="s">
        <v>311</v>
      </c>
      <c r="C32" s="26" t="s">
        <v>315</v>
      </c>
      <c r="D32" s="27" t="s">
        <v>314</v>
      </c>
      <c r="E32" s="40">
        <v>1959201</v>
      </c>
      <c r="F32" s="40"/>
      <c r="G32" s="40"/>
      <c r="H32" s="40">
        <v>1353220</v>
      </c>
      <c r="I32" s="40"/>
      <c r="J32" s="40"/>
      <c r="K32" s="69">
        <f t="shared" si="1"/>
        <v>69.06999332891316</v>
      </c>
      <c r="L32" s="40">
        <f t="shared" si="2"/>
        <v>0</v>
      </c>
      <c r="M32" s="42"/>
      <c r="N32" s="42"/>
      <c r="O32" s="42"/>
      <c r="P32" s="40"/>
      <c r="Q32" s="40">
        <f t="shared" si="3"/>
        <v>0</v>
      </c>
      <c r="R32" s="40"/>
      <c r="S32" s="40"/>
      <c r="T32" s="40"/>
      <c r="U32" s="40"/>
      <c r="V32" s="83"/>
      <c r="W32" s="40">
        <f t="shared" si="4"/>
        <v>1353220</v>
      </c>
      <c r="X32" s="118"/>
    </row>
    <row r="33" spans="1:24" s="25" customFormat="1" ht="51.75" customHeight="1">
      <c r="A33" s="23"/>
      <c r="B33" s="26" t="s">
        <v>162</v>
      </c>
      <c r="C33" s="26" t="s">
        <v>224</v>
      </c>
      <c r="D33" s="27" t="s">
        <v>163</v>
      </c>
      <c r="E33" s="40">
        <v>429000</v>
      </c>
      <c r="F33" s="40"/>
      <c r="G33" s="40"/>
      <c r="H33" s="40">
        <v>7507.5</v>
      </c>
      <c r="I33" s="40"/>
      <c r="J33" s="40"/>
      <c r="K33" s="69">
        <f t="shared" si="1"/>
        <v>1.7500000000000002</v>
      </c>
      <c r="L33" s="40">
        <f t="shared" si="2"/>
        <v>0</v>
      </c>
      <c r="M33" s="42"/>
      <c r="N33" s="42"/>
      <c r="O33" s="42"/>
      <c r="P33" s="40"/>
      <c r="Q33" s="40">
        <f t="shared" si="3"/>
        <v>0</v>
      </c>
      <c r="R33" s="40"/>
      <c r="S33" s="40"/>
      <c r="T33" s="40"/>
      <c r="U33" s="40"/>
      <c r="V33" s="83"/>
      <c r="W33" s="40">
        <f t="shared" si="4"/>
        <v>7507.5</v>
      </c>
      <c r="X33" s="118"/>
    </row>
    <row r="34" spans="1:24" s="25" customFormat="1" ht="20.25" customHeight="1">
      <c r="A34" s="23"/>
      <c r="B34" s="26" t="s">
        <v>43</v>
      </c>
      <c r="C34" s="26" t="s">
        <v>202</v>
      </c>
      <c r="D34" s="27" t="s">
        <v>44</v>
      </c>
      <c r="E34" s="40">
        <v>7098800</v>
      </c>
      <c r="F34" s="42"/>
      <c r="G34" s="42"/>
      <c r="H34" s="63">
        <v>7098800</v>
      </c>
      <c r="I34" s="63"/>
      <c r="J34" s="63"/>
      <c r="K34" s="69">
        <f t="shared" si="1"/>
        <v>100</v>
      </c>
      <c r="L34" s="40">
        <f t="shared" si="2"/>
        <v>718600</v>
      </c>
      <c r="M34" s="40"/>
      <c r="N34" s="40"/>
      <c r="O34" s="40"/>
      <c r="P34" s="40">
        <f>2000000-1281400</f>
        <v>718600</v>
      </c>
      <c r="Q34" s="40">
        <f t="shared" si="3"/>
        <v>649416.26</v>
      </c>
      <c r="R34" s="40"/>
      <c r="S34" s="40"/>
      <c r="T34" s="40"/>
      <c r="U34" s="40">
        <v>649416.26</v>
      </c>
      <c r="V34" s="83">
        <f t="shared" si="5"/>
        <v>90.3724269412747</v>
      </c>
      <c r="W34" s="40">
        <f t="shared" si="4"/>
        <v>7748216.26</v>
      </c>
      <c r="X34" s="118"/>
    </row>
    <row r="35" spans="1:24" s="25" customFormat="1" ht="30">
      <c r="A35" s="23"/>
      <c r="B35" s="26" t="s">
        <v>45</v>
      </c>
      <c r="C35" s="26" t="s">
        <v>203</v>
      </c>
      <c r="D35" s="27" t="s">
        <v>46</v>
      </c>
      <c r="E35" s="40">
        <v>29761.1</v>
      </c>
      <c r="F35" s="42"/>
      <c r="G35" s="42"/>
      <c r="H35" s="63">
        <v>27346.65</v>
      </c>
      <c r="I35" s="42"/>
      <c r="J35" s="42"/>
      <c r="K35" s="69">
        <f t="shared" si="1"/>
        <v>91.8872286306622</v>
      </c>
      <c r="L35" s="40">
        <f t="shared" si="2"/>
        <v>45138.9</v>
      </c>
      <c r="M35" s="42"/>
      <c r="N35" s="42"/>
      <c r="O35" s="42"/>
      <c r="P35" s="40">
        <f>50000-4861.1</f>
        <v>45138.9</v>
      </c>
      <c r="Q35" s="40">
        <f t="shared" si="3"/>
        <v>44232</v>
      </c>
      <c r="R35" s="40"/>
      <c r="S35" s="40"/>
      <c r="T35" s="40"/>
      <c r="U35" s="40">
        <v>44232</v>
      </c>
      <c r="V35" s="83">
        <f t="shared" si="5"/>
        <v>97.99086818686321</v>
      </c>
      <c r="W35" s="40">
        <f t="shared" si="4"/>
        <v>71578.65</v>
      </c>
      <c r="X35" s="118"/>
    </row>
    <row r="36" spans="1:24" s="25" customFormat="1" ht="60">
      <c r="A36" s="23"/>
      <c r="B36" s="26" t="s">
        <v>47</v>
      </c>
      <c r="C36" s="26" t="s">
        <v>204</v>
      </c>
      <c r="D36" s="27" t="s">
        <v>48</v>
      </c>
      <c r="E36" s="40"/>
      <c r="F36" s="42"/>
      <c r="G36" s="42"/>
      <c r="H36" s="63"/>
      <c r="I36" s="42"/>
      <c r="J36" s="42"/>
      <c r="K36" s="69"/>
      <c r="L36" s="40">
        <f t="shared" si="2"/>
        <v>48482714.06</v>
      </c>
      <c r="M36" s="42"/>
      <c r="N36" s="42"/>
      <c r="O36" s="42"/>
      <c r="P36" s="40">
        <f>29846800+1281400+22028600+500000-6400000-2000000+225914.06+3000000</f>
        <v>48482714.06</v>
      </c>
      <c r="Q36" s="40">
        <f t="shared" si="3"/>
        <v>42893043.53</v>
      </c>
      <c r="R36" s="40"/>
      <c r="S36" s="40"/>
      <c r="T36" s="40"/>
      <c r="U36" s="40">
        <v>42893043.53</v>
      </c>
      <c r="V36" s="83">
        <f t="shared" si="5"/>
        <v>88.47079698739127</v>
      </c>
      <c r="W36" s="40">
        <f t="shared" si="4"/>
        <v>42893043.53</v>
      </c>
      <c r="X36" s="118"/>
    </row>
    <row r="37" spans="1:24" s="25" customFormat="1" ht="30">
      <c r="A37" s="23"/>
      <c r="B37" s="26" t="s">
        <v>49</v>
      </c>
      <c r="C37" s="26" t="s">
        <v>203</v>
      </c>
      <c r="D37" s="27" t="s">
        <v>50</v>
      </c>
      <c r="E37" s="40">
        <v>823350</v>
      </c>
      <c r="F37" s="42"/>
      <c r="G37" s="42"/>
      <c r="H37" s="63">
        <v>77401.53</v>
      </c>
      <c r="I37" s="63"/>
      <c r="J37" s="63"/>
      <c r="K37" s="69">
        <f t="shared" si="1"/>
        <v>9.40080524685735</v>
      </c>
      <c r="L37" s="40">
        <f t="shared" si="2"/>
        <v>0</v>
      </c>
      <c r="M37" s="42"/>
      <c r="N37" s="42"/>
      <c r="O37" s="42"/>
      <c r="P37" s="42"/>
      <c r="Q37" s="40">
        <f t="shared" si="3"/>
        <v>0</v>
      </c>
      <c r="R37" s="42"/>
      <c r="S37" s="42"/>
      <c r="T37" s="42"/>
      <c r="U37" s="42"/>
      <c r="V37" s="83"/>
      <c r="W37" s="40">
        <f t="shared" si="4"/>
        <v>77401.53</v>
      </c>
      <c r="X37" s="118"/>
    </row>
    <row r="38" spans="1:24" s="25" customFormat="1" ht="15">
      <c r="A38" s="23"/>
      <c r="B38" s="26" t="s">
        <v>291</v>
      </c>
      <c r="C38" s="26" t="s">
        <v>207</v>
      </c>
      <c r="D38" s="27" t="s">
        <v>292</v>
      </c>
      <c r="E38" s="40">
        <v>15000</v>
      </c>
      <c r="F38" s="42"/>
      <c r="G38" s="42"/>
      <c r="H38" s="63">
        <v>15000</v>
      </c>
      <c r="I38" s="63"/>
      <c r="J38" s="63"/>
      <c r="K38" s="69">
        <f t="shared" si="1"/>
        <v>100</v>
      </c>
      <c r="L38" s="40">
        <f t="shared" si="2"/>
        <v>0</v>
      </c>
      <c r="M38" s="42"/>
      <c r="N38" s="42"/>
      <c r="O38" s="42"/>
      <c r="P38" s="42"/>
      <c r="Q38" s="40">
        <f t="shared" si="3"/>
        <v>0</v>
      </c>
      <c r="R38" s="42"/>
      <c r="S38" s="42"/>
      <c r="T38" s="42"/>
      <c r="U38" s="42"/>
      <c r="V38" s="83"/>
      <c r="W38" s="40">
        <f t="shared" si="4"/>
        <v>15000</v>
      </c>
      <c r="X38" s="118"/>
    </row>
    <row r="39" spans="1:24" s="25" customFormat="1" ht="45">
      <c r="A39" s="23"/>
      <c r="B39" s="26" t="s">
        <v>51</v>
      </c>
      <c r="C39" s="26" t="s">
        <v>205</v>
      </c>
      <c r="D39" s="27" t="s">
        <v>52</v>
      </c>
      <c r="E39" s="40">
        <v>205350</v>
      </c>
      <c r="F39" s="42"/>
      <c r="G39" s="40">
        <v>5000</v>
      </c>
      <c r="H39" s="40">
        <v>194614.86</v>
      </c>
      <c r="I39" s="40"/>
      <c r="J39" s="40">
        <v>3840</v>
      </c>
      <c r="K39" s="69">
        <f t="shared" si="1"/>
        <v>94.77227173119064</v>
      </c>
      <c r="L39" s="40">
        <f t="shared" si="2"/>
        <v>20000</v>
      </c>
      <c r="M39" s="40"/>
      <c r="N39" s="40"/>
      <c r="O39" s="40"/>
      <c r="P39" s="40">
        <v>20000</v>
      </c>
      <c r="Q39" s="40">
        <f t="shared" si="3"/>
        <v>15000.32</v>
      </c>
      <c r="R39" s="40"/>
      <c r="S39" s="40"/>
      <c r="T39" s="40"/>
      <c r="U39" s="40">
        <v>15000.32</v>
      </c>
      <c r="V39" s="83">
        <f t="shared" si="5"/>
        <v>75.0016</v>
      </c>
      <c r="W39" s="40">
        <f t="shared" si="4"/>
        <v>209615.18</v>
      </c>
      <c r="X39" s="118"/>
    </row>
    <row r="40" spans="1:24" s="25" customFormat="1" ht="15">
      <c r="A40" s="23"/>
      <c r="B40" s="29" t="s">
        <v>53</v>
      </c>
      <c r="C40" s="29" t="s">
        <v>206</v>
      </c>
      <c r="D40" s="27" t="s">
        <v>54</v>
      </c>
      <c r="E40" s="40">
        <v>836700</v>
      </c>
      <c r="F40" s="40">
        <v>562955</v>
      </c>
      <c r="G40" s="40">
        <v>40892</v>
      </c>
      <c r="H40" s="40">
        <v>832983.25</v>
      </c>
      <c r="I40" s="40">
        <v>562952.09</v>
      </c>
      <c r="J40" s="40">
        <v>40171.22</v>
      </c>
      <c r="K40" s="69">
        <f t="shared" si="1"/>
        <v>99.55578463009442</v>
      </c>
      <c r="L40" s="40">
        <f t="shared" si="2"/>
        <v>14500</v>
      </c>
      <c r="M40" s="40">
        <v>4500</v>
      </c>
      <c r="N40" s="40"/>
      <c r="O40" s="40"/>
      <c r="P40" s="40">
        <v>10000</v>
      </c>
      <c r="Q40" s="40">
        <f t="shared" si="3"/>
        <v>43325.5</v>
      </c>
      <c r="R40" s="40">
        <v>31043.5</v>
      </c>
      <c r="S40" s="40"/>
      <c r="T40" s="40">
        <v>800</v>
      </c>
      <c r="U40" s="40">
        <v>12282</v>
      </c>
      <c r="V40" s="83">
        <f t="shared" si="5"/>
        <v>298.79655172413794</v>
      </c>
      <c r="W40" s="40">
        <f t="shared" si="4"/>
        <v>876308.75</v>
      </c>
      <c r="X40" s="118"/>
    </row>
    <row r="41" spans="1:24" s="25" customFormat="1" ht="60">
      <c r="A41" s="23"/>
      <c r="B41" s="26" t="s">
        <v>57</v>
      </c>
      <c r="C41" s="26" t="s">
        <v>208</v>
      </c>
      <c r="D41" s="27" t="s">
        <v>58</v>
      </c>
      <c r="E41" s="40"/>
      <c r="F41" s="40"/>
      <c r="G41" s="40"/>
      <c r="H41" s="40"/>
      <c r="I41" s="40"/>
      <c r="J41" s="40"/>
      <c r="K41" s="69"/>
      <c r="L41" s="40">
        <f t="shared" si="2"/>
        <v>108972.72</v>
      </c>
      <c r="M41" s="40">
        <f>90730+18242.72</f>
        <v>108972.72</v>
      </c>
      <c r="N41" s="40"/>
      <c r="O41" s="40"/>
      <c r="P41" s="40"/>
      <c r="Q41" s="40">
        <f t="shared" si="3"/>
        <v>65220.95</v>
      </c>
      <c r="R41" s="40">
        <v>65220.95</v>
      </c>
      <c r="S41" s="40"/>
      <c r="T41" s="40"/>
      <c r="U41" s="40"/>
      <c r="V41" s="83">
        <f t="shared" si="5"/>
        <v>59.85071309590143</v>
      </c>
      <c r="W41" s="40">
        <f t="shared" si="4"/>
        <v>65220.95</v>
      </c>
      <c r="X41" s="118"/>
    </row>
    <row r="42" spans="1:24" s="25" customFormat="1" ht="45">
      <c r="A42" s="23"/>
      <c r="B42" s="26" t="s">
        <v>316</v>
      </c>
      <c r="C42" s="26" t="s">
        <v>317</v>
      </c>
      <c r="D42" s="27" t="s">
        <v>318</v>
      </c>
      <c r="E42" s="40">
        <v>4550604</v>
      </c>
      <c r="F42" s="40">
        <v>2051061</v>
      </c>
      <c r="G42" s="40">
        <v>137200</v>
      </c>
      <c r="H42" s="40">
        <v>4385802.7</v>
      </c>
      <c r="I42" s="40">
        <v>2050929.32</v>
      </c>
      <c r="J42" s="40">
        <v>52108.12</v>
      </c>
      <c r="K42" s="69">
        <f t="shared" si="1"/>
        <v>96.37847415420019</v>
      </c>
      <c r="L42" s="40">
        <f t="shared" si="2"/>
        <v>0</v>
      </c>
      <c r="M42" s="40"/>
      <c r="N42" s="40"/>
      <c r="O42" s="40"/>
      <c r="P42" s="40"/>
      <c r="Q42" s="40">
        <f t="shared" si="3"/>
        <v>0</v>
      </c>
      <c r="R42" s="40"/>
      <c r="S42" s="40"/>
      <c r="T42" s="40"/>
      <c r="U42" s="40"/>
      <c r="V42" s="83"/>
      <c r="W42" s="40">
        <f t="shared" si="4"/>
        <v>4385802.7</v>
      </c>
      <c r="X42" s="118"/>
    </row>
    <row r="43" spans="1:24" s="25" customFormat="1" ht="68.25" customHeight="1">
      <c r="A43" s="23"/>
      <c r="B43" s="26" t="s">
        <v>258</v>
      </c>
      <c r="C43" s="26" t="s">
        <v>243</v>
      </c>
      <c r="D43" s="27" t="s">
        <v>259</v>
      </c>
      <c r="E43" s="40">
        <v>583358</v>
      </c>
      <c r="F43" s="40"/>
      <c r="G43" s="40"/>
      <c r="H43" s="63">
        <v>519895</v>
      </c>
      <c r="I43" s="63"/>
      <c r="J43" s="63"/>
      <c r="K43" s="69">
        <f t="shared" si="1"/>
        <v>89.12108859396803</v>
      </c>
      <c r="L43" s="40">
        <f t="shared" si="2"/>
        <v>42963</v>
      </c>
      <c r="M43" s="40"/>
      <c r="N43" s="40"/>
      <c r="O43" s="40"/>
      <c r="P43" s="40">
        <v>42963</v>
      </c>
      <c r="Q43" s="40">
        <f t="shared" si="3"/>
        <v>42963</v>
      </c>
      <c r="R43" s="42"/>
      <c r="S43" s="42"/>
      <c r="T43" s="42"/>
      <c r="U43" s="63">
        <v>42963</v>
      </c>
      <c r="V43" s="83">
        <f t="shared" si="5"/>
        <v>100</v>
      </c>
      <c r="W43" s="40">
        <f t="shared" si="4"/>
        <v>562858</v>
      </c>
      <c r="X43" s="118"/>
    </row>
    <row r="44" spans="1:24" s="25" customFormat="1" ht="15">
      <c r="A44" s="23"/>
      <c r="B44" s="26" t="s">
        <v>59</v>
      </c>
      <c r="C44" s="26" t="s">
        <v>208</v>
      </c>
      <c r="D44" s="27" t="s">
        <v>25</v>
      </c>
      <c r="E44" s="40">
        <v>2101763.65</v>
      </c>
      <c r="F44" s="40"/>
      <c r="G44" s="40">
        <v>203551</v>
      </c>
      <c r="H44" s="40">
        <v>1638752.63</v>
      </c>
      <c r="I44" s="40"/>
      <c r="J44" s="40">
        <v>185204.5</v>
      </c>
      <c r="K44" s="69">
        <f t="shared" si="1"/>
        <v>77.97035741863743</v>
      </c>
      <c r="L44" s="40">
        <f t="shared" si="2"/>
        <v>16000</v>
      </c>
      <c r="M44" s="42"/>
      <c r="N44" s="42"/>
      <c r="O44" s="42"/>
      <c r="P44" s="63">
        <v>16000</v>
      </c>
      <c r="Q44" s="40">
        <f t="shared" si="3"/>
        <v>16000</v>
      </c>
      <c r="R44" s="42"/>
      <c r="S44" s="42"/>
      <c r="T44" s="42"/>
      <c r="U44" s="63">
        <v>16000</v>
      </c>
      <c r="V44" s="83">
        <f t="shared" si="5"/>
        <v>100</v>
      </c>
      <c r="W44" s="40">
        <f t="shared" si="4"/>
        <v>1654752.63</v>
      </c>
      <c r="X44" s="118"/>
    </row>
    <row r="45" spans="1:24" s="25" customFormat="1" ht="28.5">
      <c r="A45" s="23"/>
      <c r="B45" s="30"/>
      <c r="C45" s="30"/>
      <c r="D45" s="31" t="s">
        <v>209</v>
      </c>
      <c r="E45" s="42">
        <f aca="true" t="shared" si="6" ref="E45:J45">E46+E47+E48+E49+E50+E51+E52+E53+E54+E55+E56+E57+E58+E59+E60+E61+E62+E63</f>
        <v>348189578.42</v>
      </c>
      <c r="F45" s="42">
        <f t="shared" si="6"/>
        <v>196465374</v>
      </c>
      <c r="G45" s="42">
        <f t="shared" si="6"/>
        <v>52254043</v>
      </c>
      <c r="H45" s="42">
        <f t="shared" si="6"/>
        <v>344881723.26</v>
      </c>
      <c r="I45" s="42">
        <f t="shared" si="6"/>
        <v>196376254.48</v>
      </c>
      <c r="J45" s="42">
        <f t="shared" si="6"/>
        <v>49754463.93</v>
      </c>
      <c r="K45" s="70">
        <f t="shared" si="1"/>
        <v>99.04998444381641</v>
      </c>
      <c r="L45" s="42">
        <f aca="true" t="shared" si="7" ref="L45:U45">L46+L47+L48+L49+L50+L51+L52+L53+L54+L55+L56+L57+L58+L59+L60+L61+L62+L63</f>
        <v>44794685.35</v>
      </c>
      <c r="M45" s="42">
        <f t="shared" si="7"/>
        <v>23003488</v>
      </c>
      <c r="N45" s="42">
        <f t="shared" si="7"/>
        <v>605176</v>
      </c>
      <c r="O45" s="42">
        <f t="shared" si="7"/>
        <v>48795</v>
      </c>
      <c r="P45" s="42">
        <f t="shared" si="7"/>
        <v>21791197.35</v>
      </c>
      <c r="Q45" s="42">
        <f t="shared" si="7"/>
        <v>57931869.13</v>
      </c>
      <c r="R45" s="42">
        <f t="shared" si="7"/>
        <v>35449291.54</v>
      </c>
      <c r="S45" s="42">
        <f t="shared" si="7"/>
        <v>601588.08</v>
      </c>
      <c r="T45" s="42">
        <f t="shared" si="7"/>
        <v>48312.41</v>
      </c>
      <c r="U45" s="42">
        <f t="shared" si="7"/>
        <v>22482577.59</v>
      </c>
      <c r="V45" s="70">
        <f t="shared" si="5"/>
        <v>129.32755008178665</v>
      </c>
      <c r="W45" s="42">
        <f>W46+W47+W48+W49+W50+W51+W52+W53+W54+W55+W56+W57+W58+W59+W60+W61+W62+W63</f>
        <v>402813592.39000005</v>
      </c>
      <c r="X45" s="118"/>
    </row>
    <row r="46" spans="1:24" s="25" customFormat="1" ht="15">
      <c r="A46" s="23"/>
      <c r="B46" s="26" t="s">
        <v>11</v>
      </c>
      <c r="C46" s="26" t="s">
        <v>9</v>
      </c>
      <c r="D46" s="27" t="s">
        <v>15</v>
      </c>
      <c r="E46" s="40">
        <v>911408</v>
      </c>
      <c r="F46" s="40">
        <v>596802</v>
      </c>
      <c r="G46" s="40">
        <v>25480</v>
      </c>
      <c r="H46" s="40">
        <v>906190.53</v>
      </c>
      <c r="I46" s="40">
        <v>596560.64</v>
      </c>
      <c r="J46" s="40">
        <v>22091.31</v>
      </c>
      <c r="K46" s="69">
        <f t="shared" si="1"/>
        <v>99.42753739269351</v>
      </c>
      <c r="L46" s="40">
        <f>M46+P46</f>
        <v>20000</v>
      </c>
      <c r="M46" s="42"/>
      <c r="N46" s="42"/>
      <c r="O46" s="42"/>
      <c r="P46" s="40">
        <v>20000</v>
      </c>
      <c r="Q46" s="40">
        <f>R46+U46</f>
        <v>15899</v>
      </c>
      <c r="R46" s="40"/>
      <c r="S46" s="40"/>
      <c r="T46" s="40"/>
      <c r="U46" s="40">
        <v>15899</v>
      </c>
      <c r="V46" s="83">
        <f t="shared" si="5"/>
        <v>79.495</v>
      </c>
      <c r="W46" s="40">
        <f t="shared" si="4"/>
        <v>922089.53</v>
      </c>
      <c r="X46" s="118"/>
    </row>
    <row r="47" spans="1:24" s="25" customFormat="1" ht="15">
      <c r="A47" s="23"/>
      <c r="B47" s="26" t="s">
        <v>60</v>
      </c>
      <c r="C47" s="26" t="s">
        <v>210</v>
      </c>
      <c r="D47" s="27" t="s">
        <v>61</v>
      </c>
      <c r="E47" s="40">
        <v>111178366</v>
      </c>
      <c r="F47" s="40">
        <v>59074032</v>
      </c>
      <c r="G47" s="40">
        <v>19224824</v>
      </c>
      <c r="H47" s="40">
        <v>110056151.06</v>
      </c>
      <c r="I47" s="40">
        <v>59032845.17</v>
      </c>
      <c r="J47" s="40">
        <v>18366296.69</v>
      </c>
      <c r="K47" s="69">
        <f t="shared" si="1"/>
        <v>98.99061752715453</v>
      </c>
      <c r="L47" s="40">
        <f aca="true" t="shared" si="8" ref="L47:L63">M47+P47</f>
        <v>12542993</v>
      </c>
      <c r="M47" s="40">
        <v>9424271</v>
      </c>
      <c r="N47" s="40"/>
      <c r="O47" s="40"/>
      <c r="P47" s="40">
        <f>1936949+18000+25000+40000-800+14800+25025+49750+500000+300000+26610+143388+40000</f>
        <v>3118722</v>
      </c>
      <c r="Q47" s="40">
        <f aca="true" t="shared" si="9" ref="Q47:Q63">R47+U47</f>
        <v>18407267.93</v>
      </c>
      <c r="R47" s="40">
        <v>14989607.21</v>
      </c>
      <c r="S47" s="40"/>
      <c r="T47" s="40"/>
      <c r="U47" s="40">
        <v>3417660.72</v>
      </c>
      <c r="V47" s="83">
        <f t="shared" si="5"/>
        <v>146.7533939467239</v>
      </c>
      <c r="W47" s="40">
        <f t="shared" si="4"/>
        <v>128463418.99000001</v>
      </c>
      <c r="X47" s="118"/>
    </row>
    <row r="48" spans="1:24" s="25" customFormat="1" ht="60">
      <c r="A48" s="23"/>
      <c r="B48" s="26" t="s">
        <v>62</v>
      </c>
      <c r="C48" s="26" t="s">
        <v>211</v>
      </c>
      <c r="D48" s="27" t="s">
        <v>63</v>
      </c>
      <c r="E48" s="40">
        <v>208363017</v>
      </c>
      <c r="F48" s="40">
        <v>120824667</v>
      </c>
      <c r="G48" s="40">
        <v>29881394</v>
      </c>
      <c r="H48" s="40">
        <v>206769975.51</v>
      </c>
      <c r="I48" s="40">
        <v>120821147.35</v>
      </c>
      <c r="J48" s="40">
        <v>28693883.27</v>
      </c>
      <c r="K48" s="69">
        <f t="shared" si="1"/>
        <v>99.23544901924701</v>
      </c>
      <c r="L48" s="40">
        <f t="shared" si="8"/>
        <v>31355499.67</v>
      </c>
      <c r="M48" s="40">
        <v>13539592</v>
      </c>
      <c r="N48" s="40">
        <v>605176</v>
      </c>
      <c r="O48" s="40">
        <v>48795</v>
      </c>
      <c r="P48" s="40">
        <f>4351150+1100000+320000+593300+130000+60000+70000+34100+20600+300000+45890+300000+135184+825800+48000+39000+15000+400000+10000+104000+5690+555849+7526000+532439.67+7000+89828+20000+177077</f>
        <v>17815907.67</v>
      </c>
      <c r="Q48" s="40">
        <f t="shared" si="9"/>
        <v>36992228.93</v>
      </c>
      <c r="R48" s="40">
        <v>18937580.31</v>
      </c>
      <c r="S48" s="40">
        <v>601588.08</v>
      </c>
      <c r="T48" s="40">
        <v>48312.41</v>
      </c>
      <c r="U48" s="40">
        <v>18054648.62</v>
      </c>
      <c r="V48" s="83">
        <f t="shared" si="5"/>
        <v>117.97684399650328</v>
      </c>
      <c r="W48" s="40">
        <f t="shared" si="4"/>
        <v>243762204.44</v>
      </c>
      <c r="X48" s="118"/>
    </row>
    <row r="49" spans="1:24" s="25" customFormat="1" ht="15">
      <c r="A49" s="23"/>
      <c r="B49" s="26" t="s">
        <v>64</v>
      </c>
      <c r="C49" s="26" t="s">
        <v>211</v>
      </c>
      <c r="D49" s="27" t="s">
        <v>65</v>
      </c>
      <c r="E49" s="40">
        <f>406458+5780+8600</f>
        <v>420838</v>
      </c>
      <c r="F49" s="40">
        <f>302790+4240+7100</f>
        <v>314130</v>
      </c>
      <c r="G49" s="40"/>
      <c r="H49" s="40">
        <v>405359.05</v>
      </c>
      <c r="I49" s="40">
        <v>304538.02</v>
      </c>
      <c r="J49" s="40"/>
      <c r="K49" s="69">
        <f t="shared" si="1"/>
        <v>96.32187445050114</v>
      </c>
      <c r="L49" s="40">
        <f t="shared" si="8"/>
        <v>0</v>
      </c>
      <c r="M49" s="40"/>
      <c r="N49" s="40"/>
      <c r="O49" s="40"/>
      <c r="P49" s="40"/>
      <c r="Q49" s="40">
        <f t="shared" si="9"/>
        <v>0</v>
      </c>
      <c r="R49" s="40"/>
      <c r="S49" s="40"/>
      <c r="T49" s="40"/>
      <c r="U49" s="40"/>
      <c r="V49" s="83"/>
      <c r="W49" s="40">
        <f t="shared" si="4"/>
        <v>405359.05</v>
      </c>
      <c r="X49" s="118"/>
    </row>
    <row r="50" spans="1:24" s="25" customFormat="1" ht="60">
      <c r="A50" s="23"/>
      <c r="B50" s="26" t="s">
        <v>66</v>
      </c>
      <c r="C50" s="26" t="s">
        <v>212</v>
      </c>
      <c r="D50" s="27" t="s">
        <v>67</v>
      </c>
      <c r="E50" s="40">
        <f>3761604+0.42+5000+2260+13000+10000+60+50000+5000-1971+311100+22760-8600</f>
        <v>4170213.42</v>
      </c>
      <c r="F50" s="40">
        <f>2239901+228200+16700-15900</f>
        <v>2468901</v>
      </c>
      <c r="G50" s="40">
        <v>521618</v>
      </c>
      <c r="H50" s="40">
        <v>4072069.25</v>
      </c>
      <c r="I50" s="40">
        <v>2468799.42</v>
      </c>
      <c r="J50" s="40">
        <v>438670.72</v>
      </c>
      <c r="K50" s="69">
        <f t="shared" si="1"/>
        <v>97.64654323135338</v>
      </c>
      <c r="L50" s="40">
        <f t="shared" si="8"/>
        <v>300000</v>
      </c>
      <c r="M50" s="40"/>
      <c r="N50" s="40"/>
      <c r="O50" s="40"/>
      <c r="P50" s="40">
        <f>100000+200000</f>
        <v>300000</v>
      </c>
      <c r="Q50" s="40">
        <f t="shared" si="9"/>
        <v>381382.38</v>
      </c>
      <c r="R50" s="40">
        <v>62361.79</v>
      </c>
      <c r="S50" s="40"/>
      <c r="T50" s="40"/>
      <c r="U50" s="40">
        <v>319020.59</v>
      </c>
      <c r="V50" s="83">
        <f t="shared" si="5"/>
        <v>127.12745999999999</v>
      </c>
      <c r="W50" s="40">
        <f t="shared" si="4"/>
        <v>4453451.63</v>
      </c>
      <c r="X50" s="118"/>
    </row>
    <row r="51" spans="1:24" s="25" customFormat="1" ht="30">
      <c r="A51" s="23"/>
      <c r="B51" s="26" t="s">
        <v>68</v>
      </c>
      <c r="C51" s="26" t="s">
        <v>213</v>
      </c>
      <c r="D51" s="27" t="s">
        <v>69</v>
      </c>
      <c r="E51" s="40">
        <f>11351939+20000+7060+30000+10000+17025-7060+1017888+80280-53000+10000</f>
        <v>12484132</v>
      </c>
      <c r="F51" s="40">
        <f>6932973+747896+58900-50000</f>
        <v>7689769</v>
      </c>
      <c r="G51" s="40">
        <f>1900185+12000</f>
        <v>1912185</v>
      </c>
      <c r="H51" s="40">
        <v>12220638.95</v>
      </c>
      <c r="I51" s="40">
        <v>7686225.04</v>
      </c>
      <c r="J51" s="40">
        <v>1658775.92</v>
      </c>
      <c r="K51" s="69">
        <f t="shared" si="1"/>
        <v>97.88937628983736</v>
      </c>
      <c r="L51" s="40">
        <f t="shared" si="8"/>
        <v>369867.68</v>
      </c>
      <c r="M51" s="40"/>
      <c r="N51" s="40"/>
      <c r="O51" s="40"/>
      <c r="P51" s="40">
        <f>350000+19867.68</f>
        <v>369867.68</v>
      </c>
      <c r="Q51" s="40">
        <f t="shared" si="9"/>
        <v>969758.25</v>
      </c>
      <c r="R51" s="40">
        <v>446295.66</v>
      </c>
      <c r="S51" s="40"/>
      <c r="T51" s="40"/>
      <c r="U51" s="40">
        <v>523462.59</v>
      </c>
      <c r="V51" s="83">
        <f t="shared" si="5"/>
        <v>262.1905893480609</v>
      </c>
      <c r="W51" s="40">
        <f t="shared" si="4"/>
        <v>13190397.2</v>
      </c>
      <c r="X51" s="118"/>
    </row>
    <row r="52" spans="1:24" s="25" customFormat="1" ht="30">
      <c r="A52" s="23"/>
      <c r="B52" s="26" t="s">
        <v>70</v>
      </c>
      <c r="C52" s="26" t="s">
        <v>214</v>
      </c>
      <c r="D52" s="27" t="s">
        <v>71</v>
      </c>
      <c r="E52" s="40">
        <f>1608368+2120+159735+13220+2500</f>
        <v>1785943</v>
      </c>
      <c r="F52" s="40">
        <f>1095049+117194+9700</f>
        <v>1221943</v>
      </c>
      <c r="G52" s="40">
        <v>83000</v>
      </c>
      <c r="H52" s="40">
        <v>1764945.49</v>
      </c>
      <c r="I52" s="40">
        <v>1221820</v>
      </c>
      <c r="J52" s="40">
        <v>74220.92</v>
      </c>
      <c r="K52" s="69">
        <f t="shared" si="1"/>
        <v>98.8242900249336</v>
      </c>
      <c r="L52" s="40">
        <f t="shared" si="8"/>
        <v>0</v>
      </c>
      <c r="M52" s="40"/>
      <c r="N52" s="40"/>
      <c r="O52" s="40"/>
      <c r="P52" s="40"/>
      <c r="Q52" s="40">
        <f t="shared" si="9"/>
        <v>22343.68</v>
      </c>
      <c r="R52" s="40">
        <v>20120.74</v>
      </c>
      <c r="S52" s="40"/>
      <c r="T52" s="40"/>
      <c r="U52" s="40">
        <v>2222.94</v>
      </c>
      <c r="V52" s="83"/>
      <c r="W52" s="40">
        <f t="shared" si="4"/>
        <v>1787289.17</v>
      </c>
      <c r="X52" s="118"/>
    </row>
    <row r="53" spans="1:24" s="25" customFormat="1" ht="30">
      <c r="A53" s="23"/>
      <c r="B53" s="26" t="s">
        <v>72</v>
      </c>
      <c r="C53" s="26" t="s">
        <v>214</v>
      </c>
      <c r="D53" s="27" t="s">
        <v>73</v>
      </c>
      <c r="E53" s="40">
        <f>1471700+95270+15000</f>
        <v>1581970</v>
      </c>
      <c r="F53" s="40">
        <f>946903+69897</f>
        <v>1016800</v>
      </c>
      <c r="G53" s="40">
        <v>84760</v>
      </c>
      <c r="H53" s="40">
        <v>1543034.5</v>
      </c>
      <c r="I53" s="40">
        <v>1007742.93</v>
      </c>
      <c r="J53" s="40">
        <v>65768.33</v>
      </c>
      <c r="K53" s="69">
        <f t="shared" si="1"/>
        <v>97.53879656377808</v>
      </c>
      <c r="L53" s="40">
        <f t="shared" si="8"/>
        <v>0</v>
      </c>
      <c r="M53" s="40"/>
      <c r="N53" s="40"/>
      <c r="O53" s="40"/>
      <c r="P53" s="40"/>
      <c r="Q53" s="40">
        <f t="shared" si="9"/>
        <v>0</v>
      </c>
      <c r="R53" s="40"/>
      <c r="S53" s="40"/>
      <c r="T53" s="40"/>
      <c r="U53" s="40"/>
      <c r="V53" s="83"/>
      <c r="W53" s="40">
        <f t="shared" si="4"/>
        <v>1543034.5</v>
      </c>
      <c r="X53" s="118"/>
    </row>
    <row r="54" spans="1:24" s="25" customFormat="1" ht="30">
      <c r="A54" s="23"/>
      <c r="B54" s="26" t="s">
        <v>74</v>
      </c>
      <c r="C54" s="26" t="s">
        <v>214</v>
      </c>
      <c r="D54" s="27" t="s">
        <v>75</v>
      </c>
      <c r="E54" s="40">
        <f>142080+10750-13000</f>
        <v>139830</v>
      </c>
      <c r="F54" s="40">
        <f>99383+7887-13000</f>
        <v>94270</v>
      </c>
      <c r="G54" s="40">
        <v>5177</v>
      </c>
      <c r="H54" s="40">
        <v>137461.26</v>
      </c>
      <c r="I54" s="40">
        <v>92985.24</v>
      </c>
      <c r="J54" s="40">
        <v>4619.82</v>
      </c>
      <c r="K54" s="69">
        <f t="shared" si="1"/>
        <v>98.30598583994852</v>
      </c>
      <c r="L54" s="40">
        <f t="shared" si="8"/>
        <v>0</v>
      </c>
      <c r="M54" s="40"/>
      <c r="N54" s="40"/>
      <c r="O54" s="40"/>
      <c r="P54" s="40"/>
      <c r="Q54" s="40">
        <f t="shared" si="9"/>
        <v>0</v>
      </c>
      <c r="R54" s="40"/>
      <c r="S54" s="40"/>
      <c r="T54" s="40"/>
      <c r="U54" s="40"/>
      <c r="V54" s="83"/>
      <c r="W54" s="40">
        <f t="shared" si="4"/>
        <v>137461.26</v>
      </c>
      <c r="X54" s="118"/>
    </row>
    <row r="55" spans="1:24" s="25" customFormat="1" ht="15">
      <c r="A55" s="23"/>
      <c r="B55" s="26" t="s">
        <v>76</v>
      </c>
      <c r="C55" s="26" t="s">
        <v>214</v>
      </c>
      <c r="D55" s="27" t="s">
        <v>77</v>
      </c>
      <c r="E55" s="40">
        <f>2246997+2010+5962+214590+17450-4625-10000</f>
        <v>2472384</v>
      </c>
      <c r="F55" s="40">
        <f>1388777+158955+12800</f>
        <v>1560532</v>
      </c>
      <c r="G55" s="40">
        <v>328119</v>
      </c>
      <c r="H55" s="40">
        <v>2361133.19</v>
      </c>
      <c r="I55" s="40">
        <v>1541157</v>
      </c>
      <c r="J55" s="40">
        <v>254201.42</v>
      </c>
      <c r="K55" s="69">
        <f t="shared" si="1"/>
        <v>95.5002616907406</v>
      </c>
      <c r="L55" s="40">
        <f t="shared" si="8"/>
        <v>150000</v>
      </c>
      <c r="M55" s="40"/>
      <c r="N55" s="40"/>
      <c r="O55" s="40"/>
      <c r="P55" s="40">
        <v>150000</v>
      </c>
      <c r="Q55" s="40">
        <f t="shared" si="9"/>
        <v>396148.05000000005</v>
      </c>
      <c r="R55" s="40">
        <v>260822.92</v>
      </c>
      <c r="S55" s="40"/>
      <c r="T55" s="40"/>
      <c r="U55" s="40">
        <v>135325.13</v>
      </c>
      <c r="V55" s="83">
        <f t="shared" si="5"/>
        <v>264.09870000000006</v>
      </c>
      <c r="W55" s="40">
        <f t="shared" si="4"/>
        <v>2757281.24</v>
      </c>
      <c r="X55" s="118"/>
    </row>
    <row r="56" spans="1:24" s="25" customFormat="1" ht="15">
      <c r="A56" s="23"/>
      <c r="B56" s="26" t="s">
        <v>78</v>
      </c>
      <c r="C56" s="26" t="s">
        <v>214</v>
      </c>
      <c r="D56" s="27" t="s">
        <v>79</v>
      </c>
      <c r="E56" s="40">
        <f>53700+27712-19888+2732</f>
        <v>64256</v>
      </c>
      <c r="F56" s="40"/>
      <c r="G56" s="40"/>
      <c r="H56" s="40">
        <v>64256</v>
      </c>
      <c r="I56" s="40"/>
      <c r="J56" s="40"/>
      <c r="K56" s="69">
        <f t="shared" si="1"/>
        <v>100</v>
      </c>
      <c r="L56" s="40">
        <f t="shared" si="8"/>
        <v>0</v>
      </c>
      <c r="M56" s="40"/>
      <c r="N56" s="40"/>
      <c r="O56" s="40"/>
      <c r="P56" s="40"/>
      <c r="Q56" s="40">
        <f t="shared" si="9"/>
        <v>0</v>
      </c>
      <c r="R56" s="40"/>
      <c r="S56" s="40"/>
      <c r="T56" s="40"/>
      <c r="U56" s="40"/>
      <c r="V56" s="83"/>
      <c r="W56" s="40">
        <f t="shared" si="4"/>
        <v>64256</v>
      </c>
      <c r="X56" s="118"/>
    </row>
    <row r="57" spans="1:24" s="25" customFormat="1" ht="45">
      <c r="A57" s="23"/>
      <c r="B57" s="26" t="s">
        <v>80</v>
      </c>
      <c r="C57" s="26" t="s">
        <v>214</v>
      </c>
      <c r="D57" s="27" t="s">
        <v>81</v>
      </c>
      <c r="E57" s="40">
        <f>90500-27712+9215-2732</f>
        <v>69271</v>
      </c>
      <c r="F57" s="40"/>
      <c r="G57" s="40"/>
      <c r="H57" s="40">
        <v>57920</v>
      </c>
      <c r="I57" s="40"/>
      <c r="J57" s="40"/>
      <c r="K57" s="69">
        <f t="shared" si="1"/>
        <v>83.61363341080683</v>
      </c>
      <c r="L57" s="40">
        <f t="shared" si="8"/>
        <v>0</v>
      </c>
      <c r="M57" s="40"/>
      <c r="N57" s="40"/>
      <c r="O57" s="40"/>
      <c r="P57" s="40"/>
      <c r="Q57" s="40">
        <f t="shared" si="9"/>
        <v>0</v>
      </c>
      <c r="R57" s="40"/>
      <c r="S57" s="40"/>
      <c r="T57" s="40"/>
      <c r="U57" s="40"/>
      <c r="V57" s="83"/>
      <c r="W57" s="40">
        <f t="shared" si="4"/>
        <v>57920</v>
      </c>
      <c r="X57" s="118"/>
    </row>
    <row r="58" spans="1:24" s="25" customFormat="1" ht="75">
      <c r="A58" s="23"/>
      <c r="B58" s="26" t="s">
        <v>26</v>
      </c>
      <c r="C58" s="26" t="s">
        <v>198</v>
      </c>
      <c r="D58" s="28" t="s">
        <v>27</v>
      </c>
      <c r="E58" s="40">
        <f>1751850+31900</f>
        <v>1783750</v>
      </c>
      <c r="F58" s="40"/>
      <c r="G58" s="40"/>
      <c r="H58" s="40">
        <v>1778201.84</v>
      </c>
      <c r="I58" s="40"/>
      <c r="J58" s="40"/>
      <c r="K58" s="69">
        <f t="shared" si="1"/>
        <v>99.68896089698669</v>
      </c>
      <c r="L58" s="40">
        <f t="shared" si="8"/>
        <v>0</v>
      </c>
      <c r="M58" s="40"/>
      <c r="N58" s="40"/>
      <c r="O58" s="40"/>
      <c r="P58" s="40"/>
      <c r="Q58" s="40">
        <f t="shared" si="9"/>
        <v>691859.78</v>
      </c>
      <c r="R58" s="40">
        <v>691859.78</v>
      </c>
      <c r="S58" s="40"/>
      <c r="T58" s="40"/>
      <c r="U58" s="40"/>
      <c r="V58" s="83"/>
      <c r="W58" s="40">
        <f t="shared" si="4"/>
        <v>2470061.62</v>
      </c>
      <c r="X58" s="118"/>
    </row>
    <row r="59" spans="1:24" s="25" customFormat="1" ht="31.5" customHeight="1">
      <c r="A59" s="23"/>
      <c r="B59" s="26" t="s">
        <v>36</v>
      </c>
      <c r="C59" s="26" t="s">
        <v>201</v>
      </c>
      <c r="D59" s="27" t="s">
        <v>37</v>
      </c>
      <c r="E59" s="40">
        <f>2365650+20000+186210+14040</f>
        <v>2585900</v>
      </c>
      <c r="F59" s="40">
        <f>1460610+136618+10300-4000</f>
        <v>1603528</v>
      </c>
      <c r="G59" s="40">
        <v>187486</v>
      </c>
      <c r="H59" s="40">
        <v>2567280.63</v>
      </c>
      <c r="I59" s="40">
        <v>1602433.67</v>
      </c>
      <c r="J59" s="40">
        <v>175935.53</v>
      </c>
      <c r="K59" s="69">
        <f t="shared" si="1"/>
        <v>99.27996558258246</v>
      </c>
      <c r="L59" s="40">
        <f t="shared" si="8"/>
        <v>0</v>
      </c>
      <c r="M59" s="42"/>
      <c r="N59" s="42"/>
      <c r="O59" s="42"/>
      <c r="P59" s="42"/>
      <c r="Q59" s="40">
        <f t="shared" si="9"/>
        <v>1018.13</v>
      </c>
      <c r="R59" s="63">
        <v>1018.13</v>
      </c>
      <c r="S59" s="63"/>
      <c r="T59" s="63"/>
      <c r="U59" s="63"/>
      <c r="V59" s="83"/>
      <c r="W59" s="40">
        <f t="shared" si="4"/>
        <v>2568298.76</v>
      </c>
      <c r="X59" s="118"/>
    </row>
    <row r="60" spans="1:24" s="25" customFormat="1" ht="31.5" customHeight="1">
      <c r="A60" s="23"/>
      <c r="B60" s="26" t="s">
        <v>290</v>
      </c>
      <c r="C60" s="26" t="s">
        <v>215</v>
      </c>
      <c r="D60" s="27" t="s">
        <v>83</v>
      </c>
      <c r="E60" s="40">
        <v>88000</v>
      </c>
      <c r="F60" s="40"/>
      <c r="G60" s="40"/>
      <c r="H60" s="40">
        <v>88000</v>
      </c>
      <c r="I60" s="40"/>
      <c r="J60" s="40"/>
      <c r="K60" s="69">
        <f t="shared" si="1"/>
        <v>100</v>
      </c>
      <c r="L60" s="40">
        <f t="shared" si="8"/>
        <v>2000</v>
      </c>
      <c r="M60" s="42"/>
      <c r="N60" s="42"/>
      <c r="O60" s="42"/>
      <c r="P60" s="40">
        <v>2000</v>
      </c>
      <c r="Q60" s="40">
        <f t="shared" si="9"/>
        <v>2000</v>
      </c>
      <c r="R60" s="63"/>
      <c r="S60" s="63"/>
      <c r="T60" s="63"/>
      <c r="U60" s="63">
        <v>2000</v>
      </c>
      <c r="V60" s="83">
        <f t="shared" si="5"/>
        <v>100</v>
      </c>
      <c r="W60" s="40">
        <f t="shared" si="4"/>
        <v>90000</v>
      </c>
      <c r="X60" s="118"/>
    </row>
    <row r="61" spans="1:24" s="25" customFormat="1" ht="31.5" customHeight="1">
      <c r="A61" s="23"/>
      <c r="B61" s="26" t="s">
        <v>291</v>
      </c>
      <c r="C61" s="26" t="s">
        <v>207</v>
      </c>
      <c r="D61" s="27" t="s">
        <v>292</v>
      </c>
      <c r="E61" s="40">
        <v>90300</v>
      </c>
      <c r="F61" s="40"/>
      <c r="G61" s="40"/>
      <c r="H61" s="40">
        <v>89106</v>
      </c>
      <c r="I61" s="40"/>
      <c r="J61" s="40"/>
      <c r="K61" s="69">
        <f t="shared" si="1"/>
        <v>98.67774086378738</v>
      </c>
      <c r="L61" s="40">
        <f t="shared" si="8"/>
        <v>14700</v>
      </c>
      <c r="M61" s="42"/>
      <c r="N61" s="42"/>
      <c r="O61" s="42"/>
      <c r="P61" s="40">
        <v>14700</v>
      </c>
      <c r="Q61" s="40">
        <f t="shared" si="9"/>
        <v>12338</v>
      </c>
      <c r="R61" s="63"/>
      <c r="S61" s="63"/>
      <c r="T61" s="63"/>
      <c r="U61" s="63">
        <v>12338</v>
      </c>
      <c r="V61" s="83">
        <f t="shared" si="5"/>
        <v>83.93197278911565</v>
      </c>
      <c r="W61" s="40">
        <f t="shared" si="4"/>
        <v>101444</v>
      </c>
      <c r="X61" s="118"/>
    </row>
    <row r="62" spans="1:24" s="25" customFormat="1" ht="30">
      <c r="A62" s="23"/>
      <c r="B62" s="26" t="s">
        <v>55</v>
      </c>
      <c r="C62" s="26" t="s">
        <v>207</v>
      </c>
      <c r="D62" s="27" t="s">
        <v>56</v>
      </c>
      <c r="E62" s="40"/>
      <c r="F62" s="42"/>
      <c r="G62" s="42"/>
      <c r="H62" s="42"/>
      <c r="I62" s="42"/>
      <c r="J62" s="42"/>
      <c r="K62" s="69"/>
      <c r="L62" s="40">
        <f t="shared" si="8"/>
        <v>27975</v>
      </c>
      <c r="M62" s="40">
        <v>27975</v>
      </c>
      <c r="N62" s="40"/>
      <c r="O62" s="40"/>
      <c r="P62" s="40"/>
      <c r="Q62" s="40">
        <f t="shared" si="9"/>
        <v>27975</v>
      </c>
      <c r="R62" s="40">
        <v>27975</v>
      </c>
      <c r="S62" s="40"/>
      <c r="T62" s="40"/>
      <c r="U62" s="40"/>
      <c r="V62" s="83">
        <f t="shared" si="5"/>
        <v>100</v>
      </c>
      <c r="W62" s="40">
        <f t="shared" si="4"/>
        <v>27975</v>
      </c>
      <c r="X62" s="118"/>
    </row>
    <row r="63" spans="1:24" s="25" customFormat="1" ht="15">
      <c r="A63" s="23"/>
      <c r="B63" s="26" t="s">
        <v>82</v>
      </c>
      <c r="C63" s="26" t="s">
        <v>215</v>
      </c>
      <c r="D63" s="27" t="s">
        <v>83</v>
      </c>
      <c r="E63" s="40"/>
      <c r="F63" s="42"/>
      <c r="G63" s="42"/>
      <c r="H63" s="42"/>
      <c r="I63" s="42"/>
      <c r="J63" s="42"/>
      <c r="K63" s="69"/>
      <c r="L63" s="40">
        <f t="shared" si="8"/>
        <v>11650</v>
      </c>
      <c r="M63" s="40">
        <v>11650</v>
      </c>
      <c r="N63" s="40"/>
      <c r="O63" s="40"/>
      <c r="P63" s="40">
        <f>2000-2000</f>
        <v>0</v>
      </c>
      <c r="Q63" s="40">
        <f t="shared" si="9"/>
        <v>11650</v>
      </c>
      <c r="R63" s="40">
        <v>11650</v>
      </c>
      <c r="S63" s="40"/>
      <c r="T63" s="40"/>
      <c r="U63" s="40"/>
      <c r="V63" s="83">
        <f t="shared" si="5"/>
        <v>100</v>
      </c>
      <c r="W63" s="40">
        <f t="shared" si="4"/>
        <v>11650</v>
      </c>
      <c r="X63" s="118"/>
    </row>
    <row r="64" spans="1:24" s="25" customFormat="1" ht="28.5">
      <c r="A64" s="23"/>
      <c r="B64" s="30"/>
      <c r="C64" s="30"/>
      <c r="D64" s="31" t="s">
        <v>216</v>
      </c>
      <c r="E64" s="42">
        <f aca="true" t="shared" si="10" ref="E64:W64">E65+E66+E67+E68+E69+E70+E71+E72+E73+E74</f>
        <v>214054637.1</v>
      </c>
      <c r="F64" s="42">
        <f t="shared" si="10"/>
        <v>110279877</v>
      </c>
      <c r="G64" s="42">
        <f t="shared" si="10"/>
        <v>17681088</v>
      </c>
      <c r="H64" s="42">
        <f t="shared" si="10"/>
        <v>212223363.3</v>
      </c>
      <c r="I64" s="42">
        <f t="shared" si="10"/>
        <v>110241076.3</v>
      </c>
      <c r="J64" s="42">
        <f t="shared" si="10"/>
        <v>16802497.82</v>
      </c>
      <c r="K64" s="70">
        <f t="shared" si="1"/>
        <v>99.14448300452166</v>
      </c>
      <c r="L64" s="42">
        <f t="shared" si="10"/>
        <v>30998590</v>
      </c>
      <c r="M64" s="42">
        <f t="shared" si="10"/>
        <v>8477956</v>
      </c>
      <c r="N64" s="42">
        <f t="shared" si="10"/>
        <v>4365530</v>
      </c>
      <c r="O64" s="42">
        <f t="shared" si="10"/>
        <v>343282</v>
      </c>
      <c r="P64" s="42">
        <f t="shared" si="10"/>
        <v>22520634</v>
      </c>
      <c r="Q64" s="42">
        <f t="shared" si="10"/>
        <v>38543618.87</v>
      </c>
      <c r="R64" s="42">
        <f t="shared" si="10"/>
        <v>14664591.92</v>
      </c>
      <c r="S64" s="42">
        <f t="shared" si="10"/>
        <v>5380965.42</v>
      </c>
      <c r="T64" s="42">
        <f t="shared" si="10"/>
        <v>430936.51999999996</v>
      </c>
      <c r="U64" s="42">
        <f t="shared" si="10"/>
        <v>23879026.950000003</v>
      </c>
      <c r="V64" s="70">
        <f t="shared" si="5"/>
        <v>124.33990987977195</v>
      </c>
      <c r="W64" s="42">
        <f t="shared" si="10"/>
        <v>250766982.17000002</v>
      </c>
      <c r="X64" s="118"/>
    </row>
    <row r="65" spans="1:24" s="25" customFormat="1" ht="15">
      <c r="A65" s="23"/>
      <c r="B65" s="26" t="s">
        <v>11</v>
      </c>
      <c r="C65" s="26" t="s">
        <v>9</v>
      </c>
      <c r="D65" s="27" t="s">
        <v>15</v>
      </c>
      <c r="E65" s="40">
        <f>426917+2310+25674</f>
        <v>454901</v>
      </c>
      <c r="F65" s="40">
        <f>287100+19432</f>
        <v>306532</v>
      </c>
      <c r="G65" s="40">
        <v>24210</v>
      </c>
      <c r="H65" s="40">
        <v>421667.16</v>
      </c>
      <c r="I65" s="40">
        <v>290083.57</v>
      </c>
      <c r="J65" s="40">
        <v>16328.64</v>
      </c>
      <c r="K65" s="69">
        <f t="shared" si="1"/>
        <v>92.69426974220764</v>
      </c>
      <c r="L65" s="40">
        <f>M65+P65</f>
        <v>18013.489999999998</v>
      </c>
      <c r="M65" s="42"/>
      <c r="N65" s="42"/>
      <c r="O65" s="42"/>
      <c r="P65" s="63">
        <f>150000-98000-33986.51</f>
        <v>18013.489999999998</v>
      </c>
      <c r="Q65" s="40">
        <f>R65+U65</f>
        <v>0</v>
      </c>
      <c r="R65" s="63"/>
      <c r="S65" s="63"/>
      <c r="T65" s="63"/>
      <c r="U65" s="63"/>
      <c r="V65" s="83">
        <f t="shared" si="5"/>
        <v>0</v>
      </c>
      <c r="W65" s="40">
        <f t="shared" si="4"/>
        <v>421667.16</v>
      </c>
      <c r="X65" s="118"/>
    </row>
    <row r="66" spans="1:24" s="25" customFormat="1" ht="15">
      <c r="A66" s="23"/>
      <c r="B66" s="26" t="s">
        <v>84</v>
      </c>
      <c r="C66" s="26" t="s">
        <v>217</v>
      </c>
      <c r="D66" s="27" t="s">
        <v>85</v>
      </c>
      <c r="E66" s="40">
        <f>161590864+727956+200000-36070+117500-1309307+41000-4817+787300+127000+163000+45000+46000+8000+5000+95000+1000000+56405+25000+83508.1+4530970-307700+2950934-85900+247200+270000+2222570-294700</f>
        <v>173301713.1</v>
      </c>
      <c r="F66" s="40">
        <f>85931100+436694-903464+29865+3342400+1683100+2165098-124270+464950+182980+1645154+215000-215000</f>
        <v>94853607</v>
      </c>
      <c r="G66" s="40">
        <f>16444121-59710+59710-85213-601800-31911-410600-294700</f>
        <v>15019897</v>
      </c>
      <c r="H66" s="40">
        <v>172168046.22</v>
      </c>
      <c r="I66" s="40">
        <v>94853354.58</v>
      </c>
      <c r="J66" s="40">
        <v>14363846.16</v>
      </c>
      <c r="K66" s="69">
        <f t="shared" si="1"/>
        <v>99.34584208100364</v>
      </c>
      <c r="L66" s="40">
        <f aca="true" t="shared" si="11" ref="L66:L74">M66+P66</f>
        <v>23161455.51</v>
      </c>
      <c r="M66" s="40">
        <v>6001143</v>
      </c>
      <c r="N66" s="40">
        <v>3048933</v>
      </c>
      <c r="O66" s="40">
        <v>162860</v>
      </c>
      <c r="P66" s="40">
        <f>11977320+1377001+500000+800000+13500+85000+792000+760000-40000+105000+40000+15000+70000+3000+300000+300000+61000-88000+55505+33986.51</f>
        <v>17160312.51</v>
      </c>
      <c r="Q66" s="40">
        <f aca="true" t="shared" si="12" ref="Q66:Q74">R66+U66</f>
        <v>29300519.55</v>
      </c>
      <c r="R66" s="40">
        <v>10737989.04</v>
      </c>
      <c r="S66" s="40">
        <v>3586037.05</v>
      </c>
      <c r="T66" s="40">
        <v>194548.46</v>
      </c>
      <c r="U66" s="40">
        <v>18562530.51</v>
      </c>
      <c r="V66" s="83">
        <f t="shared" si="5"/>
        <v>126.50551921207823</v>
      </c>
      <c r="W66" s="40">
        <f t="shared" si="4"/>
        <v>201468565.77</v>
      </c>
      <c r="X66" s="118"/>
    </row>
    <row r="67" spans="1:24" s="25" customFormat="1" ht="15">
      <c r="A67" s="23"/>
      <c r="B67" s="32" t="s">
        <v>86</v>
      </c>
      <c r="C67" s="32" t="s">
        <v>218</v>
      </c>
      <c r="D67" s="33" t="s">
        <v>87</v>
      </c>
      <c r="E67" s="40">
        <f>16698922-147573+35000+41000-10570+514521+177400+392280+131300</f>
        <v>17832280</v>
      </c>
      <c r="F67" s="40">
        <f>9690000-100263-7755+377619+221900+287770+70800</f>
        <v>10540071</v>
      </c>
      <c r="G67" s="40">
        <f>2291757-10910-125000+35300</f>
        <v>2191147</v>
      </c>
      <c r="H67" s="40">
        <v>17629209.84</v>
      </c>
      <c r="I67" s="40">
        <v>10539554.03</v>
      </c>
      <c r="J67" s="40">
        <v>2025494.14</v>
      </c>
      <c r="K67" s="69">
        <f t="shared" si="1"/>
        <v>98.86122156000242</v>
      </c>
      <c r="L67" s="40">
        <f t="shared" si="11"/>
        <v>3757092</v>
      </c>
      <c r="M67" s="40">
        <v>16500</v>
      </c>
      <c r="N67" s="40">
        <v>8600</v>
      </c>
      <c r="O67" s="40">
        <v>1600</v>
      </c>
      <c r="P67" s="40">
        <f>500000+123022+800000+1000000+700000+50000-55505+567570+55505</f>
        <v>3740592</v>
      </c>
      <c r="Q67" s="40">
        <f t="shared" si="12"/>
        <v>3741238.5100000002</v>
      </c>
      <c r="R67" s="40">
        <v>31379.64</v>
      </c>
      <c r="S67" s="40">
        <v>6791.48</v>
      </c>
      <c r="T67" s="40"/>
      <c r="U67" s="40">
        <v>3709858.87</v>
      </c>
      <c r="V67" s="83">
        <f t="shared" si="5"/>
        <v>99.57803828067027</v>
      </c>
      <c r="W67" s="40">
        <f t="shared" si="4"/>
        <v>21370448.35</v>
      </c>
      <c r="X67" s="118"/>
    </row>
    <row r="68" spans="1:24" s="25" customFormat="1" ht="45">
      <c r="A68" s="23"/>
      <c r="B68" s="32" t="s">
        <v>282</v>
      </c>
      <c r="C68" s="32" t="s">
        <v>283</v>
      </c>
      <c r="D68" s="33" t="s">
        <v>284</v>
      </c>
      <c r="E68" s="40"/>
      <c r="F68" s="40"/>
      <c r="G68" s="40"/>
      <c r="H68" s="40"/>
      <c r="I68" s="40"/>
      <c r="J68" s="40"/>
      <c r="K68" s="69"/>
      <c r="L68" s="40">
        <f t="shared" si="11"/>
        <v>0</v>
      </c>
      <c r="M68" s="40"/>
      <c r="N68" s="40"/>
      <c r="O68" s="40"/>
      <c r="P68" s="40"/>
      <c r="Q68" s="40">
        <f t="shared" si="12"/>
        <v>209.39</v>
      </c>
      <c r="R68" s="40">
        <v>209.39</v>
      </c>
      <c r="S68" s="40"/>
      <c r="T68" s="40"/>
      <c r="U68" s="40"/>
      <c r="V68" s="83"/>
      <c r="W68" s="40">
        <f t="shared" si="4"/>
        <v>209.39</v>
      </c>
      <c r="X68" s="118"/>
    </row>
    <row r="69" spans="1:24" s="25" customFormat="1" ht="54" customHeight="1">
      <c r="A69" s="23"/>
      <c r="B69" s="52" t="s">
        <v>263</v>
      </c>
      <c r="C69" s="52" t="s">
        <v>264</v>
      </c>
      <c r="D69" s="45" t="s">
        <v>265</v>
      </c>
      <c r="E69" s="40">
        <f>1576148-15700+51203+21900+28622-17700</f>
        <v>1644473</v>
      </c>
      <c r="F69" s="40">
        <f>1050000+37900+16100+20967</f>
        <v>1124967</v>
      </c>
      <c r="G69" s="40">
        <f>106648-17700</f>
        <v>88948</v>
      </c>
      <c r="H69" s="40">
        <v>1634551.53</v>
      </c>
      <c r="I69" s="40">
        <v>1124967</v>
      </c>
      <c r="J69" s="40">
        <v>80113.23</v>
      </c>
      <c r="K69" s="69">
        <f t="shared" si="1"/>
        <v>99.39667784147262</v>
      </c>
      <c r="L69" s="40">
        <f t="shared" si="11"/>
        <v>304000</v>
      </c>
      <c r="M69" s="40">
        <v>304000</v>
      </c>
      <c r="N69" s="40">
        <v>85700</v>
      </c>
      <c r="O69" s="40">
        <v>68900</v>
      </c>
      <c r="P69" s="40"/>
      <c r="Q69" s="40">
        <f t="shared" si="12"/>
        <v>695109.93</v>
      </c>
      <c r="R69" s="40">
        <v>682107.93</v>
      </c>
      <c r="S69" s="40">
        <v>115462.32</v>
      </c>
      <c r="T69" s="40">
        <v>124101.12</v>
      </c>
      <c r="U69" s="40">
        <v>13002</v>
      </c>
      <c r="V69" s="83">
        <f t="shared" si="5"/>
        <v>228.65458223684212</v>
      </c>
      <c r="W69" s="40">
        <f t="shared" si="4"/>
        <v>2329661.46</v>
      </c>
      <c r="X69" s="118"/>
    </row>
    <row r="70" spans="1:24" s="25" customFormat="1" ht="30">
      <c r="A70" s="23"/>
      <c r="B70" s="26" t="s">
        <v>88</v>
      </c>
      <c r="C70" s="26" t="s">
        <v>219</v>
      </c>
      <c r="D70" s="27" t="s">
        <v>89</v>
      </c>
      <c r="E70" s="40">
        <f>4055895-41204-30135+136709+60400+92796</f>
        <v>4274461</v>
      </c>
      <c r="F70" s="40">
        <f>2550000-26957-22110+100300+52400+68067</f>
        <v>2721700</v>
      </c>
      <c r="G70" s="40">
        <f>335647-4466-11000</f>
        <v>320181</v>
      </c>
      <c r="H70" s="40">
        <v>4223882.56</v>
      </c>
      <c r="I70" s="40">
        <v>2700117.12</v>
      </c>
      <c r="J70" s="40">
        <v>292022.33</v>
      </c>
      <c r="K70" s="69">
        <f t="shared" si="1"/>
        <v>98.81672940752061</v>
      </c>
      <c r="L70" s="40">
        <f t="shared" si="11"/>
        <v>2535842</v>
      </c>
      <c r="M70" s="40">
        <v>2000913</v>
      </c>
      <c r="N70" s="40">
        <v>1222297</v>
      </c>
      <c r="O70" s="40">
        <v>109922</v>
      </c>
      <c r="P70" s="40">
        <f>200000+62929+86000+88000+98000</f>
        <v>534929</v>
      </c>
      <c r="Q70" s="40">
        <f t="shared" si="12"/>
        <v>3426391.76</v>
      </c>
      <c r="R70" s="40">
        <v>2907653.42</v>
      </c>
      <c r="S70" s="40">
        <v>1672674.57</v>
      </c>
      <c r="T70" s="40">
        <v>112286.94</v>
      </c>
      <c r="U70" s="40">
        <v>518738.34</v>
      </c>
      <c r="V70" s="83">
        <f t="shared" si="5"/>
        <v>135.11850343988309</v>
      </c>
      <c r="W70" s="40">
        <f t="shared" si="4"/>
        <v>7650274.319999999</v>
      </c>
      <c r="X70" s="118"/>
    </row>
    <row r="71" spans="1:24" s="25" customFormat="1" ht="30">
      <c r="A71" s="23"/>
      <c r="B71" s="26" t="s">
        <v>90</v>
      </c>
      <c r="C71" s="26" t="s">
        <v>220</v>
      </c>
      <c r="D71" s="33" t="s">
        <v>91</v>
      </c>
      <c r="E71" s="40">
        <f>8557138+36070-78064+10000+4817+212700+10000+268915+32400+84850-87700</f>
        <v>9051126</v>
      </c>
      <c r="F71" s="40"/>
      <c r="G71" s="40"/>
      <c r="H71" s="40">
        <v>8983379.45</v>
      </c>
      <c r="I71" s="40"/>
      <c r="J71" s="40"/>
      <c r="K71" s="69">
        <f t="shared" si="1"/>
        <v>99.25151246375312</v>
      </c>
      <c r="L71" s="40">
        <f t="shared" si="11"/>
        <v>1172187</v>
      </c>
      <c r="M71" s="40">
        <v>155400</v>
      </c>
      <c r="N71" s="40"/>
      <c r="O71" s="40"/>
      <c r="P71" s="40">
        <f>1250000+343860-800000+222927</f>
        <v>1016787</v>
      </c>
      <c r="Q71" s="40">
        <f t="shared" si="12"/>
        <v>1330219.73</v>
      </c>
      <c r="R71" s="40">
        <v>305242.5</v>
      </c>
      <c r="S71" s="40"/>
      <c r="T71" s="40"/>
      <c r="U71" s="40">
        <v>1024977.23</v>
      </c>
      <c r="V71" s="83">
        <f t="shared" si="5"/>
        <v>113.48187021354101</v>
      </c>
      <c r="W71" s="40">
        <f t="shared" si="4"/>
        <v>10313599.18</v>
      </c>
      <c r="X71" s="118"/>
    </row>
    <row r="72" spans="1:24" s="25" customFormat="1" ht="15">
      <c r="A72" s="23"/>
      <c r="B72" s="26" t="s">
        <v>92</v>
      </c>
      <c r="C72" s="26" t="s">
        <v>221</v>
      </c>
      <c r="D72" s="27" t="s">
        <v>93</v>
      </c>
      <c r="E72" s="40">
        <f>1552929+17583+800+60000</f>
        <v>1631312</v>
      </c>
      <c r="F72" s="40">
        <f>346900+12900+600</f>
        <v>360400</v>
      </c>
      <c r="G72" s="40">
        <v>14064</v>
      </c>
      <c r="H72" s="40">
        <v>1624276.43</v>
      </c>
      <c r="I72" s="40">
        <v>360400</v>
      </c>
      <c r="J72" s="40">
        <v>9729.94</v>
      </c>
      <c r="K72" s="69">
        <f t="shared" si="1"/>
        <v>99.56871708171091</v>
      </c>
      <c r="L72" s="40">
        <f t="shared" si="11"/>
        <v>0</v>
      </c>
      <c r="M72" s="42"/>
      <c r="N72" s="42"/>
      <c r="O72" s="42"/>
      <c r="P72" s="42"/>
      <c r="Q72" s="40">
        <f t="shared" si="12"/>
        <v>0</v>
      </c>
      <c r="R72" s="42"/>
      <c r="S72" s="42"/>
      <c r="T72" s="42"/>
      <c r="U72" s="42"/>
      <c r="V72" s="83"/>
      <c r="W72" s="40">
        <f t="shared" si="4"/>
        <v>1624276.43</v>
      </c>
      <c r="X72" s="118"/>
    </row>
    <row r="73" spans="1:24" s="25" customFormat="1" ht="75">
      <c r="A73" s="23"/>
      <c r="B73" s="32" t="s">
        <v>94</v>
      </c>
      <c r="C73" s="32" t="s">
        <v>221</v>
      </c>
      <c r="D73" s="33" t="s">
        <v>95</v>
      </c>
      <c r="E73" s="40">
        <f>579782-2310+18699+14800</f>
        <v>610971</v>
      </c>
      <c r="F73" s="40">
        <f>348000+13800+10800</f>
        <v>372600</v>
      </c>
      <c r="G73" s="40">
        <v>22641</v>
      </c>
      <c r="H73" s="40">
        <v>601300.15</v>
      </c>
      <c r="I73" s="40">
        <v>372600</v>
      </c>
      <c r="J73" s="40">
        <v>14963.38</v>
      </c>
      <c r="K73" s="69">
        <f t="shared" si="1"/>
        <v>98.41713436480619</v>
      </c>
      <c r="L73" s="40">
        <f t="shared" si="11"/>
        <v>50000</v>
      </c>
      <c r="M73" s="42"/>
      <c r="N73" s="42"/>
      <c r="O73" s="42"/>
      <c r="P73" s="40">
        <v>50000</v>
      </c>
      <c r="Q73" s="40">
        <f t="shared" si="12"/>
        <v>49930</v>
      </c>
      <c r="R73" s="40">
        <v>10</v>
      </c>
      <c r="S73" s="40"/>
      <c r="T73" s="40"/>
      <c r="U73" s="40">
        <v>49920</v>
      </c>
      <c r="V73" s="83">
        <f t="shared" si="5"/>
        <v>99.86</v>
      </c>
      <c r="W73" s="40">
        <f t="shared" si="4"/>
        <v>651230.15</v>
      </c>
      <c r="X73" s="118"/>
    </row>
    <row r="74" spans="1:24" s="25" customFormat="1" ht="45">
      <c r="A74" s="23"/>
      <c r="B74" s="32" t="s">
        <v>277</v>
      </c>
      <c r="C74" s="32" t="s">
        <v>221</v>
      </c>
      <c r="D74" s="27" t="s">
        <v>278</v>
      </c>
      <c r="E74" s="40">
        <v>5253400</v>
      </c>
      <c r="F74" s="40"/>
      <c r="G74" s="40"/>
      <c r="H74" s="40">
        <v>4937049.96</v>
      </c>
      <c r="I74" s="40"/>
      <c r="J74" s="40"/>
      <c r="K74" s="69">
        <f t="shared" si="1"/>
        <v>93.9781847946092</v>
      </c>
      <c r="L74" s="40">
        <f t="shared" si="11"/>
        <v>0</v>
      </c>
      <c r="M74" s="42"/>
      <c r="N74" s="42"/>
      <c r="O74" s="42"/>
      <c r="P74" s="42"/>
      <c r="Q74" s="40">
        <f t="shared" si="12"/>
        <v>0</v>
      </c>
      <c r="R74" s="42"/>
      <c r="S74" s="42"/>
      <c r="T74" s="42"/>
      <c r="U74" s="42"/>
      <c r="V74" s="83"/>
      <c r="W74" s="40">
        <f t="shared" si="4"/>
        <v>4937049.96</v>
      </c>
      <c r="X74" s="118"/>
    </row>
    <row r="75" spans="1:26" s="25" customFormat="1" ht="28.5">
      <c r="A75" s="23"/>
      <c r="B75" s="30"/>
      <c r="C75" s="30"/>
      <c r="D75" s="31" t="s">
        <v>222</v>
      </c>
      <c r="E75" s="42">
        <f aca="true" t="shared" si="13" ref="E75:W75">E76+E77+E78+E79+E80+E81+E85+E88+E89+E90+E91+E92+E93+E94+E95+E96+E97+E98+E99+E100+E101+E102+E103+E104+E105+E106+E107+E108+E109+E110+E111+E112+E113+E114+E115+E116+E117+E118+E119+E120+E121+E122+E123+E124</f>
        <v>482916092.89</v>
      </c>
      <c r="F75" s="42">
        <f t="shared" si="13"/>
        <v>13626466.33</v>
      </c>
      <c r="G75" s="42">
        <f t="shared" si="13"/>
        <v>649775</v>
      </c>
      <c r="H75" s="42">
        <f t="shared" si="13"/>
        <v>478972628.47</v>
      </c>
      <c r="I75" s="42">
        <f t="shared" si="13"/>
        <v>13621755.6</v>
      </c>
      <c r="J75" s="42">
        <f t="shared" si="13"/>
        <v>578349.8400000001</v>
      </c>
      <c r="K75" s="70">
        <f t="shared" si="1"/>
        <v>99.18340587980815</v>
      </c>
      <c r="L75" s="42">
        <f t="shared" si="13"/>
        <v>388768.54000000004</v>
      </c>
      <c r="M75" s="42">
        <f t="shared" si="13"/>
        <v>23700</v>
      </c>
      <c r="N75" s="42">
        <f t="shared" si="13"/>
        <v>15600</v>
      </c>
      <c r="O75" s="42">
        <f t="shared" si="13"/>
        <v>0</v>
      </c>
      <c r="P75" s="42">
        <f t="shared" si="13"/>
        <v>365068.54000000004</v>
      </c>
      <c r="Q75" s="42">
        <f t="shared" si="13"/>
        <v>650572.4899999999</v>
      </c>
      <c r="R75" s="42">
        <f t="shared" si="13"/>
        <v>293845.8</v>
      </c>
      <c r="S75" s="42">
        <f t="shared" si="13"/>
        <v>160220.32</v>
      </c>
      <c r="T75" s="42">
        <f t="shared" si="13"/>
        <v>0</v>
      </c>
      <c r="U75" s="42">
        <f t="shared" si="13"/>
        <v>356726.69</v>
      </c>
      <c r="V75" s="70">
        <f t="shared" si="5"/>
        <v>167.34185590222907</v>
      </c>
      <c r="W75" s="42">
        <f t="shared" si="13"/>
        <v>479623200.96000004</v>
      </c>
      <c r="X75" s="118"/>
      <c r="Z75" s="54"/>
    </row>
    <row r="76" spans="1:24" s="25" customFormat="1" ht="15">
      <c r="A76" s="23"/>
      <c r="B76" s="26" t="s">
        <v>11</v>
      </c>
      <c r="C76" s="26" t="s">
        <v>9</v>
      </c>
      <c r="D76" s="27" t="s">
        <v>96</v>
      </c>
      <c r="E76" s="40">
        <f>12983405-32947+40000+20706+600992+44000+5700</f>
        <v>13661856</v>
      </c>
      <c r="F76" s="40">
        <f>8940850-23662+442880-38000</f>
        <v>9322068</v>
      </c>
      <c r="G76" s="40">
        <f>364640</f>
        <v>364640</v>
      </c>
      <c r="H76" s="40">
        <v>13614492.68</v>
      </c>
      <c r="I76" s="40">
        <v>9322062.64</v>
      </c>
      <c r="J76" s="40">
        <v>324031.07</v>
      </c>
      <c r="K76" s="69">
        <f t="shared" si="1"/>
        <v>99.65331708956674</v>
      </c>
      <c r="L76" s="40">
        <f aca="true" t="shared" si="14" ref="L76:L81">M76+P76</f>
        <v>80000</v>
      </c>
      <c r="M76" s="40"/>
      <c r="N76" s="40"/>
      <c r="O76" s="40"/>
      <c r="P76" s="40">
        <v>80000</v>
      </c>
      <c r="Q76" s="40">
        <f aca="true" t="shared" si="15" ref="Q76:Q81">R76+U76</f>
        <v>281561.51</v>
      </c>
      <c r="R76" s="40">
        <v>201661.51</v>
      </c>
      <c r="S76" s="40">
        <v>148631.64</v>
      </c>
      <c r="T76" s="40"/>
      <c r="U76" s="40">
        <v>79900</v>
      </c>
      <c r="V76" s="83">
        <f t="shared" si="5"/>
        <v>351.9518875</v>
      </c>
      <c r="W76" s="40">
        <f aca="true" t="shared" si="16" ref="W76:W81">H76+Q76</f>
        <v>13896054.19</v>
      </c>
      <c r="X76" s="118"/>
    </row>
    <row r="77" spans="1:24" s="25" customFormat="1" ht="30">
      <c r="A77" s="23"/>
      <c r="B77" s="26" t="s">
        <v>97</v>
      </c>
      <c r="C77" s="26" t="s">
        <v>210</v>
      </c>
      <c r="D77" s="27" t="s">
        <v>98</v>
      </c>
      <c r="E77" s="40">
        <f>1545200+43500-150000</f>
        <v>1438700</v>
      </c>
      <c r="F77" s="42"/>
      <c r="G77" s="42"/>
      <c r="H77" s="63">
        <v>1220739.95</v>
      </c>
      <c r="I77" s="63"/>
      <c r="J77" s="63"/>
      <c r="K77" s="69">
        <f t="shared" si="1"/>
        <v>84.85020852158198</v>
      </c>
      <c r="L77" s="40">
        <f t="shared" si="14"/>
        <v>0</v>
      </c>
      <c r="M77" s="42"/>
      <c r="N77" s="42"/>
      <c r="O77" s="42"/>
      <c r="P77" s="42"/>
      <c r="Q77" s="40">
        <f t="shared" si="15"/>
        <v>0</v>
      </c>
      <c r="R77" s="42"/>
      <c r="S77" s="42"/>
      <c r="T77" s="42"/>
      <c r="U77" s="42"/>
      <c r="V77" s="83"/>
      <c r="W77" s="40">
        <f t="shared" si="16"/>
        <v>1220739.95</v>
      </c>
      <c r="X77" s="118"/>
    </row>
    <row r="78" spans="1:24" s="25" customFormat="1" ht="226.5" customHeight="1">
      <c r="A78" s="23"/>
      <c r="B78" s="26" t="s">
        <v>99</v>
      </c>
      <c r="C78" s="26" t="s">
        <v>223</v>
      </c>
      <c r="D78" s="27" t="s">
        <v>100</v>
      </c>
      <c r="E78" s="40">
        <f>34700200+20489200-18500000-2000000-5334892.4</f>
        <v>29354507.6</v>
      </c>
      <c r="F78" s="42"/>
      <c r="G78" s="42"/>
      <c r="H78" s="63">
        <v>29354507.6</v>
      </c>
      <c r="I78" s="42"/>
      <c r="J78" s="42"/>
      <c r="K78" s="69">
        <f t="shared" si="1"/>
        <v>100</v>
      </c>
      <c r="L78" s="40">
        <f t="shared" si="14"/>
        <v>0</v>
      </c>
      <c r="M78" s="42"/>
      <c r="N78" s="42"/>
      <c r="O78" s="42"/>
      <c r="P78" s="42"/>
      <c r="Q78" s="40">
        <f t="shared" si="15"/>
        <v>0</v>
      </c>
      <c r="R78" s="42"/>
      <c r="S78" s="42"/>
      <c r="T78" s="42"/>
      <c r="U78" s="42"/>
      <c r="V78" s="83"/>
      <c r="W78" s="40">
        <f t="shared" si="16"/>
        <v>29354507.6</v>
      </c>
      <c r="X78" s="118"/>
    </row>
    <row r="79" spans="1:24" s="25" customFormat="1" ht="219.75" customHeight="1">
      <c r="A79" s="23"/>
      <c r="B79" s="26" t="s">
        <v>101</v>
      </c>
      <c r="C79" s="26" t="s">
        <v>223</v>
      </c>
      <c r="D79" s="27" t="s">
        <v>102</v>
      </c>
      <c r="E79" s="40">
        <f>25194-3165.94-2723.77</f>
        <v>19304.29</v>
      </c>
      <c r="F79" s="42"/>
      <c r="G79" s="42"/>
      <c r="H79" s="63">
        <v>19304.29</v>
      </c>
      <c r="I79" s="42"/>
      <c r="J79" s="42"/>
      <c r="K79" s="69">
        <f t="shared" si="1"/>
        <v>100</v>
      </c>
      <c r="L79" s="40">
        <f t="shared" si="14"/>
        <v>0</v>
      </c>
      <c r="M79" s="42"/>
      <c r="N79" s="42"/>
      <c r="O79" s="42"/>
      <c r="P79" s="42"/>
      <c r="Q79" s="63">
        <f t="shared" si="15"/>
        <v>0</v>
      </c>
      <c r="R79" s="42"/>
      <c r="S79" s="42"/>
      <c r="T79" s="42"/>
      <c r="U79" s="42"/>
      <c r="V79" s="83"/>
      <c r="W79" s="40">
        <f t="shared" si="16"/>
        <v>19304.29</v>
      </c>
      <c r="X79" s="118"/>
    </row>
    <row r="80" spans="1:24" s="25" customFormat="1" ht="239.25" customHeight="1">
      <c r="A80" s="23"/>
      <c r="B80" s="26" t="s">
        <v>103</v>
      </c>
      <c r="C80" s="26" t="s">
        <v>223</v>
      </c>
      <c r="D80" s="27" t="s">
        <v>253</v>
      </c>
      <c r="E80" s="40">
        <f>268400+22700+33347.2</f>
        <v>324447.2</v>
      </c>
      <c r="F80" s="42"/>
      <c r="G80" s="42"/>
      <c r="H80" s="63">
        <v>237121.97</v>
      </c>
      <c r="I80" s="42"/>
      <c r="J80" s="42"/>
      <c r="K80" s="69">
        <f>H80/E80*100</f>
        <v>73.08491797740896</v>
      </c>
      <c r="L80" s="40">
        <f t="shared" si="14"/>
        <v>215528.54</v>
      </c>
      <c r="M80" s="42"/>
      <c r="N80" s="42"/>
      <c r="O80" s="42"/>
      <c r="P80" s="40">
        <f>240200-24671.46</f>
        <v>215528.54</v>
      </c>
      <c r="Q80" s="63">
        <f t="shared" si="15"/>
        <v>210916.85</v>
      </c>
      <c r="R80" s="40"/>
      <c r="S80" s="40"/>
      <c r="T80" s="40"/>
      <c r="U80" s="40">
        <v>210916.85</v>
      </c>
      <c r="V80" s="83">
        <f>Q80/L80*100</f>
        <v>97.8602880156846</v>
      </c>
      <c r="W80" s="40">
        <f t="shared" si="16"/>
        <v>448038.82</v>
      </c>
      <c r="X80" s="118"/>
    </row>
    <row r="81" spans="1:24" s="25" customFormat="1" ht="180.75" customHeight="1">
      <c r="A81" s="23"/>
      <c r="B81" s="34" t="s">
        <v>104</v>
      </c>
      <c r="C81" s="34" t="s">
        <v>223</v>
      </c>
      <c r="D81" s="115" t="s">
        <v>249</v>
      </c>
      <c r="E81" s="64">
        <f>7556300+3295400-3600000-550000-698633.11</f>
        <v>6003066.89</v>
      </c>
      <c r="F81" s="64"/>
      <c r="G81" s="64"/>
      <c r="H81" s="64">
        <v>6003066.89</v>
      </c>
      <c r="I81" s="64"/>
      <c r="J81" s="64"/>
      <c r="K81" s="71">
        <f>H81/E81*100</f>
        <v>100</v>
      </c>
      <c r="L81" s="64">
        <f t="shared" si="14"/>
        <v>0</v>
      </c>
      <c r="M81" s="64"/>
      <c r="N81" s="64"/>
      <c r="O81" s="64"/>
      <c r="P81" s="64"/>
      <c r="Q81" s="64">
        <f t="shared" si="15"/>
        <v>0</v>
      </c>
      <c r="R81" s="64"/>
      <c r="S81" s="64"/>
      <c r="T81" s="64"/>
      <c r="U81" s="64"/>
      <c r="V81" s="64"/>
      <c r="W81" s="72">
        <f t="shared" si="16"/>
        <v>6003066.89</v>
      </c>
      <c r="X81" s="118"/>
    </row>
    <row r="82" spans="1:24" s="25" customFormat="1" ht="90.75" customHeight="1">
      <c r="A82" s="23"/>
      <c r="B82" s="35"/>
      <c r="C82" s="35"/>
      <c r="D82" s="116"/>
      <c r="E82" s="65"/>
      <c r="F82" s="65"/>
      <c r="G82" s="65"/>
      <c r="H82" s="65"/>
      <c r="I82" s="65"/>
      <c r="J82" s="65"/>
      <c r="K82" s="73"/>
      <c r="L82" s="65"/>
      <c r="M82" s="65"/>
      <c r="N82" s="65"/>
      <c r="O82" s="65"/>
      <c r="P82" s="65"/>
      <c r="Q82" s="65"/>
      <c r="R82" s="65"/>
      <c r="S82" s="65"/>
      <c r="T82" s="65"/>
      <c r="U82" s="65"/>
      <c r="V82" s="65"/>
      <c r="W82" s="74"/>
      <c r="X82" s="118"/>
    </row>
    <row r="83" spans="1:24" s="25" customFormat="1" ht="153" customHeight="1">
      <c r="A83" s="23"/>
      <c r="B83" s="36"/>
      <c r="C83" s="36"/>
      <c r="D83" s="56" t="s">
        <v>250</v>
      </c>
      <c r="E83" s="65"/>
      <c r="F83" s="65"/>
      <c r="G83" s="65"/>
      <c r="H83" s="65"/>
      <c r="I83" s="65"/>
      <c r="J83" s="65"/>
      <c r="K83" s="73"/>
      <c r="L83" s="65"/>
      <c r="M83" s="65"/>
      <c r="N83" s="65"/>
      <c r="O83" s="65"/>
      <c r="P83" s="65"/>
      <c r="Q83" s="65"/>
      <c r="R83" s="65"/>
      <c r="S83" s="65"/>
      <c r="T83" s="65"/>
      <c r="U83" s="65"/>
      <c r="V83" s="65"/>
      <c r="W83" s="74"/>
      <c r="X83" s="118"/>
    </row>
    <row r="84" spans="1:24" s="25" customFormat="1" ht="256.5" customHeight="1">
      <c r="A84" s="23"/>
      <c r="B84" s="37"/>
      <c r="C84" s="37"/>
      <c r="D84" s="57" t="s">
        <v>255</v>
      </c>
      <c r="E84" s="64"/>
      <c r="F84" s="66"/>
      <c r="G84" s="66"/>
      <c r="H84" s="66"/>
      <c r="I84" s="66"/>
      <c r="J84" s="66"/>
      <c r="K84" s="75"/>
      <c r="L84" s="66"/>
      <c r="M84" s="66"/>
      <c r="N84" s="66"/>
      <c r="O84" s="66"/>
      <c r="P84" s="66"/>
      <c r="Q84" s="66"/>
      <c r="R84" s="66"/>
      <c r="S84" s="66"/>
      <c r="T84" s="66"/>
      <c r="U84" s="66"/>
      <c r="V84" s="66"/>
      <c r="W84" s="76"/>
      <c r="X84" s="118"/>
    </row>
    <row r="85" spans="1:24" s="25" customFormat="1" ht="114" customHeight="1">
      <c r="A85" s="23"/>
      <c r="B85" s="34" t="s">
        <v>105</v>
      </c>
      <c r="C85" s="34" t="s">
        <v>223</v>
      </c>
      <c r="D85" s="124" t="s">
        <v>251</v>
      </c>
      <c r="E85" s="64">
        <v>610.87</v>
      </c>
      <c r="F85" s="64"/>
      <c r="G85" s="64"/>
      <c r="H85" s="64">
        <v>610.87</v>
      </c>
      <c r="I85" s="64"/>
      <c r="J85" s="64"/>
      <c r="K85" s="77">
        <f>H85/E85*100</f>
        <v>100</v>
      </c>
      <c r="L85" s="64">
        <f>M85+P85</f>
        <v>0</v>
      </c>
      <c r="M85" s="64"/>
      <c r="N85" s="64"/>
      <c r="O85" s="64"/>
      <c r="P85" s="64"/>
      <c r="Q85" s="64">
        <f>R85+U85</f>
        <v>0</v>
      </c>
      <c r="R85" s="64"/>
      <c r="S85" s="64"/>
      <c r="T85" s="64"/>
      <c r="U85" s="64"/>
      <c r="V85" s="64"/>
      <c r="W85" s="64">
        <f>H85+Q85</f>
        <v>610.87</v>
      </c>
      <c r="X85" s="118"/>
    </row>
    <row r="86" spans="1:24" s="25" customFormat="1" ht="165" customHeight="1">
      <c r="A86" s="23"/>
      <c r="B86" s="35"/>
      <c r="C86" s="35"/>
      <c r="D86" s="125"/>
      <c r="E86" s="65"/>
      <c r="F86" s="65"/>
      <c r="G86" s="65"/>
      <c r="H86" s="65"/>
      <c r="I86" s="65"/>
      <c r="J86" s="65"/>
      <c r="K86" s="78"/>
      <c r="L86" s="65"/>
      <c r="M86" s="65"/>
      <c r="N86" s="65"/>
      <c r="O86" s="65"/>
      <c r="P86" s="65"/>
      <c r="Q86" s="65"/>
      <c r="R86" s="65"/>
      <c r="S86" s="65"/>
      <c r="T86" s="65"/>
      <c r="U86" s="65"/>
      <c r="V86" s="65"/>
      <c r="W86" s="65"/>
      <c r="X86" s="118"/>
    </row>
    <row r="87" spans="1:24" s="25" customFormat="1" ht="215.25" customHeight="1">
      <c r="A87" s="23"/>
      <c r="B87" s="37"/>
      <c r="C87" s="37"/>
      <c r="D87" s="59" t="s">
        <v>256</v>
      </c>
      <c r="E87" s="66"/>
      <c r="F87" s="66"/>
      <c r="G87" s="66"/>
      <c r="H87" s="66"/>
      <c r="I87" s="66"/>
      <c r="J87" s="66"/>
      <c r="K87" s="79"/>
      <c r="L87" s="66"/>
      <c r="M87" s="66"/>
      <c r="N87" s="66"/>
      <c r="O87" s="66"/>
      <c r="P87" s="66"/>
      <c r="Q87" s="66"/>
      <c r="R87" s="66"/>
      <c r="S87" s="66"/>
      <c r="T87" s="66"/>
      <c r="U87" s="66"/>
      <c r="V87" s="66"/>
      <c r="W87" s="66"/>
      <c r="X87" s="118"/>
    </row>
    <row r="88" spans="1:24" s="25" customFormat="1" ht="98.25" customHeight="1">
      <c r="A88" s="23"/>
      <c r="B88" s="26" t="s">
        <v>106</v>
      </c>
      <c r="C88" s="26" t="s">
        <v>224</v>
      </c>
      <c r="D88" s="27" t="s">
        <v>107</v>
      </c>
      <c r="E88" s="40">
        <f>3741700+2295900-1700000-300000-734133.27</f>
        <v>3303466.73</v>
      </c>
      <c r="F88" s="42"/>
      <c r="G88" s="42"/>
      <c r="H88" s="63">
        <v>3303466.73</v>
      </c>
      <c r="I88" s="42"/>
      <c r="J88" s="42"/>
      <c r="K88" s="69">
        <f aca="true" t="shared" si="17" ref="K88:K94">H88/E88*100</f>
        <v>100</v>
      </c>
      <c r="L88" s="67">
        <f>M88+P88</f>
        <v>0</v>
      </c>
      <c r="M88" s="42"/>
      <c r="N88" s="42"/>
      <c r="O88" s="42"/>
      <c r="P88" s="42"/>
      <c r="Q88" s="67">
        <f aca="true" t="shared" si="18" ref="Q88:Q93">R88+U88</f>
        <v>0</v>
      </c>
      <c r="R88" s="42"/>
      <c r="S88" s="42"/>
      <c r="T88" s="42"/>
      <c r="U88" s="42"/>
      <c r="V88" s="83"/>
      <c r="W88" s="40">
        <f aca="true" t="shared" si="19" ref="W88:W93">H88+Q88</f>
        <v>3303466.73</v>
      </c>
      <c r="X88" s="118"/>
    </row>
    <row r="89" spans="1:24" s="25" customFormat="1" ht="84" customHeight="1">
      <c r="A89" s="23"/>
      <c r="B89" s="26" t="s">
        <v>108</v>
      </c>
      <c r="C89" s="26" t="s">
        <v>224</v>
      </c>
      <c r="D89" s="27" t="s">
        <v>109</v>
      </c>
      <c r="E89" s="40">
        <f>52600+9500+7672.94</f>
        <v>69772.94</v>
      </c>
      <c r="F89" s="42"/>
      <c r="G89" s="42"/>
      <c r="H89" s="63">
        <v>51776.77</v>
      </c>
      <c r="I89" s="42"/>
      <c r="J89" s="42"/>
      <c r="K89" s="69">
        <f t="shared" si="17"/>
        <v>74.20752228586038</v>
      </c>
      <c r="L89" s="67">
        <f>M89+P89</f>
        <v>0</v>
      </c>
      <c r="M89" s="42"/>
      <c r="N89" s="42"/>
      <c r="O89" s="42"/>
      <c r="P89" s="42"/>
      <c r="Q89" s="67">
        <f t="shared" si="18"/>
        <v>0</v>
      </c>
      <c r="R89" s="42"/>
      <c r="S89" s="42"/>
      <c r="T89" s="42"/>
      <c r="U89" s="42"/>
      <c r="V89" s="83"/>
      <c r="W89" s="40">
        <f t="shared" si="19"/>
        <v>51776.77</v>
      </c>
      <c r="X89" s="118"/>
    </row>
    <row r="90" spans="1:24" s="25" customFormat="1" ht="203.25" customHeight="1">
      <c r="A90" s="23"/>
      <c r="B90" s="26" t="s">
        <v>110</v>
      </c>
      <c r="C90" s="26" t="s">
        <v>224</v>
      </c>
      <c r="D90" s="27" t="s">
        <v>254</v>
      </c>
      <c r="E90" s="40">
        <f>60000+50000-12000-20000-36139</f>
        <v>41861</v>
      </c>
      <c r="F90" s="42"/>
      <c r="G90" s="42"/>
      <c r="H90" s="63">
        <v>41861</v>
      </c>
      <c r="I90" s="42"/>
      <c r="J90" s="42"/>
      <c r="K90" s="69">
        <f t="shared" si="17"/>
        <v>100</v>
      </c>
      <c r="L90" s="67">
        <f>M90+P90</f>
        <v>0</v>
      </c>
      <c r="M90" s="42"/>
      <c r="N90" s="42"/>
      <c r="O90" s="42"/>
      <c r="P90" s="42"/>
      <c r="Q90" s="67">
        <f t="shared" si="18"/>
        <v>0</v>
      </c>
      <c r="R90" s="42"/>
      <c r="S90" s="42"/>
      <c r="T90" s="42"/>
      <c r="U90" s="42"/>
      <c r="V90" s="83"/>
      <c r="W90" s="40">
        <f t="shared" si="19"/>
        <v>41861</v>
      </c>
      <c r="X90" s="118"/>
    </row>
    <row r="91" spans="1:24" s="25" customFormat="1" ht="48.75" customHeight="1">
      <c r="A91" s="23"/>
      <c r="B91" s="26" t="s">
        <v>111</v>
      </c>
      <c r="C91" s="26" t="s">
        <v>224</v>
      </c>
      <c r="D91" s="27" t="s">
        <v>112</v>
      </c>
      <c r="E91" s="40">
        <f>200000+382700</f>
        <v>582700</v>
      </c>
      <c r="F91" s="40"/>
      <c r="G91" s="40"/>
      <c r="H91" s="63">
        <v>582699.34</v>
      </c>
      <c r="I91" s="40"/>
      <c r="J91" s="40"/>
      <c r="K91" s="69">
        <f t="shared" si="17"/>
        <v>99.99988673416851</v>
      </c>
      <c r="L91" s="67">
        <f aca="true" t="shared" si="20" ref="L91:L111">M91+P91</f>
        <v>0</v>
      </c>
      <c r="M91" s="40"/>
      <c r="N91" s="40"/>
      <c r="O91" s="40"/>
      <c r="P91" s="40"/>
      <c r="Q91" s="67">
        <f t="shared" si="18"/>
        <v>0</v>
      </c>
      <c r="R91" s="40"/>
      <c r="S91" s="40"/>
      <c r="T91" s="40"/>
      <c r="U91" s="40"/>
      <c r="V91" s="83"/>
      <c r="W91" s="40">
        <f t="shared" si="19"/>
        <v>582699.34</v>
      </c>
      <c r="X91" s="118"/>
    </row>
    <row r="92" spans="1:24" s="25" customFormat="1" ht="35.25" customHeight="1">
      <c r="A92" s="23"/>
      <c r="B92" s="26" t="s">
        <v>113</v>
      </c>
      <c r="C92" s="26" t="s">
        <v>224</v>
      </c>
      <c r="D92" s="27" t="s">
        <v>114</v>
      </c>
      <c r="E92" s="40">
        <f>1886000-162300+62483.91</f>
        <v>1786183.91</v>
      </c>
      <c r="F92" s="42"/>
      <c r="G92" s="42"/>
      <c r="H92" s="63">
        <v>1766855.21</v>
      </c>
      <c r="I92" s="42"/>
      <c r="J92" s="42"/>
      <c r="K92" s="69">
        <f t="shared" si="17"/>
        <v>98.91787738699314</v>
      </c>
      <c r="L92" s="67">
        <f t="shared" si="20"/>
        <v>0</v>
      </c>
      <c r="M92" s="42"/>
      <c r="N92" s="42"/>
      <c r="O92" s="42"/>
      <c r="P92" s="42"/>
      <c r="Q92" s="67">
        <f t="shared" si="18"/>
        <v>0</v>
      </c>
      <c r="R92" s="42"/>
      <c r="S92" s="42"/>
      <c r="T92" s="42"/>
      <c r="U92" s="42"/>
      <c r="V92" s="83"/>
      <c r="W92" s="40">
        <f t="shared" si="19"/>
        <v>1766855.21</v>
      </c>
      <c r="X92" s="118"/>
    </row>
    <row r="93" spans="1:24" s="25" customFormat="1" ht="129.75" customHeight="1">
      <c r="A93" s="23"/>
      <c r="B93" s="26" t="s">
        <v>115</v>
      </c>
      <c r="C93" s="26" t="s">
        <v>224</v>
      </c>
      <c r="D93" s="27" t="s">
        <v>116</v>
      </c>
      <c r="E93" s="40">
        <f>2239000+2213000-1700000-500000-438851.82</f>
        <v>1813148.18</v>
      </c>
      <c r="F93" s="42"/>
      <c r="G93" s="42"/>
      <c r="H93" s="63">
        <v>1813148.18</v>
      </c>
      <c r="I93" s="42"/>
      <c r="J93" s="42"/>
      <c r="K93" s="69">
        <f t="shared" si="17"/>
        <v>100</v>
      </c>
      <c r="L93" s="67">
        <f t="shared" si="20"/>
        <v>0</v>
      </c>
      <c r="M93" s="42"/>
      <c r="N93" s="42"/>
      <c r="O93" s="42"/>
      <c r="P93" s="42"/>
      <c r="Q93" s="67">
        <f t="shared" si="18"/>
        <v>0</v>
      </c>
      <c r="R93" s="42"/>
      <c r="S93" s="42"/>
      <c r="T93" s="42"/>
      <c r="U93" s="42"/>
      <c r="V93" s="83"/>
      <c r="W93" s="40">
        <f t="shared" si="19"/>
        <v>1813148.18</v>
      </c>
      <c r="X93" s="118"/>
    </row>
    <row r="94" spans="1:24" s="25" customFormat="1" ht="137.25" customHeight="1">
      <c r="A94" s="23"/>
      <c r="B94" s="29" t="s">
        <v>117</v>
      </c>
      <c r="C94" s="29" t="s">
        <v>224</v>
      </c>
      <c r="D94" s="27" t="s">
        <v>118</v>
      </c>
      <c r="E94" s="40">
        <f>6551+1080.49-778.23-778.23</f>
        <v>6075.030000000001</v>
      </c>
      <c r="F94" s="42"/>
      <c r="G94" s="42"/>
      <c r="H94" s="63">
        <v>6075.03</v>
      </c>
      <c r="I94" s="42"/>
      <c r="J94" s="42"/>
      <c r="K94" s="69">
        <f t="shared" si="17"/>
        <v>99.99999999999999</v>
      </c>
      <c r="L94" s="67">
        <f t="shared" si="20"/>
        <v>0</v>
      </c>
      <c r="M94" s="42"/>
      <c r="N94" s="42"/>
      <c r="O94" s="42"/>
      <c r="P94" s="42"/>
      <c r="Q94" s="67">
        <f aca="true" t="shared" si="21" ref="Q94:Q124">R94+U94</f>
        <v>0</v>
      </c>
      <c r="R94" s="42"/>
      <c r="S94" s="42"/>
      <c r="T94" s="42"/>
      <c r="U94" s="42"/>
      <c r="V94" s="83"/>
      <c r="W94" s="40">
        <f aca="true" t="shared" si="22" ref="W94:W124">H94+Q94</f>
        <v>6075.03</v>
      </c>
      <c r="X94" s="118"/>
    </row>
    <row r="95" spans="1:24" s="25" customFormat="1" ht="20.25" customHeight="1">
      <c r="A95" s="23"/>
      <c r="B95" s="26" t="s">
        <v>119</v>
      </c>
      <c r="C95" s="26" t="s">
        <v>198</v>
      </c>
      <c r="D95" s="27" t="s">
        <v>120</v>
      </c>
      <c r="E95" s="40">
        <f>2394700-90000-40000-216.02</f>
        <v>2264483.98</v>
      </c>
      <c r="F95" s="40"/>
      <c r="G95" s="40"/>
      <c r="H95" s="40">
        <v>2264483.98</v>
      </c>
      <c r="I95" s="40"/>
      <c r="J95" s="40"/>
      <c r="K95" s="69">
        <f aca="true" t="shared" si="23" ref="K95:K158">H95/E95*100</f>
        <v>100</v>
      </c>
      <c r="L95" s="67">
        <f t="shared" si="20"/>
        <v>0</v>
      </c>
      <c r="M95" s="40"/>
      <c r="N95" s="40"/>
      <c r="O95" s="40"/>
      <c r="P95" s="40"/>
      <c r="Q95" s="67">
        <f t="shared" si="21"/>
        <v>0</v>
      </c>
      <c r="R95" s="40"/>
      <c r="S95" s="40"/>
      <c r="T95" s="40"/>
      <c r="U95" s="40"/>
      <c r="V95" s="83"/>
      <c r="W95" s="40">
        <f t="shared" si="22"/>
        <v>2264483.98</v>
      </c>
      <c r="X95" s="118"/>
    </row>
    <row r="96" spans="1:24" s="25" customFormat="1" ht="30">
      <c r="A96" s="23"/>
      <c r="B96" s="26" t="s">
        <v>121</v>
      </c>
      <c r="C96" s="26" t="s">
        <v>198</v>
      </c>
      <c r="D96" s="27" t="s">
        <v>245</v>
      </c>
      <c r="E96" s="40">
        <f>1589400+600000+285000-30000-12287.93</f>
        <v>2432112.07</v>
      </c>
      <c r="F96" s="40"/>
      <c r="G96" s="40"/>
      <c r="H96" s="40">
        <v>2431207.52</v>
      </c>
      <c r="I96" s="40"/>
      <c r="J96" s="40"/>
      <c r="K96" s="69">
        <f t="shared" si="23"/>
        <v>99.9628080460947</v>
      </c>
      <c r="L96" s="67">
        <f t="shared" si="20"/>
        <v>0</v>
      </c>
      <c r="M96" s="40"/>
      <c r="N96" s="40"/>
      <c r="O96" s="40"/>
      <c r="P96" s="40"/>
      <c r="Q96" s="67">
        <f t="shared" si="21"/>
        <v>0</v>
      </c>
      <c r="R96" s="40"/>
      <c r="S96" s="40"/>
      <c r="T96" s="40"/>
      <c r="U96" s="40"/>
      <c r="V96" s="83"/>
      <c r="W96" s="40">
        <f t="shared" si="22"/>
        <v>2431207.52</v>
      </c>
      <c r="X96" s="118"/>
    </row>
    <row r="97" spans="1:24" s="25" customFormat="1" ht="15">
      <c r="A97" s="23"/>
      <c r="B97" s="26" t="s">
        <v>122</v>
      </c>
      <c r="C97" s="26" t="s">
        <v>198</v>
      </c>
      <c r="D97" s="27" t="s">
        <v>123</v>
      </c>
      <c r="E97" s="40">
        <f>126406000+16857980-1340000-340000-1530000-1500000-51.2</f>
        <v>138553928.8</v>
      </c>
      <c r="F97" s="40"/>
      <c r="G97" s="40"/>
      <c r="H97" s="40">
        <v>138553928.8</v>
      </c>
      <c r="I97" s="40"/>
      <c r="J97" s="40"/>
      <c r="K97" s="69">
        <f t="shared" si="23"/>
        <v>100</v>
      </c>
      <c r="L97" s="67">
        <f t="shared" si="20"/>
        <v>0</v>
      </c>
      <c r="M97" s="40"/>
      <c r="N97" s="40"/>
      <c r="O97" s="40"/>
      <c r="P97" s="40"/>
      <c r="Q97" s="67">
        <f t="shared" si="21"/>
        <v>0</v>
      </c>
      <c r="R97" s="40"/>
      <c r="S97" s="40"/>
      <c r="T97" s="40"/>
      <c r="U97" s="40"/>
      <c r="V97" s="83"/>
      <c r="W97" s="40">
        <f t="shared" si="22"/>
        <v>138553928.8</v>
      </c>
      <c r="X97" s="118"/>
    </row>
    <row r="98" spans="1:24" s="25" customFormat="1" ht="36.75" customHeight="1">
      <c r="A98" s="23"/>
      <c r="B98" s="26" t="s">
        <v>124</v>
      </c>
      <c r="C98" s="26" t="s">
        <v>198</v>
      </c>
      <c r="D98" s="27" t="s">
        <v>125</v>
      </c>
      <c r="E98" s="40">
        <f>5708500-300000+140000+90000+90000-24577.77</f>
        <v>5703922.23</v>
      </c>
      <c r="F98" s="40"/>
      <c r="G98" s="40"/>
      <c r="H98" s="40">
        <v>5703922.23</v>
      </c>
      <c r="I98" s="40"/>
      <c r="J98" s="40"/>
      <c r="K98" s="69">
        <f t="shared" si="23"/>
        <v>100</v>
      </c>
      <c r="L98" s="67">
        <f t="shared" si="20"/>
        <v>0</v>
      </c>
      <c r="M98" s="40"/>
      <c r="N98" s="40"/>
      <c r="O98" s="40"/>
      <c r="P98" s="40"/>
      <c r="Q98" s="67">
        <f t="shared" si="21"/>
        <v>0</v>
      </c>
      <c r="R98" s="40"/>
      <c r="S98" s="40"/>
      <c r="T98" s="40"/>
      <c r="U98" s="40"/>
      <c r="V98" s="83"/>
      <c r="W98" s="40">
        <f t="shared" si="22"/>
        <v>5703922.23</v>
      </c>
      <c r="X98" s="118"/>
    </row>
    <row r="99" spans="1:24" s="25" customFormat="1" ht="21" customHeight="1">
      <c r="A99" s="23"/>
      <c r="B99" s="26" t="s">
        <v>126</v>
      </c>
      <c r="C99" s="26" t="s">
        <v>198</v>
      </c>
      <c r="D99" s="27" t="s">
        <v>127</v>
      </c>
      <c r="E99" s="40">
        <f>18972800-300000+450000+40000+310000-7370.98</f>
        <v>19465429.02</v>
      </c>
      <c r="F99" s="40"/>
      <c r="G99" s="40"/>
      <c r="H99" s="40">
        <v>19465429.02</v>
      </c>
      <c r="I99" s="40"/>
      <c r="J99" s="40"/>
      <c r="K99" s="69">
        <f t="shared" si="23"/>
        <v>100</v>
      </c>
      <c r="L99" s="67">
        <f t="shared" si="20"/>
        <v>0</v>
      </c>
      <c r="M99" s="40"/>
      <c r="N99" s="40"/>
      <c r="O99" s="40"/>
      <c r="P99" s="40"/>
      <c r="Q99" s="67">
        <f t="shared" si="21"/>
        <v>0</v>
      </c>
      <c r="R99" s="40"/>
      <c r="S99" s="40"/>
      <c r="T99" s="40"/>
      <c r="U99" s="40"/>
      <c r="V99" s="83"/>
      <c r="W99" s="40">
        <f t="shared" si="22"/>
        <v>19465429.02</v>
      </c>
      <c r="X99" s="118"/>
    </row>
    <row r="100" spans="1:25" s="25" customFormat="1" ht="21" customHeight="1">
      <c r="A100" s="23"/>
      <c r="B100" s="26" t="s">
        <v>128</v>
      </c>
      <c r="C100" s="26" t="s">
        <v>198</v>
      </c>
      <c r="D100" s="27" t="s">
        <v>129</v>
      </c>
      <c r="E100" s="40">
        <f>2084000+110000+30000-21362.11</f>
        <v>2202637.89</v>
      </c>
      <c r="F100" s="40"/>
      <c r="G100" s="40"/>
      <c r="H100" s="40">
        <v>2202637.89</v>
      </c>
      <c r="I100" s="40"/>
      <c r="J100" s="40"/>
      <c r="K100" s="69">
        <f t="shared" si="23"/>
        <v>100</v>
      </c>
      <c r="L100" s="67">
        <f t="shared" si="20"/>
        <v>0</v>
      </c>
      <c r="M100" s="40"/>
      <c r="N100" s="40"/>
      <c r="O100" s="40"/>
      <c r="P100" s="40"/>
      <c r="Q100" s="67">
        <f t="shared" si="21"/>
        <v>0</v>
      </c>
      <c r="R100" s="40"/>
      <c r="S100" s="40"/>
      <c r="T100" s="40"/>
      <c r="U100" s="40"/>
      <c r="V100" s="83"/>
      <c r="W100" s="40">
        <f t="shared" si="22"/>
        <v>2202637.89</v>
      </c>
      <c r="X100" s="118"/>
      <c r="Y100" s="39"/>
    </row>
    <row r="101" spans="1:25" s="25" customFormat="1" ht="21" customHeight="1">
      <c r="A101" s="23"/>
      <c r="B101" s="26" t="s">
        <v>130</v>
      </c>
      <c r="C101" s="26" t="s">
        <v>198</v>
      </c>
      <c r="D101" s="27" t="s">
        <v>131</v>
      </c>
      <c r="E101" s="40">
        <f>328100-50000-17630</f>
        <v>260470</v>
      </c>
      <c r="F101" s="40"/>
      <c r="G101" s="40"/>
      <c r="H101" s="40">
        <v>260470</v>
      </c>
      <c r="I101" s="40"/>
      <c r="J101" s="40"/>
      <c r="K101" s="69">
        <f t="shared" si="23"/>
        <v>100</v>
      </c>
      <c r="L101" s="67">
        <f t="shared" si="20"/>
        <v>0</v>
      </c>
      <c r="M101" s="40"/>
      <c r="N101" s="40"/>
      <c r="O101" s="40"/>
      <c r="P101" s="40"/>
      <c r="Q101" s="67">
        <f t="shared" si="21"/>
        <v>0</v>
      </c>
      <c r="R101" s="40"/>
      <c r="S101" s="40"/>
      <c r="T101" s="40"/>
      <c r="U101" s="40"/>
      <c r="V101" s="83"/>
      <c r="W101" s="40">
        <f t="shared" si="22"/>
        <v>260470</v>
      </c>
      <c r="X101" s="118"/>
      <c r="Y101" s="39"/>
    </row>
    <row r="102" spans="1:24" s="25" customFormat="1" ht="30">
      <c r="A102" s="23"/>
      <c r="B102" s="26" t="s">
        <v>132</v>
      </c>
      <c r="C102" s="26" t="s">
        <v>198</v>
      </c>
      <c r="D102" s="27" t="s">
        <v>133</v>
      </c>
      <c r="E102" s="40">
        <f>31750600+1100000+300000+1100000-149276.48</f>
        <v>34101323.52</v>
      </c>
      <c r="F102" s="40"/>
      <c r="G102" s="40"/>
      <c r="H102" s="40">
        <v>34100779.52</v>
      </c>
      <c r="I102" s="40"/>
      <c r="J102" s="40"/>
      <c r="K102" s="69">
        <f t="shared" si="23"/>
        <v>99.99840475399824</v>
      </c>
      <c r="L102" s="67">
        <f t="shared" si="20"/>
        <v>0</v>
      </c>
      <c r="M102" s="40"/>
      <c r="N102" s="40"/>
      <c r="O102" s="40"/>
      <c r="P102" s="40"/>
      <c r="Q102" s="67">
        <f t="shared" si="21"/>
        <v>0</v>
      </c>
      <c r="R102" s="40"/>
      <c r="S102" s="40"/>
      <c r="T102" s="40"/>
      <c r="U102" s="40"/>
      <c r="V102" s="83"/>
      <c r="W102" s="40">
        <f t="shared" si="22"/>
        <v>34100779.52</v>
      </c>
      <c r="X102" s="118"/>
    </row>
    <row r="103" spans="1:24" s="25" customFormat="1" ht="45">
      <c r="A103" s="23"/>
      <c r="B103" s="26" t="s">
        <v>134</v>
      </c>
      <c r="C103" s="26" t="s">
        <v>225</v>
      </c>
      <c r="D103" s="27" t="s">
        <v>135</v>
      </c>
      <c r="E103" s="40">
        <f>48528700+89154300+25552742.57+5900000+3370000+6387800-34818435.4</f>
        <v>144075107.17</v>
      </c>
      <c r="F103" s="40"/>
      <c r="G103" s="40"/>
      <c r="H103" s="40">
        <v>144075107.17</v>
      </c>
      <c r="I103" s="40"/>
      <c r="J103" s="40"/>
      <c r="K103" s="69">
        <f t="shared" si="23"/>
        <v>100</v>
      </c>
      <c r="L103" s="67">
        <f t="shared" si="20"/>
        <v>0</v>
      </c>
      <c r="M103" s="40"/>
      <c r="N103" s="40"/>
      <c r="O103" s="40"/>
      <c r="P103" s="40"/>
      <c r="Q103" s="67">
        <f t="shared" si="21"/>
        <v>0</v>
      </c>
      <c r="R103" s="40"/>
      <c r="S103" s="40"/>
      <c r="T103" s="40"/>
      <c r="U103" s="40"/>
      <c r="V103" s="83"/>
      <c r="W103" s="40">
        <f t="shared" si="22"/>
        <v>144075107.17</v>
      </c>
      <c r="X103" s="118"/>
    </row>
    <row r="104" spans="1:24" s="25" customFormat="1" ht="60">
      <c r="A104" s="23"/>
      <c r="B104" s="26" t="s">
        <v>136</v>
      </c>
      <c r="C104" s="26" t="s">
        <v>225</v>
      </c>
      <c r="D104" s="27" t="s">
        <v>137</v>
      </c>
      <c r="E104" s="40">
        <f>55475+8479.51+4835.68+3502</f>
        <v>72292.19</v>
      </c>
      <c r="F104" s="40"/>
      <c r="G104" s="40"/>
      <c r="H104" s="40">
        <v>68879.42</v>
      </c>
      <c r="I104" s="40"/>
      <c r="J104" s="40"/>
      <c r="K104" s="69">
        <f t="shared" si="23"/>
        <v>95.27919959265309</v>
      </c>
      <c r="L104" s="67">
        <f t="shared" si="20"/>
        <v>0</v>
      </c>
      <c r="M104" s="40"/>
      <c r="N104" s="40"/>
      <c r="O104" s="40"/>
      <c r="P104" s="40"/>
      <c r="Q104" s="67">
        <f t="shared" si="21"/>
        <v>0</v>
      </c>
      <c r="R104" s="40"/>
      <c r="S104" s="40"/>
      <c r="T104" s="40"/>
      <c r="U104" s="40"/>
      <c r="V104" s="83"/>
      <c r="W104" s="40">
        <f t="shared" si="22"/>
        <v>68879.42</v>
      </c>
      <c r="X104" s="118"/>
    </row>
    <row r="105" spans="1:24" s="25" customFormat="1" ht="65.25" customHeight="1">
      <c r="A105" s="23"/>
      <c r="B105" s="26" t="s">
        <v>138</v>
      </c>
      <c r="C105" s="26" t="s">
        <v>225</v>
      </c>
      <c r="D105" s="27" t="s">
        <v>139</v>
      </c>
      <c r="E105" s="40">
        <f>472800-40742.57</f>
        <v>432057.43</v>
      </c>
      <c r="F105" s="40"/>
      <c r="G105" s="40"/>
      <c r="H105" s="40">
        <v>432057.43</v>
      </c>
      <c r="I105" s="40"/>
      <c r="J105" s="40"/>
      <c r="K105" s="69">
        <f t="shared" si="23"/>
        <v>100</v>
      </c>
      <c r="L105" s="67">
        <f t="shared" si="20"/>
        <v>0</v>
      </c>
      <c r="M105" s="40"/>
      <c r="N105" s="40"/>
      <c r="O105" s="40"/>
      <c r="P105" s="40"/>
      <c r="Q105" s="67">
        <f t="shared" si="21"/>
        <v>0</v>
      </c>
      <c r="R105" s="40"/>
      <c r="S105" s="40"/>
      <c r="T105" s="40"/>
      <c r="U105" s="40"/>
      <c r="V105" s="83"/>
      <c r="W105" s="40">
        <f t="shared" si="22"/>
        <v>432057.43</v>
      </c>
      <c r="X105" s="118"/>
    </row>
    <row r="106" spans="1:24" s="25" customFormat="1" ht="19.5" customHeight="1">
      <c r="A106" s="23"/>
      <c r="B106" s="26" t="s">
        <v>16</v>
      </c>
      <c r="C106" s="26" t="s">
        <v>197</v>
      </c>
      <c r="D106" s="27" t="s">
        <v>17</v>
      </c>
      <c r="E106" s="40">
        <f>597361+150000+50000+50000+144000+194231+472500+107890+157520+17000+100000+1000+110000+65980+5000+50000+130000+14000+20000+570000+640000+700000+1676590-590000-548+38000+30000-4500+100000+50000+21000</f>
        <v>5667024</v>
      </c>
      <c r="F106" s="40"/>
      <c r="G106" s="40"/>
      <c r="H106" s="40">
        <v>5485731.39</v>
      </c>
      <c r="I106" s="40"/>
      <c r="J106" s="40"/>
      <c r="K106" s="69">
        <f t="shared" si="23"/>
        <v>96.8009203772562</v>
      </c>
      <c r="L106" s="67">
        <f t="shared" si="20"/>
        <v>40000</v>
      </c>
      <c r="M106" s="40"/>
      <c r="N106" s="40"/>
      <c r="O106" s="40"/>
      <c r="P106" s="40">
        <v>40000</v>
      </c>
      <c r="Q106" s="67">
        <f t="shared" si="21"/>
        <v>32379.84</v>
      </c>
      <c r="R106" s="40"/>
      <c r="S106" s="40"/>
      <c r="T106" s="40"/>
      <c r="U106" s="40">
        <v>32379.84</v>
      </c>
      <c r="V106" s="83">
        <f>Q106/L106*100</f>
        <v>80.9496</v>
      </c>
      <c r="W106" s="40">
        <f t="shared" si="22"/>
        <v>5518111.2299999995</v>
      </c>
      <c r="X106" s="118"/>
    </row>
    <row r="107" spans="1:24" s="25" customFormat="1" ht="33" customHeight="1">
      <c r="A107" s="23"/>
      <c r="B107" s="26" t="s">
        <v>140</v>
      </c>
      <c r="C107" s="26" t="s">
        <v>226</v>
      </c>
      <c r="D107" s="27" t="s">
        <v>141</v>
      </c>
      <c r="E107" s="40">
        <f>6158500+850000-768.3-10.75</f>
        <v>7007720.95</v>
      </c>
      <c r="F107" s="40"/>
      <c r="G107" s="40"/>
      <c r="H107" s="40">
        <v>7007582.28</v>
      </c>
      <c r="I107" s="40"/>
      <c r="J107" s="40"/>
      <c r="K107" s="69">
        <f t="shared" si="23"/>
        <v>99.99802118262143</v>
      </c>
      <c r="L107" s="67">
        <f t="shared" si="20"/>
        <v>0</v>
      </c>
      <c r="M107" s="40"/>
      <c r="N107" s="40"/>
      <c r="O107" s="40"/>
      <c r="P107" s="40"/>
      <c r="Q107" s="67">
        <f t="shared" si="21"/>
        <v>0</v>
      </c>
      <c r="R107" s="40"/>
      <c r="S107" s="40"/>
      <c r="T107" s="40"/>
      <c r="U107" s="40"/>
      <c r="V107" s="83"/>
      <c r="W107" s="40">
        <f t="shared" si="22"/>
        <v>7007582.28</v>
      </c>
      <c r="X107" s="118"/>
    </row>
    <row r="108" spans="1:24" s="25" customFormat="1" ht="81" customHeight="1">
      <c r="A108" s="23"/>
      <c r="B108" s="26" t="s">
        <v>142</v>
      </c>
      <c r="C108" s="26" t="s">
        <v>225</v>
      </c>
      <c r="D108" s="27" t="s">
        <v>143</v>
      </c>
      <c r="E108" s="40">
        <f>10000-822.38</f>
        <v>9177.62</v>
      </c>
      <c r="F108" s="40"/>
      <c r="G108" s="40"/>
      <c r="H108" s="40">
        <v>9177.62</v>
      </c>
      <c r="I108" s="40"/>
      <c r="J108" s="40"/>
      <c r="K108" s="69">
        <f t="shared" si="23"/>
        <v>100</v>
      </c>
      <c r="L108" s="67">
        <f t="shared" si="20"/>
        <v>0</v>
      </c>
      <c r="M108" s="40"/>
      <c r="N108" s="40"/>
      <c r="O108" s="40"/>
      <c r="P108" s="40"/>
      <c r="Q108" s="67">
        <f t="shared" si="21"/>
        <v>0</v>
      </c>
      <c r="R108" s="40"/>
      <c r="S108" s="40"/>
      <c r="T108" s="40"/>
      <c r="U108" s="40"/>
      <c r="V108" s="83"/>
      <c r="W108" s="40">
        <f t="shared" si="22"/>
        <v>9177.62</v>
      </c>
      <c r="X108" s="118"/>
    </row>
    <row r="109" spans="1:24" s="25" customFormat="1" ht="30">
      <c r="A109" s="23"/>
      <c r="B109" s="26" t="s">
        <v>144</v>
      </c>
      <c r="C109" s="26" t="s">
        <v>223</v>
      </c>
      <c r="D109" s="27" t="s">
        <v>145</v>
      </c>
      <c r="E109" s="40">
        <f>170954+14641+35664+106713+9277+145419+7400-1496-73934+1712</f>
        <v>416350</v>
      </c>
      <c r="F109" s="40"/>
      <c r="G109" s="40"/>
      <c r="H109" s="40">
        <v>337358.6</v>
      </c>
      <c r="I109" s="40"/>
      <c r="J109" s="40"/>
      <c r="K109" s="69">
        <f t="shared" si="23"/>
        <v>81.02764501020775</v>
      </c>
      <c r="L109" s="67">
        <f t="shared" si="20"/>
        <v>0</v>
      </c>
      <c r="M109" s="40"/>
      <c r="N109" s="40"/>
      <c r="O109" s="40"/>
      <c r="P109" s="40"/>
      <c r="Q109" s="67">
        <f t="shared" si="21"/>
        <v>0</v>
      </c>
      <c r="R109" s="40"/>
      <c r="S109" s="40"/>
      <c r="T109" s="40"/>
      <c r="U109" s="40"/>
      <c r="V109" s="83"/>
      <c r="W109" s="40">
        <f t="shared" si="22"/>
        <v>337358.6</v>
      </c>
      <c r="X109" s="118"/>
    </row>
    <row r="110" spans="1:24" s="25" customFormat="1" ht="30">
      <c r="A110" s="23"/>
      <c r="B110" s="26" t="s">
        <v>268</v>
      </c>
      <c r="C110" s="26" t="s">
        <v>270</v>
      </c>
      <c r="D110" s="27" t="s">
        <v>269</v>
      </c>
      <c r="E110" s="40">
        <f>172000-10000-5000</f>
        <v>157000</v>
      </c>
      <c r="F110" s="40"/>
      <c r="G110" s="40"/>
      <c r="H110" s="40">
        <v>117205.31</v>
      </c>
      <c r="I110" s="40"/>
      <c r="J110" s="40"/>
      <c r="K110" s="69">
        <f t="shared" si="23"/>
        <v>74.65306369426752</v>
      </c>
      <c r="L110" s="67">
        <f t="shared" si="20"/>
        <v>0</v>
      </c>
      <c r="M110" s="40"/>
      <c r="N110" s="40"/>
      <c r="O110" s="40"/>
      <c r="P110" s="40"/>
      <c r="Q110" s="67">
        <f t="shared" si="21"/>
        <v>0</v>
      </c>
      <c r="R110" s="40"/>
      <c r="S110" s="40"/>
      <c r="T110" s="40"/>
      <c r="U110" s="40"/>
      <c r="V110" s="83"/>
      <c r="W110" s="40">
        <f t="shared" si="22"/>
        <v>117205.31</v>
      </c>
      <c r="X110" s="118"/>
    </row>
    <row r="111" spans="1:24" s="25" customFormat="1" ht="32.25" customHeight="1">
      <c r="A111" s="23"/>
      <c r="B111" s="26" t="s">
        <v>307</v>
      </c>
      <c r="C111" s="26" t="s">
        <v>308</v>
      </c>
      <c r="D111" s="27" t="s">
        <v>309</v>
      </c>
      <c r="E111" s="40">
        <v>83368.7</v>
      </c>
      <c r="F111" s="40">
        <v>61226.46</v>
      </c>
      <c r="G111" s="40"/>
      <c r="H111" s="40">
        <v>77015.18</v>
      </c>
      <c r="I111" s="40">
        <v>56535.7</v>
      </c>
      <c r="J111" s="40"/>
      <c r="K111" s="69">
        <f t="shared" si="23"/>
        <v>92.3790103480083</v>
      </c>
      <c r="L111" s="67">
        <f t="shared" si="20"/>
        <v>0</v>
      </c>
      <c r="M111" s="40"/>
      <c r="N111" s="40"/>
      <c r="O111" s="40"/>
      <c r="P111" s="40"/>
      <c r="Q111" s="67">
        <f t="shared" si="21"/>
        <v>0</v>
      </c>
      <c r="R111" s="40"/>
      <c r="S111" s="40"/>
      <c r="T111" s="40"/>
      <c r="U111" s="40"/>
      <c r="V111" s="83"/>
      <c r="W111" s="40">
        <f t="shared" si="22"/>
        <v>77015.18</v>
      </c>
      <c r="X111" s="118"/>
    </row>
    <row r="112" spans="1:24" s="25" customFormat="1" ht="38.25" customHeight="1">
      <c r="A112" s="23"/>
      <c r="B112" s="26" t="s">
        <v>146</v>
      </c>
      <c r="C112" s="26" t="s">
        <v>227</v>
      </c>
      <c r="D112" s="27" t="s">
        <v>147</v>
      </c>
      <c r="E112" s="40">
        <f>4692420+15000+19985+4000+260+12800+5800+518236</f>
        <v>5268501</v>
      </c>
      <c r="F112" s="40">
        <f>3203400+372086</f>
        <v>3575486</v>
      </c>
      <c r="G112" s="40">
        <v>150631</v>
      </c>
      <c r="H112" s="40">
        <v>5256438.97</v>
      </c>
      <c r="I112" s="40">
        <v>3575482.25</v>
      </c>
      <c r="J112" s="40">
        <v>140465.85</v>
      </c>
      <c r="K112" s="69">
        <f t="shared" si="23"/>
        <v>99.77105385383813</v>
      </c>
      <c r="L112" s="67">
        <f>M112+P112</f>
        <v>40740</v>
      </c>
      <c r="M112" s="40">
        <v>23700</v>
      </c>
      <c r="N112" s="40">
        <v>15600</v>
      </c>
      <c r="O112" s="40"/>
      <c r="P112" s="40">
        <f>5100+4740+7200</f>
        <v>17040</v>
      </c>
      <c r="Q112" s="67">
        <f t="shared" si="21"/>
        <v>99089.47</v>
      </c>
      <c r="R112" s="40">
        <v>78049.47</v>
      </c>
      <c r="S112" s="40">
        <v>11588.68</v>
      </c>
      <c r="T112" s="40"/>
      <c r="U112" s="40">
        <v>21040</v>
      </c>
      <c r="V112" s="83">
        <f aca="true" t="shared" si="24" ref="V112:V170">Q112/L112*100</f>
        <v>243.22403043691705</v>
      </c>
      <c r="W112" s="40">
        <f t="shared" si="22"/>
        <v>5355528.4399999995</v>
      </c>
      <c r="X112" s="118"/>
    </row>
    <row r="113" spans="1:24" s="25" customFormat="1" ht="90">
      <c r="A113" s="23"/>
      <c r="B113" s="26" t="s">
        <v>148</v>
      </c>
      <c r="C113" s="26" t="s">
        <v>226</v>
      </c>
      <c r="D113" s="27" t="s">
        <v>149</v>
      </c>
      <c r="E113" s="40">
        <f>1246000-29366-22282</f>
        <v>1194352</v>
      </c>
      <c r="F113" s="40"/>
      <c r="G113" s="40"/>
      <c r="H113" s="40">
        <v>1161542.56</v>
      </c>
      <c r="I113" s="40"/>
      <c r="J113" s="40"/>
      <c r="K113" s="69">
        <f t="shared" si="23"/>
        <v>97.25295055394055</v>
      </c>
      <c r="L113" s="67">
        <f aca="true" t="shared" si="25" ref="L113:L124">M113+P113</f>
        <v>0</v>
      </c>
      <c r="M113" s="40"/>
      <c r="N113" s="40"/>
      <c r="O113" s="40"/>
      <c r="P113" s="40"/>
      <c r="Q113" s="67">
        <f t="shared" si="21"/>
        <v>0</v>
      </c>
      <c r="R113" s="40"/>
      <c r="S113" s="40"/>
      <c r="T113" s="40"/>
      <c r="U113" s="40"/>
      <c r="V113" s="83"/>
      <c r="W113" s="40">
        <f t="shared" si="22"/>
        <v>1161542.56</v>
      </c>
      <c r="X113" s="118"/>
    </row>
    <row r="114" spans="1:24" s="25" customFormat="1" ht="90">
      <c r="A114" s="23"/>
      <c r="B114" s="26" t="s">
        <v>150</v>
      </c>
      <c r="C114" s="26" t="s">
        <v>225</v>
      </c>
      <c r="D114" s="27" t="s">
        <v>151</v>
      </c>
      <c r="E114" s="40">
        <f>1499598+103300</f>
        <v>1602898</v>
      </c>
      <c r="F114" s="40"/>
      <c r="G114" s="40"/>
      <c r="H114" s="40">
        <v>1415196.74</v>
      </c>
      <c r="I114" s="40"/>
      <c r="J114" s="40"/>
      <c r="K114" s="69">
        <f t="shared" si="23"/>
        <v>88.28988120267167</v>
      </c>
      <c r="L114" s="67">
        <f t="shared" si="25"/>
        <v>0</v>
      </c>
      <c r="M114" s="40"/>
      <c r="N114" s="40"/>
      <c r="O114" s="40"/>
      <c r="P114" s="40"/>
      <c r="Q114" s="67">
        <f t="shared" si="21"/>
        <v>0</v>
      </c>
      <c r="R114" s="40"/>
      <c r="S114" s="40"/>
      <c r="T114" s="40"/>
      <c r="U114" s="40"/>
      <c r="V114" s="83"/>
      <c r="W114" s="40">
        <f t="shared" si="22"/>
        <v>1415196.74</v>
      </c>
      <c r="X114" s="118"/>
    </row>
    <row r="115" spans="1:24" s="25" customFormat="1" ht="30">
      <c r="A115" s="23"/>
      <c r="B115" s="26" t="s">
        <v>152</v>
      </c>
      <c r="C115" s="26" t="s">
        <v>223</v>
      </c>
      <c r="D115" s="27" t="s">
        <v>153</v>
      </c>
      <c r="E115" s="40">
        <f>633756+70000+25718+20000</f>
        <v>749474</v>
      </c>
      <c r="F115" s="40"/>
      <c r="G115" s="40"/>
      <c r="H115" s="40">
        <v>738093.83</v>
      </c>
      <c r="I115" s="40"/>
      <c r="J115" s="40"/>
      <c r="K115" s="69">
        <f t="shared" si="23"/>
        <v>98.48157908079533</v>
      </c>
      <c r="L115" s="67">
        <f t="shared" si="25"/>
        <v>0</v>
      </c>
      <c r="M115" s="40"/>
      <c r="N115" s="40"/>
      <c r="O115" s="40"/>
      <c r="P115" s="40"/>
      <c r="Q115" s="67">
        <f t="shared" si="21"/>
        <v>0</v>
      </c>
      <c r="R115" s="40"/>
      <c r="S115" s="40"/>
      <c r="T115" s="40"/>
      <c r="U115" s="40"/>
      <c r="V115" s="83"/>
      <c r="W115" s="40">
        <f t="shared" si="22"/>
        <v>738093.83</v>
      </c>
      <c r="X115" s="118"/>
    </row>
    <row r="116" spans="1:24" s="25" customFormat="1" ht="30">
      <c r="A116" s="23"/>
      <c r="B116" s="26" t="s">
        <v>271</v>
      </c>
      <c r="C116" s="26" t="s">
        <v>197</v>
      </c>
      <c r="D116" s="27" t="s">
        <v>272</v>
      </c>
      <c r="E116" s="40">
        <v>51200</v>
      </c>
      <c r="F116" s="40"/>
      <c r="G116" s="40"/>
      <c r="H116" s="40">
        <v>51200</v>
      </c>
      <c r="I116" s="40"/>
      <c r="J116" s="40"/>
      <c r="K116" s="69">
        <f t="shared" si="23"/>
        <v>100</v>
      </c>
      <c r="L116" s="67">
        <f t="shared" si="25"/>
        <v>0</v>
      </c>
      <c r="M116" s="40"/>
      <c r="N116" s="40"/>
      <c r="O116" s="40"/>
      <c r="P116" s="40"/>
      <c r="Q116" s="67">
        <f t="shared" si="21"/>
        <v>0</v>
      </c>
      <c r="R116" s="40"/>
      <c r="S116" s="40"/>
      <c r="T116" s="40"/>
      <c r="U116" s="40"/>
      <c r="V116" s="83"/>
      <c r="W116" s="40">
        <f t="shared" si="22"/>
        <v>51200</v>
      </c>
      <c r="X116" s="118"/>
    </row>
    <row r="117" spans="1:24" s="25" customFormat="1" ht="15">
      <c r="A117" s="23"/>
      <c r="B117" s="26" t="s">
        <v>154</v>
      </c>
      <c r="C117" s="26" t="s">
        <v>197</v>
      </c>
      <c r="D117" s="27" t="s">
        <v>155</v>
      </c>
      <c r="E117" s="40">
        <f>1007540+60357</f>
        <v>1067897</v>
      </c>
      <c r="F117" s="40">
        <f>559500+44282</f>
        <v>603782</v>
      </c>
      <c r="G117" s="40">
        <v>134504</v>
      </c>
      <c r="H117" s="40">
        <v>1042506.3</v>
      </c>
      <c r="I117" s="40">
        <v>603771.14</v>
      </c>
      <c r="J117" s="40">
        <v>113852.92</v>
      </c>
      <c r="K117" s="69">
        <f t="shared" si="23"/>
        <v>97.6223643291441</v>
      </c>
      <c r="L117" s="67">
        <f t="shared" si="25"/>
        <v>12500</v>
      </c>
      <c r="M117" s="40"/>
      <c r="N117" s="40"/>
      <c r="O117" s="40"/>
      <c r="P117" s="40">
        <v>12500</v>
      </c>
      <c r="Q117" s="67">
        <f t="shared" si="21"/>
        <v>26624.82</v>
      </c>
      <c r="R117" s="40">
        <v>14134.82</v>
      </c>
      <c r="S117" s="40"/>
      <c r="T117" s="40"/>
      <c r="U117" s="40">
        <v>12490</v>
      </c>
      <c r="V117" s="83">
        <f t="shared" si="24"/>
        <v>212.99856</v>
      </c>
      <c r="W117" s="40">
        <f t="shared" si="22"/>
        <v>1069131.12</v>
      </c>
      <c r="X117" s="118"/>
    </row>
    <row r="118" spans="1:24" s="25" customFormat="1" ht="30">
      <c r="A118" s="23"/>
      <c r="B118" s="26" t="s">
        <v>156</v>
      </c>
      <c r="C118" s="26" t="s">
        <v>226</v>
      </c>
      <c r="D118" s="27" t="s">
        <v>157</v>
      </c>
      <c r="E118" s="40">
        <f>32513900+2500000+120000-42708.21</f>
        <v>35091191.79</v>
      </c>
      <c r="F118" s="40"/>
      <c r="G118" s="40"/>
      <c r="H118" s="40">
        <v>35091191.79</v>
      </c>
      <c r="I118" s="40"/>
      <c r="J118" s="40"/>
      <c r="K118" s="69">
        <f t="shared" si="23"/>
        <v>100</v>
      </c>
      <c r="L118" s="67">
        <f t="shared" si="25"/>
        <v>0</v>
      </c>
      <c r="M118" s="40"/>
      <c r="N118" s="40"/>
      <c r="O118" s="40"/>
      <c r="P118" s="40"/>
      <c r="Q118" s="67">
        <f t="shared" si="21"/>
        <v>0</v>
      </c>
      <c r="R118" s="40"/>
      <c r="S118" s="40"/>
      <c r="T118" s="40"/>
      <c r="U118" s="40"/>
      <c r="V118" s="83"/>
      <c r="W118" s="40">
        <f t="shared" si="22"/>
        <v>35091191.79</v>
      </c>
      <c r="X118" s="118"/>
    </row>
    <row r="119" spans="1:24" s="25" customFormat="1" ht="60">
      <c r="A119" s="23"/>
      <c r="B119" s="26" t="s">
        <v>273</v>
      </c>
      <c r="C119" s="26" t="s">
        <v>226</v>
      </c>
      <c r="D119" s="27" t="s">
        <v>274</v>
      </c>
      <c r="E119" s="40">
        <f>144190-202</f>
        <v>143988</v>
      </c>
      <c r="F119" s="40"/>
      <c r="G119" s="40"/>
      <c r="H119" s="40">
        <v>131315.15</v>
      </c>
      <c r="I119" s="40"/>
      <c r="J119" s="40"/>
      <c r="K119" s="69">
        <f t="shared" si="23"/>
        <v>91.19867627857877</v>
      </c>
      <c r="L119" s="67">
        <f t="shared" si="25"/>
        <v>0</v>
      </c>
      <c r="M119" s="40"/>
      <c r="N119" s="40"/>
      <c r="O119" s="40"/>
      <c r="P119" s="40"/>
      <c r="Q119" s="67">
        <f t="shared" si="21"/>
        <v>0</v>
      </c>
      <c r="R119" s="40"/>
      <c r="S119" s="40"/>
      <c r="T119" s="40"/>
      <c r="U119" s="40"/>
      <c r="V119" s="83"/>
      <c r="W119" s="40">
        <f t="shared" si="22"/>
        <v>131315.15</v>
      </c>
      <c r="X119" s="118"/>
    </row>
    <row r="120" spans="1:24" s="25" customFormat="1" ht="30">
      <c r="A120" s="23"/>
      <c r="B120" s="26" t="s">
        <v>275</v>
      </c>
      <c r="C120" s="26" t="s">
        <v>226</v>
      </c>
      <c r="D120" s="27" t="s">
        <v>276</v>
      </c>
      <c r="E120" s="40">
        <v>4312</v>
      </c>
      <c r="F120" s="40"/>
      <c r="G120" s="40"/>
      <c r="H120" s="40">
        <v>1632</v>
      </c>
      <c r="I120" s="40"/>
      <c r="J120" s="40"/>
      <c r="K120" s="69">
        <f t="shared" si="23"/>
        <v>37.84786641929499</v>
      </c>
      <c r="L120" s="67">
        <f t="shared" si="25"/>
        <v>0</v>
      </c>
      <c r="M120" s="40"/>
      <c r="N120" s="40"/>
      <c r="O120" s="40"/>
      <c r="P120" s="40"/>
      <c r="Q120" s="67">
        <f t="shared" si="21"/>
        <v>0</v>
      </c>
      <c r="R120" s="40"/>
      <c r="S120" s="40"/>
      <c r="T120" s="40"/>
      <c r="U120" s="40"/>
      <c r="V120" s="83"/>
      <c r="W120" s="40">
        <f t="shared" si="22"/>
        <v>1632</v>
      </c>
      <c r="X120" s="118"/>
    </row>
    <row r="121" spans="1:24" s="25" customFormat="1" ht="45">
      <c r="A121" s="23"/>
      <c r="B121" s="26" t="s">
        <v>158</v>
      </c>
      <c r="C121" s="26" t="s">
        <v>224</v>
      </c>
      <c r="D121" s="27" t="s">
        <v>159</v>
      </c>
      <c r="E121" s="40">
        <f>3914900+646038</f>
        <v>4560938</v>
      </c>
      <c r="F121" s="42"/>
      <c r="G121" s="42"/>
      <c r="H121" s="63">
        <v>3626943.61</v>
      </c>
      <c r="I121" s="63"/>
      <c r="J121" s="63"/>
      <c r="K121" s="69">
        <f t="shared" si="23"/>
        <v>79.52187927132532</v>
      </c>
      <c r="L121" s="67">
        <f t="shared" si="25"/>
        <v>0</v>
      </c>
      <c r="M121" s="42"/>
      <c r="N121" s="42"/>
      <c r="O121" s="42"/>
      <c r="P121" s="42"/>
      <c r="Q121" s="67">
        <f t="shared" si="21"/>
        <v>0</v>
      </c>
      <c r="R121" s="42"/>
      <c r="S121" s="42"/>
      <c r="T121" s="42"/>
      <c r="U121" s="42"/>
      <c r="V121" s="83"/>
      <c r="W121" s="40">
        <f t="shared" si="22"/>
        <v>3626943.61</v>
      </c>
      <c r="X121" s="118"/>
    </row>
    <row r="122" spans="1:24" s="25" customFormat="1" ht="45">
      <c r="A122" s="23"/>
      <c r="B122" s="26" t="s">
        <v>160</v>
      </c>
      <c r="C122" s="26" t="s">
        <v>224</v>
      </c>
      <c r="D122" s="27" t="s">
        <v>161</v>
      </c>
      <c r="E122" s="40">
        <f>1358000+178022</f>
        <v>1536022</v>
      </c>
      <c r="F122" s="42"/>
      <c r="G122" s="42"/>
      <c r="H122" s="63">
        <v>1536022</v>
      </c>
      <c r="I122" s="63"/>
      <c r="J122" s="63"/>
      <c r="K122" s="69">
        <f t="shared" si="23"/>
        <v>100</v>
      </c>
      <c r="L122" s="67">
        <f t="shared" si="25"/>
        <v>0</v>
      </c>
      <c r="M122" s="42"/>
      <c r="N122" s="42"/>
      <c r="O122" s="42"/>
      <c r="P122" s="42"/>
      <c r="Q122" s="67">
        <f t="shared" si="21"/>
        <v>0</v>
      </c>
      <c r="R122" s="42"/>
      <c r="S122" s="42"/>
      <c r="T122" s="42"/>
      <c r="U122" s="42"/>
      <c r="V122" s="83"/>
      <c r="W122" s="40">
        <f t="shared" si="22"/>
        <v>1536022</v>
      </c>
      <c r="X122" s="118"/>
    </row>
    <row r="123" spans="1:24" s="25" customFormat="1" ht="45">
      <c r="A123" s="23"/>
      <c r="B123" s="26" t="s">
        <v>162</v>
      </c>
      <c r="C123" s="26" t="s">
        <v>224</v>
      </c>
      <c r="D123" s="27" t="s">
        <v>163</v>
      </c>
      <c r="E123" s="40">
        <f>8798600+25070+1392689.3</f>
        <v>10216359.3</v>
      </c>
      <c r="F123" s="42"/>
      <c r="G123" s="42"/>
      <c r="H123" s="63">
        <v>8202373.19</v>
      </c>
      <c r="I123" s="63"/>
      <c r="J123" s="63"/>
      <c r="K123" s="69">
        <f t="shared" si="23"/>
        <v>80.28665544290322</v>
      </c>
      <c r="L123" s="67">
        <f t="shared" si="25"/>
        <v>0</v>
      </c>
      <c r="M123" s="42"/>
      <c r="N123" s="42"/>
      <c r="O123" s="42"/>
      <c r="P123" s="42"/>
      <c r="Q123" s="67">
        <f t="shared" si="21"/>
        <v>0</v>
      </c>
      <c r="R123" s="42"/>
      <c r="S123" s="42"/>
      <c r="T123" s="42"/>
      <c r="U123" s="42"/>
      <c r="V123" s="83"/>
      <c r="W123" s="40">
        <f t="shared" si="22"/>
        <v>8202373.19</v>
      </c>
      <c r="X123" s="118"/>
    </row>
    <row r="124" spans="1:24" s="25" customFormat="1" ht="20.25" customHeight="1">
      <c r="A124" s="23"/>
      <c r="B124" s="26" t="s">
        <v>59</v>
      </c>
      <c r="C124" s="26" t="s">
        <v>208</v>
      </c>
      <c r="D124" s="27" t="s">
        <v>25</v>
      </c>
      <c r="E124" s="40">
        <f>30000+2700+123085.72+79982-33545.43-83368.7</f>
        <v>118853.59000000001</v>
      </c>
      <c r="F124" s="63">
        <f>90305+58680.85-23855.52-61226.46</f>
        <v>63903.87</v>
      </c>
      <c r="G124" s="63"/>
      <c r="H124" s="63">
        <v>109472.46</v>
      </c>
      <c r="I124" s="63">
        <v>63903.87</v>
      </c>
      <c r="J124" s="63"/>
      <c r="K124" s="69">
        <f t="shared" si="23"/>
        <v>92.10698641917337</v>
      </c>
      <c r="L124" s="67">
        <f t="shared" si="25"/>
        <v>0</v>
      </c>
      <c r="M124" s="42"/>
      <c r="N124" s="42"/>
      <c r="O124" s="42"/>
      <c r="P124" s="42"/>
      <c r="Q124" s="67">
        <f t="shared" si="21"/>
        <v>0</v>
      </c>
      <c r="R124" s="42"/>
      <c r="S124" s="42"/>
      <c r="T124" s="42"/>
      <c r="U124" s="42"/>
      <c r="V124" s="83"/>
      <c r="W124" s="40">
        <f t="shared" si="22"/>
        <v>109472.46</v>
      </c>
      <c r="X124" s="118"/>
    </row>
    <row r="125" spans="1:24" s="25" customFormat="1" ht="28.5">
      <c r="A125" s="23"/>
      <c r="B125" s="30"/>
      <c r="C125" s="30"/>
      <c r="D125" s="31" t="s">
        <v>228</v>
      </c>
      <c r="E125" s="42">
        <f aca="true" t="shared" si="26" ref="E125:J125">E126+E127</f>
        <v>1054141</v>
      </c>
      <c r="F125" s="42">
        <f t="shared" si="26"/>
        <v>700812</v>
      </c>
      <c r="G125" s="42">
        <f t="shared" si="26"/>
        <v>37560</v>
      </c>
      <c r="H125" s="42">
        <f t="shared" si="26"/>
        <v>1025179.33</v>
      </c>
      <c r="I125" s="42">
        <f t="shared" si="26"/>
        <v>686846.84</v>
      </c>
      <c r="J125" s="42">
        <f t="shared" si="26"/>
        <v>24403.06</v>
      </c>
      <c r="K125" s="70">
        <f t="shared" si="23"/>
        <v>97.25258101145862</v>
      </c>
      <c r="L125" s="42">
        <f aca="true" t="shared" si="27" ref="L125:U125">L126+L127</f>
        <v>21000</v>
      </c>
      <c r="M125" s="42">
        <f t="shared" si="27"/>
        <v>0</v>
      </c>
      <c r="N125" s="42">
        <f t="shared" si="27"/>
        <v>0</v>
      </c>
      <c r="O125" s="42">
        <f t="shared" si="27"/>
        <v>0</v>
      </c>
      <c r="P125" s="42">
        <f t="shared" si="27"/>
        <v>21000</v>
      </c>
      <c r="Q125" s="42">
        <f t="shared" si="27"/>
        <v>21000</v>
      </c>
      <c r="R125" s="42">
        <f t="shared" si="27"/>
        <v>0</v>
      </c>
      <c r="S125" s="42">
        <f t="shared" si="27"/>
        <v>0</v>
      </c>
      <c r="T125" s="42">
        <f t="shared" si="27"/>
        <v>0</v>
      </c>
      <c r="U125" s="42">
        <f t="shared" si="27"/>
        <v>21000</v>
      </c>
      <c r="V125" s="70">
        <f t="shared" si="24"/>
        <v>100</v>
      </c>
      <c r="W125" s="42">
        <f>W126+W127</f>
        <v>1046179.33</v>
      </c>
      <c r="X125" s="118"/>
    </row>
    <row r="126" spans="1:24" s="25" customFormat="1" ht="21" customHeight="1">
      <c r="A126" s="23"/>
      <c r="B126" s="26" t="s">
        <v>11</v>
      </c>
      <c r="C126" s="26" t="s">
        <v>9</v>
      </c>
      <c r="D126" s="27" t="s">
        <v>96</v>
      </c>
      <c r="E126" s="40">
        <f>998122-51917+14900+48036</f>
        <v>1009141</v>
      </c>
      <c r="F126" s="40">
        <f>703000-38090+35902</f>
        <v>700812</v>
      </c>
      <c r="G126" s="40">
        <v>37560</v>
      </c>
      <c r="H126" s="40">
        <v>981992.63</v>
      </c>
      <c r="I126" s="40">
        <v>686846.84</v>
      </c>
      <c r="J126" s="40">
        <v>24403.06</v>
      </c>
      <c r="K126" s="69">
        <f t="shared" si="23"/>
        <v>97.30975453380648</v>
      </c>
      <c r="L126" s="40">
        <f>M126+P126</f>
        <v>21000</v>
      </c>
      <c r="M126" s="40"/>
      <c r="N126" s="40"/>
      <c r="O126" s="40"/>
      <c r="P126" s="40">
        <v>21000</v>
      </c>
      <c r="Q126" s="67">
        <f>R126+U126</f>
        <v>21000</v>
      </c>
      <c r="R126" s="40"/>
      <c r="S126" s="40"/>
      <c r="T126" s="40"/>
      <c r="U126" s="40">
        <v>21000</v>
      </c>
      <c r="V126" s="83">
        <f t="shared" si="24"/>
        <v>100</v>
      </c>
      <c r="W126" s="40">
        <f>H126+Q126</f>
        <v>1002992.63</v>
      </c>
      <c r="X126" s="118"/>
    </row>
    <row r="127" spans="1:24" s="25" customFormat="1" ht="21.75" customHeight="1">
      <c r="A127" s="23"/>
      <c r="B127" s="26" t="s">
        <v>164</v>
      </c>
      <c r="C127" s="26" t="s">
        <v>198</v>
      </c>
      <c r="D127" s="27" t="s">
        <v>165</v>
      </c>
      <c r="E127" s="40">
        <v>45000</v>
      </c>
      <c r="F127" s="42"/>
      <c r="G127" s="42"/>
      <c r="H127" s="63">
        <v>43186.7</v>
      </c>
      <c r="I127" s="42"/>
      <c r="J127" s="42"/>
      <c r="K127" s="69">
        <f t="shared" si="23"/>
        <v>95.97044444444444</v>
      </c>
      <c r="L127" s="40">
        <f>M127+P127</f>
        <v>0</v>
      </c>
      <c r="M127" s="42"/>
      <c r="N127" s="42"/>
      <c r="O127" s="42"/>
      <c r="P127" s="42"/>
      <c r="Q127" s="67">
        <f>R127+U127</f>
        <v>0</v>
      </c>
      <c r="R127" s="63"/>
      <c r="S127" s="42"/>
      <c r="T127" s="42"/>
      <c r="U127" s="63"/>
      <c r="V127" s="83"/>
      <c r="W127" s="40">
        <f>H127+Q127</f>
        <v>43186.7</v>
      </c>
      <c r="X127" s="118"/>
    </row>
    <row r="128" spans="1:24" s="25" customFormat="1" ht="28.5">
      <c r="A128" s="23"/>
      <c r="B128" s="30"/>
      <c r="C128" s="30"/>
      <c r="D128" s="31" t="s">
        <v>229</v>
      </c>
      <c r="E128" s="42">
        <f aca="true" t="shared" si="28" ref="E128:J128">E129+E130+E131+E132+E133</f>
        <v>28572417</v>
      </c>
      <c r="F128" s="42">
        <f t="shared" si="28"/>
        <v>18219495</v>
      </c>
      <c r="G128" s="42">
        <f t="shared" si="28"/>
        <v>1683325</v>
      </c>
      <c r="H128" s="42">
        <f t="shared" si="28"/>
        <v>28358728.73</v>
      </c>
      <c r="I128" s="42">
        <f t="shared" si="28"/>
        <v>18219410.37</v>
      </c>
      <c r="J128" s="42">
        <f t="shared" si="28"/>
        <v>1599873.28</v>
      </c>
      <c r="K128" s="70">
        <f t="shared" si="23"/>
        <v>99.25211692801487</v>
      </c>
      <c r="L128" s="42">
        <f aca="true" t="shared" si="29" ref="L128:U128">L129+L130+L131+L132+L133</f>
        <v>2145212</v>
      </c>
      <c r="M128" s="42">
        <f t="shared" si="29"/>
        <v>1308040</v>
      </c>
      <c r="N128" s="42">
        <f t="shared" si="29"/>
        <v>948676</v>
      </c>
      <c r="O128" s="42">
        <f t="shared" si="29"/>
        <v>0</v>
      </c>
      <c r="P128" s="42">
        <f t="shared" si="29"/>
        <v>837172</v>
      </c>
      <c r="Q128" s="42">
        <f t="shared" si="29"/>
        <v>2143429.9499999997</v>
      </c>
      <c r="R128" s="42">
        <f t="shared" si="29"/>
        <v>1223907.08</v>
      </c>
      <c r="S128" s="42">
        <f t="shared" si="29"/>
        <v>873280.75</v>
      </c>
      <c r="T128" s="42">
        <f t="shared" si="29"/>
        <v>0</v>
      </c>
      <c r="U128" s="42">
        <f t="shared" si="29"/>
        <v>919522.8700000001</v>
      </c>
      <c r="V128" s="70">
        <f t="shared" si="24"/>
        <v>99.91692895620572</v>
      </c>
      <c r="W128" s="42">
        <f>W129+W130+W131+W132+W133</f>
        <v>30502158.68</v>
      </c>
      <c r="X128" s="118"/>
    </row>
    <row r="129" spans="1:24" s="25" customFormat="1" ht="18" customHeight="1">
      <c r="A129" s="23"/>
      <c r="B129" s="26" t="s">
        <v>11</v>
      </c>
      <c r="C129" s="26" t="s">
        <v>9</v>
      </c>
      <c r="D129" s="27" t="s">
        <v>96</v>
      </c>
      <c r="E129" s="40">
        <f>514082-48679+6412</f>
        <v>471815</v>
      </c>
      <c r="F129" s="40">
        <f>335690-35715+4704-1481</f>
        <v>303198</v>
      </c>
      <c r="G129" s="40">
        <v>16795</v>
      </c>
      <c r="H129" s="40">
        <v>465177</v>
      </c>
      <c r="I129" s="40">
        <v>303194.41</v>
      </c>
      <c r="J129" s="40">
        <v>10962.93</v>
      </c>
      <c r="K129" s="69">
        <f t="shared" si="23"/>
        <v>98.59309263164587</v>
      </c>
      <c r="L129" s="40">
        <f>M129+P129</f>
        <v>7000</v>
      </c>
      <c r="M129" s="40"/>
      <c r="N129" s="40"/>
      <c r="O129" s="40"/>
      <c r="P129" s="40">
        <v>7000</v>
      </c>
      <c r="Q129" s="67">
        <f>R129+U129</f>
        <v>6980</v>
      </c>
      <c r="R129" s="40"/>
      <c r="S129" s="40"/>
      <c r="T129" s="40"/>
      <c r="U129" s="40">
        <v>6980</v>
      </c>
      <c r="V129" s="83">
        <f t="shared" si="24"/>
        <v>99.71428571428571</v>
      </c>
      <c r="W129" s="40">
        <f>H129+Q129</f>
        <v>472157</v>
      </c>
      <c r="X129" s="118"/>
    </row>
    <row r="130" spans="1:24" s="25" customFormat="1" ht="38.25" customHeight="1">
      <c r="A130" s="23"/>
      <c r="B130" s="26" t="s">
        <v>166</v>
      </c>
      <c r="C130" s="26" t="s">
        <v>230</v>
      </c>
      <c r="D130" s="27" t="s">
        <v>167</v>
      </c>
      <c r="E130" s="40">
        <f>1201345-20760-262200</f>
        <v>918385</v>
      </c>
      <c r="F130" s="40"/>
      <c r="G130" s="40"/>
      <c r="H130" s="40">
        <v>844625.47</v>
      </c>
      <c r="I130" s="40"/>
      <c r="J130" s="40"/>
      <c r="K130" s="69">
        <f t="shared" si="23"/>
        <v>91.96856111543633</v>
      </c>
      <c r="L130" s="40">
        <f>M130+P130</f>
        <v>0</v>
      </c>
      <c r="M130" s="42"/>
      <c r="N130" s="42"/>
      <c r="O130" s="42"/>
      <c r="P130" s="42"/>
      <c r="Q130" s="67">
        <f>R130+U130</f>
        <v>0</v>
      </c>
      <c r="R130" s="63"/>
      <c r="S130" s="63"/>
      <c r="T130" s="63"/>
      <c r="U130" s="63"/>
      <c r="V130" s="83"/>
      <c r="W130" s="40">
        <f>H130+Q130</f>
        <v>844625.47</v>
      </c>
      <c r="X130" s="118"/>
    </row>
    <row r="131" spans="1:24" s="25" customFormat="1" ht="23.25" customHeight="1">
      <c r="A131" s="23"/>
      <c r="B131" s="26" t="s">
        <v>168</v>
      </c>
      <c r="C131" s="26" t="s">
        <v>231</v>
      </c>
      <c r="D131" s="27" t="s">
        <v>169</v>
      </c>
      <c r="E131" s="40">
        <f>9706330+20000+20000+20000+20385+8000+12360+20000+131100+144334-9000+11900</f>
        <v>10105409</v>
      </c>
      <c r="F131" s="40">
        <f>5953500+154800+107000+31900</f>
        <v>6247200</v>
      </c>
      <c r="G131" s="40">
        <f>1063690-78000-9000</f>
        <v>976690</v>
      </c>
      <c r="H131" s="40">
        <v>10031909.44</v>
      </c>
      <c r="I131" s="40">
        <v>6247193.42</v>
      </c>
      <c r="J131" s="40">
        <v>912028.81</v>
      </c>
      <c r="K131" s="69">
        <f t="shared" si="23"/>
        <v>99.27267110118947</v>
      </c>
      <c r="L131" s="40">
        <f>M131+P131</f>
        <v>149176</v>
      </c>
      <c r="M131" s="40">
        <v>20000</v>
      </c>
      <c r="N131" s="40">
        <v>8000</v>
      </c>
      <c r="O131" s="42"/>
      <c r="P131" s="40">
        <f>98176+21000+10000</f>
        <v>129176</v>
      </c>
      <c r="Q131" s="67">
        <f>R131+U131</f>
        <v>228121.71</v>
      </c>
      <c r="R131" s="40">
        <v>15671.03</v>
      </c>
      <c r="S131" s="40">
        <v>3850</v>
      </c>
      <c r="T131" s="40"/>
      <c r="U131" s="40">
        <v>212450.68</v>
      </c>
      <c r="V131" s="83">
        <f t="shared" si="24"/>
        <v>152.92118705421782</v>
      </c>
      <c r="W131" s="40">
        <f>H131+Q131</f>
        <v>10260031.15</v>
      </c>
      <c r="X131" s="118"/>
    </row>
    <row r="132" spans="1:24" s="25" customFormat="1" ht="21.75" customHeight="1">
      <c r="A132" s="23"/>
      <c r="B132" s="26" t="s">
        <v>170</v>
      </c>
      <c r="C132" s="26" t="s">
        <v>213</v>
      </c>
      <c r="D132" s="27" t="s">
        <v>171</v>
      </c>
      <c r="E132" s="40">
        <f>15239900+16000+36000+36000-3000+45900+1004+8400+3000+131100+776947+9000-11900</f>
        <v>16288351</v>
      </c>
      <c r="F132" s="40">
        <f>10466180+136100+571287</f>
        <v>11173567</v>
      </c>
      <c r="G132" s="40">
        <f>707490-54000+9000</f>
        <v>662490</v>
      </c>
      <c r="H132" s="40">
        <v>16249535.83</v>
      </c>
      <c r="I132" s="40">
        <v>11173509.77</v>
      </c>
      <c r="J132" s="40">
        <v>659280.41</v>
      </c>
      <c r="K132" s="69">
        <f t="shared" si="23"/>
        <v>99.76169981847764</v>
      </c>
      <c r="L132" s="40">
        <f>M132+P132</f>
        <v>1974036</v>
      </c>
      <c r="M132" s="40">
        <v>1288040</v>
      </c>
      <c r="N132" s="40">
        <v>940676</v>
      </c>
      <c r="O132" s="40"/>
      <c r="P132" s="40">
        <f>425000+4900+7000+114100+13996+73000+48000</f>
        <v>685996</v>
      </c>
      <c r="Q132" s="67">
        <f>R132+U132</f>
        <v>1891767.21</v>
      </c>
      <c r="R132" s="40">
        <v>1208218.05</v>
      </c>
      <c r="S132" s="40">
        <v>869430.75</v>
      </c>
      <c r="T132" s="40"/>
      <c r="U132" s="40">
        <v>683549.16</v>
      </c>
      <c r="V132" s="83">
        <f t="shared" si="24"/>
        <v>95.83245746278183</v>
      </c>
      <c r="W132" s="40">
        <f>H132+Q132</f>
        <v>18141303.04</v>
      </c>
      <c r="X132" s="118"/>
    </row>
    <row r="133" spans="1:24" s="25" customFormat="1" ht="21.75" customHeight="1">
      <c r="A133" s="23"/>
      <c r="B133" s="26" t="s">
        <v>30</v>
      </c>
      <c r="C133" s="26" t="s">
        <v>200</v>
      </c>
      <c r="D133" s="27" t="s">
        <v>31</v>
      </c>
      <c r="E133" s="40">
        <f>732125+56332</f>
        <v>788457</v>
      </c>
      <c r="F133" s="40">
        <f>454850+41330-650</f>
        <v>495530</v>
      </c>
      <c r="G133" s="40">
        <v>27350</v>
      </c>
      <c r="H133" s="40">
        <v>767480.99</v>
      </c>
      <c r="I133" s="40">
        <v>495512.77</v>
      </c>
      <c r="J133" s="40">
        <v>17601.13</v>
      </c>
      <c r="K133" s="69">
        <f t="shared" si="23"/>
        <v>97.33961268655106</v>
      </c>
      <c r="L133" s="40">
        <f>M133+P133</f>
        <v>15000</v>
      </c>
      <c r="M133" s="42"/>
      <c r="N133" s="42"/>
      <c r="O133" s="42"/>
      <c r="P133" s="40">
        <v>15000</v>
      </c>
      <c r="Q133" s="67">
        <f>R133+U133</f>
        <v>16561.03</v>
      </c>
      <c r="R133" s="40">
        <v>18</v>
      </c>
      <c r="S133" s="40"/>
      <c r="T133" s="40"/>
      <c r="U133" s="40">
        <v>16543.03</v>
      </c>
      <c r="V133" s="83">
        <f t="shared" si="24"/>
        <v>110.40686666666666</v>
      </c>
      <c r="W133" s="40">
        <f>H133+Q133</f>
        <v>784042.02</v>
      </c>
      <c r="X133" s="118"/>
    </row>
    <row r="134" spans="1:24" s="25" customFormat="1" ht="28.5">
      <c r="A134" s="23"/>
      <c r="B134" s="30"/>
      <c r="C134" s="30"/>
      <c r="D134" s="31" t="s">
        <v>232</v>
      </c>
      <c r="E134" s="42">
        <f aca="true" t="shared" si="30" ref="E134:J134">E135+E136+E137+E138+E139+E140+E141+E142+E143+E144+E145+E146+E147+E148+E149+E150+E151+E152+E153+E154+E155</f>
        <v>103044377</v>
      </c>
      <c r="F134" s="42">
        <f t="shared" si="30"/>
        <v>2382925</v>
      </c>
      <c r="G134" s="42">
        <f t="shared" si="30"/>
        <v>4020714</v>
      </c>
      <c r="H134" s="42">
        <f t="shared" si="30"/>
        <v>70610535.42999999</v>
      </c>
      <c r="I134" s="42">
        <f t="shared" si="30"/>
        <v>2382905.35</v>
      </c>
      <c r="J134" s="42">
        <f t="shared" si="30"/>
        <v>3901215.6300000004</v>
      </c>
      <c r="K134" s="70">
        <f t="shared" si="23"/>
        <v>68.5243945237303</v>
      </c>
      <c r="L134" s="42">
        <f aca="true" t="shared" si="31" ref="L134:U134">L135+L136+L137+L138+L139+L140+L141+L142+L143+L144+L145+L146+L147+L148+L149+L150+L151+L152+L153+L154+L155</f>
        <v>60683081.23</v>
      </c>
      <c r="M134" s="42">
        <f t="shared" si="31"/>
        <v>1494384.1</v>
      </c>
      <c r="N134" s="42">
        <f t="shared" si="31"/>
        <v>0</v>
      </c>
      <c r="O134" s="42">
        <f t="shared" si="31"/>
        <v>0</v>
      </c>
      <c r="P134" s="42">
        <f t="shared" si="31"/>
        <v>59188697.129999995</v>
      </c>
      <c r="Q134" s="42">
        <f t="shared" si="31"/>
        <v>47151600.849999994</v>
      </c>
      <c r="R134" s="42">
        <f t="shared" si="31"/>
        <v>1032556.6000000001</v>
      </c>
      <c r="S134" s="42">
        <f t="shared" si="31"/>
        <v>0</v>
      </c>
      <c r="T134" s="42">
        <f t="shared" si="31"/>
        <v>0</v>
      </c>
      <c r="U134" s="42">
        <f t="shared" si="31"/>
        <v>46119044.24999999</v>
      </c>
      <c r="V134" s="70">
        <f t="shared" si="24"/>
        <v>77.70139533832634</v>
      </c>
      <c r="W134" s="42">
        <f>W135+W136+W137+W138+W139+W140+W141+W142+W143+W144+W145+W146+W147+W148+W149+W150+W151+W152+W153+W154+W155</f>
        <v>117762136.27999999</v>
      </c>
      <c r="X134" s="118"/>
    </row>
    <row r="135" spans="1:24" s="25" customFormat="1" ht="15">
      <c r="A135" s="23"/>
      <c r="B135" s="26" t="s">
        <v>11</v>
      </c>
      <c r="C135" s="26" t="s">
        <v>9</v>
      </c>
      <c r="D135" s="27" t="s">
        <v>96</v>
      </c>
      <c r="E135" s="40">
        <v>3526906</v>
      </c>
      <c r="F135" s="40">
        <f>2401150-109388+91163</f>
        <v>2382925</v>
      </c>
      <c r="G135" s="40">
        <v>133965</v>
      </c>
      <c r="H135" s="40">
        <v>3482270.43</v>
      </c>
      <c r="I135" s="40">
        <v>2382905.35</v>
      </c>
      <c r="J135" s="40">
        <v>95448.18</v>
      </c>
      <c r="K135" s="69">
        <f t="shared" si="23"/>
        <v>98.73442700202388</v>
      </c>
      <c r="L135" s="40">
        <f>M135+P135</f>
        <v>30000</v>
      </c>
      <c r="M135" s="40"/>
      <c r="N135" s="40"/>
      <c r="O135" s="40"/>
      <c r="P135" s="40">
        <v>30000</v>
      </c>
      <c r="Q135" s="67">
        <f>R135+U135</f>
        <v>29985</v>
      </c>
      <c r="R135" s="40"/>
      <c r="S135" s="40"/>
      <c r="T135" s="40"/>
      <c r="U135" s="40">
        <v>29985</v>
      </c>
      <c r="V135" s="83">
        <f t="shared" si="24"/>
        <v>99.95</v>
      </c>
      <c r="W135" s="40">
        <f>H135+Q135</f>
        <v>3512255.43</v>
      </c>
      <c r="X135" s="118"/>
    </row>
    <row r="136" spans="1:24" s="25" customFormat="1" ht="38.25" customHeight="1">
      <c r="A136" s="23"/>
      <c r="B136" s="26" t="s">
        <v>172</v>
      </c>
      <c r="C136" s="26" t="s">
        <v>233</v>
      </c>
      <c r="D136" s="27" t="s">
        <v>173</v>
      </c>
      <c r="E136" s="40">
        <v>420275</v>
      </c>
      <c r="F136" s="42"/>
      <c r="G136" s="42"/>
      <c r="H136" s="63">
        <v>378731.12</v>
      </c>
      <c r="I136" s="63"/>
      <c r="J136" s="63"/>
      <c r="K136" s="69">
        <f t="shared" si="23"/>
        <v>90.11507227410624</v>
      </c>
      <c r="L136" s="40">
        <f aca="true" t="shared" si="32" ref="L136:L155">M136+P136</f>
        <v>24448543.18</v>
      </c>
      <c r="M136" s="42"/>
      <c r="N136" s="42"/>
      <c r="O136" s="42"/>
      <c r="P136" s="40">
        <f>12564945+200000+422148.18+50000+258500+18400+120000-25000+28000+46000+5025+30000+2000000-75000+22000+25110+75000+75000+1221587.5+2000000+815000-25110+170000+1630000+500000+2300000-3062.5-490000+490000</f>
        <v>24448543.18</v>
      </c>
      <c r="Q136" s="67">
        <f aca="true" t="shared" si="33" ref="Q136:Q155">R136+U136</f>
        <v>18030795</v>
      </c>
      <c r="R136" s="40"/>
      <c r="S136" s="40"/>
      <c r="T136" s="40"/>
      <c r="U136" s="40">
        <v>18030795</v>
      </c>
      <c r="V136" s="83">
        <f t="shared" si="24"/>
        <v>73.74997711417831</v>
      </c>
      <c r="W136" s="40">
        <f aca="true" t="shared" si="34" ref="W136:W155">H136+Q136</f>
        <v>18409526.12</v>
      </c>
      <c r="X136" s="118"/>
    </row>
    <row r="137" spans="1:24" s="25" customFormat="1" ht="55.5" customHeight="1">
      <c r="A137" s="23"/>
      <c r="B137" s="26" t="s">
        <v>174</v>
      </c>
      <c r="C137" s="26" t="s">
        <v>233</v>
      </c>
      <c r="D137" s="27" t="s">
        <v>175</v>
      </c>
      <c r="E137" s="40"/>
      <c r="F137" s="42"/>
      <c r="G137" s="42"/>
      <c r="H137" s="42"/>
      <c r="I137" s="42"/>
      <c r="J137" s="42"/>
      <c r="K137" s="69"/>
      <c r="L137" s="40">
        <f t="shared" si="32"/>
        <v>1002820</v>
      </c>
      <c r="M137" s="40"/>
      <c r="N137" s="40"/>
      <c r="O137" s="40"/>
      <c r="P137" s="40">
        <f>1002820+46000-46000</f>
        <v>1002820</v>
      </c>
      <c r="Q137" s="67">
        <f t="shared" si="33"/>
        <v>968551.45</v>
      </c>
      <c r="R137" s="40"/>
      <c r="S137" s="40"/>
      <c r="T137" s="40"/>
      <c r="U137" s="40">
        <v>968551.45</v>
      </c>
      <c r="V137" s="83">
        <f t="shared" si="24"/>
        <v>96.58278155601204</v>
      </c>
      <c r="W137" s="40">
        <f t="shared" si="34"/>
        <v>968551.45</v>
      </c>
      <c r="X137" s="118"/>
    </row>
    <row r="138" spans="1:24" s="25" customFormat="1" ht="24.75" customHeight="1">
      <c r="A138" s="23"/>
      <c r="B138" s="26" t="s">
        <v>176</v>
      </c>
      <c r="C138" s="26" t="s">
        <v>199</v>
      </c>
      <c r="D138" s="27" t="s">
        <v>177</v>
      </c>
      <c r="E138" s="40">
        <v>2796086.39</v>
      </c>
      <c r="F138" s="42"/>
      <c r="G138" s="42"/>
      <c r="H138" s="63">
        <v>2667144.88</v>
      </c>
      <c r="I138" s="63"/>
      <c r="J138" s="63"/>
      <c r="K138" s="69">
        <f t="shared" si="23"/>
        <v>95.38850049622393</v>
      </c>
      <c r="L138" s="40">
        <f t="shared" si="32"/>
        <v>0</v>
      </c>
      <c r="M138" s="42"/>
      <c r="N138" s="42"/>
      <c r="O138" s="42"/>
      <c r="P138" s="42"/>
      <c r="Q138" s="67">
        <f t="shared" si="33"/>
        <v>0</v>
      </c>
      <c r="R138" s="42"/>
      <c r="S138" s="42"/>
      <c r="T138" s="42"/>
      <c r="U138" s="42"/>
      <c r="V138" s="83"/>
      <c r="W138" s="40">
        <f t="shared" si="34"/>
        <v>2667144.88</v>
      </c>
      <c r="X138" s="118"/>
    </row>
    <row r="139" spans="1:24" s="25" customFormat="1" ht="20.25" customHeight="1">
      <c r="A139" s="23"/>
      <c r="B139" s="26" t="s">
        <v>28</v>
      </c>
      <c r="C139" s="26" t="s">
        <v>199</v>
      </c>
      <c r="D139" s="27" t="s">
        <v>29</v>
      </c>
      <c r="E139" s="40">
        <v>20772727</v>
      </c>
      <c r="F139" s="40"/>
      <c r="G139" s="40">
        <f>3696500+119000+20249</f>
        <v>3835749</v>
      </c>
      <c r="H139" s="40">
        <v>20360965.42</v>
      </c>
      <c r="I139" s="40"/>
      <c r="J139" s="40">
        <v>3758659.77</v>
      </c>
      <c r="K139" s="69">
        <f t="shared" si="23"/>
        <v>98.01777792583518</v>
      </c>
      <c r="L139" s="40">
        <f t="shared" si="32"/>
        <v>8391092</v>
      </c>
      <c r="M139" s="40"/>
      <c r="N139" s="40"/>
      <c r="O139" s="40"/>
      <c r="P139" s="40">
        <f>11605062-606800-178000+250000-417000-112100-60600-796548-64400+164820-565945+141210-324950-144925-33000-15000-22000-25110-5690-300000-97932</f>
        <v>8391092</v>
      </c>
      <c r="Q139" s="67">
        <f t="shared" si="33"/>
        <v>6307329.88</v>
      </c>
      <c r="R139" s="40"/>
      <c r="S139" s="40"/>
      <c r="T139" s="40"/>
      <c r="U139" s="40">
        <v>6307329.88</v>
      </c>
      <c r="V139" s="83">
        <f t="shared" si="24"/>
        <v>75.16697326164461</v>
      </c>
      <c r="W139" s="40">
        <f t="shared" si="34"/>
        <v>26668295.3</v>
      </c>
      <c r="X139" s="118"/>
    </row>
    <row r="140" spans="1:24" s="25" customFormat="1" ht="44.25" customHeight="1">
      <c r="A140" s="23"/>
      <c r="B140" s="26" t="s">
        <v>319</v>
      </c>
      <c r="C140" s="26" t="s">
        <v>320</v>
      </c>
      <c r="D140" s="27" t="s">
        <v>321</v>
      </c>
      <c r="E140" s="40"/>
      <c r="F140" s="40"/>
      <c r="G140" s="40"/>
      <c r="H140" s="40"/>
      <c r="I140" s="40"/>
      <c r="J140" s="40"/>
      <c r="K140" s="69"/>
      <c r="L140" s="40">
        <f t="shared" si="32"/>
        <v>1084420</v>
      </c>
      <c r="M140" s="40"/>
      <c r="N140" s="40"/>
      <c r="O140" s="40"/>
      <c r="P140" s="40">
        <f>1000000+84420</f>
        <v>1084420</v>
      </c>
      <c r="Q140" s="67">
        <f t="shared" si="33"/>
        <v>238481.75</v>
      </c>
      <c r="R140" s="40"/>
      <c r="S140" s="40"/>
      <c r="T140" s="40"/>
      <c r="U140" s="40">
        <v>238481.75</v>
      </c>
      <c r="V140" s="83">
        <f t="shared" si="24"/>
        <v>21.991640692720534</v>
      </c>
      <c r="W140" s="40">
        <f t="shared" si="34"/>
        <v>238481.75</v>
      </c>
      <c r="X140" s="118"/>
    </row>
    <row r="141" spans="1:24" s="25" customFormat="1" ht="59.25" customHeight="1">
      <c r="A141" s="23"/>
      <c r="B141" s="26" t="s">
        <v>178</v>
      </c>
      <c r="C141" s="26" t="s">
        <v>199</v>
      </c>
      <c r="D141" s="27" t="s">
        <v>179</v>
      </c>
      <c r="E141" s="40">
        <v>2172560.8</v>
      </c>
      <c r="F141" s="42"/>
      <c r="G141" s="42"/>
      <c r="H141" s="63">
        <v>2088738.55</v>
      </c>
      <c r="I141" s="63"/>
      <c r="J141" s="63"/>
      <c r="K141" s="69">
        <f t="shared" si="23"/>
        <v>96.14177656155815</v>
      </c>
      <c r="L141" s="40">
        <f t="shared" si="32"/>
        <v>13000</v>
      </c>
      <c r="M141" s="42"/>
      <c r="N141" s="42"/>
      <c r="O141" s="42"/>
      <c r="P141" s="40">
        <v>13000</v>
      </c>
      <c r="Q141" s="67">
        <f t="shared" si="33"/>
        <v>13000</v>
      </c>
      <c r="R141" s="42"/>
      <c r="S141" s="42"/>
      <c r="T141" s="42"/>
      <c r="U141" s="63">
        <v>13000</v>
      </c>
      <c r="V141" s="83">
        <f t="shared" si="24"/>
        <v>100</v>
      </c>
      <c r="W141" s="40">
        <f t="shared" si="34"/>
        <v>2101738.55</v>
      </c>
      <c r="X141" s="118"/>
    </row>
    <row r="142" spans="1:24" s="25" customFormat="1" ht="273" customHeight="1">
      <c r="A142" s="23"/>
      <c r="B142" s="26" t="s">
        <v>299</v>
      </c>
      <c r="C142" s="26" t="s">
        <v>302</v>
      </c>
      <c r="D142" s="27" t="s">
        <v>300</v>
      </c>
      <c r="E142" s="40">
        <v>70525259</v>
      </c>
      <c r="F142" s="42"/>
      <c r="G142" s="42"/>
      <c r="H142" s="63">
        <v>39374224.22</v>
      </c>
      <c r="I142" s="63"/>
      <c r="J142" s="63"/>
      <c r="K142" s="69">
        <f t="shared" si="23"/>
        <v>55.82996046848974</v>
      </c>
      <c r="L142" s="40">
        <f t="shared" si="32"/>
        <v>14491075.870000001</v>
      </c>
      <c r="M142" s="63"/>
      <c r="N142" s="42"/>
      <c r="O142" s="42"/>
      <c r="P142" s="40">
        <f>44760750-29554974.13-714700</f>
        <v>14491075.870000001</v>
      </c>
      <c r="Q142" s="67">
        <f t="shared" si="33"/>
        <v>14491050.36</v>
      </c>
      <c r="R142" s="63"/>
      <c r="S142" s="42"/>
      <c r="T142" s="42"/>
      <c r="U142" s="63">
        <v>14491050.36</v>
      </c>
      <c r="V142" s="83">
        <f t="shared" si="24"/>
        <v>99.99982396062079</v>
      </c>
      <c r="W142" s="40">
        <f t="shared" si="34"/>
        <v>53865274.58</v>
      </c>
      <c r="X142" s="118"/>
    </row>
    <row r="143" spans="1:24" s="25" customFormat="1" ht="19.5" customHeight="1">
      <c r="A143" s="23"/>
      <c r="B143" s="26" t="s">
        <v>180</v>
      </c>
      <c r="C143" s="26" t="s">
        <v>234</v>
      </c>
      <c r="D143" s="27" t="s">
        <v>181</v>
      </c>
      <c r="E143" s="40">
        <v>11002</v>
      </c>
      <c r="F143" s="42"/>
      <c r="G143" s="42"/>
      <c r="H143" s="63">
        <v>8001.69</v>
      </c>
      <c r="I143" s="63"/>
      <c r="J143" s="63"/>
      <c r="K143" s="69">
        <f t="shared" si="23"/>
        <v>72.72941283403017</v>
      </c>
      <c r="L143" s="40">
        <f t="shared" si="32"/>
        <v>0</v>
      </c>
      <c r="M143" s="42"/>
      <c r="N143" s="42"/>
      <c r="O143" s="42"/>
      <c r="P143" s="42"/>
      <c r="Q143" s="67">
        <f t="shared" si="33"/>
        <v>0</v>
      </c>
      <c r="R143" s="42"/>
      <c r="S143" s="42"/>
      <c r="T143" s="42"/>
      <c r="U143" s="42"/>
      <c r="V143" s="83"/>
      <c r="W143" s="40">
        <f t="shared" si="34"/>
        <v>8001.69</v>
      </c>
      <c r="X143" s="118"/>
    </row>
    <row r="144" spans="1:24" s="25" customFormat="1" ht="24" customHeight="1">
      <c r="A144" s="23"/>
      <c r="B144" s="26" t="s">
        <v>182</v>
      </c>
      <c r="C144" s="26" t="s">
        <v>235</v>
      </c>
      <c r="D144" s="27" t="s">
        <v>183</v>
      </c>
      <c r="E144" s="40">
        <v>298000</v>
      </c>
      <c r="F144" s="42"/>
      <c r="G144" s="42"/>
      <c r="H144" s="63">
        <v>98000</v>
      </c>
      <c r="I144" s="42"/>
      <c r="J144" s="42"/>
      <c r="K144" s="69">
        <f t="shared" si="23"/>
        <v>32.88590604026846</v>
      </c>
      <c r="L144" s="40">
        <f t="shared" si="32"/>
        <v>0</v>
      </c>
      <c r="M144" s="42"/>
      <c r="N144" s="42"/>
      <c r="O144" s="42"/>
      <c r="P144" s="42"/>
      <c r="Q144" s="67">
        <f t="shared" si="33"/>
        <v>0</v>
      </c>
      <c r="R144" s="42"/>
      <c r="S144" s="42"/>
      <c r="T144" s="42"/>
      <c r="U144" s="42"/>
      <c r="V144" s="83"/>
      <c r="W144" s="40">
        <f t="shared" si="34"/>
        <v>98000</v>
      </c>
      <c r="X144" s="118"/>
    </row>
    <row r="145" spans="1:24" s="25" customFormat="1" ht="78" customHeight="1">
      <c r="A145" s="23"/>
      <c r="B145" s="26" t="s">
        <v>47</v>
      </c>
      <c r="C145" s="26" t="s">
        <v>204</v>
      </c>
      <c r="D145" s="27" t="s">
        <v>48</v>
      </c>
      <c r="E145" s="40"/>
      <c r="F145" s="42"/>
      <c r="G145" s="42"/>
      <c r="H145" s="42"/>
      <c r="I145" s="42"/>
      <c r="J145" s="42"/>
      <c r="K145" s="69"/>
      <c r="L145" s="40">
        <f t="shared" si="32"/>
        <v>4670355</v>
      </c>
      <c r="M145" s="42"/>
      <c r="N145" s="42"/>
      <c r="O145" s="42"/>
      <c r="P145" s="40">
        <f>2177000+100000+17300+61055+115000+2200000</f>
        <v>4670355</v>
      </c>
      <c r="Q145" s="67">
        <f t="shared" si="33"/>
        <v>3516872.43</v>
      </c>
      <c r="R145" s="40"/>
      <c r="S145" s="40"/>
      <c r="T145" s="40"/>
      <c r="U145" s="40">
        <v>3516872.43</v>
      </c>
      <c r="V145" s="83">
        <f t="shared" si="24"/>
        <v>75.3020365689546</v>
      </c>
      <c r="W145" s="40">
        <f t="shared" si="34"/>
        <v>3516872.43</v>
      </c>
      <c r="X145" s="118"/>
    </row>
    <row r="146" spans="1:24" s="25" customFormat="1" ht="30">
      <c r="A146" s="23"/>
      <c r="B146" s="26" t="s">
        <v>293</v>
      </c>
      <c r="C146" s="26" t="s">
        <v>236</v>
      </c>
      <c r="D146" s="27" t="s">
        <v>294</v>
      </c>
      <c r="E146" s="40">
        <v>220000</v>
      </c>
      <c r="F146" s="42"/>
      <c r="G146" s="42"/>
      <c r="H146" s="63">
        <v>219877.13</v>
      </c>
      <c r="I146" s="42"/>
      <c r="J146" s="42"/>
      <c r="K146" s="69">
        <f t="shared" si="23"/>
        <v>99.94415</v>
      </c>
      <c r="L146" s="40">
        <f t="shared" si="32"/>
        <v>0</v>
      </c>
      <c r="M146" s="42"/>
      <c r="N146" s="42"/>
      <c r="O146" s="42"/>
      <c r="P146" s="40"/>
      <c r="Q146" s="67">
        <f t="shared" si="33"/>
        <v>0</v>
      </c>
      <c r="R146" s="40"/>
      <c r="S146" s="40"/>
      <c r="T146" s="40"/>
      <c r="U146" s="40"/>
      <c r="V146" s="83"/>
      <c r="W146" s="40">
        <f t="shared" si="34"/>
        <v>219877.13</v>
      </c>
      <c r="X146" s="87"/>
    </row>
    <row r="147" spans="1:24" s="25" customFormat="1" ht="15">
      <c r="A147" s="23"/>
      <c r="B147" s="26" t="s">
        <v>290</v>
      </c>
      <c r="C147" s="26" t="s">
        <v>215</v>
      </c>
      <c r="D147" s="27" t="s">
        <v>83</v>
      </c>
      <c r="E147" s="40">
        <v>143925</v>
      </c>
      <c r="F147" s="42"/>
      <c r="G147" s="42"/>
      <c r="H147" s="63">
        <v>143843.97</v>
      </c>
      <c r="I147" s="42"/>
      <c r="J147" s="42"/>
      <c r="K147" s="69">
        <f t="shared" si="23"/>
        <v>99.94369984366858</v>
      </c>
      <c r="L147" s="40">
        <f t="shared" si="32"/>
        <v>0</v>
      </c>
      <c r="M147" s="42"/>
      <c r="N147" s="42"/>
      <c r="O147" s="42"/>
      <c r="P147" s="40"/>
      <c r="Q147" s="67">
        <f t="shared" si="33"/>
        <v>0</v>
      </c>
      <c r="R147" s="40"/>
      <c r="S147" s="40"/>
      <c r="T147" s="40"/>
      <c r="U147" s="40"/>
      <c r="V147" s="83"/>
      <c r="W147" s="40">
        <f t="shared" si="34"/>
        <v>143843.97</v>
      </c>
      <c r="X147" s="87"/>
    </row>
    <row r="148" spans="1:24" s="25" customFormat="1" ht="15">
      <c r="A148" s="23"/>
      <c r="B148" s="26" t="s">
        <v>291</v>
      </c>
      <c r="C148" s="26" t="s">
        <v>207</v>
      </c>
      <c r="D148" s="27" t="s">
        <v>292</v>
      </c>
      <c r="E148" s="40">
        <v>17000</v>
      </c>
      <c r="F148" s="42"/>
      <c r="G148" s="42"/>
      <c r="H148" s="63">
        <v>17000</v>
      </c>
      <c r="I148" s="42"/>
      <c r="J148" s="42"/>
      <c r="K148" s="69">
        <f t="shared" si="23"/>
        <v>100</v>
      </c>
      <c r="L148" s="40">
        <f t="shared" si="32"/>
        <v>868800</v>
      </c>
      <c r="M148" s="42"/>
      <c r="N148" s="42"/>
      <c r="O148" s="42"/>
      <c r="P148" s="40">
        <v>868800</v>
      </c>
      <c r="Q148" s="67">
        <f t="shared" si="33"/>
        <v>486322.83</v>
      </c>
      <c r="R148" s="40"/>
      <c r="S148" s="40"/>
      <c r="T148" s="40"/>
      <c r="U148" s="40">
        <v>486322.83</v>
      </c>
      <c r="V148" s="83">
        <f t="shared" si="24"/>
        <v>55.976384668508295</v>
      </c>
      <c r="W148" s="40">
        <f t="shared" si="34"/>
        <v>503322.83</v>
      </c>
      <c r="X148" s="87"/>
    </row>
    <row r="149" spans="1:24" s="25" customFormat="1" ht="36" customHeight="1">
      <c r="A149" s="23"/>
      <c r="B149" s="26" t="s">
        <v>184</v>
      </c>
      <c r="C149" s="26" t="s">
        <v>236</v>
      </c>
      <c r="D149" s="27" t="s">
        <v>185</v>
      </c>
      <c r="E149" s="40"/>
      <c r="F149" s="40"/>
      <c r="G149" s="40"/>
      <c r="H149" s="40"/>
      <c r="I149" s="40"/>
      <c r="J149" s="40"/>
      <c r="K149" s="69"/>
      <c r="L149" s="40">
        <f t="shared" si="32"/>
        <v>2277821.38</v>
      </c>
      <c r="M149" s="40">
        <f>80000+191838.81+126900</f>
        <v>398738.81</v>
      </c>
      <c r="N149" s="40"/>
      <c r="O149" s="40"/>
      <c r="P149" s="40">
        <f>868800+448555.13+975047.44+455480-868800</f>
        <v>1879082.5699999998</v>
      </c>
      <c r="Q149" s="67">
        <f t="shared" si="33"/>
        <v>929643.22</v>
      </c>
      <c r="R149" s="40">
        <v>264906.81</v>
      </c>
      <c r="S149" s="40"/>
      <c r="T149" s="40"/>
      <c r="U149" s="40">
        <v>664736.41</v>
      </c>
      <c r="V149" s="83">
        <f t="shared" si="24"/>
        <v>40.8128235235021</v>
      </c>
      <c r="W149" s="40">
        <f t="shared" si="34"/>
        <v>929643.22</v>
      </c>
      <c r="X149" s="118"/>
    </row>
    <row r="150" spans="1:24" s="25" customFormat="1" ht="19.5" customHeight="1">
      <c r="A150" s="23"/>
      <c r="B150" s="26" t="s">
        <v>186</v>
      </c>
      <c r="C150" s="26" t="s">
        <v>237</v>
      </c>
      <c r="D150" s="27" t="s">
        <v>187</v>
      </c>
      <c r="E150" s="40"/>
      <c r="F150" s="42"/>
      <c r="G150" s="42"/>
      <c r="H150" s="42"/>
      <c r="I150" s="42"/>
      <c r="J150" s="42"/>
      <c r="K150" s="69"/>
      <c r="L150" s="40">
        <f t="shared" si="32"/>
        <v>709167.62</v>
      </c>
      <c r="M150" s="40">
        <f>300000+9167.62</f>
        <v>309167.62</v>
      </c>
      <c r="N150" s="42"/>
      <c r="O150" s="42"/>
      <c r="P150" s="40">
        <v>400000</v>
      </c>
      <c r="Q150" s="67">
        <f t="shared" si="33"/>
        <v>255264.6</v>
      </c>
      <c r="R150" s="63">
        <v>255264.6</v>
      </c>
      <c r="S150" s="63"/>
      <c r="T150" s="63"/>
      <c r="U150" s="63"/>
      <c r="V150" s="83">
        <f t="shared" si="24"/>
        <v>35.99495983756281</v>
      </c>
      <c r="W150" s="40">
        <f t="shared" si="34"/>
        <v>255264.6</v>
      </c>
      <c r="X150" s="118"/>
    </row>
    <row r="151" spans="1:24" s="25" customFormat="1" ht="39.75" customHeight="1">
      <c r="A151" s="23"/>
      <c r="B151" s="26" t="s">
        <v>55</v>
      </c>
      <c r="C151" s="26" t="s">
        <v>207</v>
      </c>
      <c r="D151" s="27" t="s">
        <v>56</v>
      </c>
      <c r="E151" s="40"/>
      <c r="F151" s="42"/>
      <c r="G151" s="42"/>
      <c r="H151" s="42"/>
      <c r="I151" s="42"/>
      <c r="J151" s="42"/>
      <c r="K151" s="69"/>
      <c r="L151" s="40">
        <f t="shared" si="32"/>
        <v>182000</v>
      </c>
      <c r="M151" s="40">
        <v>182000</v>
      </c>
      <c r="N151" s="42"/>
      <c r="O151" s="42"/>
      <c r="P151" s="40"/>
      <c r="Q151" s="67">
        <f t="shared" si="33"/>
        <v>85000</v>
      </c>
      <c r="R151" s="63">
        <v>85000</v>
      </c>
      <c r="S151" s="42"/>
      <c r="T151" s="42"/>
      <c r="U151" s="42"/>
      <c r="V151" s="83">
        <f t="shared" si="24"/>
        <v>46.7032967032967</v>
      </c>
      <c r="W151" s="40">
        <f t="shared" si="34"/>
        <v>85000</v>
      </c>
      <c r="X151" s="118"/>
    </row>
    <row r="152" spans="1:24" s="25" customFormat="1" ht="15">
      <c r="A152" s="23"/>
      <c r="B152" s="26" t="s">
        <v>82</v>
      </c>
      <c r="C152" s="26" t="s">
        <v>215</v>
      </c>
      <c r="D152" s="27" t="s">
        <v>83</v>
      </c>
      <c r="E152" s="40"/>
      <c r="F152" s="40"/>
      <c r="G152" s="40"/>
      <c r="H152" s="40"/>
      <c r="I152" s="40"/>
      <c r="J152" s="40"/>
      <c r="K152" s="69"/>
      <c r="L152" s="40">
        <f t="shared" si="32"/>
        <v>328750</v>
      </c>
      <c r="M152" s="40">
        <f>9650+319100</f>
        <v>328750</v>
      </c>
      <c r="N152" s="40"/>
      <c r="O152" s="40"/>
      <c r="P152" s="40"/>
      <c r="Q152" s="67">
        <f t="shared" si="33"/>
        <v>289733.19</v>
      </c>
      <c r="R152" s="40">
        <v>289733.19</v>
      </c>
      <c r="S152" s="40"/>
      <c r="T152" s="40"/>
      <c r="U152" s="40"/>
      <c r="V152" s="83">
        <f t="shared" si="24"/>
        <v>88.13176882129278</v>
      </c>
      <c r="W152" s="40">
        <f t="shared" si="34"/>
        <v>289733.19</v>
      </c>
      <c r="X152" s="118"/>
    </row>
    <row r="153" spans="1:24" s="25" customFormat="1" ht="55.5" customHeight="1">
      <c r="A153" s="23"/>
      <c r="B153" s="26" t="s">
        <v>57</v>
      </c>
      <c r="C153" s="26" t="s">
        <v>208</v>
      </c>
      <c r="D153" s="27" t="s">
        <v>58</v>
      </c>
      <c r="E153" s="40"/>
      <c r="F153" s="40"/>
      <c r="G153" s="40"/>
      <c r="H153" s="40"/>
      <c r="I153" s="40"/>
      <c r="J153" s="40"/>
      <c r="K153" s="69"/>
      <c r="L153" s="40">
        <f t="shared" si="32"/>
        <v>370227.67000000004</v>
      </c>
      <c r="M153" s="40">
        <f>115000+160727.67</f>
        <v>275727.67000000004</v>
      </c>
      <c r="N153" s="40"/>
      <c r="O153" s="40"/>
      <c r="P153" s="40">
        <f>94500+160727.67-160727.67</f>
        <v>94500</v>
      </c>
      <c r="Q153" s="67">
        <f t="shared" si="33"/>
        <v>137652</v>
      </c>
      <c r="R153" s="40">
        <v>137652</v>
      </c>
      <c r="S153" s="40"/>
      <c r="T153" s="40"/>
      <c r="U153" s="40"/>
      <c r="V153" s="83">
        <f t="shared" si="24"/>
        <v>37.18036526011143</v>
      </c>
      <c r="W153" s="40">
        <f t="shared" si="34"/>
        <v>137652</v>
      </c>
      <c r="X153" s="118"/>
    </row>
    <row r="154" spans="1:24" s="25" customFormat="1" ht="15">
      <c r="A154" s="23"/>
      <c r="B154" s="26" t="s">
        <v>194</v>
      </c>
      <c r="C154" s="26" t="s">
        <v>243</v>
      </c>
      <c r="D154" s="38" t="s">
        <v>195</v>
      </c>
      <c r="E154" s="40">
        <v>577161.81</v>
      </c>
      <c r="F154" s="40"/>
      <c r="G154" s="40"/>
      <c r="H154" s="63">
        <v>545573.22</v>
      </c>
      <c r="I154" s="63"/>
      <c r="J154" s="63"/>
      <c r="K154" s="69">
        <f t="shared" si="23"/>
        <v>94.52690918687082</v>
      </c>
      <c r="L154" s="40">
        <f t="shared" si="32"/>
        <v>1815008.51</v>
      </c>
      <c r="M154" s="40"/>
      <c r="N154" s="40"/>
      <c r="O154" s="40"/>
      <c r="P154" s="40">
        <v>1815008.51</v>
      </c>
      <c r="Q154" s="67">
        <f t="shared" si="33"/>
        <v>1371919.14</v>
      </c>
      <c r="R154" s="40"/>
      <c r="S154" s="40"/>
      <c r="T154" s="40"/>
      <c r="U154" s="40">
        <v>1371919.14</v>
      </c>
      <c r="V154" s="83">
        <f t="shared" si="24"/>
        <v>75.58747699755963</v>
      </c>
      <c r="W154" s="40">
        <f t="shared" si="34"/>
        <v>1917492.3599999999</v>
      </c>
      <c r="X154" s="118"/>
    </row>
    <row r="155" spans="1:24" s="25" customFormat="1" ht="15">
      <c r="A155" s="23"/>
      <c r="B155" s="26" t="s">
        <v>59</v>
      </c>
      <c r="C155" s="26" t="s">
        <v>208</v>
      </c>
      <c r="D155" s="27" t="s">
        <v>25</v>
      </c>
      <c r="E155" s="40">
        <v>1563474</v>
      </c>
      <c r="F155" s="42"/>
      <c r="G155" s="63">
        <v>51000</v>
      </c>
      <c r="H155" s="63">
        <v>1226164.8</v>
      </c>
      <c r="I155" s="63"/>
      <c r="J155" s="63">
        <v>47107.68</v>
      </c>
      <c r="K155" s="69">
        <f t="shared" si="23"/>
        <v>78.42565978071909</v>
      </c>
      <c r="L155" s="40">
        <f t="shared" si="32"/>
        <v>0</v>
      </c>
      <c r="M155" s="42"/>
      <c r="N155" s="42"/>
      <c r="O155" s="42"/>
      <c r="P155" s="42"/>
      <c r="Q155" s="67">
        <f t="shared" si="33"/>
        <v>0</v>
      </c>
      <c r="R155" s="42"/>
      <c r="S155" s="42"/>
      <c r="T155" s="42"/>
      <c r="U155" s="42"/>
      <c r="V155" s="83"/>
      <c r="W155" s="40">
        <f t="shared" si="34"/>
        <v>1226164.8</v>
      </c>
      <c r="X155" s="118"/>
    </row>
    <row r="156" spans="1:24" s="25" customFormat="1" ht="28.5">
      <c r="A156" s="23"/>
      <c r="B156" s="30"/>
      <c r="C156" s="30"/>
      <c r="D156" s="31" t="s">
        <v>238</v>
      </c>
      <c r="E156" s="42">
        <f aca="true" t="shared" si="35" ref="E156:W156">E157+E158+E159</f>
        <v>3066276.6700000004</v>
      </c>
      <c r="F156" s="42">
        <f t="shared" si="35"/>
        <v>1651074.96</v>
      </c>
      <c r="G156" s="42">
        <f t="shared" si="35"/>
        <v>200206.34</v>
      </c>
      <c r="H156" s="42">
        <f t="shared" si="35"/>
        <v>3046344.4899999998</v>
      </c>
      <c r="I156" s="42">
        <f t="shared" si="35"/>
        <v>1651073.75</v>
      </c>
      <c r="J156" s="42">
        <f t="shared" si="35"/>
        <v>190395.93</v>
      </c>
      <c r="K156" s="70">
        <f t="shared" si="23"/>
        <v>99.34995494062835</v>
      </c>
      <c r="L156" s="42">
        <f t="shared" si="35"/>
        <v>20000</v>
      </c>
      <c r="M156" s="42">
        <f t="shared" si="35"/>
        <v>0</v>
      </c>
      <c r="N156" s="42">
        <f t="shared" si="35"/>
        <v>0</v>
      </c>
      <c r="O156" s="42">
        <f t="shared" si="35"/>
        <v>0</v>
      </c>
      <c r="P156" s="42">
        <f t="shared" si="35"/>
        <v>20000</v>
      </c>
      <c r="Q156" s="42">
        <f t="shared" si="35"/>
        <v>31984.7</v>
      </c>
      <c r="R156" s="42">
        <f t="shared" si="35"/>
        <v>11984.7</v>
      </c>
      <c r="S156" s="42">
        <f t="shared" si="35"/>
        <v>0</v>
      </c>
      <c r="T156" s="42">
        <f t="shared" si="35"/>
        <v>0</v>
      </c>
      <c r="U156" s="42">
        <f t="shared" si="35"/>
        <v>20000</v>
      </c>
      <c r="V156" s="70">
        <f t="shared" si="24"/>
        <v>159.9235</v>
      </c>
      <c r="W156" s="42">
        <f t="shared" si="35"/>
        <v>3078329.19</v>
      </c>
      <c r="X156" s="118"/>
    </row>
    <row r="157" spans="1:24" s="25" customFormat="1" ht="15">
      <c r="A157" s="23"/>
      <c r="B157" s="26" t="s">
        <v>11</v>
      </c>
      <c r="C157" s="26" t="s">
        <v>9</v>
      </c>
      <c r="D157" s="27" t="s">
        <v>15</v>
      </c>
      <c r="E157" s="40">
        <f>2614700-111053+27382.33+19155.93+97521+7850</f>
        <v>2655556.2600000002</v>
      </c>
      <c r="F157" s="40">
        <f>1627100-80486+19096.72+14054.24+71550-240</f>
        <v>1651074.96</v>
      </c>
      <c r="G157" s="40">
        <v>169665</v>
      </c>
      <c r="H157" s="40">
        <v>2643284.38</v>
      </c>
      <c r="I157" s="40">
        <v>1651073.75</v>
      </c>
      <c r="J157" s="40">
        <v>159854.59</v>
      </c>
      <c r="K157" s="69">
        <f t="shared" si="23"/>
        <v>99.53787911840361</v>
      </c>
      <c r="L157" s="40">
        <f>M157+P157</f>
        <v>20000</v>
      </c>
      <c r="M157" s="40"/>
      <c r="N157" s="40"/>
      <c r="O157" s="40"/>
      <c r="P157" s="40">
        <v>20000</v>
      </c>
      <c r="Q157" s="67">
        <f>R157+U157</f>
        <v>31984.7</v>
      </c>
      <c r="R157" s="40">
        <v>11984.7</v>
      </c>
      <c r="S157" s="40"/>
      <c r="T157" s="40"/>
      <c r="U157" s="40">
        <v>20000</v>
      </c>
      <c r="V157" s="83">
        <f t="shared" si="24"/>
        <v>159.9235</v>
      </c>
      <c r="W157" s="40">
        <f>H157+Q157</f>
        <v>2675269.08</v>
      </c>
      <c r="X157" s="118"/>
    </row>
    <row r="158" spans="1:24" s="25" customFormat="1" ht="15">
      <c r="A158" s="23"/>
      <c r="B158" s="26" t="s">
        <v>180</v>
      </c>
      <c r="C158" s="26" t="s">
        <v>234</v>
      </c>
      <c r="D158" s="27" t="s">
        <v>181</v>
      </c>
      <c r="E158" s="40">
        <v>18500</v>
      </c>
      <c r="F158" s="42"/>
      <c r="G158" s="42"/>
      <c r="H158" s="63">
        <v>11000</v>
      </c>
      <c r="I158" s="63"/>
      <c r="J158" s="63"/>
      <c r="K158" s="69">
        <f t="shared" si="23"/>
        <v>59.45945945945946</v>
      </c>
      <c r="L158" s="40">
        <f>M158+P158</f>
        <v>0</v>
      </c>
      <c r="M158" s="42"/>
      <c r="N158" s="42"/>
      <c r="O158" s="42"/>
      <c r="P158" s="42"/>
      <c r="Q158" s="67">
        <f>R158+U158</f>
        <v>0</v>
      </c>
      <c r="R158" s="42"/>
      <c r="S158" s="42"/>
      <c r="T158" s="42"/>
      <c r="U158" s="42"/>
      <c r="V158" s="83"/>
      <c r="W158" s="40">
        <f>H158+Q158</f>
        <v>11000</v>
      </c>
      <c r="X158" s="118"/>
    </row>
    <row r="159" spans="1:24" s="25" customFormat="1" ht="15">
      <c r="A159" s="23"/>
      <c r="B159" s="26" t="s">
        <v>59</v>
      </c>
      <c r="C159" s="26" t="s">
        <v>208</v>
      </c>
      <c r="D159" s="27" t="s">
        <v>25</v>
      </c>
      <c r="E159" s="40">
        <f>300000+55287+36933.41</f>
        <v>392220.41000000003</v>
      </c>
      <c r="F159" s="42"/>
      <c r="G159" s="63">
        <v>30541.34</v>
      </c>
      <c r="H159" s="63">
        <v>392060.11</v>
      </c>
      <c r="I159" s="42"/>
      <c r="J159" s="42">
        <v>30541.34</v>
      </c>
      <c r="K159" s="69">
        <f aca="true" t="shared" si="36" ref="K159:K191">H159/E159*100</f>
        <v>99.95913012277968</v>
      </c>
      <c r="L159" s="40">
        <f>M159+P159</f>
        <v>0</v>
      </c>
      <c r="M159" s="42"/>
      <c r="N159" s="42"/>
      <c r="O159" s="42"/>
      <c r="P159" s="42"/>
      <c r="Q159" s="67">
        <f>R159+U159</f>
        <v>0</v>
      </c>
      <c r="R159" s="42"/>
      <c r="S159" s="42"/>
      <c r="T159" s="42"/>
      <c r="U159" s="42"/>
      <c r="V159" s="83"/>
      <c r="W159" s="40">
        <f>H159+Q159</f>
        <v>392060.11</v>
      </c>
      <c r="X159" s="118"/>
    </row>
    <row r="160" spans="1:24" s="25" customFormat="1" ht="42.75">
      <c r="A160" s="23"/>
      <c r="B160" s="30"/>
      <c r="C160" s="30"/>
      <c r="D160" s="31" t="s">
        <v>239</v>
      </c>
      <c r="E160" s="42">
        <f aca="true" t="shared" si="37" ref="E160:W160">E161+E162+E163+E164+E165+E166+E167+E168+E169+E170+E171</f>
        <v>44687876</v>
      </c>
      <c r="F160" s="42">
        <f t="shared" si="37"/>
        <v>483262</v>
      </c>
      <c r="G160" s="42">
        <f t="shared" si="37"/>
        <v>0</v>
      </c>
      <c r="H160" s="42">
        <f t="shared" si="37"/>
        <v>44552589.36</v>
      </c>
      <c r="I160" s="42">
        <f t="shared" si="37"/>
        <v>483120.26</v>
      </c>
      <c r="J160" s="42">
        <f t="shared" si="37"/>
        <v>0</v>
      </c>
      <c r="K160" s="69">
        <f t="shared" si="36"/>
        <v>99.69726321295735</v>
      </c>
      <c r="L160" s="42">
        <f t="shared" si="37"/>
        <v>151065205.60999998</v>
      </c>
      <c r="M160" s="42">
        <f t="shared" si="37"/>
        <v>1525041.6</v>
      </c>
      <c r="N160" s="42">
        <f t="shared" si="37"/>
        <v>715028</v>
      </c>
      <c r="O160" s="42">
        <f t="shared" si="37"/>
        <v>58095</v>
      </c>
      <c r="P160" s="42">
        <f t="shared" si="37"/>
        <v>149540164.01</v>
      </c>
      <c r="Q160" s="42">
        <f t="shared" si="37"/>
        <v>111487539.39</v>
      </c>
      <c r="R160" s="42">
        <f t="shared" si="37"/>
        <v>1141791.57</v>
      </c>
      <c r="S160" s="42">
        <f t="shared" si="37"/>
        <v>714930.72</v>
      </c>
      <c r="T160" s="42">
        <f t="shared" si="37"/>
        <v>41438.22</v>
      </c>
      <c r="U160" s="42">
        <f t="shared" si="37"/>
        <v>110345747.82</v>
      </c>
      <c r="V160" s="70">
        <f t="shared" si="24"/>
        <v>73.80093843570019</v>
      </c>
      <c r="W160" s="42">
        <f t="shared" si="37"/>
        <v>156040128.75</v>
      </c>
      <c r="X160" s="118"/>
    </row>
    <row r="161" spans="1:24" s="25" customFormat="1" ht="15">
      <c r="A161" s="23"/>
      <c r="B161" s="26" t="s">
        <v>11</v>
      </c>
      <c r="C161" s="26" t="s">
        <v>9</v>
      </c>
      <c r="D161" s="27" t="s">
        <v>96</v>
      </c>
      <c r="E161" s="40">
        <v>660470</v>
      </c>
      <c r="F161" s="40">
        <v>483262</v>
      </c>
      <c r="G161" s="40"/>
      <c r="H161" s="40">
        <v>651555.36</v>
      </c>
      <c r="I161" s="40">
        <v>483120.26</v>
      </c>
      <c r="J161" s="40"/>
      <c r="K161" s="69">
        <f t="shared" si="36"/>
        <v>98.65025814949959</v>
      </c>
      <c r="L161" s="40">
        <f>M161+P161</f>
        <v>1554500</v>
      </c>
      <c r="M161" s="40">
        <v>1481150</v>
      </c>
      <c r="N161" s="40">
        <f>651328+63700</f>
        <v>715028</v>
      </c>
      <c r="O161" s="40">
        <v>58095</v>
      </c>
      <c r="P161" s="40">
        <v>73350</v>
      </c>
      <c r="Q161" s="67">
        <f>R161+U161</f>
        <v>1174903.57</v>
      </c>
      <c r="R161" s="40">
        <v>1105863.57</v>
      </c>
      <c r="S161" s="40">
        <v>714930.72</v>
      </c>
      <c r="T161" s="40">
        <v>41438.22</v>
      </c>
      <c r="U161" s="40">
        <v>69040</v>
      </c>
      <c r="V161" s="83">
        <f t="shared" si="24"/>
        <v>75.58080218719846</v>
      </c>
      <c r="W161" s="40">
        <f>H161+Q161</f>
        <v>1826458.9300000002</v>
      </c>
      <c r="X161" s="118"/>
    </row>
    <row r="162" spans="1:24" s="25" customFormat="1" ht="15">
      <c r="A162" s="23"/>
      <c r="B162" s="26" t="s">
        <v>84</v>
      </c>
      <c r="C162" s="26" t="s">
        <v>217</v>
      </c>
      <c r="D162" s="27" t="s">
        <v>85</v>
      </c>
      <c r="E162" s="40"/>
      <c r="F162" s="40"/>
      <c r="G162" s="40"/>
      <c r="H162" s="40"/>
      <c r="I162" s="40"/>
      <c r="J162" s="40"/>
      <c r="K162" s="69"/>
      <c r="L162" s="40">
        <f aca="true" t="shared" si="38" ref="L162:L171">M162+P162</f>
        <v>25959</v>
      </c>
      <c r="M162" s="40"/>
      <c r="N162" s="40"/>
      <c r="O162" s="40"/>
      <c r="P162" s="40">
        <f>1723959-1698000</f>
        <v>25959</v>
      </c>
      <c r="Q162" s="67">
        <f aca="true" t="shared" si="39" ref="Q162:Q171">R162+U162</f>
        <v>0</v>
      </c>
      <c r="R162" s="40"/>
      <c r="S162" s="40"/>
      <c r="T162" s="40"/>
      <c r="U162" s="40"/>
      <c r="V162" s="83">
        <f t="shared" si="24"/>
        <v>0</v>
      </c>
      <c r="W162" s="40">
        <f aca="true" t="shared" si="40" ref="W162:W171">H162+Q162</f>
        <v>0</v>
      </c>
      <c r="X162" s="118"/>
    </row>
    <row r="163" spans="1:24" s="25" customFormat="1" ht="15">
      <c r="A163" s="23"/>
      <c r="B163" s="26" t="s">
        <v>28</v>
      </c>
      <c r="C163" s="26" t="s">
        <v>199</v>
      </c>
      <c r="D163" s="27" t="s">
        <v>29</v>
      </c>
      <c r="E163" s="40">
        <f>26591718+3000000+630000+70000-20000+1000000+2000000+20000+1000000+6400000+30000+25000+2000000+500000+750000</f>
        <v>43996718</v>
      </c>
      <c r="F163" s="42"/>
      <c r="G163" s="42"/>
      <c r="H163" s="63">
        <v>43870346</v>
      </c>
      <c r="I163" s="63"/>
      <c r="J163" s="63"/>
      <c r="K163" s="69">
        <f t="shared" si="36"/>
        <v>99.71276948430562</v>
      </c>
      <c r="L163" s="40">
        <f t="shared" si="38"/>
        <v>41725130</v>
      </c>
      <c r="M163" s="42"/>
      <c r="N163" s="42"/>
      <c r="O163" s="42"/>
      <c r="P163" s="40">
        <f>25124442+3000000+67000+2300000+2000000+1000000+2565888+1300000+500000+1000000+2117800+750000</f>
        <v>41725130</v>
      </c>
      <c r="Q163" s="67">
        <f t="shared" si="39"/>
        <v>38699087</v>
      </c>
      <c r="R163" s="40"/>
      <c r="S163" s="40"/>
      <c r="T163" s="40"/>
      <c r="U163" s="40">
        <v>38699087</v>
      </c>
      <c r="V163" s="83">
        <f t="shared" si="24"/>
        <v>92.74767268550151</v>
      </c>
      <c r="W163" s="40">
        <f t="shared" si="40"/>
        <v>82569433</v>
      </c>
      <c r="X163" s="118"/>
    </row>
    <row r="164" spans="1:24" s="25" customFormat="1" ht="15">
      <c r="A164" s="23"/>
      <c r="B164" s="26" t="s">
        <v>188</v>
      </c>
      <c r="C164" s="26" t="s">
        <v>204</v>
      </c>
      <c r="D164" s="27" t="s">
        <v>189</v>
      </c>
      <c r="E164" s="42"/>
      <c r="F164" s="42"/>
      <c r="G164" s="42"/>
      <c r="H164" s="42"/>
      <c r="I164" s="42"/>
      <c r="J164" s="42"/>
      <c r="K164" s="69"/>
      <c r="L164" s="40">
        <f t="shared" si="38"/>
        <v>96579276</v>
      </c>
      <c r="M164" s="40"/>
      <c r="N164" s="40"/>
      <c r="O164" s="40"/>
      <c r="P164" s="40">
        <f>51956148-1300000+770000+300000+15900708+100000+30000+5500000+13+4000000+220000-8000000+2539901+3000000-200000+217000+148646+150000+69900+50000+100000+7838825+75000+698000+400000+350000+3610000+3300000+2000000-150000+308000+490000+1356200+350000-95000+10000000+700000+300000+300000+1470000-1500000-7000000-3610000+13012-177077</f>
        <v>96579276</v>
      </c>
      <c r="Q164" s="67">
        <f t="shared" si="39"/>
        <v>66542237.82</v>
      </c>
      <c r="R164" s="40"/>
      <c r="S164" s="40"/>
      <c r="T164" s="40"/>
      <c r="U164" s="40">
        <v>66542237.82</v>
      </c>
      <c r="V164" s="83">
        <f t="shared" si="24"/>
        <v>68.89908536899779</v>
      </c>
      <c r="W164" s="40">
        <f t="shared" si="40"/>
        <v>66542237.82</v>
      </c>
      <c r="X164" s="118"/>
    </row>
    <row r="165" spans="1:24" s="25" customFormat="1" ht="30">
      <c r="A165" s="23"/>
      <c r="B165" s="26" t="s">
        <v>301</v>
      </c>
      <c r="C165" s="26" t="s">
        <v>225</v>
      </c>
      <c r="D165" s="27" t="s">
        <v>303</v>
      </c>
      <c r="E165" s="42"/>
      <c r="F165" s="42"/>
      <c r="G165" s="42"/>
      <c r="H165" s="42"/>
      <c r="I165" s="42"/>
      <c r="J165" s="42"/>
      <c r="K165" s="69"/>
      <c r="L165" s="40">
        <f t="shared" si="38"/>
        <v>2260147</v>
      </c>
      <c r="M165" s="40"/>
      <c r="N165" s="40"/>
      <c r="O165" s="40"/>
      <c r="P165" s="40">
        <f>1851630+408517</f>
        <v>2260147</v>
      </c>
      <c r="Q165" s="67">
        <f t="shared" si="39"/>
        <v>2259569</v>
      </c>
      <c r="R165" s="40"/>
      <c r="S165" s="40"/>
      <c r="T165" s="40"/>
      <c r="U165" s="40">
        <v>2259569</v>
      </c>
      <c r="V165" s="83">
        <f t="shared" si="24"/>
        <v>99.9744264421739</v>
      </c>
      <c r="W165" s="40">
        <f t="shared" si="40"/>
        <v>2259569</v>
      </c>
      <c r="X165" s="118"/>
    </row>
    <row r="166" spans="1:24" s="25" customFormat="1" ht="52.5" customHeight="1">
      <c r="A166" s="23"/>
      <c r="B166" s="26" t="s">
        <v>260</v>
      </c>
      <c r="C166" s="26" t="s">
        <v>262</v>
      </c>
      <c r="D166" s="27" t="s">
        <v>261</v>
      </c>
      <c r="E166" s="42"/>
      <c r="F166" s="42"/>
      <c r="G166" s="42"/>
      <c r="H166" s="42"/>
      <c r="I166" s="42"/>
      <c r="J166" s="42"/>
      <c r="K166" s="69"/>
      <c r="L166" s="40">
        <f t="shared" si="38"/>
        <v>2312624.89</v>
      </c>
      <c r="M166" s="40"/>
      <c r="N166" s="40"/>
      <c r="O166" s="40"/>
      <c r="P166" s="40">
        <v>2312624.89</v>
      </c>
      <c r="Q166" s="67">
        <f t="shared" si="39"/>
        <v>2224549</v>
      </c>
      <c r="R166" s="40"/>
      <c r="S166" s="40"/>
      <c r="T166" s="40"/>
      <c r="U166" s="40">
        <v>2224549</v>
      </c>
      <c r="V166" s="83">
        <f t="shared" si="24"/>
        <v>96.19151854756696</v>
      </c>
      <c r="W166" s="40">
        <f t="shared" si="40"/>
        <v>2224549</v>
      </c>
      <c r="X166" s="118"/>
    </row>
    <row r="167" spans="1:24" s="25" customFormat="1" ht="30">
      <c r="A167" s="23"/>
      <c r="B167" s="26" t="s">
        <v>293</v>
      </c>
      <c r="C167" s="26" t="s">
        <v>236</v>
      </c>
      <c r="D167" s="27" t="s">
        <v>294</v>
      </c>
      <c r="E167" s="42"/>
      <c r="F167" s="42"/>
      <c r="G167" s="42"/>
      <c r="H167" s="42"/>
      <c r="I167" s="42"/>
      <c r="J167" s="42"/>
      <c r="K167" s="69"/>
      <c r="L167" s="40">
        <f t="shared" si="38"/>
        <v>500000</v>
      </c>
      <c r="M167" s="40"/>
      <c r="N167" s="40"/>
      <c r="O167" s="40"/>
      <c r="P167" s="40">
        <v>500000</v>
      </c>
      <c r="Q167" s="67">
        <f t="shared" si="39"/>
        <v>0</v>
      </c>
      <c r="R167" s="40"/>
      <c r="S167" s="40"/>
      <c r="T167" s="40"/>
      <c r="U167" s="40"/>
      <c r="V167" s="83">
        <f t="shared" si="24"/>
        <v>0</v>
      </c>
      <c r="W167" s="40">
        <f t="shared" si="40"/>
        <v>0</v>
      </c>
      <c r="X167" s="118"/>
    </row>
    <row r="168" spans="1:24" s="25" customFormat="1" ht="15">
      <c r="A168" s="23"/>
      <c r="B168" s="26" t="s">
        <v>290</v>
      </c>
      <c r="C168" s="26" t="s">
        <v>215</v>
      </c>
      <c r="D168" s="27" t="s">
        <v>83</v>
      </c>
      <c r="E168" s="42"/>
      <c r="F168" s="42"/>
      <c r="G168" s="42"/>
      <c r="H168" s="42"/>
      <c r="I168" s="42"/>
      <c r="J168" s="42"/>
      <c r="K168" s="69"/>
      <c r="L168" s="40">
        <f t="shared" si="38"/>
        <v>425400</v>
      </c>
      <c r="M168" s="40"/>
      <c r="N168" s="40"/>
      <c r="O168" s="40"/>
      <c r="P168" s="40">
        <v>425400</v>
      </c>
      <c r="Q168" s="67">
        <f t="shared" si="39"/>
        <v>0</v>
      </c>
      <c r="R168" s="40"/>
      <c r="S168" s="40"/>
      <c r="T168" s="40"/>
      <c r="U168" s="40"/>
      <c r="V168" s="83">
        <f t="shared" si="24"/>
        <v>0</v>
      </c>
      <c r="W168" s="40">
        <f t="shared" si="40"/>
        <v>0</v>
      </c>
      <c r="X168" s="118"/>
    </row>
    <row r="169" spans="1:24" s="25" customFormat="1" ht="30">
      <c r="A169" s="23"/>
      <c r="B169" s="26" t="s">
        <v>184</v>
      </c>
      <c r="C169" s="26" t="s">
        <v>236</v>
      </c>
      <c r="D169" s="27" t="s">
        <v>185</v>
      </c>
      <c r="E169" s="42"/>
      <c r="F169" s="42"/>
      <c r="G169" s="42"/>
      <c r="H169" s="42"/>
      <c r="I169" s="42"/>
      <c r="J169" s="42"/>
      <c r="K169" s="69"/>
      <c r="L169" s="40">
        <f t="shared" si="38"/>
        <v>3828800</v>
      </c>
      <c r="M169" s="40"/>
      <c r="N169" s="40"/>
      <c r="O169" s="40"/>
      <c r="P169" s="40">
        <v>3828800</v>
      </c>
      <c r="Q169" s="67">
        <f t="shared" si="39"/>
        <v>0</v>
      </c>
      <c r="R169" s="40"/>
      <c r="S169" s="40"/>
      <c r="T169" s="40"/>
      <c r="U169" s="40"/>
      <c r="V169" s="83">
        <f t="shared" si="24"/>
        <v>0</v>
      </c>
      <c r="W169" s="40">
        <f t="shared" si="40"/>
        <v>0</v>
      </c>
      <c r="X169" s="118"/>
    </row>
    <row r="170" spans="1:24" s="25" customFormat="1" ht="62.25" customHeight="1">
      <c r="A170" s="23"/>
      <c r="B170" s="26" t="s">
        <v>57</v>
      </c>
      <c r="C170" s="26" t="s">
        <v>208</v>
      </c>
      <c r="D170" s="27" t="s">
        <v>58</v>
      </c>
      <c r="E170" s="42"/>
      <c r="F170" s="42"/>
      <c r="G170" s="42"/>
      <c r="H170" s="42"/>
      <c r="I170" s="42"/>
      <c r="J170" s="42"/>
      <c r="K170" s="69"/>
      <c r="L170" s="40">
        <f t="shared" si="38"/>
        <v>1809477.12</v>
      </c>
      <c r="M170" s="40"/>
      <c r="N170" s="40"/>
      <c r="O170" s="40"/>
      <c r="P170" s="40">
        <v>1809477.12</v>
      </c>
      <c r="Q170" s="67">
        <f t="shared" si="39"/>
        <v>551265</v>
      </c>
      <c r="R170" s="40"/>
      <c r="S170" s="40"/>
      <c r="T170" s="40"/>
      <c r="U170" s="40">
        <v>551265</v>
      </c>
      <c r="V170" s="83">
        <f t="shared" si="24"/>
        <v>30.46543080909473</v>
      </c>
      <c r="W170" s="40">
        <f t="shared" si="40"/>
        <v>551265</v>
      </c>
      <c r="X170" s="118"/>
    </row>
    <row r="171" spans="1:24" s="25" customFormat="1" ht="75">
      <c r="A171" s="23"/>
      <c r="B171" s="29" t="s">
        <v>190</v>
      </c>
      <c r="C171" s="29" t="s">
        <v>225</v>
      </c>
      <c r="D171" s="27" t="s">
        <v>191</v>
      </c>
      <c r="E171" s="40">
        <v>30688</v>
      </c>
      <c r="F171" s="40"/>
      <c r="G171" s="40"/>
      <c r="H171" s="40">
        <v>30688</v>
      </c>
      <c r="I171" s="40"/>
      <c r="J171" s="40"/>
      <c r="K171" s="69">
        <f t="shared" si="36"/>
        <v>100</v>
      </c>
      <c r="L171" s="40">
        <f t="shared" si="38"/>
        <v>43891.6</v>
      </c>
      <c r="M171" s="40">
        <f>15925+27966.6</f>
        <v>43891.6</v>
      </c>
      <c r="N171" s="42"/>
      <c r="O171" s="42"/>
      <c r="P171" s="42"/>
      <c r="Q171" s="67">
        <f t="shared" si="39"/>
        <v>35928</v>
      </c>
      <c r="R171" s="63">
        <v>35928</v>
      </c>
      <c r="S171" s="42"/>
      <c r="T171" s="42"/>
      <c r="U171" s="42"/>
      <c r="V171" s="83">
        <f aca="true" t="shared" si="41" ref="V171:V191">Q171/L171*100</f>
        <v>81.85620938858462</v>
      </c>
      <c r="W171" s="40">
        <f t="shared" si="40"/>
        <v>66616</v>
      </c>
      <c r="X171" s="118"/>
    </row>
    <row r="172" spans="1:24" s="25" customFormat="1" ht="41.25" customHeight="1">
      <c r="A172" s="23"/>
      <c r="B172" s="30"/>
      <c r="C172" s="30"/>
      <c r="D172" s="31" t="s">
        <v>240</v>
      </c>
      <c r="E172" s="42">
        <f aca="true" t="shared" si="42" ref="E172:J172">E173+E174+E175+E176+E177</f>
        <v>4408808</v>
      </c>
      <c r="F172" s="42">
        <f t="shared" si="42"/>
        <v>2756599</v>
      </c>
      <c r="G172" s="42">
        <f t="shared" si="42"/>
        <v>196400</v>
      </c>
      <c r="H172" s="42">
        <f t="shared" si="42"/>
        <v>4263987.81</v>
      </c>
      <c r="I172" s="42">
        <f t="shared" si="42"/>
        <v>2756599</v>
      </c>
      <c r="J172" s="42">
        <f t="shared" si="42"/>
        <v>130054.62</v>
      </c>
      <c r="K172" s="70">
        <f t="shared" si="36"/>
        <v>96.71520760259915</v>
      </c>
      <c r="L172" s="42">
        <f aca="true" t="shared" si="43" ref="L172:U172">L173+L174+L175+L176+L177</f>
        <v>2598695</v>
      </c>
      <c r="M172" s="42">
        <f t="shared" si="43"/>
        <v>963200</v>
      </c>
      <c r="N172" s="42">
        <f t="shared" si="43"/>
        <v>0</v>
      </c>
      <c r="O172" s="42">
        <f t="shared" si="43"/>
        <v>0</v>
      </c>
      <c r="P172" s="42">
        <f t="shared" si="43"/>
        <v>1635495</v>
      </c>
      <c r="Q172" s="42">
        <f t="shared" si="43"/>
        <v>1269795.71</v>
      </c>
      <c r="R172" s="42">
        <f t="shared" si="43"/>
        <v>772892.63</v>
      </c>
      <c r="S172" s="42">
        <f t="shared" si="43"/>
        <v>0</v>
      </c>
      <c r="T172" s="42">
        <f t="shared" si="43"/>
        <v>0</v>
      </c>
      <c r="U172" s="42">
        <f t="shared" si="43"/>
        <v>496903.08</v>
      </c>
      <c r="V172" s="70">
        <f t="shared" si="41"/>
        <v>48.86282191638495</v>
      </c>
      <c r="W172" s="42">
        <f>W173+W174+W175+W176+W177</f>
        <v>5533783.52</v>
      </c>
      <c r="X172" s="120"/>
    </row>
    <row r="173" spans="1:24" s="25" customFormat="1" ht="21.75" customHeight="1">
      <c r="A173" s="23"/>
      <c r="B173" s="26" t="s">
        <v>11</v>
      </c>
      <c r="C173" s="26" t="s">
        <v>9</v>
      </c>
      <c r="D173" s="27" t="s">
        <v>15</v>
      </c>
      <c r="E173" s="40">
        <f>4192817-113618+156609+23500</f>
        <v>4259308</v>
      </c>
      <c r="F173" s="40">
        <f>2732700-82533+114902-2050-6420</f>
        <v>2756599</v>
      </c>
      <c r="G173" s="40">
        <v>196400</v>
      </c>
      <c r="H173" s="40">
        <v>4175439.34</v>
      </c>
      <c r="I173" s="40">
        <v>2756599</v>
      </c>
      <c r="J173" s="40">
        <v>130054.62</v>
      </c>
      <c r="K173" s="69">
        <f t="shared" si="36"/>
        <v>98.03093225472307</v>
      </c>
      <c r="L173" s="40">
        <f>M173+P173</f>
        <v>246595</v>
      </c>
      <c r="M173" s="40"/>
      <c r="N173" s="40"/>
      <c r="O173" s="40"/>
      <c r="P173" s="40">
        <v>246595</v>
      </c>
      <c r="Q173" s="67">
        <f>R173+U173</f>
        <v>246497.91</v>
      </c>
      <c r="R173" s="40">
        <v>48.5</v>
      </c>
      <c r="S173" s="40"/>
      <c r="T173" s="40"/>
      <c r="U173" s="40">
        <v>246449.41</v>
      </c>
      <c r="V173" s="83">
        <f t="shared" si="41"/>
        <v>99.96062774995438</v>
      </c>
      <c r="W173" s="40">
        <f>H173+Q173</f>
        <v>4421937.25</v>
      </c>
      <c r="X173" s="120"/>
    </row>
    <row r="174" spans="1:24" s="25" customFormat="1" ht="30">
      <c r="A174" s="23"/>
      <c r="B174" s="26" t="s">
        <v>295</v>
      </c>
      <c r="C174" s="26" t="s">
        <v>296</v>
      </c>
      <c r="D174" s="27" t="s">
        <v>297</v>
      </c>
      <c r="E174" s="40">
        <f>150000-98600-23500</f>
        <v>27900</v>
      </c>
      <c r="F174" s="40"/>
      <c r="G174" s="40"/>
      <c r="H174" s="40"/>
      <c r="I174" s="40"/>
      <c r="J174" s="40"/>
      <c r="K174" s="69">
        <f t="shared" si="36"/>
        <v>0</v>
      </c>
      <c r="L174" s="40">
        <f>M174+P174</f>
        <v>98600</v>
      </c>
      <c r="M174" s="40"/>
      <c r="N174" s="40"/>
      <c r="O174" s="40"/>
      <c r="P174" s="40">
        <v>98600</v>
      </c>
      <c r="Q174" s="67">
        <f>R174+U174</f>
        <v>12853.67</v>
      </c>
      <c r="R174" s="67"/>
      <c r="S174" s="67"/>
      <c r="T174" s="67"/>
      <c r="U174" s="67">
        <v>12853.67</v>
      </c>
      <c r="V174" s="83">
        <f t="shared" si="41"/>
        <v>13.036176470588234</v>
      </c>
      <c r="W174" s="40">
        <f>H174+Q174</f>
        <v>12853.67</v>
      </c>
      <c r="X174" s="120"/>
    </row>
    <row r="175" spans="1:24" s="25" customFormat="1" ht="24" customHeight="1">
      <c r="A175" s="23"/>
      <c r="B175" s="26" t="s">
        <v>180</v>
      </c>
      <c r="C175" s="26" t="s">
        <v>234</v>
      </c>
      <c r="D175" s="27" t="s">
        <v>181</v>
      </c>
      <c r="E175" s="42"/>
      <c r="F175" s="42"/>
      <c r="G175" s="42"/>
      <c r="H175" s="42"/>
      <c r="I175" s="42"/>
      <c r="J175" s="42"/>
      <c r="K175" s="69"/>
      <c r="L175" s="40">
        <f>M175+P175</f>
        <v>499500</v>
      </c>
      <c r="M175" s="40"/>
      <c r="N175" s="40"/>
      <c r="O175" s="40"/>
      <c r="P175" s="40">
        <v>499500</v>
      </c>
      <c r="Q175" s="67">
        <f>R175+U175</f>
        <v>22800</v>
      </c>
      <c r="R175" s="40"/>
      <c r="S175" s="40"/>
      <c r="T175" s="40"/>
      <c r="U175" s="40">
        <v>22800</v>
      </c>
      <c r="V175" s="83">
        <f t="shared" si="41"/>
        <v>4.564564564564565</v>
      </c>
      <c r="W175" s="40">
        <f>H175+Q175</f>
        <v>22800</v>
      </c>
      <c r="X175" s="120"/>
    </row>
    <row r="176" spans="1:24" s="25" customFormat="1" ht="63" customHeight="1">
      <c r="A176" s="23"/>
      <c r="B176" s="26" t="s">
        <v>57</v>
      </c>
      <c r="C176" s="26" t="s">
        <v>208</v>
      </c>
      <c r="D176" s="27" t="s">
        <v>58</v>
      </c>
      <c r="E176" s="42"/>
      <c r="F176" s="42"/>
      <c r="G176" s="42"/>
      <c r="H176" s="42"/>
      <c r="I176" s="42"/>
      <c r="J176" s="42"/>
      <c r="K176" s="69"/>
      <c r="L176" s="40">
        <f>M176+P176</f>
        <v>1754000</v>
      </c>
      <c r="M176" s="40">
        <f>725000+45000-22800+216000</f>
        <v>963200</v>
      </c>
      <c r="N176" s="42"/>
      <c r="O176" s="42"/>
      <c r="P176" s="63">
        <f>192000+792000+22800-216000</f>
        <v>790800</v>
      </c>
      <c r="Q176" s="67">
        <f>R176+U176</f>
        <v>987644.13</v>
      </c>
      <c r="R176" s="63">
        <v>772844.13</v>
      </c>
      <c r="S176" s="63"/>
      <c r="T176" s="63"/>
      <c r="U176" s="63">
        <v>214800</v>
      </c>
      <c r="V176" s="83">
        <f t="shared" si="41"/>
        <v>56.3081031927024</v>
      </c>
      <c r="W176" s="40">
        <f>H176+Q176</f>
        <v>987644.13</v>
      </c>
      <c r="X176" s="120"/>
    </row>
    <row r="177" spans="1:24" s="25" customFormat="1" ht="19.5" customHeight="1">
      <c r="A177" s="23"/>
      <c r="B177" s="26" t="s">
        <v>59</v>
      </c>
      <c r="C177" s="26" t="s">
        <v>208</v>
      </c>
      <c r="D177" s="27" t="s">
        <v>25</v>
      </c>
      <c r="E177" s="40">
        <f>100000+21600</f>
        <v>121600</v>
      </c>
      <c r="F177" s="42"/>
      <c r="G177" s="42"/>
      <c r="H177" s="63">
        <v>88548.47</v>
      </c>
      <c r="I177" s="63"/>
      <c r="J177" s="63"/>
      <c r="K177" s="69">
        <f t="shared" si="36"/>
        <v>72.81946546052632</v>
      </c>
      <c r="L177" s="40">
        <f>M177+P177</f>
        <v>0</v>
      </c>
      <c r="M177" s="42"/>
      <c r="N177" s="42"/>
      <c r="O177" s="42"/>
      <c r="P177" s="42"/>
      <c r="Q177" s="67">
        <f>R177+U177</f>
        <v>0</v>
      </c>
      <c r="R177" s="42"/>
      <c r="S177" s="42"/>
      <c r="T177" s="42"/>
      <c r="U177" s="42"/>
      <c r="V177" s="83"/>
      <c r="W177" s="40">
        <f>H177+Q177</f>
        <v>88548.47</v>
      </c>
      <c r="X177" s="120"/>
    </row>
    <row r="178" spans="1:24" s="25" customFormat="1" ht="47.25" customHeight="1">
      <c r="A178" s="23"/>
      <c r="B178" s="26"/>
      <c r="C178" s="43"/>
      <c r="D178" s="31" t="s">
        <v>304</v>
      </c>
      <c r="E178" s="42">
        <f aca="true" t="shared" si="44" ref="E178:W178">E179</f>
        <v>24510</v>
      </c>
      <c r="F178" s="42">
        <f t="shared" si="44"/>
        <v>9324</v>
      </c>
      <c r="G178" s="42">
        <f t="shared" si="44"/>
        <v>0</v>
      </c>
      <c r="H178" s="42">
        <f t="shared" si="44"/>
        <v>21891.28</v>
      </c>
      <c r="I178" s="42">
        <f t="shared" si="44"/>
        <v>9097.81</v>
      </c>
      <c r="J178" s="42">
        <f t="shared" si="44"/>
        <v>0</v>
      </c>
      <c r="K178" s="70">
        <f t="shared" si="36"/>
        <v>89.31570787433701</v>
      </c>
      <c r="L178" s="42">
        <f t="shared" si="44"/>
        <v>37100</v>
      </c>
      <c r="M178" s="42">
        <f t="shared" si="44"/>
        <v>0</v>
      </c>
      <c r="N178" s="42">
        <f t="shared" si="44"/>
        <v>0</v>
      </c>
      <c r="O178" s="42">
        <f t="shared" si="44"/>
        <v>0</v>
      </c>
      <c r="P178" s="42">
        <f t="shared" si="44"/>
        <v>37100</v>
      </c>
      <c r="Q178" s="42">
        <f t="shared" si="44"/>
        <v>37039</v>
      </c>
      <c r="R178" s="42">
        <f t="shared" si="44"/>
        <v>0</v>
      </c>
      <c r="S178" s="42">
        <f t="shared" si="44"/>
        <v>0</v>
      </c>
      <c r="T178" s="42">
        <f t="shared" si="44"/>
        <v>0</v>
      </c>
      <c r="U178" s="42">
        <f t="shared" si="44"/>
        <v>37039</v>
      </c>
      <c r="V178" s="70">
        <f t="shared" si="41"/>
        <v>99.8355795148248</v>
      </c>
      <c r="W178" s="42">
        <f t="shared" si="44"/>
        <v>58930.28</v>
      </c>
      <c r="X178" s="120"/>
    </row>
    <row r="179" spans="1:24" s="25" customFormat="1" ht="21" customHeight="1">
      <c r="A179" s="23"/>
      <c r="B179" s="26" t="s">
        <v>11</v>
      </c>
      <c r="C179" s="26" t="s">
        <v>9</v>
      </c>
      <c r="D179" s="27" t="s">
        <v>15</v>
      </c>
      <c r="E179" s="40">
        <v>24510</v>
      </c>
      <c r="F179" s="40">
        <v>9324</v>
      </c>
      <c r="G179" s="40"/>
      <c r="H179" s="40">
        <v>21891.28</v>
      </c>
      <c r="I179" s="40">
        <v>9097.81</v>
      </c>
      <c r="J179" s="40"/>
      <c r="K179" s="69">
        <f t="shared" si="36"/>
        <v>89.31570787433701</v>
      </c>
      <c r="L179" s="40">
        <f>M179+P179</f>
        <v>37100</v>
      </c>
      <c r="M179" s="40"/>
      <c r="N179" s="40"/>
      <c r="O179" s="40"/>
      <c r="P179" s="40">
        <v>37100</v>
      </c>
      <c r="Q179" s="67">
        <f>R179+U179</f>
        <v>37039</v>
      </c>
      <c r="R179" s="40"/>
      <c r="S179" s="40"/>
      <c r="T179" s="40"/>
      <c r="U179" s="40">
        <v>37039</v>
      </c>
      <c r="V179" s="83">
        <f t="shared" si="41"/>
        <v>99.8355795148248</v>
      </c>
      <c r="W179" s="40">
        <f>H179+Q179</f>
        <v>58930.28</v>
      </c>
      <c r="X179" s="120"/>
    </row>
    <row r="180" spans="1:24" s="25" customFormat="1" ht="38.25" customHeight="1">
      <c r="A180" s="23"/>
      <c r="B180" s="26"/>
      <c r="C180" s="43"/>
      <c r="D180" s="31" t="s">
        <v>244</v>
      </c>
      <c r="E180" s="42">
        <f aca="true" t="shared" si="45" ref="E180:J180">E181+E182</f>
        <v>1870631</v>
      </c>
      <c r="F180" s="42">
        <f t="shared" si="45"/>
        <v>920028</v>
      </c>
      <c r="G180" s="42">
        <f t="shared" si="45"/>
        <v>93188</v>
      </c>
      <c r="H180" s="42">
        <f t="shared" si="45"/>
        <v>1848386.09</v>
      </c>
      <c r="I180" s="42">
        <f t="shared" si="45"/>
        <v>917795.95</v>
      </c>
      <c r="J180" s="42">
        <f t="shared" si="45"/>
        <v>75962.65</v>
      </c>
      <c r="K180" s="70">
        <f t="shared" si="36"/>
        <v>98.81083388439517</v>
      </c>
      <c r="L180" s="42">
        <f aca="true" t="shared" si="46" ref="L180:U180">L181+L182</f>
        <v>50000</v>
      </c>
      <c r="M180" s="42">
        <f t="shared" si="46"/>
        <v>0</v>
      </c>
      <c r="N180" s="42">
        <f t="shared" si="46"/>
        <v>0</v>
      </c>
      <c r="O180" s="42">
        <f t="shared" si="46"/>
        <v>0</v>
      </c>
      <c r="P180" s="42">
        <f t="shared" si="46"/>
        <v>50000</v>
      </c>
      <c r="Q180" s="42">
        <f t="shared" si="46"/>
        <v>50000</v>
      </c>
      <c r="R180" s="42">
        <f t="shared" si="46"/>
        <v>0</v>
      </c>
      <c r="S180" s="42">
        <f t="shared" si="46"/>
        <v>0</v>
      </c>
      <c r="T180" s="42">
        <f t="shared" si="46"/>
        <v>0</v>
      </c>
      <c r="U180" s="42">
        <f t="shared" si="46"/>
        <v>50000</v>
      </c>
      <c r="V180" s="70">
        <f t="shared" si="41"/>
        <v>100</v>
      </c>
      <c r="W180" s="42">
        <f>W181+W182</f>
        <v>1898386.09</v>
      </c>
      <c r="X180" s="120"/>
    </row>
    <row r="181" spans="1:24" s="25" customFormat="1" ht="21" customHeight="1">
      <c r="A181" s="23"/>
      <c r="B181" s="26" t="s">
        <v>11</v>
      </c>
      <c r="C181" s="26" t="s">
        <v>9</v>
      </c>
      <c r="D181" s="27" t="s">
        <v>15</v>
      </c>
      <c r="E181" s="40">
        <f>1434300-43753+4170+16115+49799</f>
        <v>1460631</v>
      </c>
      <c r="F181" s="40">
        <f>919830-30598+36536-5740</f>
        <v>920028</v>
      </c>
      <c r="G181" s="40">
        <f>75595+1478+16115</f>
        <v>93188</v>
      </c>
      <c r="H181" s="40">
        <v>1439678.83</v>
      </c>
      <c r="I181" s="40">
        <v>917795.95</v>
      </c>
      <c r="J181" s="40">
        <v>75962.65</v>
      </c>
      <c r="K181" s="69">
        <f t="shared" si="36"/>
        <v>98.5655398249113</v>
      </c>
      <c r="L181" s="40">
        <f>M181+P181</f>
        <v>50000</v>
      </c>
      <c r="M181" s="40"/>
      <c r="N181" s="40"/>
      <c r="O181" s="40"/>
      <c r="P181" s="40">
        <v>50000</v>
      </c>
      <c r="Q181" s="67">
        <f>R181+U181</f>
        <v>50000</v>
      </c>
      <c r="R181" s="40"/>
      <c r="S181" s="40"/>
      <c r="T181" s="40"/>
      <c r="U181" s="40">
        <v>50000</v>
      </c>
      <c r="V181" s="83">
        <f t="shared" si="41"/>
        <v>100</v>
      </c>
      <c r="W181" s="40">
        <f>H181+Q181</f>
        <v>1489678.83</v>
      </c>
      <c r="X181" s="120"/>
    </row>
    <row r="182" spans="1:24" s="25" customFormat="1" ht="18.75" customHeight="1">
      <c r="A182" s="23"/>
      <c r="B182" s="26" t="s">
        <v>59</v>
      </c>
      <c r="C182" s="26" t="s">
        <v>208</v>
      </c>
      <c r="D182" s="27" t="s">
        <v>25</v>
      </c>
      <c r="E182" s="40">
        <f>320000+90000</f>
        <v>410000</v>
      </c>
      <c r="F182" s="42"/>
      <c r="G182" s="42"/>
      <c r="H182" s="63">
        <v>408707.26</v>
      </c>
      <c r="I182" s="63"/>
      <c r="J182" s="63"/>
      <c r="K182" s="69">
        <f t="shared" si="36"/>
        <v>99.68469756097561</v>
      </c>
      <c r="L182" s="40">
        <f>M182+P182</f>
        <v>0</v>
      </c>
      <c r="M182" s="42"/>
      <c r="N182" s="42"/>
      <c r="O182" s="42"/>
      <c r="P182" s="42"/>
      <c r="Q182" s="67">
        <f>R182+U182</f>
        <v>0</v>
      </c>
      <c r="R182" s="42"/>
      <c r="S182" s="42"/>
      <c r="T182" s="42"/>
      <c r="U182" s="42"/>
      <c r="V182" s="83"/>
      <c r="W182" s="40">
        <f>H182+Q182</f>
        <v>408707.26</v>
      </c>
      <c r="X182" s="120"/>
    </row>
    <row r="183" spans="1:24" s="25" customFormat="1" ht="45.75" customHeight="1">
      <c r="A183" s="23"/>
      <c r="B183" s="30"/>
      <c r="C183" s="30"/>
      <c r="D183" s="31" t="s">
        <v>241</v>
      </c>
      <c r="E183" s="42">
        <f aca="true" t="shared" si="47" ref="E183:J183">E184</f>
        <v>4646916</v>
      </c>
      <c r="F183" s="42">
        <f t="shared" si="47"/>
        <v>2959804</v>
      </c>
      <c r="G183" s="42">
        <f t="shared" si="47"/>
        <v>224640</v>
      </c>
      <c r="H183" s="42">
        <f t="shared" si="47"/>
        <v>4574173.76</v>
      </c>
      <c r="I183" s="42">
        <f t="shared" si="47"/>
        <v>2959804</v>
      </c>
      <c r="J183" s="42">
        <f t="shared" si="47"/>
        <v>151930.36</v>
      </c>
      <c r="K183" s="70">
        <f t="shared" si="36"/>
        <v>98.43461254733246</v>
      </c>
      <c r="L183" s="42">
        <f aca="true" t="shared" si="48" ref="L183:U183">L184</f>
        <v>81500</v>
      </c>
      <c r="M183" s="42">
        <f t="shared" si="48"/>
        <v>0</v>
      </c>
      <c r="N183" s="42">
        <f t="shared" si="48"/>
        <v>0</v>
      </c>
      <c r="O183" s="42">
        <f t="shared" si="48"/>
        <v>0</v>
      </c>
      <c r="P183" s="42">
        <f t="shared" si="48"/>
        <v>81500</v>
      </c>
      <c r="Q183" s="42">
        <f t="shared" si="48"/>
        <v>81718.2</v>
      </c>
      <c r="R183" s="42">
        <f t="shared" si="48"/>
        <v>223.2</v>
      </c>
      <c r="S183" s="42">
        <f t="shared" si="48"/>
        <v>0</v>
      </c>
      <c r="T183" s="42">
        <f t="shared" si="48"/>
        <v>0</v>
      </c>
      <c r="U183" s="42">
        <f t="shared" si="48"/>
        <v>81495</v>
      </c>
      <c r="V183" s="70">
        <f>Q183/L183*100</f>
        <v>100.26773006134968</v>
      </c>
      <c r="W183" s="42">
        <f>W184</f>
        <v>4655891.96</v>
      </c>
      <c r="X183" s="120"/>
    </row>
    <row r="184" spans="1:24" s="25" customFormat="1" ht="21" customHeight="1">
      <c r="A184" s="23"/>
      <c r="B184" s="26" t="s">
        <v>11</v>
      </c>
      <c r="C184" s="26" t="s">
        <v>9</v>
      </c>
      <c r="D184" s="27" t="s">
        <v>96</v>
      </c>
      <c r="E184" s="40">
        <f>4449350+15000+182566</f>
        <v>4646916</v>
      </c>
      <c r="F184" s="40">
        <f>2838300+121504</f>
        <v>2959804</v>
      </c>
      <c r="G184" s="40">
        <v>224640</v>
      </c>
      <c r="H184" s="40">
        <v>4574173.76</v>
      </c>
      <c r="I184" s="40">
        <v>2959804</v>
      </c>
      <c r="J184" s="40">
        <v>151930.36</v>
      </c>
      <c r="K184" s="69">
        <f t="shared" si="36"/>
        <v>98.43461254733246</v>
      </c>
      <c r="L184" s="40">
        <f>M184+P184</f>
        <v>81500</v>
      </c>
      <c r="M184" s="40"/>
      <c r="N184" s="40"/>
      <c r="O184" s="40"/>
      <c r="P184" s="40">
        <v>81500</v>
      </c>
      <c r="Q184" s="67">
        <f>R184+U184</f>
        <v>81718.2</v>
      </c>
      <c r="R184" s="40">
        <v>223.2</v>
      </c>
      <c r="S184" s="40"/>
      <c r="T184" s="40"/>
      <c r="U184" s="40">
        <v>81495</v>
      </c>
      <c r="V184" s="83">
        <f t="shared" si="41"/>
        <v>100.26773006134968</v>
      </c>
      <c r="W184" s="40">
        <f>H184+Q184</f>
        <v>4655891.96</v>
      </c>
      <c r="X184" s="120"/>
    </row>
    <row r="185" spans="1:24" s="25" customFormat="1" ht="56.25" customHeight="1">
      <c r="A185" s="23"/>
      <c r="B185" s="30"/>
      <c r="C185" s="30"/>
      <c r="D185" s="31" t="s">
        <v>242</v>
      </c>
      <c r="E185" s="42">
        <f aca="true" t="shared" si="49" ref="E185:W185">E186+E187+E188+E189+E190</f>
        <v>56015716.18</v>
      </c>
      <c r="F185" s="42">
        <f t="shared" si="49"/>
        <v>0</v>
      </c>
      <c r="G185" s="42">
        <f t="shared" si="49"/>
        <v>0</v>
      </c>
      <c r="H185" s="42">
        <f t="shared" si="49"/>
        <v>55774811.16</v>
      </c>
      <c r="I185" s="42">
        <f t="shared" si="49"/>
        <v>0</v>
      </c>
      <c r="J185" s="42">
        <f t="shared" si="49"/>
        <v>0</v>
      </c>
      <c r="K185" s="70">
        <f t="shared" si="36"/>
        <v>99.56993316085456</v>
      </c>
      <c r="L185" s="42">
        <f t="shared" si="49"/>
        <v>8926218</v>
      </c>
      <c r="M185" s="42">
        <f t="shared" si="49"/>
        <v>0</v>
      </c>
      <c r="N185" s="42">
        <f t="shared" si="49"/>
        <v>0</v>
      </c>
      <c r="O185" s="42">
        <f t="shared" si="49"/>
        <v>0</v>
      </c>
      <c r="P185" s="42">
        <f t="shared" si="49"/>
        <v>8926218</v>
      </c>
      <c r="Q185" s="42">
        <f t="shared" si="49"/>
        <v>8902962.89</v>
      </c>
      <c r="R185" s="42">
        <f t="shared" si="49"/>
        <v>0</v>
      </c>
      <c r="S185" s="42">
        <f t="shared" si="49"/>
        <v>0</v>
      </c>
      <c r="T185" s="42">
        <f t="shared" si="49"/>
        <v>0</v>
      </c>
      <c r="U185" s="42">
        <f t="shared" si="49"/>
        <v>8902962.89</v>
      </c>
      <c r="V185" s="70">
        <f t="shared" si="41"/>
        <v>99.73947409754054</v>
      </c>
      <c r="W185" s="42">
        <f t="shared" si="49"/>
        <v>64677774.05</v>
      </c>
      <c r="X185" s="120"/>
    </row>
    <row r="186" spans="1:24" s="25" customFormat="1" ht="15">
      <c r="A186" s="23"/>
      <c r="B186" s="26" t="s">
        <v>192</v>
      </c>
      <c r="C186" s="26" t="s">
        <v>208</v>
      </c>
      <c r="D186" s="27" t="s">
        <v>193</v>
      </c>
      <c r="E186" s="40">
        <v>231297.18000000052</v>
      </c>
      <c r="F186" s="42"/>
      <c r="G186" s="42"/>
      <c r="H186" s="42"/>
      <c r="I186" s="42"/>
      <c r="J186" s="42"/>
      <c r="K186" s="69">
        <f t="shared" si="36"/>
        <v>0</v>
      </c>
      <c r="L186" s="40">
        <f>M186+P186</f>
        <v>0</v>
      </c>
      <c r="M186" s="42"/>
      <c r="N186" s="42"/>
      <c r="O186" s="42"/>
      <c r="P186" s="42"/>
      <c r="Q186" s="67">
        <f>R186+U186</f>
        <v>0</v>
      </c>
      <c r="R186" s="42"/>
      <c r="S186" s="42"/>
      <c r="T186" s="42"/>
      <c r="U186" s="42"/>
      <c r="V186" s="83"/>
      <c r="W186" s="40">
        <f>H186+Q186</f>
        <v>0</v>
      </c>
      <c r="X186" s="120"/>
    </row>
    <row r="187" spans="1:24" s="25" customFormat="1" ht="15">
      <c r="A187" s="23"/>
      <c r="B187" s="26" t="s">
        <v>246</v>
      </c>
      <c r="C187" s="26" t="s">
        <v>243</v>
      </c>
      <c r="D187" s="27" t="s">
        <v>247</v>
      </c>
      <c r="E187" s="40">
        <v>55480900</v>
      </c>
      <c r="F187" s="42"/>
      <c r="G187" s="42"/>
      <c r="H187" s="63">
        <v>55480900</v>
      </c>
      <c r="I187" s="63"/>
      <c r="J187" s="63"/>
      <c r="K187" s="69">
        <f t="shared" si="36"/>
        <v>100</v>
      </c>
      <c r="L187" s="40">
        <f>M187+P187</f>
        <v>0</v>
      </c>
      <c r="M187" s="42"/>
      <c r="N187" s="42"/>
      <c r="O187" s="42"/>
      <c r="P187" s="42"/>
      <c r="Q187" s="67">
        <f>R187+U187</f>
        <v>0</v>
      </c>
      <c r="R187" s="42"/>
      <c r="S187" s="42"/>
      <c r="T187" s="42"/>
      <c r="U187" s="42"/>
      <c r="V187" s="83"/>
      <c r="W187" s="40">
        <f>H187+Q187</f>
        <v>55480900</v>
      </c>
      <c r="X187" s="120"/>
    </row>
    <row r="188" spans="1:24" s="25" customFormat="1" ht="15">
      <c r="A188" s="23"/>
      <c r="B188" s="26" t="s">
        <v>248</v>
      </c>
      <c r="C188" s="26" t="s">
        <v>243</v>
      </c>
      <c r="D188" s="27" t="s">
        <v>257</v>
      </c>
      <c r="E188" s="40">
        <v>141957</v>
      </c>
      <c r="F188" s="42"/>
      <c r="G188" s="42"/>
      <c r="H188" s="63">
        <v>141957</v>
      </c>
      <c r="I188" s="63"/>
      <c r="J188" s="63"/>
      <c r="K188" s="69">
        <f t="shared" si="36"/>
        <v>100</v>
      </c>
      <c r="L188" s="40">
        <f>M188+P188</f>
        <v>0</v>
      </c>
      <c r="M188" s="42"/>
      <c r="N188" s="42"/>
      <c r="O188" s="42"/>
      <c r="P188" s="42"/>
      <c r="Q188" s="67">
        <f>R188+U188</f>
        <v>0</v>
      </c>
      <c r="R188" s="42"/>
      <c r="S188" s="42"/>
      <c r="T188" s="42"/>
      <c r="U188" s="42"/>
      <c r="V188" s="83"/>
      <c r="W188" s="40">
        <f>H188+Q188</f>
        <v>141957</v>
      </c>
      <c r="X188" s="120"/>
    </row>
    <row r="189" spans="1:24" s="25" customFormat="1" ht="15">
      <c r="A189" s="23"/>
      <c r="B189" s="26" t="s">
        <v>194</v>
      </c>
      <c r="C189" s="26" t="s">
        <v>243</v>
      </c>
      <c r="D189" s="38" t="s">
        <v>195</v>
      </c>
      <c r="E189" s="40">
        <v>115400</v>
      </c>
      <c r="F189" s="42"/>
      <c r="G189" s="42"/>
      <c r="H189" s="63">
        <v>114507.8</v>
      </c>
      <c r="I189" s="63"/>
      <c r="J189" s="63"/>
      <c r="K189" s="69">
        <f t="shared" si="36"/>
        <v>99.22686308492202</v>
      </c>
      <c r="L189" s="40">
        <f>M189+P189</f>
        <v>8926218</v>
      </c>
      <c r="M189" s="42"/>
      <c r="N189" s="42"/>
      <c r="O189" s="42"/>
      <c r="P189" s="63">
        <f>1490500+286218+1064508.51+900000-1815008.51+7000000</f>
        <v>8926218</v>
      </c>
      <c r="Q189" s="67">
        <f>R189+U189</f>
        <v>8902962.89</v>
      </c>
      <c r="R189" s="40"/>
      <c r="S189" s="40"/>
      <c r="T189" s="40"/>
      <c r="U189" s="40">
        <v>8902962.89</v>
      </c>
      <c r="V189" s="83">
        <f t="shared" si="41"/>
        <v>99.73947409754054</v>
      </c>
      <c r="W189" s="40">
        <f>H189+Q189</f>
        <v>9017470.690000001</v>
      </c>
      <c r="X189" s="120"/>
    </row>
    <row r="190" spans="1:24" s="25" customFormat="1" ht="60">
      <c r="A190" s="23"/>
      <c r="B190" s="26" t="s">
        <v>305</v>
      </c>
      <c r="C190" s="26" t="s">
        <v>243</v>
      </c>
      <c r="D190" s="38" t="s">
        <v>306</v>
      </c>
      <c r="E190" s="40">
        <v>46162</v>
      </c>
      <c r="F190" s="42"/>
      <c r="G190" s="42"/>
      <c r="H190" s="63">
        <v>37446.36</v>
      </c>
      <c r="I190" s="63"/>
      <c r="J190" s="63"/>
      <c r="K190" s="69">
        <f t="shared" si="36"/>
        <v>81.11944889736147</v>
      </c>
      <c r="L190" s="40">
        <f>M190+P190</f>
        <v>0</v>
      </c>
      <c r="M190" s="42"/>
      <c r="N190" s="42"/>
      <c r="O190" s="42"/>
      <c r="P190" s="40"/>
      <c r="Q190" s="67">
        <f>R190+U190</f>
        <v>0</v>
      </c>
      <c r="R190" s="40"/>
      <c r="S190" s="40"/>
      <c r="T190" s="40"/>
      <c r="U190" s="40"/>
      <c r="V190" s="83"/>
      <c r="W190" s="40">
        <f>H190+Q190</f>
        <v>37446.36</v>
      </c>
      <c r="X190" s="120"/>
    </row>
    <row r="191" spans="1:24" s="25" customFormat="1" ht="15">
      <c r="A191" s="23"/>
      <c r="B191" s="30"/>
      <c r="C191" s="30"/>
      <c r="D191" s="31" t="s">
        <v>196</v>
      </c>
      <c r="E191" s="42">
        <f aca="true" t="shared" si="50" ref="E191:J191">E14+E45+E64+E75+E125+E128+E134+E156+E160+E172+E180+E183+E185+E178</f>
        <v>1351948387.01</v>
      </c>
      <c r="F191" s="42">
        <f t="shared" si="50"/>
        <v>371827877.28999996</v>
      </c>
      <c r="G191" s="42">
        <f t="shared" si="50"/>
        <v>80200577.34</v>
      </c>
      <c r="H191" s="42">
        <f t="shared" si="50"/>
        <v>1306258950.59</v>
      </c>
      <c r="I191" s="42">
        <f t="shared" si="50"/>
        <v>371672622.09</v>
      </c>
      <c r="J191" s="42">
        <f t="shared" si="50"/>
        <v>75721321.08000003</v>
      </c>
      <c r="K191" s="70">
        <f t="shared" si="36"/>
        <v>96.6204748007394</v>
      </c>
      <c r="L191" s="42">
        <f aca="true" t="shared" si="51" ref="L191:U191">L14+L45+L64+L75+L125+L128+L134+L156+L160+L172+L180+L183+L185+L178</f>
        <v>354152274.40999997</v>
      </c>
      <c r="M191" s="42">
        <f t="shared" si="51"/>
        <v>37195837.42</v>
      </c>
      <c r="N191" s="42">
        <f t="shared" si="51"/>
        <v>6754958</v>
      </c>
      <c r="O191" s="42">
        <f t="shared" si="51"/>
        <v>571550</v>
      </c>
      <c r="P191" s="42">
        <f t="shared" si="51"/>
        <v>316956436.99</v>
      </c>
      <c r="Q191" s="42">
        <f t="shared" si="51"/>
        <v>314961988.78999996</v>
      </c>
      <c r="R191" s="42">
        <f t="shared" si="51"/>
        <v>54943278.81000001</v>
      </c>
      <c r="S191" s="42">
        <f t="shared" si="51"/>
        <v>7829219.41</v>
      </c>
      <c r="T191" s="42">
        <f t="shared" si="51"/>
        <v>597715.2599999999</v>
      </c>
      <c r="U191" s="42">
        <f t="shared" si="51"/>
        <v>260018709.98000002</v>
      </c>
      <c r="V191" s="70">
        <f t="shared" si="41"/>
        <v>88.93405790340071</v>
      </c>
      <c r="W191" s="42">
        <f>W14+W45+W64+W75+W125+W128+W134+W156+W160+W172+W180+W183+W185+W178</f>
        <v>1621220939.3799999</v>
      </c>
      <c r="X191" s="120"/>
    </row>
    <row r="192" spans="1:24" s="15" customFormat="1" ht="12.75">
      <c r="A192" s="16"/>
      <c r="B192" s="16"/>
      <c r="C192" s="16"/>
      <c r="D192" s="16"/>
      <c r="E192" s="44"/>
      <c r="F192" s="44"/>
      <c r="G192" s="44"/>
      <c r="H192" s="44"/>
      <c r="I192" s="44"/>
      <c r="J192" s="44"/>
      <c r="K192" s="44"/>
      <c r="L192" s="44"/>
      <c r="M192" s="44"/>
      <c r="N192" s="44"/>
      <c r="O192" s="44"/>
      <c r="P192" s="44"/>
      <c r="Q192" s="44"/>
      <c r="R192" s="44"/>
      <c r="S192" s="44"/>
      <c r="T192" s="44"/>
      <c r="U192" s="44"/>
      <c r="V192" s="44"/>
      <c r="W192" s="44"/>
      <c r="X192" s="120"/>
    </row>
    <row r="193" spans="1:24" s="15" customFormat="1" ht="12.75">
      <c r="A193" s="16"/>
      <c r="B193" s="16"/>
      <c r="C193" s="16"/>
      <c r="D193" s="16"/>
      <c r="E193" s="44"/>
      <c r="F193" s="44"/>
      <c r="G193" s="44"/>
      <c r="H193" s="44"/>
      <c r="I193" s="44"/>
      <c r="J193" s="44"/>
      <c r="K193" s="44"/>
      <c r="L193" s="44"/>
      <c r="M193" s="44"/>
      <c r="N193" s="44"/>
      <c r="O193" s="44"/>
      <c r="P193" s="44"/>
      <c r="Q193" s="44"/>
      <c r="R193" s="44"/>
      <c r="S193" s="44"/>
      <c r="T193" s="44"/>
      <c r="U193" s="44"/>
      <c r="V193" s="44"/>
      <c r="W193" s="44"/>
      <c r="X193" s="120"/>
    </row>
    <row r="194" spans="1:24" s="15" customFormat="1" ht="37.5" customHeight="1">
      <c r="A194" s="16"/>
      <c r="B194" s="16"/>
      <c r="C194" s="16"/>
      <c r="D194" s="16"/>
      <c r="E194" s="44"/>
      <c r="F194" s="44"/>
      <c r="G194" s="44"/>
      <c r="H194" s="44"/>
      <c r="I194" s="44"/>
      <c r="J194" s="44"/>
      <c r="K194" s="44"/>
      <c r="L194" s="44"/>
      <c r="M194" s="44"/>
      <c r="N194" s="44"/>
      <c r="O194" s="44"/>
      <c r="P194" s="44"/>
      <c r="Q194" s="44"/>
      <c r="R194" s="44"/>
      <c r="S194" s="44"/>
      <c r="T194" s="44"/>
      <c r="U194" s="44"/>
      <c r="V194" s="44"/>
      <c r="W194" s="44"/>
      <c r="X194" s="120"/>
    </row>
    <row r="195" spans="1:24" s="85" customFormat="1" ht="24" customHeight="1">
      <c r="A195" s="80"/>
      <c r="B195" s="123" t="s">
        <v>266</v>
      </c>
      <c r="C195" s="123"/>
      <c r="D195" s="123"/>
      <c r="E195" s="81"/>
      <c r="F195" s="82"/>
      <c r="G195" s="82"/>
      <c r="H195" s="95"/>
      <c r="I195" s="95"/>
      <c r="J195" s="95"/>
      <c r="K195" s="82"/>
      <c r="L195" s="82"/>
      <c r="M195" s="82"/>
      <c r="N195" s="82"/>
      <c r="O195" s="97" t="s">
        <v>267</v>
      </c>
      <c r="P195" s="97"/>
      <c r="Q195" s="97"/>
      <c r="R195" s="97"/>
      <c r="S195" s="82"/>
      <c r="T195" s="82"/>
      <c r="U195" s="82"/>
      <c r="V195" s="82"/>
      <c r="W195" s="84"/>
      <c r="X195" s="120"/>
    </row>
    <row r="196" spans="1:24" s="11" customFormat="1" ht="23.25">
      <c r="A196" s="8"/>
      <c r="B196" s="121"/>
      <c r="C196" s="121"/>
      <c r="D196" s="9"/>
      <c r="E196" s="10"/>
      <c r="F196" s="10"/>
      <c r="G196" s="10"/>
      <c r="H196" s="10"/>
      <c r="I196" s="10"/>
      <c r="J196" s="90"/>
      <c r="K196" s="10"/>
      <c r="L196" s="10"/>
      <c r="M196" s="10"/>
      <c r="N196" s="122"/>
      <c r="O196" s="122"/>
      <c r="P196" s="122"/>
      <c r="Q196" s="58"/>
      <c r="R196" s="58"/>
      <c r="S196" s="58"/>
      <c r="T196" s="58"/>
      <c r="U196" s="58"/>
      <c r="V196" s="58"/>
      <c r="W196" s="8"/>
      <c r="X196" s="120"/>
    </row>
    <row r="197" spans="1:24" s="50" customFormat="1" ht="26.25">
      <c r="A197" s="49"/>
      <c r="B197" s="11" t="s">
        <v>298</v>
      </c>
      <c r="C197" s="86"/>
      <c r="D197" s="86"/>
      <c r="E197" s="86"/>
      <c r="F197" s="86"/>
      <c r="G197" s="86"/>
      <c r="H197" s="86"/>
      <c r="I197" s="86"/>
      <c r="J197" s="91"/>
      <c r="K197" s="86"/>
      <c r="L197" s="86"/>
      <c r="M197" s="86"/>
      <c r="N197" s="86"/>
      <c r="O197" s="86"/>
      <c r="P197" s="49"/>
      <c r="Q197" s="49"/>
      <c r="R197" s="49"/>
      <c r="S197" s="49"/>
      <c r="T197" s="49"/>
      <c r="U197" s="49"/>
      <c r="V197" s="49"/>
      <c r="W197" s="49"/>
      <c r="X197" s="120"/>
    </row>
    <row r="198" spans="1:24" s="11" customFormat="1" ht="23.25">
      <c r="A198" s="8"/>
      <c r="D198" s="12"/>
      <c r="J198" s="92"/>
      <c r="P198" s="8"/>
      <c r="Q198" s="8"/>
      <c r="R198" s="8"/>
      <c r="S198" s="8"/>
      <c r="T198" s="8"/>
      <c r="U198" s="8"/>
      <c r="V198" s="8"/>
      <c r="W198" s="8"/>
      <c r="X198" s="53"/>
    </row>
    <row r="199" spans="1:24" s="7" customFormat="1" ht="23.25">
      <c r="A199" s="6"/>
      <c r="B199" s="17"/>
      <c r="C199" s="8"/>
      <c r="D199" s="8"/>
      <c r="E199" s="8"/>
      <c r="F199" s="8"/>
      <c r="G199" s="8"/>
      <c r="H199" s="8"/>
      <c r="I199" s="8"/>
      <c r="J199" s="93"/>
      <c r="K199" s="8"/>
      <c r="L199" s="8"/>
      <c r="M199" s="8"/>
      <c r="N199" s="8"/>
      <c r="O199" s="8"/>
      <c r="P199" s="8"/>
      <c r="Q199" s="8"/>
      <c r="R199" s="8"/>
      <c r="S199" s="8"/>
      <c r="T199" s="8"/>
      <c r="U199" s="8"/>
      <c r="V199" s="8"/>
      <c r="W199" s="6"/>
      <c r="X199" s="53"/>
    </row>
    <row r="200" ht="12.75">
      <c r="X200" s="53"/>
    </row>
    <row r="201" ht="12.75">
      <c r="X201" s="53"/>
    </row>
    <row r="202" ht="12.75">
      <c r="X202" s="53"/>
    </row>
    <row r="203" ht="12.75">
      <c r="X203" s="53"/>
    </row>
    <row r="204" ht="12.75">
      <c r="X204" s="53"/>
    </row>
    <row r="205" ht="12.75">
      <c r="X205" s="53"/>
    </row>
    <row r="206" ht="12.75">
      <c r="X206" s="53"/>
    </row>
    <row r="207" ht="12.75">
      <c r="X207" s="53"/>
    </row>
    <row r="208" ht="12.75">
      <c r="X208" s="53"/>
    </row>
    <row r="209" ht="12.75">
      <c r="X209" s="53"/>
    </row>
    <row r="210" ht="12.75">
      <c r="X210" s="53"/>
    </row>
    <row r="211" ht="12.75">
      <c r="X211" s="53"/>
    </row>
    <row r="212" ht="12.75">
      <c r="X212" s="53"/>
    </row>
    <row r="213" ht="12.75">
      <c r="X213" s="53"/>
    </row>
    <row r="214" ht="12.75">
      <c r="X214" s="53"/>
    </row>
    <row r="215" ht="12.75">
      <c r="X215" s="53"/>
    </row>
    <row r="216" ht="12.75">
      <c r="X216" s="53"/>
    </row>
    <row r="217" ht="12.75">
      <c r="X217" s="53"/>
    </row>
    <row r="218" ht="12.75">
      <c r="X218" s="53"/>
    </row>
    <row r="219" ht="12.75">
      <c r="X219" s="53"/>
    </row>
    <row r="220" ht="12.75">
      <c r="X220" s="53"/>
    </row>
  </sheetData>
  <sheetProtection/>
  <mergeCells count="57">
    <mergeCell ref="N12:N13"/>
    <mergeCell ref="B196:C196"/>
    <mergeCell ref="N196:P196"/>
    <mergeCell ref="B195:D195"/>
    <mergeCell ref="D85:D86"/>
    <mergeCell ref="X106:X122"/>
    <mergeCell ref="X172:X197"/>
    <mergeCell ref="X149:X171"/>
    <mergeCell ref="X123:X145"/>
    <mergeCell ref="X89:X93"/>
    <mergeCell ref="X94:X105"/>
    <mergeCell ref="X30:X51"/>
    <mergeCell ref="X52:X72"/>
    <mergeCell ref="X73:X78"/>
    <mergeCell ref="X79:X81"/>
    <mergeCell ref="X1:X29"/>
    <mergeCell ref="X85:X88"/>
    <mergeCell ref="X82:X84"/>
    <mergeCell ref="B7:W7"/>
    <mergeCell ref="B9:B13"/>
    <mergeCell ref="C9:C13"/>
    <mergeCell ref="L11:L13"/>
    <mergeCell ref="P11:P13"/>
    <mergeCell ref="F11:G11"/>
    <mergeCell ref="W9:W13"/>
    <mergeCell ref="Q11:Q13"/>
    <mergeCell ref="D81:D82"/>
    <mergeCell ref="N11:O11"/>
    <mergeCell ref="D9:D13"/>
    <mergeCell ref="F12:F13"/>
    <mergeCell ref="E11:E13"/>
    <mergeCell ref="M11:M13"/>
    <mergeCell ref="G12:G13"/>
    <mergeCell ref="O12:O13"/>
    <mergeCell ref="E10:G10"/>
    <mergeCell ref="H10:J10"/>
    <mergeCell ref="E9:J9"/>
    <mergeCell ref="K9:K13"/>
    <mergeCell ref="H11:H13"/>
    <mergeCell ref="I11:J11"/>
    <mergeCell ref="I12:I13"/>
    <mergeCell ref="J12:J13"/>
    <mergeCell ref="R11:R13"/>
    <mergeCell ref="S11:T11"/>
    <mergeCell ref="U11:U13"/>
    <mergeCell ref="S12:S13"/>
    <mergeCell ref="T12:T13"/>
    <mergeCell ref="R5:W5"/>
    <mergeCell ref="O195:R195"/>
    <mergeCell ref="R1:W1"/>
    <mergeCell ref="R2:W2"/>
    <mergeCell ref="R3:W3"/>
    <mergeCell ref="R4:W4"/>
    <mergeCell ref="L9:U9"/>
    <mergeCell ref="L10:P10"/>
    <mergeCell ref="Q10:U10"/>
    <mergeCell ref="V9:V13"/>
  </mergeCells>
  <printOptions horizontalCentered="1"/>
  <pageMargins left="0.2" right="0.2" top="1.03" bottom="0.4330708661417323" header="0.35433070866141736" footer="0.2362204724409449"/>
  <pageSetup fitToHeight="100" horizontalDpi="300" verticalDpi="300" orientation="landscape" paperSize="9" scale="44" r:id="rId1"/>
  <headerFooter alignWithMargins="0">
    <oddFooter>&amp;RСторінка &amp;P</oddFooter>
  </headerFooter>
  <rowBreaks count="1" manualBreakCount="1">
    <brk id="188" min="1" max="2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2016-02-24T14:26:25Z</cp:lastPrinted>
  <dcterms:created xsi:type="dcterms:W3CDTF">2014-01-17T10:52:16Z</dcterms:created>
  <dcterms:modified xsi:type="dcterms:W3CDTF">2016-02-24T14:26:29Z</dcterms:modified>
  <cp:category/>
  <cp:version/>
  <cp:contentType/>
  <cp:contentStatus/>
</cp:coreProperties>
</file>