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22980" windowHeight="9408" tabRatio="756"/>
  </bookViews>
  <sheets>
    <sheet name="№1 ВКВ" sheetId="2" r:id="rId1"/>
    <sheet name="№2 ПТМ ХВО" sheetId="5" r:id="rId2"/>
    <sheet name="инвест программа всего" sheetId="3" r:id="rId3"/>
  </sheets>
  <definedNames>
    <definedName name="_xlnm.Print_Area" localSheetId="0">'№1 ВКВ'!$A$1:$K$43</definedName>
    <definedName name="_xlnm.Print_Area" localSheetId="1">'№2 ПТМ ХВО'!$A$1:$K$43</definedName>
    <definedName name="_xlnm.Print_Area" localSheetId="2">'инвест программа всего'!$A$1:$K$44</definedName>
  </definedNames>
  <calcPr calcId="145621"/>
</workbook>
</file>

<file path=xl/calcChain.xml><?xml version="1.0" encoding="utf-8"?>
<calcChain xmlns="http://schemas.openxmlformats.org/spreadsheetml/2006/main">
  <c r="E40" i="3" l="1"/>
  <c r="A25" i="3" l="1"/>
  <c r="A26" i="3" s="1"/>
  <c r="A27" i="3" s="1"/>
  <c r="A28" i="3" s="1"/>
  <c r="A29" i="3" s="1"/>
  <c r="F19" i="3"/>
  <c r="B26" i="5" l="1"/>
  <c r="B27" i="5" s="1"/>
  <c r="B28" i="5" s="1"/>
  <c r="B29" i="5" s="1"/>
  <c r="A26" i="5"/>
  <c r="A27" i="5" s="1"/>
  <c r="A28" i="5" s="1"/>
  <c r="A29" i="5" s="1"/>
  <c r="C25" i="5"/>
  <c r="I19" i="5"/>
  <c r="I20" i="5" s="1"/>
  <c r="D29" i="5" l="1"/>
  <c r="D28" i="5"/>
  <c r="D27" i="5"/>
  <c r="D26" i="5"/>
  <c r="D25" i="5"/>
  <c r="G25" i="5"/>
  <c r="H25" i="5" s="1"/>
  <c r="G26" i="5"/>
  <c r="G27" i="5"/>
  <c r="G28" i="5"/>
  <c r="G29" i="5"/>
  <c r="H26" i="5" l="1"/>
  <c r="H27" i="5" s="1"/>
  <c r="H28" i="5" s="1"/>
  <c r="H29" i="5" s="1"/>
  <c r="E25" i="5"/>
  <c r="F25" i="5" s="1"/>
  <c r="I25" i="5" s="1"/>
  <c r="J25" i="5" s="1"/>
  <c r="E27" i="5"/>
  <c r="F27" i="5" s="1"/>
  <c r="I27" i="5" s="1"/>
  <c r="J27" i="5" s="1"/>
  <c r="E29" i="5"/>
  <c r="F29" i="5" s="1"/>
  <c r="I29" i="5" s="1"/>
  <c r="J29" i="5" s="1"/>
  <c r="E26" i="5"/>
  <c r="F26" i="5" s="1"/>
  <c r="I26" i="5" s="1"/>
  <c r="J26" i="5" s="1"/>
  <c r="E28" i="5"/>
  <c r="F28" i="5" s="1"/>
  <c r="I28" i="5" s="1"/>
  <c r="J28" i="5" s="1"/>
  <c r="I33" i="5" l="1"/>
  <c r="K25" i="5"/>
  <c r="K26" i="5" s="1"/>
  <c r="K27" i="5" s="1"/>
  <c r="K28" i="5" s="1"/>
  <c r="K29" i="5" s="1"/>
  <c r="I32" i="5" s="1"/>
  <c r="I34" i="5" s="1"/>
  <c r="I19" i="2" l="1"/>
  <c r="H19" i="3" l="1"/>
  <c r="I19" i="3" s="1"/>
  <c r="I10" i="3"/>
  <c r="I9" i="3"/>
  <c r="B26" i="3" l="1"/>
  <c r="B27" i="3" s="1"/>
  <c r="B28" i="3" s="1"/>
  <c r="B29" i="3" s="1"/>
  <c r="C25" i="3"/>
  <c r="I20" i="3" l="1"/>
  <c r="D29" i="3" s="1"/>
  <c r="G25" i="3"/>
  <c r="H25" i="3" s="1"/>
  <c r="H26" i="3" s="1"/>
  <c r="G26" i="3"/>
  <c r="G27" i="3"/>
  <c r="G28" i="3"/>
  <c r="G29" i="3"/>
  <c r="D26" i="3" l="1"/>
  <c r="E26" i="3" s="1"/>
  <c r="F26" i="3" s="1"/>
  <c r="I26" i="3" s="1"/>
  <c r="J26" i="3" s="1"/>
  <c r="D28" i="3"/>
  <c r="E28" i="3" s="1"/>
  <c r="F28" i="3" s="1"/>
  <c r="I28" i="3" s="1"/>
  <c r="J28" i="3" s="1"/>
  <c r="D25" i="3"/>
  <c r="E25" i="3" s="1"/>
  <c r="F25" i="3" s="1"/>
  <c r="I25" i="3" s="1"/>
  <c r="D27" i="3"/>
  <c r="E27" i="3" s="1"/>
  <c r="F27" i="3" s="1"/>
  <c r="I27" i="3" s="1"/>
  <c r="J27" i="3" s="1"/>
  <c r="H27" i="3"/>
  <c r="H28" i="3" s="1"/>
  <c r="H29" i="3" s="1"/>
  <c r="E29" i="3"/>
  <c r="F29" i="3" s="1"/>
  <c r="I29" i="3" s="1"/>
  <c r="J29" i="3" s="1"/>
  <c r="I34" i="3" l="1"/>
  <c r="J25" i="3"/>
  <c r="I33" i="3" s="1"/>
  <c r="I20" i="2"/>
  <c r="K25" i="3" l="1"/>
  <c r="K26" i="3" s="1"/>
  <c r="K27" i="3" s="1"/>
  <c r="K28" i="3" s="1"/>
  <c r="K29" i="3" s="1"/>
  <c r="I32" i="3" s="1"/>
  <c r="I35" i="3" s="1"/>
  <c r="B26" i="2" l="1"/>
  <c r="B27" i="2" s="1"/>
  <c r="B28" i="2" s="1"/>
  <c r="B29" i="2" s="1"/>
  <c r="A26" i="2"/>
  <c r="A27" i="2" s="1"/>
  <c r="A28" i="2" s="1"/>
  <c r="A29" i="2" s="1"/>
  <c r="C25" i="2" l="1"/>
  <c r="D25" i="2"/>
  <c r="G27" i="2" l="1"/>
  <c r="G29" i="2"/>
  <c r="G26" i="2"/>
  <c r="G28" i="2"/>
  <c r="G25" i="2"/>
  <c r="H25" i="2" s="1"/>
  <c r="H26" i="2" s="1"/>
  <c r="H27" i="2" s="1"/>
  <c r="D27" i="2"/>
  <c r="D29" i="2"/>
  <c r="D26" i="2"/>
  <c r="D28" i="2"/>
  <c r="E26" i="2" l="1"/>
  <c r="F26" i="2" s="1"/>
  <c r="E27" i="2"/>
  <c r="E28" i="2"/>
  <c r="E29" i="2"/>
  <c r="E25" i="2"/>
  <c r="F25" i="2" s="1"/>
  <c r="I25" i="2" s="1"/>
  <c r="J25" i="2" l="1"/>
  <c r="I26" i="2"/>
  <c r="J26" i="2" s="1"/>
  <c r="I33" i="2" l="1"/>
  <c r="K25" i="2"/>
  <c r="F27" i="2"/>
  <c r="I27" i="2" s="1"/>
  <c r="J27" i="2" s="1"/>
  <c r="K26" i="2"/>
  <c r="H28" i="2" l="1"/>
  <c r="K27" i="2"/>
  <c r="F28" i="2" l="1"/>
  <c r="I28" i="2" s="1"/>
  <c r="J28" i="2" l="1"/>
  <c r="K28" i="2" l="1"/>
  <c r="H29" i="2"/>
  <c r="F29" i="2"/>
  <c r="I29" i="2" s="1"/>
  <c r="J29" i="2" l="1"/>
  <c r="K29" i="2" s="1"/>
  <c r="I32" i="2" s="1"/>
  <c r="I34" i="2" s="1"/>
</calcChain>
</file>

<file path=xl/sharedStrings.xml><?xml version="1.0" encoding="utf-8"?>
<sst xmlns="http://schemas.openxmlformats.org/spreadsheetml/2006/main" count="143" uniqueCount="50">
  <si>
    <t>%</t>
  </si>
  <si>
    <t>Выводы:</t>
  </si>
  <si>
    <t>Ставка амортизации</t>
  </si>
  <si>
    <t>Технічне переоснащення насосного  устаткування з заміною насосних агрегатів контуру вапняно-коагульованої води хімічного водоочищення</t>
  </si>
  <si>
    <t>Технічне переоснащення насосного  устаткування з заміною насосних агрегатів контуру підживлення теплових мереж ХВО</t>
  </si>
  <si>
    <t xml:space="preserve">Елементи витрат </t>
  </si>
  <si>
    <t>Абсолютна економія, кВт*год</t>
  </si>
  <si>
    <t>Економія, грн.</t>
  </si>
  <si>
    <t xml:space="preserve">Найменування  заходу </t>
  </si>
  <si>
    <t xml:space="preserve">Одиниця  виміру </t>
  </si>
  <si>
    <t>тис.грн.</t>
  </si>
  <si>
    <t xml:space="preserve">Значення </t>
  </si>
  <si>
    <t>№ п/з</t>
  </si>
  <si>
    <t>Інвестиції без ПДВ</t>
  </si>
  <si>
    <t>Ставка дисконтування</t>
  </si>
  <si>
    <t>Ставка податку на прибуток</t>
  </si>
  <si>
    <t>Вихідні  дані для розрахунку</t>
  </si>
  <si>
    <t>Розрахунок ефективності інвестиційного проекту</t>
  </si>
  <si>
    <t xml:space="preserve">Розрахунок  річної  економії  ресурсів </t>
  </si>
  <si>
    <t>Вартість, 
грн. за кВт*год</t>
  </si>
  <si>
    <t>Разом</t>
  </si>
  <si>
    <t>тис. грн.</t>
  </si>
  <si>
    <t>Інвестиції</t>
  </si>
  <si>
    <t>Прибуток</t>
  </si>
  <si>
    <t>Рік</t>
  </si>
  <si>
    <t>Період</t>
  </si>
  <si>
    <t>Податок  на прибуток</t>
  </si>
  <si>
    <t>Чистий 
 прибуток</t>
  </si>
  <si>
    <t>Амортизація</t>
  </si>
  <si>
    <t>Остаточна вартість</t>
  </si>
  <si>
    <t>Чистий грошовий потік</t>
  </si>
  <si>
    <t>Дисконтирований  грошовий потік</t>
  </si>
  <si>
    <t xml:space="preserve">Чиста  приведена  вартість </t>
  </si>
  <si>
    <t>1. Чиста  приведена  вартість  (NPV )  за 5 років:</t>
  </si>
  <si>
    <t>2. Період окупності (DPP) :</t>
  </si>
  <si>
    <t>3. Індекс рентабельності за 5 років:</t>
  </si>
  <si>
    <t xml:space="preserve">       Примітка: Розрахунок економічної ефективності інвестиційного проекту проводився за даними,</t>
  </si>
  <si>
    <t xml:space="preserve">наданими ДКППВ. </t>
  </si>
  <si>
    <t>Дата проведення розрахунку</t>
  </si>
  <si>
    <t>Висновки:</t>
  </si>
  <si>
    <t>Електроенергія, кВт*годин</t>
  </si>
  <si>
    <t>Розрахунок чистої  приведенної  вартості  (NPV) та строк окупності  проекту</t>
  </si>
  <si>
    <t>Розрахунок  чистої  приведенної  вартості  (NPV) та строк окупності  проекту</t>
  </si>
  <si>
    <t>3. Внутрішня норма доходності (IRR)</t>
  </si>
  <si>
    <t>4. Індекс рентабельності за 5 років:</t>
  </si>
  <si>
    <t>К. М. ДЕРМЕЛЬОВ</t>
  </si>
  <si>
    <t>Головний інженер ТОВ КППВ</t>
  </si>
  <si>
    <t>років</t>
  </si>
  <si>
    <t xml:space="preserve">Розрахунок ефективності інвестиційного програми </t>
  </si>
  <si>
    <t>ТОВ "КППВ" на 2021-2022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</si>
</sst>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#,##0.0"/>
    <numFmt numFmtId="166" formatCode="0.0"/>
    <numFmt numFmtId="167" formatCode="#,##0.00000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164" fontId="3" fillId="0" borderId="0" xfId="1" applyFont="1" applyAlignment="1"/>
    <xf numFmtId="0" fontId="3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4" fontId="4" fillId="0" borderId="0" xfId="0" applyNumberFormat="1" applyFont="1" applyBorder="1" applyAlignment="1">
      <alignment horizontal="center" wrapText="1"/>
    </xf>
    <xf numFmtId="0" fontId="8" fillId="0" borderId="0" xfId="0" applyFont="1"/>
    <xf numFmtId="2" fontId="8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/>
    <xf numFmtId="2" fontId="2" fillId="0" borderId="0" xfId="0" applyNumberFormat="1" applyFont="1"/>
    <xf numFmtId="165" fontId="8" fillId="0" borderId="0" xfId="0" applyNumberFormat="1" applyFont="1" applyBorder="1" applyAlignment="1">
      <alignment horizontal="center"/>
    </xf>
    <xf numFmtId="14" fontId="9" fillId="0" borderId="0" xfId="0" applyNumberFormat="1" applyFont="1"/>
    <xf numFmtId="0" fontId="9" fillId="0" borderId="0" xfId="0" applyFont="1"/>
    <xf numFmtId="0" fontId="4" fillId="0" borderId="0" xfId="0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65" fontId="2" fillId="0" borderId="0" xfId="0" applyNumberFormat="1" applyFont="1"/>
    <xf numFmtId="165" fontId="8" fillId="0" borderId="1" xfId="0" applyNumberFormat="1" applyFont="1" applyFill="1" applyBorder="1" applyAlignment="1">
      <alignment horizontal="right"/>
    </xf>
    <xf numFmtId="0" fontId="6" fillId="0" borderId="0" xfId="0" applyFont="1"/>
    <xf numFmtId="0" fontId="8" fillId="0" borderId="0" xfId="0" applyFont="1" applyAlignment="1">
      <alignment horizontal="right"/>
    </xf>
    <xf numFmtId="166" fontId="2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/>
    <xf numFmtId="0" fontId="7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/>
    <xf numFmtId="164" fontId="3" fillId="0" borderId="0" xfId="1" applyFont="1" applyFill="1" applyAlignment="1"/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right"/>
    </xf>
    <xf numFmtId="2" fontId="0" fillId="0" borderId="0" xfId="0" applyNumberFormat="1" applyFill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165" fontId="2" fillId="0" borderId="0" xfId="0" applyNumberFormat="1" applyFont="1" applyFill="1"/>
    <xf numFmtId="2" fontId="2" fillId="0" borderId="0" xfId="0" applyNumberFormat="1" applyFont="1" applyFill="1"/>
    <xf numFmtId="166" fontId="2" fillId="0" borderId="0" xfId="0" applyNumberFormat="1" applyFont="1" applyFill="1"/>
    <xf numFmtId="0" fontId="8" fillId="0" borderId="0" xfId="0" applyFont="1" applyFill="1"/>
    <xf numFmtId="0" fontId="9" fillId="0" borderId="0" xfId="0" applyFont="1" applyFill="1"/>
    <xf numFmtId="14" fontId="9" fillId="0" borderId="0" xfId="0" applyNumberFormat="1" applyFont="1" applyFill="1"/>
    <xf numFmtId="0" fontId="11" fillId="0" borderId="0" xfId="0" applyFont="1" applyFill="1"/>
    <xf numFmtId="0" fontId="12" fillId="0" borderId="0" xfId="0" applyFont="1" applyFill="1"/>
    <xf numFmtId="0" fontId="4" fillId="0" borderId="1" xfId="0" applyFont="1" applyBorder="1" applyAlignment="1">
      <alignment horizontal="center"/>
    </xf>
    <xf numFmtId="167" fontId="0" fillId="0" borderId="0" xfId="0" applyNumberFormat="1" applyFill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2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49" fontId="4" fillId="0" borderId="2" xfId="0" applyNumberFormat="1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 wrapText="1"/>
    </xf>
    <xf numFmtId="49" fontId="4" fillId="0" borderId="4" xfId="0" applyNumberFormat="1" applyFont="1" applyBorder="1" applyAlignment="1">
      <alignment horizontal="left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6" fontId="4" fillId="0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165" fontId="4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0" fillId="0" borderId="0" xfId="0" applyFont="1" applyFill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zoomScaleNormal="100" workbookViewId="0">
      <selection activeCell="O40" sqref="O40"/>
    </sheetView>
  </sheetViews>
  <sheetFormatPr defaultRowHeight="13.2" x14ac:dyDescent="0.25"/>
  <cols>
    <col min="1" max="1" width="6.109375" customWidth="1"/>
    <col min="2" max="2" width="7.88671875" customWidth="1"/>
    <col min="3" max="3" width="9" customWidth="1"/>
    <col min="4" max="4" width="10.33203125" customWidth="1"/>
    <col min="5" max="5" width="9.88671875" customWidth="1"/>
    <col min="6" max="6" width="10" customWidth="1"/>
    <col min="7" max="7" width="9" customWidth="1"/>
    <col min="8" max="8" width="11.88671875" customWidth="1"/>
    <col min="9" max="9" width="11.109375" customWidth="1"/>
    <col min="10" max="11" width="11" customWidth="1"/>
    <col min="12" max="12" width="12.109375" bestFit="1" customWidth="1"/>
  </cols>
  <sheetData>
    <row r="1" spans="1:12" ht="4.5" customHeight="1" x14ac:dyDescent="0.25"/>
    <row r="2" spans="1:12" s="26" customFormat="1" ht="17.399999999999999" x14ac:dyDescent="0.3">
      <c r="A2" s="106" t="s">
        <v>17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2" s="26" customFormat="1" ht="40.5" customHeight="1" x14ac:dyDescent="0.25">
      <c r="A3" s="107" t="s">
        <v>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18" x14ac:dyDescent="0.35">
      <c r="A5" s="90" t="s">
        <v>16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2" s="31" customFormat="1" ht="18.75" customHeight="1" x14ac:dyDescent="0.25">
      <c r="A7" s="29"/>
      <c r="B7" s="30" t="s">
        <v>12</v>
      </c>
      <c r="C7" s="108" t="s">
        <v>8</v>
      </c>
      <c r="D7" s="109"/>
      <c r="E7" s="109"/>
      <c r="F7" s="110"/>
      <c r="G7" s="108" t="s">
        <v>9</v>
      </c>
      <c r="H7" s="110"/>
      <c r="I7" s="108" t="s">
        <v>11</v>
      </c>
      <c r="J7" s="110"/>
      <c r="K7" s="29"/>
    </row>
    <row r="8" spans="1:12" ht="16.8" x14ac:dyDescent="0.3">
      <c r="A8" s="2"/>
      <c r="B8" s="23">
        <v>1</v>
      </c>
      <c r="C8" s="102" t="s">
        <v>13</v>
      </c>
      <c r="D8" s="103"/>
      <c r="E8" s="103"/>
      <c r="F8" s="104"/>
      <c r="G8" s="88" t="s">
        <v>10</v>
      </c>
      <c r="H8" s="88"/>
      <c r="I8" s="105">
        <v>144.41499999999999</v>
      </c>
      <c r="J8" s="105"/>
      <c r="L8" s="2"/>
    </row>
    <row r="9" spans="1:12" ht="16.8" x14ac:dyDescent="0.3">
      <c r="A9" s="2"/>
      <c r="B9" s="23">
        <v>2</v>
      </c>
      <c r="C9" s="101" t="s">
        <v>14</v>
      </c>
      <c r="D9" s="101"/>
      <c r="E9" s="101"/>
      <c r="F9" s="101"/>
      <c r="G9" s="88" t="s">
        <v>0</v>
      </c>
      <c r="H9" s="88"/>
      <c r="I9" s="89">
        <v>8</v>
      </c>
      <c r="J9" s="89"/>
      <c r="K9" s="3"/>
    </row>
    <row r="10" spans="1:12" ht="16.8" x14ac:dyDescent="0.3">
      <c r="A10" s="2"/>
      <c r="B10" s="23">
        <v>3</v>
      </c>
      <c r="C10" s="101" t="s">
        <v>15</v>
      </c>
      <c r="D10" s="101"/>
      <c r="E10" s="101"/>
      <c r="F10" s="101"/>
      <c r="G10" s="88" t="s">
        <v>0</v>
      </c>
      <c r="H10" s="88"/>
      <c r="I10" s="89">
        <v>18</v>
      </c>
      <c r="J10" s="89"/>
      <c r="K10" s="2"/>
    </row>
    <row r="11" spans="1:12" ht="16.8" hidden="1" x14ac:dyDescent="0.3">
      <c r="A11" s="2"/>
      <c r="B11" s="23"/>
      <c r="C11" s="96"/>
      <c r="D11" s="97"/>
      <c r="E11" s="97"/>
      <c r="F11" s="98"/>
      <c r="G11" s="88"/>
      <c r="H11" s="88"/>
      <c r="I11" s="99"/>
      <c r="J11" s="100"/>
      <c r="K11" s="2"/>
    </row>
    <row r="12" spans="1:12" ht="16.8" hidden="1" x14ac:dyDescent="0.3">
      <c r="A12" s="2"/>
      <c r="B12" s="23"/>
      <c r="C12" s="96"/>
      <c r="D12" s="97"/>
      <c r="E12" s="97"/>
      <c r="F12" s="98"/>
      <c r="G12" s="88"/>
      <c r="H12" s="88"/>
      <c r="I12" s="99"/>
      <c r="J12" s="100"/>
      <c r="K12" s="2"/>
    </row>
    <row r="13" spans="1:12" ht="16.8" hidden="1" x14ac:dyDescent="0.3">
      <c r="A13" s="2"/>
      <c r="B13" s="23"/>
      <c r="C13" s="96"/>
      <c r="D13" s="97"/>
      <c r="E13" s="97"/>
      <c r="F13" s="98"/>
      <c r="G13" s="88"/>
      <c r="H13" s="88"/>
      <c r="I13" s="99"/>
      <c r="J13" s="100"/>
      <c r="K13" s="2"/>
    </row>
    <row r="14" spans="1:12" ht="16.8" hidden="1" x14ac:dyDescent="0.3">
      <c r="A14" s="2"/>
      <c r="B14" s="23">
        <v>4</v>
      </c>
      <c r="C14" s="85" t="s">
        <v>2</v>
      </c>
      <c r="D14" s="86"/>
      <c r="E14" s="86"/>
      <c r="F14" s="87"/>
      <c r="G14" s="88" t="s">
        <v>0</v>
      </c>
      <c r="H14" s="88"/>
      <c r="I14" s="89">
        <v>20</v>
      </c>
      <c r="J14" s="89"/>
      <c r="K14" s="2"/>
    </row>
    <row r="15" spans="1:12" ht="16.8" x14ac:dyDescent="0.3">
      <c r="A15" s="2"/>
      <c r="B15" s="20"/>
      <c r="C15" s="20"/>
      <c r="D15" s="20"/>
      <c r="E15" s="20"/>
      <c r="F15" s="20"/>
      <c r="G15" s="20"/>
      <c r="H15" s="20"/>
      <c r="I15" s="21"/>
      <c r="J15" s="21"/>
      <c r="K15" s="2"/>
    </row>
    <row r="16" spans="1:12" ht="18" x14ac:dyDescent="0.35">
      <c r="A16" s="90" t="s">
        <v>18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</row>
    <row r="18" spans="1:12" s="68" customFormat="1" ht="49.2" customHeight="1" x14ac:dyDescent="0.25">
      <c r="B18" s="91" t="s">
        <v>5</v>
      </c>
      <c r="C18" s="92"/>
      <c r="D18" s="92"/>
      <c r="E18" s="93"/>
      <c r="F18" s="94" t="s">
        <v>6</v>
      </c>
      <c r="G18" s="94"/>
      <c r="H18" s="67" t="s">
        <v>19</v>
      </c>
      <c r="I18" s="95" t="s">
        <v>7</v>
      </c>
      <c r="J18" s="95"/>
    </row>
    <row r="19" spans="1:12" s="4" customFormat="1" ht="16.5" customHeight="1" x14ac:dyDescent="0.3">
      <c r="B19" s="78" t="s">
        <v>40</v>
      </c>
      <c r="C19" s="79"/>
      <c r="D19" s="79"/>
      <c r="E19" s="80"/>
      <c r="F19" s="81">
        <v>253572</v>
      </c>
      <c r="G19" s="82"/>
      <c r="H19" s="34">
        <v>2.57</v>
      </c>
      <c r="I19" s="83">
        <f>H19*F19</f>
        <v>651680.03999999992</v>
      </c>
      <c r="J19" s="84"/>
    </row>
    <row r="20" spans="1:12" s="5" customFormat="1" ht="16.8" x14ac:dyDescent="0.3">
      <c r="B20" s="70" t="s">
        <v>20</v>
      </c>
      <c r="C20" s="71"/>
      <c r="D20" s="71"/>
      <c r="E20" s="72"/>
      <c r="F20" s="73"/>
      <c r="G20" s="74"/>
      <c r="H20" s="33"/>
      <c r="I20" s="75">
        <f>SUM(I19:J19)</f>
        <v>651680.03999999992</v>
      </c>
      <c r="J20" s="76"/>
      <c r="L20" s="4"/>
    </row>
    <row r="21" spans="1:12" s="4" customFormat="1" ht="16.8" x14ac:dyDescent="0.3">
      <c r="B21" s="6"/>
      <c r="C21" s="6"/>
      <c r="D21" s="6"/>
      <c r="E21" s="6"/>
      <c r="F21" s="7"/>
      <c r="G21" s="7"/>
      <c r="H21" s="8"/>
      <c r="I21" s="9"/>
      <c r="J21" s="7"/>
    </row>
    <row r="22" spans="1:12" s="4" customFormat="1" ht="18" x14ac:dyDescent="0.35">
      <c r="A22" s="69" t="s">
        <v>42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2" ht="15.6" x14ac:dyDescent="0.3">
      <c r="K23" s="27" t="s">
        <v>21</v>
      </c>
    </row>
    <row r="24" spans="1:12" ht="95.25" customHeight="1" x14ac:dyDescent="0.25">
      <c r="A24" s="11" t="s">
        <v>24</v>
      </c>
      <c r="B24" s="11" t="s">
        <v>25</v>
      </c>
      <c r="C24" s="11" t="s">
        <v>22</v>
      </c>
      <c r="D24" s="11" t="s">
        <v>23</v>
      </c>
      <c r="E24" s="11" t="s">
        <v>26</v>
      </c>
      <c r="F24" s="11" t="s">
        <v>27</v>
      </c>
      <c r="G24" s="11" t="s">
        <v>28</v>
      </c>
      <c r="H24" s="11" t="s">
        <v>29</v>
      </c>
      <c r="I24" s="11" t="s">
        <v>30</v>
      </c>
      <c r="J24" s="11" t="s">
        <v>31</v>
      </c>
      <c r="K24" s="11" t="s">
        <v>32</v>
      </c>
      <c r="L24" s="12"/>
    </row>
    <row r="25" spans="1:12" ht="15.6" x14ac:dyDescent="0.3">
      <c r="A25" s="14">
        <v>2022</v>
      </c>
      <c r="B25" s="14">
        <v>0</v>
      </c>
      <c r="C25" s="22">
        <f>I8</f>
        <v>144.41499999999999</v>
      </c>
      <c r="D25" s="25">
        <f>$I$20/1000</f>
        <v>651.68003999999996</v>
      </c>
      <c r="E25" s="25">
        <f>(D25-G25)*$I$10/100</f>
        <v>112.10346719999998</v>
      </c>
      <c r="F25" s="25">
        <f>D25-E25</f>
        <v>539.57657280000001</v>
      </c>
      <c r="G25" s="22">
        <f>$C$25/5</f>
        <v>28.882999999999999</v>
      </c>
      <c r="H25" s="22">
        <f>C25-G25</f>
        <v>115.532</v>
      </c>
      <c r="I25" s="22">
        <f>-C25+F25</f>
        <v>395.16157280000004</v>
      </c>
      <c r="J25" s="22">
        <f>I25/(1+$I$9/100)^B25</f>
        <v>395.16157280000004</v>
      </c>
      <c r="K25" s="22">
        <f>J25</f>
        <v>395.16157280000004</v>
      </c>
    </row>
    <row r="26" spans="1:12" ht="15.6" x14ac:dyDescent="0.3">
      <c r="A26" s="14">
        <f>A25+1</f>
        <v>2023</v>
      </c>
      <c r="B26" s="14">
        <f>B25+1</f>
        <v>1</v>
      </c>
      <c r="C26" s="22"/>
      <c r="D26" s="25">
        <f t="shared" ref="D26:D29" si="0">$I$20/1000</f>
        <v>651.68003999999996</v>
      </c>
      <c r="E26" s="25">
        <f t="shared" ref="E26:E29" si="1">(D26-G26)*$I$10/100</f>
        <v>112.10346719999998</v>
      </c>
      <c r="F26" s="25">
        <f t="shared" ref="F26:F29" si="2">D26-E26</f>
        <v>539.57657280000001</v>
      </c>
      <c r="G26" s="22">
        <f t="shared" ref="G26:G29" si="3">$C$25/5</f>
        <v>28.882999999999999</v>
      </c>
      <c r="H26" s="22">
        <f>H25-G26</f>
        <v>86.649000000000001</v>
      </c>
      <c r="I26" s="22">
        <f>-C26+F26</f>
        <v>539.57657280000001</v>
      </c>
      <c r="J26" s="22">
        <f>I26/(1+$I$9/100)^B26</f>
        <v>499.60793777777775</v>
      </c>
      <c r="K26" s="22">
        <f>J26+K25</f>
        <v>894.76951057777774</v>
      </c>
    </row>
    <row r="27" spans="1:12" ht="15.6" x14ac:dyDescent="0.3">
      <c r="A27" s="14">
        <f t="shared" ref="A27:A29" si="4">A26+1</f>
        <v>2024</v>
      </c>
      <c r="B27" s="14">
        <f t="shared" ref="B27:B29" si="5">B26+1</f>
        <v>2</v>
      </c>
      <c r="C27" s="22"/>
      <c r="D27" s="25">
        <f t="shared" si="0"/>
        <v>651.68003999999996</v>
      </c>
      <c r="E27" s="25">
        <f t="shared" si="1"/>
        <v>112.10346719999998</v>
      </c>
      <c r="F27" s="25">
        <f t="shared" si="2"/>
        <v>539.57657280000001</v>
      </c>
      <c r="G27" s="22">
        <f t="shared" si="3"/>
        <v>28.882999999999999</v>
      </c>
      <c r="H27" s="22">
        <f t="shared" ref="H27:H29" si="6">H26-G27</f>
        <v>57.766000000000005</v>
      </c>
      <c r="I27" s="22">
        <f>-C27+F27</f>
        <v>539.57657280000001</v>
      </c>
      <c r="J27" s="22">
        <f t="shared" ref="J27" si="7">I27/(1+$I$9/100)^B27</f>
        <v>462.59994238683123</v>
      </c>
      <c r="K27" s="22">
        <f>J27+K26</f>
        <v>1357.3694529646091</v>
      </c>
    </row>
    <row r="28" spans="1:12" ht="15.6" x14ac:dyDescent="0.3">
      <c r="A28" s="14">
        <f t="shared" si="4"/>
        <v>2025</v>
      </c>
      <c r="B28" s="14">
        <f t="shared" si="5"/>
        <v>3</v>
      </c>
      <c r="C28" s="22"/>
      <c r="D28" s="25">
        <f t="shared" si="0"/>
        <v>651.68003999999996</v>
      </c>
      <c r="E28" s="25">
        <f t="shared" si="1"/>
        <v>112.10346719999998</v>
      </c>
      <c r="F28" s="25">
        <f t="shared" si="2"/>
        <v>539.57657280000001</v>
      </c>
      <c r="G28" s="22">
        <f t="shared" si="3"/>
        <v>28.882999999999999</v>
      </c>
      <c r="H28" s="22">
        <f t="shared" si="6"/>
        <v>28.883000000000006</v>
      </c>
      <c r="I28" s="22">
        <f>-C28+F28</f>
        <v>539.57657280000001</v>
      </c>
      <c r="J28" s="22">
        <f t="shared" ref="J28" si="8">I28/(1+$I$9/100)^B28</f>
        <v>428.33327998780669</v>
      </c>
      <c r="K28" s="22">
        <f>J28+K27</f>
        <v>1785.7027329524158</v>
      </c>
    </row>
    <row r="29" spans="1:12" ht="15.6" x14ac:dyDescent="0.3">
      <c r="A29" s="14">
        <f t="shared" si="4"/>
        <v>2026</v>
      </c>
      <c r="B29" s="14">
        <f t="shared" si="5"/>
        <v>4</v>
      </c>
      <c r="C29" s="22"/>
      <c r="D29" s="25">
        <f t="shared" si="0"/>
        <v>651.68003999999996</v>
      </c>
      <c r="E29" s="25">
        <f t="shared" si="1"/>
        <v>112.10346719999998</v>
      </c>
      <c r="F29" s="25">
        <f t="shared" si="2"/>
        <v>539.57657280000001</v>
      </c>
      <c r="G29" s="22">
        <f t="shared" si="3"/>
        <v>28.882999999999999</v>
      </c>
      <c r="H29" s="22">
        <f t="shared" si="6"/>
        <v>0</v>
      </c>
      <c r="I29" s="22">
        <f>-C29+F29</f>
        <v>539.57657280000001</v>
      </c>
      <c r="J29" s="22">
        <f t="shared" ref="J29" si="9">I29/(1+$I$9/100)^B29</f>
        <v>396.60488887759874</v>
      </c>
      <c r="K29" s="22">
        <f>J29+K28</f>
        <v>2182.3076218300143</v>
      </c>
    </row>
    <row r="30" spans="1:12" ht="15.6" x14ac:dyDescent="0.3">
      <c r="A30" s="13"/>
      <c r="B30" s="13"/>
      <c r="C30" s="17"/>
      <c r="D30" s="17"/>
      <c r="E30" s="17"/>
      <c r="F30" s="17"/>
      <c r="G30" s="17"/>
      <c r="H30" s="17"/>
      <c r="I30" s="17"/>
      <c r="J30" s="17"/>
      <c r="K30" s="17"/>
    </row>
    <row r="31" spans="1:12" ht="18" x14ac:dyDescent="0.35">
      <c r="A31" s="15" t="s">
        <v>39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2" ht="18" x14ac:dyDescent="0.35">
      <c r="A32" s="15"/>
      <c r="B32" s="15"/>
      <c r="C32" s="15" t="s">
        <v>33</v>
      </c>
      <c r="D32" s="15"/>
      <c r="E32" s="15"/>
      <c r="F32" s="15"/>
      <c r="G32" s="15"/>
      <c r="H32" s="15"/>
      <c r="I32" s="24">
        <f>K29</f>
        <v>2182.3076218300143</v>
      </c>
      <c r="J32" s="15" t="s">
        <v>21</v>
      </c>
      <c r="K32" s="15"/>
    </row>
    <row r="33" spans="1:11" ht="18" x14ac:dyDescent="0.35">
      <c r="A33" s="15"/>
      <c r="B33" s="15"/>
      <c r="C33" s="15" t="s">
        <v>34</v>
      </c>
      <c r="D33" s="15"/>
      <c r="E33" s="15"/>
      <c r="F33" s="15"/>
      <c r="G33" s="15"/>
      <c r="H33" s="15"/>
      <c r="I33" s="16">
        <f>1+ABS(J25)/J26</f>
        <v>1.7909433436098952</v>
      </c>
      <c r="J33" s="15" t="s">
        <v>47</v>
      </c>
      <c r="K33" s="15"/>
    </row>
    <row r="34" spans="1:11" ht="18" x14ac:dyDescent="0.35">
      <c r="A34" s="15"/>
      <c r="B34" s="15"/>
      <c r="C34" s="15" t="s">
        <v>35</v>
      </c>
      <c r="D34" s="15"/>
      <c r="E34" s="15"/>
      <c r="F34" s="15"/>
      <c r="G34" s="15"/>
      <c r="H34" s="15"/>
      <c r="I34" s="28">
        <f>I32/C25*100</f>
        <v>1511.1363929162585</v>
      </c>
      <c r="J34" s="15" t="s">
        <v>0</v>
      </c>
      <c r="K34" s="15"/>
    </row>
    <row r="35" spans="1:11" ht="12" customHeight="1" x14ac:dyDescent="0.3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8.75" customHeight="1" x14ac:dyDescent="0.35">
      <c r="A36" s="10" t="s">
        <v>36</v>
      </c>
      <c r="B36" s="10"/>
      <c r="C36" s="10"/>
      <c r="D36" s="10"/>
      <c r="E36" s="10"/>
      <c r="F36" s="10"/>
      <c r="G36" s="10"/>
      <c r="H36" s="10"/>
      <c r="I36" s="15"/>
      <c r="J36" s="15"/>
      <c r="K36" s="15"/>
    </row>
    <row r="37" spans="1:11" ht="18.75" customHeight="1" x14ac:dyDescent="0.35">
      <c r="A37" s="10" t="s">
        <v>37</v>
      </c>
      <c r="B37" s="10"/>
      <c r="C37" s="10"/>
      <c r="D37" s="10"/>
      <c r="E37" s="10"/>
      <c r="F37" s="10"/>
      <c r="G37" s="10"/>
      <c r="H37" s="10"/>
      <c r="I37" s="15"/>
      <c r="J37" s="15"/>
      <c r="K37" s="15"/>
    </row>
    <row r="38" spans="1:11" ht="7.5" customHeight="1" x14ac:dyDescent="0.35">
      <c r="A38" s="10"/>
      <c r="B38" s="10"/>
      <c r="C38" s="10"/>
      <c r="D38" s="10"/>
      <c r="E38" s="10"/>
      <c r="F38" s="10"/>
      <c r="G38" s="10"/>
      <c r="H38" s="10"/>
      <c r="I38" s="15"/>
      <c r="J38" s="15"/>
      <c r="K38" s="15"/>
    </row>
    <row r="39" spans="1:11" ht="18.75" customHeight="1" x14ac:dyDescent="0.35">
      <c r="A39" s="19" t="s">
        <v>38</v>
      </c>
      <c r="B39" s="19"/>
      <c r="C39" s="19"/>
      <c r="D39" s="19"/>
      <c r="E39" s="18">
        <v>44571</v>
      </c>
      <c r="F39" s="15"/>
      <c r="G39" s="15"/>
      <c r="H39" s="15"/>
      <c r="I39" s="15"/>
      <c r="J39" s="15"/>
      <c r="K39" s="15"/>
    </row>
    <row r="40" spans="1:11" ht="18" x14ac:dyDescent="0.35">
      <c r="A40" s="19"/>
      <c r="B40" s="19"/>
      <c r="C40" s="19"/>
      <c r="D40" s="19"/>
      <c r="E40" s="18"/>
      <c r="F40" s="15"/>
      <c r="G40" s="15"/>
      <c r="H40" s="15"/>
      <c r="I40" s="15"/>
      <c r="J40" s="15"/>
      <c r="K40" s="15"/>
    </row>
    <row r="41" spans="1:11" ht="18" x14ac:dyDescent="0.35">
      <c r="A41" s="19"/>
      <c r="B41" s="19"/>
      <c r="C41" s="19"/>
      <c r="D41" s="19"/>
      <c r="E41" s="18"/>
      <c r="F41" s="15"/>
      <c r="G41" s="15"/>
      <c r="H41" s="15"/>
      <c r="I41" s="15"/>
      <c r="J41" s="15"/>
      <c r="K41" s="15"/>
    </row>
    <row r="42" spans="1:11" ht="12.75" customHeight="1" x14ac:dyDescent="0.3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s="64" customFormat="1" ht="21" x14ac:dyDescent="0.4">
      <c r="A43" s="63"/>
      <c r="B43" s="77" t="s">
        <v>46</v>
      </c>
      <c r="C43" s="77"/>
      <c r="D43" s="77"/>
      <c r="E43" s="77"/>
      <c r="F43" s="77"/>
      <c r="G43" s="63"/>
      <c r="I43" s="77" t="s">
        <v>45</v>
      </c>
      <c r="J43" s="77"/>
      <c r="K43" s="77"/>
    </row>
    <row r="44" spans="1:11" ht="18" x14ac:dyDescent="0.3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</sheetData>
  <mergeCells count="40">
    <mergeCell ref="A2:K2"/>
    <mergeCell ref="A3:K3"/>
    <mergeCell ref="A5:K5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B19:E19"/>
    <mergeCell ref="F19:G19"/>
    <mergeCell ref="I19:J19"/>
    <mergeCell ref="C14:F14"/>
    <mergeCell ref="G14:H14"/>
    <mergeCell ref="I14:J14"/>
    <mergeCell ref="A16:K16"/>
    <mergeCell ref="B18:E18"/>
    <mergeCell ref="F18:G18"/>
    <mergeCell ref="I18:J18"/>
    <mergeCell ref="A22:K22"/>
    <mergeCell ref="B20:E20"/>
    <mergeCell ref="F20:G20"/>
    <mergeCell ref="I20:J20"/>
    <mergeCell ref="B43:F43"/>
    <mergeCell ref="I43:K43"/>
  </mergeCells>
  <pageMargins left="0.23622047244094491" right="0.19685039370078741" top="0.35433070866141736" bottom="0.23622047244094491" header="0.19685039370078741" footer="0.15748031496062992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A2" sqref="A2:K2"/>
    </sheetView>
  </sheetViews>
  <sheetFormatPr defaultRowHeight="13.2" x14ac:dyDescent="0.25"/>
  <cols>
    <col min="1" max="1" width="6.109375" customWidth="1"/>
    <col min="2" max="2" width="7.88671875" customWidth="1"/>
    <col min="3" max="3" width="9" customWidth="1"/>
    <col min="4" max="4" width="10.33203125" customWidth="1"/>
    <col min="5" max="5" width="9.88671875" customWidth="1"/>
    <col min="6" max="6" width="10.44140625" customWidth="1"/>
    <col min="7" max="7" width="7.77734375" customWidth="1"/>
    <col min="8" max="8" width="15.21875" customWidth="1"/>
    <col min="9" max="9" width="10.6640625" customWidth="1"/>
    <col min="10" max="10" width="11" customWidth="1"/>
    <col min="11" max="11" width="10.88671875" customWidth="1"/>
    <col min="12" max="12" width="12.109375" bestFit="1" customWidth="1"/>
  </cols>
  <sheetData>
    <row r="1" spans="1:12" ht="4.5" customHeight="1" x14ac:dyDescent="0.25"/>
    <row r="2" spans="1:12" s="26" customFormat="1" ht="17.399999999999999" x14ac:dyDescent="0.3">
      <c r="A2" s="106" t="s">
        <v>17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2" s="26" customFormat="1" ht="37.200000000000003" customHeight="1" x14ac:dyDescent="0.3">
      <c r="A3" s="111" t="s">
        <v>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18" x14ac:dyDescent="0.35">
      <c r="A5" s="90" t="s">
        <v>16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2" s="31" customFormat="1" ht="18.75" customHeight="1" x14ac:dyDescent="0.25">
      <c r="A7" s="29"/>
      <c r="B7" s="30" t="s">
        <v>12</v>
      </c>
      <c r="C7" s="108" t="s">
        <v>8</v>
      </c>
      <c r="D7" s="109"/>
      <c r="E7" s="109"/>
      <c r="F7" s="110"/>
      <c r="G7" s="108" t="s">
        <v>9</v>
      </c>
      <c r="H7" s="110"/>
      <c r="I7" s="108" t="s">
        <v>11</v>
      </c>
      <c r="J7" s="110"/>
      <c r="K7" s="29"/>
    </row>
    <row r="8" spans="1:12" ht="16.8" customHeight="1" x14ac:dyDescent="0.3">
      <c r="A8" s="2"/>
      <c r="B8" s="65">
        <v>1</v>
      </c>
      <c r="C8" s="102" t="s">
        <v>13</v>
      </c>
      <c r="D8" s="103"/>
      <c r="E8" s="103"/>
      <c r="F8" s="104"/>
      <c r="G8" s="88" t="s">
        <v>10</v>
      </c>
      <c r="H8" s="88"/>
      <c r="I8" s="105">
        <v>96.873000000000005</v>
      </c>
      <c r="J8" s="105"/>
      <c r="L8" s="2"/>
    </row>
    <row r="9" spans="1:12" ht="16.8" x14ac:dyDescent="0.3">
      <c r="A9" s="2"/>
      <c r="B9" s="65">
        <v>2</v>
      </c>
      <c r="C9" s="101" t="s">
        <v>14</v>
      </c>
      <c r="D9" s="101"/>
      <c r="E9" s="101"/>
      <c r="F9" s="101"/>
      <c r="G9" s="88" t="s">
        <v>0</v>
      </c>
      <c r="H9" s="88"/>
      <c r="I9" s="89">
        <v>8</v>
      </c>
      <c r="J9" s="89"/>
      <c r="K9" s="3"/>
    </row>
    <row r="10" spans="1:12" ht="16.8" x14ac:dyDescent="0.3">
      <c r="A10" s="2"/>
      <c r="B10" s="65">
        <v>3</v>
      </c>
      <c r="C10" s="101" t="s">
        <v>15</v>
      </c>
      <c r="D10" s="101"/>
      <c r="E10" s="101"/>
      <c r="F10" s="101"/>
      <c r="G10" s="88" t="s">
        <v>0</v>
      </c>
      <c r="H10" s="88"/>
      <c r="I10" s="89">
        <v>18</v>
      </c>
      <c r="J10" s="89"/>
      <c r="K10" s="2"/>
    </row>
    <row r="11" spans="1:12" ht="16.8" hidden="1" x14ac:dyDescent="0.3">
      <c r="A11" s="2"/>
      <c r="B11" s="65"/>
      <c r="C11" s="96"/>
      <c r="D11" s="97"/>
      <c r="E11" s="97"/>
      <c r="F11" s="98"/>
      <c r="G11" s="88"/>
      <c r="H11" s="88"/>
      <c r="I11" s="99"/>
      <c r="J11" s="100"/>
      <c r="K11" s="2"/>
    </row>
    <row r="12" spans="1:12" ht="16.8" hidden="1" x14ac:dyDescent="0.3">
      <c r="A12" s="2"/>
      <c r="B12" s="65"/>
      <c r="C12" s="96"/>
      <c r="D12" s="97"/>
      <c r="E12" s="97"/>
      <c r="F12" s="98"/>
      <c r="G12" s="88"/>
      <c r="H12" s="88"/>
      <c r="I12" s="99"/>
      <c r="J12" s="100"/>
      <c r="K12" s="2"/>
    </row>
    <row r="13" spans="1:12" ht="16.8" hidden="1" x14ac:dyDescent="0.3">
      <c r="A13" s="2"/>
      <c r="B13" s="65"/>
      <c r="C13" s="96"/>
      <c r="D13" s="97"/>
      <c r="E13" s="97"/>
      <c r="F13" s="98"/>
      <c r="G13" s="88"/>
      <c r="H13" s="88"/>
      <c r="I13" s="99"/>
      <c r="J13" s="100"/>
      <c r="K13" s="2"/>
    </row>
    <row r="14" spans="1:12" ht="16.8" hidden="1" x14ac:dyDescent="0.3">
      <c r="A14" s="2"/>
      <c r="B14" s="65">
        <v>4</v>
      </c>
      <c r="C14" s="85" t="s">
        <v>2</v>
      </c>
      <c r="D14" s="86"/>
      <c r="E14" s="86"/>
      <c r="F14" s="87"/>
      <c r="G14" s="88" t="s">
        <v>0</v>
      </c>
      <c r="H14" s="88"/>
      <c r="I14" s="89">
        <v>20</v>
      </c>
      <c r="J14" s="89"/>
      <c r="K14" s="2"/>
    </row>
    <row r="15" spans="1:12" ht="16.8" x14ac:dyDescent="0.3">
      <c r="A15" s="2"/>
      <c r="B15" s="20"/>
      <c r="C15" s="20"/>
      <c r="D15" s="20"/>
      <c r="E15" s="20"/>
      <c r="F15" s="20"/>
      <c r="G15" s="20"/>
      <c r="H15" s="20"/>
      <c r="I15" s="21"/>
      <c r="J15" s="21"/>
      <c r="K15" s="2"/>
    </row>
    <row r="16" spans="1:12" ht="18" x14ac:dyDescent="0.35">
      <c r="A16" s="90" t="s">
        <v>18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</row>
    <row r="18" spans="1:12" s="4" customFormat="1" ht="49.8" customHeight="1" x14ac:dyDescent="0.25">
      <c r="B18" s="91" t="s">
        <v>5</v>
      </c>
      <c r="C18" s="92"/>
      <c r="D18" s="92"/>
      <c r="E18" s="93"/>
      <c r="F18" s="94" t="s">
        <v>6</v>
      </c>
      <c r="G18" s="94"/>
      <c r="H18" s="67" t="s">
        <v>19</v>
      </c>
      <c r="I18" s="95" t="s">
        <v>7</v>
      </c>
      <c r="J18" s="95"/>
    </row>
    <row r="19" spans="1:12" s="4" customFormat="1" ht="16.5" customHeight="1" x14ac:dyDescent="0.3">
      <c r="B19" s="78" t="s">
        <v>40</v>
      </c>
      <c r="C19" s="79"/>
      <c r="D19" s="79"/>
      <c r="E19" s="80"/>
      <c r="F19" s="81">
        <v>132396</v>
      </c>
      <c r="G19" s="82"/>
      <c r="H19" s="34">
        <v>2.57</v>
      </c>
      <c r="I19" s="83">
        <f>H19*F19</f>
        <v>340257.72</v>
      </c>
      <c r="J19" s="84"/>
    </row>
    <row r="20" spans="1:12" s="5" customFormat="1" ht="16.8" x14ac:dyDescent="0.3">
      <c r="B20" s="70" t="s">
        <v>20</v>
      </c>
      <c r="C20" s="71"/>
      <c r="D20" s="71"/>
      <c r="E20" s="72"/>
      <c r="F20" s="73"/>
      <c r="G20" s="74"/>
      <c r="H20" s="33"/>
      <c r="I20" s="75">
        <f>SUM(I19:J19)</f>
        <v>340257.72</v>
      </c>
      <c r="J20" s="76"/>
      <c r="L20" s="4"/>
    </row>
    <row r="21" spans="1:12" s="4" customFormat="1" ht="16.8" x14ac:dyDescent="0.3">
      <c r="B21" s="6"/>
      <c r="C21" s="6"/>
      <c r="D21" s="6"/>
      <c r="E21" s="6"/>
      <c r="F21" s="7"/>
      <c r="G21" s="7"/>
      <c r="H21" s="8"/>
      <c r="I21" s="9"/>
      <c r="J21" s="7"/>
    </row>
    <row r="22" spans="1:12" s="4" customFormat="1" ht="18" x14ac:dyDescent="0.35">
      <c r="A22" s="69" t="s">
        <v>41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2" ht="15.6" x14ac:dyDescent="0.3">
      <c r="K23" s="27" t="s">
        <v>21</v>
      </c>
    </row>
    <row r="24" spans="1:12" ht="95.25" customHeight="1" x14ac:dyDescent="0.25">
      <c r="A24" s="11" t="s">
        <v>24</v>
      </c>
      <c r="B24" s="11" t="s">
        <v>25</v>
      </c>
      <c r="C24" s="11" t="s">
        <v>22</v>
      </c>
      <c r="D24" s="11" t="s">
        <v>23</v>
      </c>
      <c r="E24" s="11" t="s">
        <v>26</v>
      </c>
      <c r="F24" s="11" t="s">
        <v>27</v>
      </c>
      <c r="G24" s="11" t="s">
        <v>28</v>
      </c>
      <c r="H24" s="11" t="s">
        <v>29</v>
      </c>
      <c r="I24" s="11" t="s">
        <v>30</v>
      </c>
      <c r="J24" s="11" t="s">
        <v>31</v>
      </c>
      <c r="K24" s="11" t="s">
        <v>32</v>
      </c>
      <c r="L24" s="12"/>
    </row>
    <row r="25" spans="1:12" ht="15.6" x14ac:dyDescent="0.3">
      <c r="A25" s="14">
        <v>2022</v>
      </c>
      <c r="B25" s="14">
        <v>0</v>
      </c>
      <c r="C25" s="22">
        <f>I8</f>
        <v>96.873000000000005</v>
      </c>
      <c r="D25" s="25">
        <f>$I$20/1000</f>
        <v>340.25771999999995</v>
      </c>
      <c r="E25" s="25">
        <f>(D25-G25)*$I$10/100</f>
        <v>57.758961599999992</v>
      </c>
      <c r="F25" s="25">
        <f>D25-E25</f>
        <v>282.49875839999993</v>
      </c>
      <c r="G25" s="22">
        <f>$C$25/5</f>
        <v>19.374600000000001</v>
      </c>
      <c r="H25" s="22">
        <f>C25-G25</f>
        <v>77.498400000000004</v>
      </c>
      <c r="I25" s="22">
        <f>-C25+F25</f>
        <v>185.62575839999994</v>
      </c>
      <c r="J25" s="22">
        <f>I25/(1+$I$9/100)^B25</f>
        <v>185.62575839999994</v>
      </c>
      <c r="K25" s="22">
        <f>J25</f>
        <v>185.62575839999994</v>
      </c>
    </row>
    <row r="26" spans="1:12" ht="15.6" x14ac:dyDescent="0.3">
      <c r="A26" s="14">
        <f>A25+1</f>
        <v>2023</v>
      </c>
      <c r="B26" s="14">
        <f>B25+1</f>
        <v>1</v>
      </c>
      <c r="C26" s="22"/>
      <c r="D26" s="25">
        <f t="shared" ref="D26:D29" si="0">$I$20/1000</f>
        <v>340.25771999999995</v>
      </c>
      <c r="E26" s="25">
        <f t="shared" ref="E26:E29" si="1">(D26-G26)*$I$10/100</f>
        <v>57.758961599999992</v>
      </c>
      <c r="F26" s="25">
        <f t="shared" ref="F26:F29" si="2">D26-E26</f>
        <v>282.49875839999993</v>
      </c>
      <c r="G26" s="22">
        <f t="shared" ref="G26:G29" si="3">$C$25/5</f>
        <v>19.374600000000001</v>
      </c>
      <c r="H26" s="22">
        <f>H25-G26</f>
        <v>58.123800000000003</v>
      </c>
      <c r="I26" s="22">
        <f>-C26+F26</f>
        <v>282.49875839999993</v>
      </c>
      <c r="J26" s="22">
        <f>I26/(1+$I$9/100)^B26</f>
        <v>261.57292444444437</v>
      </c>
      <c r="K26" s="22">
        <f>J26+K25</f>
        <v>447.19868284444431</v>
      </c>
    </row>
    <row r="27" spans="1:12" ht="15.6" x14ac:dyDescent="0.3">
      <c r="A27" s="14">
        <f t="shared" ref="A27:B29" si="4">A26+1</f>
        <v>2024</v>
      </c>
      <c r="B27" s="14">
        <f t="shared" si="4"/>
        <v>2</v>
      </c>
      <c r="C27" s="22"/>
      <c r="D27" s="25">
        <f t="shared" si="0"/>
        <v>340.25771999999995</v>
      </c>
      <c r="E27" s="25">
        <f t="shared" si="1"/>
        <v>57.758961599999992</v>
      </c>
      <c r="F27" s="25">
        <f t="shared" si="2"/>
        <v>282.49875839999993</v>
      </c>
      <c r="G27" s="22">
        <f t="shared" si="3"/>
        <v>19.374600000000001</v>
      </c>
      <c r="H27" s="22">
        <f t="shared" ref="H27:H29" si="5">H26-G27</f>
        <v>38.749200000000002</v>
      </c>
      <c r="I27" s="22">
        <f>-C27+F27</f>
        <v>282.49875839999993</v>
      </c>
      <c r="J27" s="22">
        <f t="shared" ref="J27:J29" si="6">I27/(1+$I$9/100)^B27</f>
        <v>242.19715226337439</v>
      </c>
      <c r="K27" s="22">
        <f>J27+K26</f>
        <v>689.3958351078187</v>
      </c>
    </row>
    <row r="28" spans="1:12" ht="15.6" x14ac:dyDescent="0.3">
      <c r="A28" s="14">
        <f t="shared" si="4"/>
        <v>2025</v>
      </c>
      <c r="B28" s="14">
        <f t="shared" si="4"/>
        <v>3</v>
      </c>
      <c r="C28" s="22"/>
      <c r="D28" s="25">
        <f t="shared" si="0"/>
        <v>340.25771999999995</v>
      </c>
      <c r="E28" s="25">
        <f t="shared" si="1"/>
        <v>57.758961599999992</v>
      </c>
      <c r="F28" s="25">
        <f t="shared" si="2"/>
        <v>282.49875839999993</v>
      </c>
      <c r="G28" s="22">
        <f t="shared" si="3"/>
        <v>19.374600000000001</v>
      </c>
      <c r="H28" s="22">
        <f t="shared" si="5"/>
        <v>19.374600000000001</v>
      </c>
      <c r="I28" s="22">
        <f>-C28+F28</f>
        <v>282.49875839999993</v>
      </c>
      <c r="J28" s="22">
        <f t="shared" si="6"/>
        <v>224.25662246608741</v>
      </c>
      <c r="K28" s="22">
        <f>J28+K27</f>
        <v>913.65245757390608</v>
      </c>
    </row>
    <row r="29" spans="1:12" ht="15.6" x14ac:dyDescent="0.3">
      <c r="A29" s="14">
        <f t="shared" si="4"/>
        <v>2026</v>
      </c>
      <c r="B29" s="14">
        <f t="shared" si="4"/>
        <v>4</v>
      </c>
      <c r="C29" s="22"/>
      <c r="D29" s="25">
        <f t="shared" si="0"/>
        <v>340.25771999999995</v>
      </c>
      <c r="E29" s="25">
        <f t="shared" si="1"/>
        <v>57.758961599999992</v>
      </c>
      <c r="F29" s="25">
        <f t="shared" si="2"/>
        <v>282.49875839999993</v>
      </c>
      <c r="G29" s="22">
        <f t="shared" si="3"/>
        <v>19.374600000000001</v>
      </c>
      <c r="H29" s="22">
        <f t="shared" si="5"/>
        <v>0</v>
      </c>
      <c r="I29" s="22">
        <f>-C29+F29</f>
        <v>282.49875839999993</v>
      </c>
      <c r="J29" s="22">
        <f t="shared" si="6"/>
        <v>207.64502080193276</v>
      </c>
      <c r="K29" s="22">
        <f>J29+K28</f>
        <v>1121.2974783758389</v>
      </c>
    </row>
    <row r="30" spans="1:12" ht="15.6" x14ac:dyDescent="0.3">
      <c r="A30" s="13"/>
      <c r="B30" s="13"/>
      <c r="C30" s="17"/>
      <c r="D30" s="17"/>
      <c r="E30" s="17"/>
      <c r="F30" s="17"/>
      <c r="G30" s="17"/>
      <c r="H30" s="17"/>
      <c r="I30" s="17"/>
      <c r="J30" s="17"/>
      <c r="K30" s="17"/>
    </row>
    <row r="31" spans="1:12" ht="18" x14ac:dyDescent="0.35">
      <c r="A31" s="15" t="s">
        <v>39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2" ht="18" x14ac:dyDescent="0.35">
      <c r="A32" s="15"/>
      <c r="B32" s="15"/>
      <c r="C32" s="15" t="s">
        <v>33</v>
      </c>
      <c r="D32" s="15"/>
      <c r="E32" s="15"/>
      <c r="F32" s="15"/>
      <c r="G32" s="15"/>
      <c r="H32" s="15"/>
      <c r="I32" s="24">
        <f>K29</f>
        <v>1121.2974783758389</v>
      </c>
      <c r="J32" s="15" t="s">
        <v>21</v>
      </c>
      <c r="K32" s="15"/>
    </row>
    <row r="33" spans="1:11" ht="18" x14ac:dyDescent="0.35">
      <c r="A33" s="15"/>
      <c r="B33" s="15"/>
      <c r="C33" s="15" t="s">
        <v>34</v>
      </c>
      <c r="D33" s="15"/>
      <c r="E33" s="15"/>
      <c r="F33" s="15"/>
      <c r="G33" s="15"/>
      <c r="H33" s="15"/>
      <c r="I33" s="16">
        <f>1+ABS(J25)/J26</f>
        <v>1.7096520360211254</v>
      </c>
      <c r="J33" s="15" t="s">
        <v>47</v>
      </c>
      <c r="K33" s="15"/>
    </row>
    <row r="34" spans="1:11" ht="18" x14ac:dyDescent="0.35">
      <c r="A34" s="15"/>
      <c r="B34" s="15"/>
      <c r="C34" s="15" t="s">
        <v>35</v>
      </c>
      <c r="D34" s="15"/>
      <c r="E34" s="15"/>
      <c r="F34" s="15"/>
      <c r="G34" s="15"/>
      <c r="H34" s="15"/>
      <c r="I34" s="28">
        <f>I32/C25*100</f>
        <v>1157.492261389488</v>
      </c>
      <c r="J34" s="15" t="s">
        <v>0</v>
      </c>
      <c r="K34" s="15"/>
    </row>
    <row r="35" spans="1:11" ht="12" customHeight="1" x14ac:dyDescent="0.3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8.75" customHeight="1" x14ac:dyDescent="0.35">
      <c r="A36" s="10" t="s">
        <v>36</v>
      </c>
      <c r="B36" s="10"/>
      <c r="C36" s="10"/>
      <c r="D36" s="10"/>
      <c r="E36" s="10"/>
      <c r="F36" s="10"/>
      <c r="G36" s="10"/>
      <c r="H36" s="10"/>
      <c r="I36" s="15"/>
      <c r="J36" s="15"/>
      <c r="K36" s="15"/>
    </row>
    <row r="37" spans="1:11" ht="18.75" customHeight="1" x14ac:dyDescent="0.35">
      <c r="A37" s="10" t="s">
        <v>37</v>
      </c>
      <c r="B37" s="10"/>
      <c r="C37" s="10"/>
      <c r="D37" s="10"/>
      <c r="E37" s="10"/>
      <c r="F37" s="10"/>
      <c r="G37" s="10"/>
      <c r="H37" s="10"/>
      <c r="I37" s="15"/>
      <c r="J37" s="15"/>
      <c r="K37" s="15"/>
    </row>
    <row r="38" spans="1:11" ht="7.5" customHeight="1" x14ac:dyDescent="0.35">
      <c r="A38" s="10"/>
      <c r="B38" s="10"/>
      <c r="C38" s="10"/>
      <c r="D38" s="10"/>
      <c r="E38" s="10"/>
      <c r="F38" s="10"/>
      <c r="G38" s="10"/>
      <c r="H38" s="10"/>
      <c r="I38" s="15"/>
      <c r="J38" s="15"/>
      <c r="K38" s="15"/>
    </row>
    <row r="39" spans="1:11" ht="18.75" customHeight="1" x14ac:dyDescent="0.35">
      <c r="A39" s="19" t="s">
        <v>38</v>
      </c>
      <c r="B39" s="19"/>
      <c r="C39" s="19"/>
      <c r="D39" s="19"/>
      <c r="E39" s="18">
        <v>44571</v>
      </c>
      <c r="F39" s="15"/>
      <c r="G39" s="15"/>
      <c r="H39" s="15"/>
      <c r="I39" s="15"/>
      <c r="J39" s="15"/>
      <c r="K39" s="15"/>
    </row>
    <row r="40" spans="1:11" ht="18" x14ac:dyDescent="0.35">
      <c r="A40" s="19"/>
      <c r="B40" s="19"/>
      <c r="C40" s="19"/>
      <c r="D40" s="19"/>
      <c r="E40" s="18"/>
      <c r="F40" s="15"/>
      <c r="G40" s="15"/>
      <c r="H40" s="15"/>
      <c r="I40" s="15"/>
      <c r="J40" s="15"/>
      <c r="K40" s="15"/>
    </row>
    <row r="41" spans="1:11" ht="18" x14ac:dyDescent="0.35">
      <c r="A41" s="19"/>
      <c r="B41" s="19"/>
      <c r="C41" s="19"/>
      <c r="D41" s="19"/>
      <c r="E41" s="18"/>
      <c r="F41" s="15"/>
      <c r="G41" s="15"/>
      <c r="H41" s="15"/>
      <c r="I41" s="15"/>
      <c r="J41" s="15"/>
      <c r="K41" s="15"/>
    </row>
    <row r="42" spans="1:11" ht="12.75" customHeight="1" x14ac:dyDescent="0.3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s="64" customFormat="1" ht="21" x14ac:dyDescent="0.4">
      <c r="A43" s="63"/>
      <c r="B43" s="77" t="s">
        <v>46</v>
      </c>
      <c r="C43" s="77"/>
      <c r="D43" s="77"/>
      <c r="E43" s="77"/>
      <c r="F43" s="77"/>
      <c r="G43" s="63"/>
      <c r="I43" s="77" t="s">
        <v>45</v>
      </c>
      <c r="J43" s="77"/>
      <c r="K43" s="77"/>
    </row>
    <row r="44" spans="1:11" ht="18" x14ac:dyDescent="0.3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</sheetData>
  <mergeCells count="40">
    <mergeCell ref="A2:K2"/>
    <mergeCell ref="A3:K3"/>
    <mergeCell ref="A5:K5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B43:F43"/>
    <mergeCell ref="I43:K43"/>
    <mergeCell ref="C14:F14"/>
    <mergeCell ref="G14:H14"/>
    <mergeCell ref="I14:J14"/>
    <mergeCell ref="A16:K16"/>
    <mergeCell ref="B18:E18"/>
    <mergeCell ref="F18:G18"/>
    <mergeCell ref="I18:J18"/>
    <mergeCell ref="A22:K22"/>
    <mergeCell ref="B19:E19"/>
    <mergeCell ref="F19:G19"/>
    <mergeCell ref="I19:J19"/>
    <mergeCell ref="B20:E20"/>
    <mergeCell ref="F20:G20"/>
    <mergeCell ref="I20:J20"/>
  </mergeCells>
  <pageMargins left="0.23622047244094491" right="0.19685039370078741" top="0.35433070866141736" bottom="0.23622047244094491" header="0.19685039370078741" footer="0.15748031496062992"/>
  <pageSetup paperSize="9" scale="93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Normal="100" workbookViewId="0">
      <selection activeCell="L15" sqref="L15"/>
    </sheetView>
  </sheetViews>
  <sheetFormatPr defaultColWidth="9.109375" defaultRowHeight="13.2" x14ac:dyDescent="0.25"/>
  <cols>
    <col min="1" max="1" width="6.109375" style="35" customWidth="1"/>
    <col min="2" max="2" width="7.88671875" style="35" customWidth="1"/>
    <col min="3" max="3" width="9" style="35" customWidth="1"/>
    <col min="4" max="4" width="10.33203125" style="35" customWidth="1"/>
    <col min="5" max="6" width="9.88671875" style="35" customWidth="1"/>
    <col min="7" max="7" width="9" style="35" customWidth="1"/>
    <col min="8" max="8" width="11.5546875" style="35" customWidth="1"/>
    <col min="9" max="9" width="11.6640625" style="35" customWidth="1"/>
    <col min="10" max="10" width="11" style="35" customWidth="1"/>
    <col min="11" max="11" width="11.33203125" style="35" customWidth="1"/>
    <col min="12" max="12" width="12.109375" style="35" bestFit="1" customWidth="1"/>
    <col min="13" max="16384" width="9.109375" style="35"/>
  </cols>
  <sheetData>
    <row r="1" spans="1:12" ht="4.5" customHeight="1" x14ac:dyDescent="0.25"/>
    <row r="2" spans="1:12" s="36" customFormat="1" ht="20.399999999999999" x14ac:dyDescent="0.35">
      <c r="A2" s="77" t="s">
        <v>48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2" s="36" customFormat="1" ht="22.5" customHeight="1" x14ac:dyDescent="0.3">
      <c r="A3" s="125" t="s">
        <v>49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2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2" ht="18" x14ac:dyDescent="0.35">
      <c r="A5" s="121" t="s">
        <v>16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2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2" s="39" customFormat="1" ht="18.75" customHeight="1" x14ac:dyDescent="0.25">
      <c r="A7" s="38"/>
      <c r="B7" s="30" t="s">
        <v>12</v>
      </c>
      <c r="C7" s="108" t="s">
        <v>8</v>
      </c>
      <c r="D7" s="109"/>
      <c r="E7" s="109"/>
      <c r="F7" s="110"/>
      <c r="G7" s="108" t="s">
        <v>9</v>
      </c>
      <c r="H7" s="110"/>
      <c r="I7" s="108" t="s">
        <v>11</v>
      </c>
      <c r="J7" s="110"/>
      <c r="K7" s="38"/>
    </row>
    <row r="8" spans="1:12" ht="16.8" customHeight="1" x14ac:dyDescent="0.3">
      <c r="A8" s="32"/>
      <c r="B8" s="40">
        <v>1</v>
      </c>
      <c r="C8" s="102" t="s">
        <v>13</v>
      </c>
      <c r="D8" s="103"/>
      <c r="E8" s="103"/>
      <c r="F8" s="104"/>
      <c r="G8" s="88" t="s">
        <v>10</v>
      </c>
      <c r="H8" s="88"/>
      <c r="I8" s="105">
        <v>4023.0585579999997</v>
      </c>
      <c r="J8" s="105"/>
      <c r="L8" s="32"/>
    </row>
    <row r="9" spans="1:12" ht="16.8" x14ac:dyDescent="0.3">
      <c r="A9" s="32"/>
      <c r="B9" s="40">
        <v>2</v>
      </c>
      <c r="C9" s="101" t="s">
        <v>14</v>
      </c>
      <c r="D9" s="101"/>
      <c r="E9" s="101"/>
      <c r="F9" s="101"/>
      <c r="G9" s="88" t="s">
        <v>0</v>
      </c>
      <c r="H9" s="88"/>
      <c r="I9" s="89">
        <f>'№1 ВКВ'!I9:J9</f>
        <v>8</v>
      </c>
      <c r="J9" s="89"/>
      <c r="K9" s="41"/>
    </row>
    <row r="10" spans="1:12" ht="16.8" x14ac:dyDescent="0.3">
      <c r="A10" s="32"/>
      <c r="B10" s="40">
        <v>3</v>
      </c>
      <c r="C10" s="101" t="s">
        <v>15</v>
      </c>
      <c r="D10" s="101"/>
      <c r="E10" s="101"/>
      <c r="F10" s="101"/>
      <c r="G10" s="88" t="s">
        <v>0</v>
      </c>
      <c r="H10" s="88"/>
      <c r="I10" s="89">
        <f>'№1 ВКВ'!I10:J10</f>
        <v>18</v>
      </c>
      <c r="J10" s="89"/>
      <c r="K10" s="32"/>
    </row>
    <row r="11" spans="1:12" ht="16.8" hidden="1" x14ac:dyDescent="0.3">
      <c r="A11" s="32"/>
      <c r="B11" s="40"/>
      <c r="C11" s="122"/>
      <c r="D11" s="123"/>
      <c r="E11" s="123"/>
      <c r="F11" s="124"/>
      <c r="G11" s="120"/>
      <c r="H11" s="120"/>
      <c r="I11" s="99"/>
      <c r="J11" s="100"/>
      <c r="K11" s="32"/>
    </row>
    <row r="12" spans="1:12" ht="16.8" hidden="1" x14ac:dyDescent="0.3">
      <c r="A12" s="32"/>
      <c r="B12" s="40"/>
      <c r="C12" s="122"/>
      <c r="D12" s="123"/>
      <c r="E12" s="123"/>
      <c r="F12" s="124"/>
      <c r="G12" s="120"/>
      <c r="H12" s="120"/>
      <c r="I12" s="99"/>
      <c r="J12" s="100"/>
      <c r="K12" s="32"/>
    </row>
    <row r="13" spans="1:12" ht="16.8" hidden="1" x14ac:dyDescent="0.3">
      <c r="A13" s="32"/>
      <c r="B13" s="40"/>
      <c r="C13" s="122"/>
      <c r="D13" s="123"/>
      <c r="E13" s="123"/>
      <c r="F13" s="124"/>
      <c r="G13" s="120"/>
      <c r="H13" s="120"/>
      <c r="I13" s="99"/>
      <c r="J13" s="100"/>
      <c r="K13" s="32"/>
    </row>
    <row r="14" spans="1:12" ht="16.8" hidden="1" x14ac:dyDescent="0.3">
      <c r="A14" s="32"/>
      <c r="B14" s="40">
        <v>4</v>
      </c>
      <c r="C14" s="117" t="s">
        <v>2</v>
      </c>
      <c r="D14" s="118"/>
      <c r="E14" s="118"/>
      <c r="F14" s="119"/>
      <c r="G14" s="120" t="s">
        <v>0</v>
      </c>
      <c r="H14" s="120"/>
      <c r="I14" s="89">
        <v>20</v>
      </c>
      <c r="J14" s="89"/>
      <c r="K14" s="32"/>
    </row>
    <row r="15" spans="1:12" ht="16.8" x14ac:dyDescent="0.3">
      <c r="A15" s="32"/>
      <c r="B15" s="42"/>
      <c r="C15" s="42"/>
      <c r="D15" s="42"/>
      <c r="E15" s="42"/>
      <c r="F15" s="42"/>
      <c r="G15" s="42"/>
      <c r="H15" s="42"/>
      <c r="I15" s="43"/>
      <c r="J15" s="43"/>
      <c r="K15" s="32"/>
    </row>
    <row r="16" spans="1:12" ht="18" x14ac:dyDescent="0.35">
      <c r="A16" s="121" t="s">
        <v>18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</row>
    <row r="18" spans="1:12" s="44" customFormat="1" ht="49.8" customHeight="1" x14ac:dyDescent="0.25">
      <c r="B18" s="91" t="s">
        <v>5</v>
      </c>
      <c r="C18" s="92"/>
      <c r="D18" s="92"/>
      <c r="E18" s="93"/>
      <c r="F18" s="94" t="s">
        <v>6</v>
      </c>
      <c r="G18" s="94"/>
      <c r="H18" s="67" t="s">
        <v>19</v>
      </c>
      <c r="I18" s="95" t="s">
        <v>7</v>
      </c>
      <c r="J18" s="95"/>
    </row>
    <row r="19" spans="1:12" s="44" customFormat="1" ht="16.5" customHeight="1" x14ac:dyDescent="0.3">
      <c r="B19" s="78" t="s">
        <v>40</v>
      </c>
      <c r="C19" s="79"/>
      <c r="D19" s="79"/>
      <c r="E19" s="80"/>
      <c r="F19" s="81">
        <f>'№1 ВКВ'!F19+'№2 ПТМ ХВО'!F19</f>
        <v>385968</v>
      </c>
      <c r="G19" s="82"/>
      <c r="H19" s="34">
        <f>'№1 ВКВ'!H19</f>
        <v>2.57</v>
      </c>
      <c r="I19" s="83">
        <f>H19*F19</f>
        <v>991937.75999999989</v>
      </c>
      <c r="J19" s="84"/>
      <c r="L19" s="66"/>
    </row>
    <row r="20" spans="1:12" s="45" customFormat="1" ht="16.8" x14ac:dyDescent="0.3">
      <c r="B20" s="70" t="s">
        <v>20</v>
      </c>
      <c r="C20" s="71"/>
      <c r="D20" s="71"/>
      <c r="E20" s="72"/>
      <c r="F20" s="113"/>
      <c r="G20" s="114"/>
      <c r="H20" s="46"/>
      <c r="I20" s="115">
        <f>SUM(I19:J19)</f>
        <v>991937.75999999989</v>
      </c>
      <c r="J20" s="116"/>
      <c r="L20" s="44"/>
    </row>
    <row r="21" spans="1:12" s="44" customFormat="1" ht="16.8" x14ac:dyDescent="0.3">
      <c r="B21" s="47"/>
      <c r="C21" s="47"/>
      <c r="D21" s="47"/>
      <c r="E21" s="47"/>
      <c r="F21" s="48"/>
      <c r="G21" s="48"/>
      <c r="H21" s="49"/>
      <c r="I21" s="50"/>
      <c r="J21" s="48"/>
    </row>
    <row r="22" spans="1:12" s="44" customFormat="1" ht="18" x14ac:dyDescent="0.35">
      <c r="A22" s="112" t="s">
        <v>41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</row>
    <row r="23" spans="1:12" ht="15.6" x14ac:dyDescent="0.3">
      <c r="K23" s="51" t="s">
        <v>21</v>
      </c>
    </row>
    <row r="24" spans="1:12" ht="95.25" customHeight="1" x14ac:dyDescent="0.25">
      <c r="A24" s="11" t="s">
        <v>24</v>
      </c>
      <c r="B24" s="11" t="s">
        <v>25</v>
      </c>
      <c r="C24" s="11" t="s">
        <v>22</v>
      </c>
      <c r="D24" s="11" t="s">
        <v>23</v>
      </c>
      <c r="E24" s="11" t="s">
        <v>26</v>
      </c>
      <c r="F24" s="11" t="s">
        <v>27</v>
      </c>
      <c r="G24" s="11" t="s">
        <v>28</v>
      </c>
      <c r="H24" s="11" t="s">
        <v>29</v>
      </c>
      <c r="I24" s="11" t="s">
        <v>30</v>
      </c>
      <c r="J24" s="11" t="s">
        <v>31</v>
      </c>
      <c r="K24" s="11" t="s">
        <v>32</v>
      </c>
      <c r="L24" s="52"/>
    </row>
    <row r="25" spans="1:12" ht="15.6" x14ac:dyDescent="0.3">
      <c r="A25" s="53">
        <f>'№2 ПТМ ХВО'!A25</f>
        <v>2022</v>
      </c>
      <c r="B25" s="53">
        <v>0</v>
      </c>
      <c r="C25" s="25">
        <f>I8</f>
        <v>4023.0585579999997</v>
      </c>
      <c r="D25" s="25">
        <f>$I$20/1000</f>
        <v>991.93775999999991</v>
      </c>
      <c r="E25" s="25">
        <f>(D25-G25)*$I$10/100</f>
        <v>33.718688711999995</v>
      </c>
      <c r="F25" s="25">
        <f>D25-E25</f>
        <v>958.2190712879999</v>
      </c>
      <c r="G25" s="25">
        <f>$C$25/5</f>
        <v>804.61171159999992</v>
      </c>
      <c r="H25" s="25">
        <f>C25-G25</f>
        <v>3218.4468463999997</v>
      </c>
      <c r="I25" s="25">
        <f>-C25+F25</f>
        <v>-3064.8394867119996</v>
      </c>
      <c r="J25" s="25">
        <f>I25/(1+$I$9/100)^B25</f>
        <v>-3064.8394867119996</v>
      </c>
      <c r="K25" s="25">
        <f>J25</f>
        <v>-3064.8394867119996</v>
      </c>
    </row>
    <row r="26" spans="1:12" ht="15.6" x14ac:dyDescent="0.3">
      <c r="A26" s="14">
        <f>A25+1</f>
        <v>2023</v>
      </c>
      <c r="B26" s="53">
        <f>B25+1</f>
        <v>1</v>
      </c>
      <c r="C26" s="25"/>
      <c r="D26" s="25">
        <f t="shared" ref="D26:D29" si="0">$I$20/1000</f>
        <v>991.93775999999991</v>
      </c>
      <c r="E26" s="25">
        <f t="shared" ref="E26:E29" si="1">(D26-G26)*$I$10/100</f>
        <v>33.718688711999995</v>
      </c>
      <c r="F26" s="25">
        <f t="shared" ref="F26:F29" si="2">D26-E26</f>
        <v>958.2190712879999</v>
      </c>
      <c r="G26" s="25">
        <f t="shared" ref="G26:G29" si="3">$C$25/5</f>
        <v>804.61171159999992</v>
      </c>
      <c r="H26" s="25">
        <f>H25-G26</f>
        <v>2413.8351347999997</v>
      </c>
      <c r="I26" s="25">
        <f>-C26+F26</f>
        <v>958.2190712879999</v>
      </c>
      <c r="J26" s="25">
        <f>I26/(1+$I$9/100)^B26</f>
        <v>887.23988082222206</v>
      </c>
      <c r="K26" s="25">
        <f>J26+K25</f>
        <v>-2177.5996058897776</v>
      </c>
    </row>
    <row r="27" spans="1:12" ht="15.6" x14ac:dyDescent="0.3">
      <c r="A27" s="14">
        <f t="shared" ref="A27:A29" si="4">A26+1</f>
        <v>2024</v>
      </c>
      <c r="B27" s="53">
        <f t="shared" ref="B27:B29" si="5">B26+1</f>
        <v>2</v>
      </c>
      <c r="C27" s="25"/>
      <c r="D27" s="25">
        <f t="shared" si="0"/>
        <v>991.93775999999991</v>
      </c>
      <c r="E27" s="25">
        <f t="shared" si="1"/>
        <v>33.718688711999995</v>
      </c>
      <c r="F27" s="25">
        <f t="shared" si="2"/>
        <v>958.2190712879999</v>
      </c>
      <c r="G27" s="25">
        <f t="shared" si="3"/>
        <v>804.61171159999992</v>
      </c>
      <c r="H27" s="25">
        <f t="shared" ref="H27:H29" si="6">H26-G27</f>
        <v>1609.2234231999996</v>
      </c>
      <c r="I27" s="25">
        <f>-C27+F27</f>
        <v>958.2190712879999</v>
      </c>
      <c r="J27" s="25">
        <f t="shared" ref="J27:J29" si="7">I27/(1+$I$9/100)^B27</f>
        <v>821.51840816872414</v>
      </c>
      <c r="K27" s="25">
        <f>J27+K26</f>
        <v>-1356.0811977210535</v>
      </c>
    </row>
    <row r="28" spans="1:12" ht="15.6" x14ac:dyDescent="0.3">
      <c r="A28" s="14">
        <f t="shared" si="4"/>
        <v>2025</v>
      </c>
      <c r="B28" s="53">
        <f t="shared" si="5"/>
        <v>3</v>
      </c>
      <c r="C28" s="25"/>
      <c r="D28" s="25">
        <f t="shared" si="0"/>
        <v>991.93775999999991</v>
      </c>
      <c r="E28" s="25">
        <f t="shared" si="1"/>
        <v>33.718688711999995</v>
      </c>
      <c r="F28" s="25">
        <f t="shared" si="2"/>
        <v>958.2190712879999</v>
      </c>
      <c r="G28" s="25">
        <f t="shared" si="3"/>
        <v>804.61171159999992</v>
      </c>
      <c r="H28" s="25">
        <f t="shared" si="6"/>
        <v>804.61171159999969</v>
      </c>
      <c r="I28" s="25">
        <f>-C28+F28</f>
        <v>958.2190712879999</v>
      </c>
      <c r="J28" s="25">
        <f t="shared" si="7"/>
        <v>760.66519274881864</v>
      </c>
      <c r="K28" s="25">
        <f>J28+K27</f>
        <v>-595.41600497223487</v>
      </c>
    </row>
    <row r="29" spans="1:12" ht="15.6" x14ac:dyDescent="0.3">
      <c r="A29" s="14">
        <f t="shared" si="4"/>
        <v>2026</v>
      </c>
      <c r="B29" s="53">
        <f t="shared" si="5"/>
        <v>4</v>
      </c>
      <c r="C29" s="25"/>
      <c r="D29" s="25">
        <f t="shared" si="0"/>
        <v>991.93775999999991</v>
      </c>
      <c r="E29" s="25">
        <f t="shared" si="1"/>
        <v>33.718688711999995</v>
      </c>
      <c r="F29" s="25">
        <f t="shared" si="2"/>
        <v>958.2190712879999</v>
      </c>
      <c r="G29" s="25">
        <f t="shared" si="3"/>
        <v>804.61171159999992</v>
      </c>
      <c r="H29" s="25">
        <f t="shared" si="6"/>
        <v>0</v>
      </c>
      <c r="I29" s="25">
        <f>-C29+F29</f>
        <v>958.2190712879999</v>
      </c>
      <c r="J29" s="25">
        <f t="shared" si="7"/>
        <v>704.31962291557272</v>
      </c>
      <c r="K29" s="25">
        <f>J29+K28</f>
        <v>108.90361794333785</v>
      </c>
    </row>
    <row r="30" spans="1:12" ht="15.6" x14ac:dyDescent="0.3">
      <c r="A30" s="54"/>
      <c r="B30" s="54"/>
      <c r="C30" s="55"/>
      <c r="D30" s="55"/>
      <c r="E30" s="55"/>
      <c r="F30" s="55"/>
      <c r="G30" s="55"/>
      <c r="H30" s="55"/>
      <c r="I30" s="55"/>
      <c r="J30" s="55"/>
      <c r="K30" s="55"/>
    </row>
    <row r="31" spans="1:12" ht="18" x14ac:dyDescent="0.35">
      <c r="A31" s="56" t="s">
        <v>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2" spans="1:12" ht="18" x14ac:dyDescent="0.35">
      <c r="A32" s="56"/>
      <c r="B32" s="56"/>
      <c r="C32" s="15" t="s">
        <v>33</v>
      </c>
      <c r="D32" s="56"/>
      <c r="E32" s="56"/>
      <c r="F32" s="56"/>
      <c r="G32" s="56"/>
      <c r="H32" s="56"/>
      <c r="I32" s="57">
        <f>K29</f>
        <v>108.90361794333785</v>
      </c>
      <c r="J32" s="56" t="s">
        <v>21</v>
      </c>
      <c r="K32" s="56"/>
    </row>
    <row r="33" spans="1:11" ht="18" x14ac:dyDescent="0.35">
      <c r="A33" s="56"/>
      <c r="B33" s="56"/>
      <c r="C33" s="15" t="s">
        <v>34</v>
      </c>
      <c r="D33" s="56"/>
      <c r="E33" s="56"/>
      <c r="F33" s="56"/>
      <c r="G33" s="56"/>
      <c r="H33" s="56"/>
      <c r="I33" s="58">
        <f>2+ABS(J25+J26)/J27</f>
        <v>4.6507009267679615</v>
      </c>
      <c r="J33" s="56" t="s">
        <v>47</v>
      </c>
      <c r="K33" s="56"/>
    </row>
    <row r="34" spans="1:11" ht="18" x14ac:dyDescent="0.35">
      <c r="A34" s="56"/>
      <c r="B34" s="56"/>
      <c r="C34" s="56" t="s">
        <v>43</v>
      </c>
      <c r="D34" s="56"/>
      <c r="E34" s="56"/>
      <c r="F34" s="56"/>
      <c r="G34" s="56"/>
      <c r="H34" s="56"/>
      <c r="I34" s="59">
        <f>IRR(I25:I29)*100</f>
        <v>9.586122559579934</v>
      </c>
      <c r="J34" s="56" t="s">
        <v>0</v>
      </c>
      <c r="K34" s="56"/>
    </row>
    <row r="35" spans="1:11" ht="18" x14ac:dyDescent="0.35">
      <c r="A35" s="56"/>
      <c r="B35" s="56"/>
      <c r="C35" s="15" t="s">
        <v>44</v>
      </c>
      <c r="D35" s="56"/>
      <c r="E35" s="56"/>
      <c r="F35" s="56"/>
      <c r="G35" s="56"/>
      <c r="H35" s="56"/>
      <c r="I35" s="59">
        <f>I32/C25*100</f>
        <v>2.706985652167031</v>
      </c>
      <c r="J35" s="56" t="s">
        <v>0</v>
      </c>
      <c r="K35" s="56"/>
    </row>
    <row r="36" spans="1:11" ht="12" customHeight="1" x14ac:dyDescent="0.3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</row>
    <row r="37" spans="1:11" ht="18.75" customHeight="1" x14ac:dyDescent="0.35">
      <c r="A37" s="10" t="s">
        <v>36</v>
      </c>
      <c r="B37" s="60"/>
      <c r="C37" s="60"/>
      <c r="D37" s="60"/>
      <c r="E37" s="60"/>
      <c r="F37" s="60"/>
      <c r="G37" s="60"/>
      <c r="H37" s="60"/>
      <c r="I37" s="56"/>
      <c r="J37" s="56"/>
      <c r="K37" s="56"/>
    </row>
    <row r="38" spans="1:11" ht="18.75" customHeight="1" x14ac:dyDescent="0.35">
      <c r="A38" s="10" t="s">
        <v>37</v>
      </c>
      <c r="B38" s="60"/>
      <c r="C38" s="60"/>
      <c r="D38" s="60"/>
      <c r="E38" s="60"/>
      <c r="F38" s="60"/>
      <c r="G38" s="60"/>
      <c r="H38" s="60"/>
      <c r="I38" s="56"/>
      <c r="J38" s="56"/>
      <c r="K38" s="56"/>
    </row>
    <row r="39" spans="1:11" ht="7.5" customHeight="1" x14ac:dyDescent="0.35">
      <c r="A39" s="60"/>
      <c r="B39" s="60"/>
      <c r="C39" s="60"/>
      <c r="D39" s="60"/>
      <c r="E39" s="60"/>
      <c r="F39" s="60"/>
      <c r="G39" s="60"/>
      <c r="H39" s="60"/>
      <c r="I39" s="56"/>
      <c r="J39" s="56"/>
      <c r="K39" s="56"/>
    </row>
    <row r="40" spans="1:11" ht="18.75" customHeight="1" x14ac:dyDescent="0.35">
      <c r="A40" s="19" t="s">
        <v>38</v>
      </c>
      <c r="B40" s="61"/>
      <c r="C40" s="61"/>
      <c r="D40" s="61"/>
      <c r="E40" s="62">
        <f>'№2 ПТМ ХВО'!E39</f>
        <v>44571</v>
      </c>
      <c r="F40" s="56"/>
      <c r="G40" s="56"/>
      <c r="H40" s="56"/>
      <c r="I40" s="56"/>
      <c r="J40" s="56"/>
      <c r="K40" s="56"/>
    </row>
    <row r="41" spans="1:11" ht="18" x14ac:dyDescent="0.35">
      <c r="A41" s="61"/>
      <c r="B41" s="61"/>
      <c r="C41" s="61"/>
      <c r="D41" s="61"/>
      <c r="E41" s="62"/>
      <c r="F41" s="56"/>
      <c r="G41" s="56"/>
      <c r="H41" s="56"/>
      <c r="I41" s="56"/>
      <c r="J41" s="56"/>
      <c r="K41" s="56"/>
    </row>
    <row r="42" spans="1:11" ht="18" x14ac:dyDescent="0.35">
      <c r="A42" s="61"/>
      <c r="B42" s="61"/>
      <c r="C42" s="61"/>
      <c r="D42" s="61"/>
      <c r="E42" s="62"/>
      <c r="F42" s="56"/>
      <c r="G42" s="56"/>
      <c r="H42" s="56"/>
      <c r="I42" s="56"/>
      <c r="J42" s="56"/>
      <c r="K42" s="56"/>
    </row>
    <row r="43" spans="1:11" ht="12.75" customHeight="1" x14ac:dyDescent="0.3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</row>
    <row r="44" spans="1:11" s="64" customFormat="1" ht="21" x14ac:dyDescent="0.4">
      <c r="A44" s="63"/>
      <c r="B44" s="77" t="s">
        <v>46</v>
      </c>
      <c r="C44" s="77"/>
      <c r="D44" s="77"/>
      <c r="E44" s="77"/>
      <c r="F44" s="77"/>
      <c r="G44" s="63"/>
      <c r="I44" s="77" t="s">
        <v>45</v>
      </c>
      <c r="J44" s="77"/>
      <c r="K44" s="77"/>
    </row>
    <row r="45" spans="1:11" ht="18" x14ac:dyDescent="0.3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</row>
  </sheetData>
  <mergeCells count="40">
    <mergeCell ref="A2:K2"/>
    <mergeCell ref="A3:K3"/>
    <mergeCell ref="A5:K5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B44:F44"/>
    <mergeCell ref="I44:K44"/>
    <mergeCell ref="C14:F14"/>
    <mergeCell ref="G14:H14"/>
    <mergeCell ref="I14:J14"/>
    <mergeCell ref="A16:K16"/>
    <mergeCell ref="B18:E18"/>
    <mergeCell ref="F18:G18"/>
    <mergeCell ref="I18:J18"/>
    <mergeCell ref="A22:K22"/>
    <mergeCell ref="B19:E19"/>
    <mergeCell ref="F19:G19"/>
    <mergeCell ref="I19:J19"/>
    <mergeCell ref="B20:E20"/>
    <mergeCell ref="F20:G20"/>
    <mergeCell ref="I20:J20"/>
  </mergeCells>
  <pageMargins left="0.23622047244094491" right="0.19685039370078741" top="0.35433070866141736" bottom="0.23622047244094491" header="0.19685039370078741" footer="0.15748031496062992"/>
  <pageSetup paperSize="9" scale="94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№1 ВКВ</vt:lpstr>
      <vt:lpstr>№2 ПТМ ХВО</vt:lpstr>
      <vt:lpstr>инвест программа всего</vt:lpstr>
      <vt:lpstr>'№1 ВКВ'!Область_печати</vt:lpstr>
      <vt:lpstr>'№2 ПТМ ХВО'!Область_печати</vt:lpstr>
      <vt:lpstr>'инвест программа всего'!Область_печати</vt:lpstr>
    </vt:vector>
  </TitlesOfParts>
  <Company>PAO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Холявка Виктор Николаевич</dc:creator>
  <cp:lastModifiedBy>Дудин Иван Владимирович</cp:lastModifiedBy>
  <cp:lastPrinted>2022-01-19T11:52:05Z</cp:lastPrinted>
  <dcterms:created xsi:type="dcterms:W3CDTF">2014-11-06T12:33:25Z</dcterms:created>
  <dcterms:modified xsi:type="dcterms:W3CDTF">2022-01-19T11:52:16Z</dcterms:modified>
</cp:coreProperties>
</file>