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2"/>
  </bookViews>
  <sheets>
    <sheet name="заклади загальної середньої осв" sheetId="1" r:id="rId1"/>
    <sheet name="вечірні класи" sheetId="2" r:id="rId2"/>
    <sheet name="спеціальні" sheetId="3" r:id="rId3"/>
    <sheet name="Лист1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<sst xmlns="http://schemas.openxmlformats.org/spreadsheetml/2006/main" count="314" uniqueCount="94">
  <si>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</si>
  <si>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</si>
  <si>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</si>
  <si>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</si>
  <si>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</si>
  <si>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</si>
  <si>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</si>
  <si>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</si>
  <si>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</si>
  <si>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</si>
  <si>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</si>
  <si>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</si>
  <si>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</si>
  <si>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</si>
  <si>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</si>
  <si>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</si>
  <si>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</si>
  <si>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</si>
  <si>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</si>
  <si>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</si>
  <si>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</si>
  <si>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</si>
  <si>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</si>
  <si>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</si>
  <si>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</si>
  <si>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</si>
  <si>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</si>
  <si>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</si>
  <si>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</si>
  <si>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</si>
  <si>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</si>
  <si>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</si>
  <si>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12 клас</t>
  </si>
  <si>
    <t>1 клас</t>
  </si>
  <si>
    <t>2 клас</t>
  </si>
  <si>
    <t>3 клас</t>
  </si>
  <si>
    <t>7 клас</t>
  </si>
  <si>
    <t>від _______________  № ______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</si>
  <si>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</si>
  <si>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</si>
  <si>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</si>
  <si>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</si>
  <si>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</si>
  <si>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</si>
  <si>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</si>
  <si>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</si>
  <si>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41</t>
  </si>
  <si>
    <t>СНВКд/з 42</t>
  </si>
  <si>
    <t>ВСЬОГО</t>
  </si>
  <si>
    <t>Додаток  1</t>
  </si>
  <si>
    <t>Додаток  3</t>
  </si>
  <si>
    <t>Назва закладу</t>
  </si>
  <si>
    <t xml:space="preserve">                         Додаток  2</t>
  </si>
  <si>
    <t>СНВКд/з 16</t>
  </si>
  <si>
    <t>в т.ч. інклюзивні класи</t>
  </si>
  <si>
    <t>до рішення виконавчого комітету</t>
  </si>
  <si>
    <t>в т.ч. спеціальні, інклюзивні класи</t>
  </si>
  <si>
    <t>2017-2018 н.р.</t>
  </si>
  <si>
    <t>Різниця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</si>
  <si>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</si>
  <si>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</si>
  <si>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</si>
  <si>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</si>
  <si>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</si>
  <si>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</si>
  <si>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</si>
  <si>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№27</t>
  </si>
  <si>
    <t xml:space="preserve">Виховні групи </t>
  </si>
  <si>
    <t>в т.ч. спеціальні</t>
  </si>
  <si>
    <t>Гімназія № 1</t>
  </si>
  <si>
    <t>Піщанська ЗОШ</t>
  </si>
  <si>
    <t>В.Піщанська ЗОШ</t>
  </si>
  <si>
    <t>Сумська класична гімназія</t>
  </si>
  <si>
    <t>2018-2019</t>
  </si>
  <si>
    <t>проєкта мережа</t>
  </si>
  <si>
    <t>ГПД за кошти батьків</t>
  </si>
  <si>
    <t>ЗЗСО№26</t>
  </si>
  <si>
    <t>Кіл - ть груп</t>
  </si>
  <si>
    <t>Кіл - ть груп/класів</t>
  </si>
  <si>
    <t>2/3</t>
  </si>
  <si>
    <t>Мережа груп, класів і контингент учнів з вечірньою формою здобуття освіти  на 2020- 2021 навчальний рік</t>
  </si>
  <si>
    <t>1</t>
  </si>
  <si>
    <t>Мережа класів і контингент  учнів у спеціальних школах на 2020 - 2021 навчальний рік</t>
  </si>
  <si>
    <t>ССЗСО спеціальна школа СМР</t>
  </si>
  <si>
    <t>ССПШ №31 СМР</t>
  </si>
  <si>
    <t xml:space="preserve"> Мережа класів та контингент учнів у закладах загальної середньої освіти Сумської міської об"єднаної територіальної громади на 2020-2021 навчальний рік </t>
  </si>
  <si>
    <t>Комунальна установа Сумська спеціалізована школа І-ІІІ ступенів № 3 ім. генерал - лейтенанта А.Морозова м. Суми, Сумської області</t>
  </si>
  <si>
    <t>2019-2020</t>
  </si>
  <si>
    <t>проєктна</t>
  </si>
  <si>
    <t>різниця</t>
  </si>
  <si>
    <t>10 - 11 (12) клас</t>
  </si>
  <si>
    <t>В.о начальника управління освіти і науки</t>
  </si>
  <si>
    <t>Т.В.Дрига</t>
  </si>
  <si>
    <t xml:space="preserve">В.о. начальника управління освіти і науки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</si>
</sst>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00"/>
    <numFmt numFmtId="208" formatCode="0.0000"/>
    <numFmt numFmtId="209" formatCode="0.000"/>
  </numFmts>
  <fonts count="71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 Cyr"/>
      <family val="0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b/>
      <sz val="8"/>
      <color indexed="9"/>
      <name val="Times New Roman"/>
      <family val="1"/>
    </font>
    <font>
      <b/>
      <sz val="8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 Cyr"/>
      <family val="0"/>
    </font>
    <font>
      <sz val="8"/>
      <color rgb="FFFF0000"/>
      <name val="Arial Cyr"/>
      <family val="0"/>
    </font>
    <font>
      <sz val="8"/>
      <color rgb="FF00B050"/>
      <name val="Arial Cyr"/>
      <family val="0"/>
    </font>
    <font>
      <b/>
      <sz val="8"/>
      <color theme="0"/>
      <name val="Times New Roman"/>
      <family val="1"/>
    </font>
    <font>
      <b/>
      <sz val="8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6" fillId="1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206" fontId="14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7" fillId="0" borderId="0" xfId="0" applyFont="1" applyAlignment="1">
      <alignment horizontal="center" vertical="center" wrapText="1"/>
    </xf>
    <xf numFmtId="206" fontId="8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206" fontId="16" fillId="34" borderId="10" xfId="0" applyNumberFormat="1" applyFont="1" applyFill="1" applyBorder="1" applyAlignment="1">
      <alignment horizontal="center" vertical="center" wrapText="1"/>
    </xf>
    <xf numFmtId="206" fontId="17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6" fontId="8" fillId="34" borderId="10" xfId="0" applyNumberFormat="1" applyFont="1" applyFill="1" applyBorder="1" applyAlignment="1">
      <alignment horizontal="center" vertical="center" wrapText="1"/>
    </xf>
    <xf numFmtId="206" fontId="14" fillId="34" borderId="12" xfId="0" applyNumberFormat="1" applyFont="1" applyFill="1" applyBorder="1" applyAlignment="1">
      <alignment horizontal="center" vertical="center" wrapText="1"/>
    </xf>
    <xf numFmtId="206" fontId="17" fillId="34" borderId="13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wrapText="1"/>
    </xf>
    <xf numFmtId="0" fontId="6" fillId="14" borderId="11" xfId="0" applyFont="1" applyFill="1" applyBorder="1" applyAlignment="1">
      <alignment wrapText="1"/>
    </xf>
    <xf numFmtId="0" fontId="16" fillId="14" borderId="12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206" fontId="8" fillId="33" borderId="12" xfId="0" applyNumberFormat="1" applyFont="1" applyFill="1" applyBorder="1" applyAlignment="1">
      <alignment horizontal="center" vertical="center" textRotation="90" wrapText="1"/>
    </xf>
    <xf numFmtId="206" fontId="8" fillId="33" borderId="10" xfId="0" applyNumberFormat="1" applyFont="1" applyFill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4" borderId="16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6" fontId="15" fillId="33" borderId="13" xfId="0" applyNumberFormat="1" applyFont="1" applyFill="1" applyBorder="1" applyAlignment="1">
      <alignment horizontal="center" vertical="center" textRotation="90" wrapText="1"/>
    </xf>
    <xf numFmtId="206" fontId="15" fillId="33" borderId="12" xfId="0" applyNumberFormat="1" applyFont="1" applyFill="1" applyBorder="1" applyAlignment="1">
      <alignment horizontal="center" vertical="center" textRotation="90" wrapText="1"/>
    </xf>
    <xf numFmtId="0" fontId="15" fillId="1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textRotation="90" wrapText="1"/>
    </xf>
    <xf numFmtId="0" fontId="11" fillId="36" borderId="18" xfId="0" applyFont="1" applyFill="1" applyBorder="1" applyAlignment="1">
      <alignment horizontal="center" vertical="center" textRotation="90" wrapText="1"/>
    </xf>
    <xf numFmtId="0" fontId="11" fillId="36" borderId="17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06" fontId="11" fillId="33" borderId="13" xfId="0" applyNumberFormat="1" applyFont="1" applyFill="1" applyBorder="1" applyAlignment="1">
      <alignment horizontal="center" vertical="center" textRotation="90" wrapText="1"/>
    </xf>
    <xf numFmtId="206" fontId="11" fillId="33" borderId="12" xfId="0" applyNumberFormat="1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1">
        <row r="9">
          <cell r="D9">
            <v>1</v>
          </cell>
          <cell r="E9">
            <v>7</v>
          </cell>
          <cell r="F9">
            <v>2</v>
          </cell>
          <cell r="G9">
            <v>24</v>
          </cell>
          <cell r="H9">
            <v>1</v>
          </cell>
          <cell r="I9">
            <v>19</v>
          </cell>
          <cell r="J9">
            <v>1</v>
          </cell>
          <cell r="K9">
            <v>15</v>
          </cell>
          <cell r="L9">
            <v>5</v>
          </cell>
          <cell r="M9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>
        <row r="58">
          <cell r="B58">
            <v>3</v>
          </cell>
          <cell r="C58">
            <v>29</v>
          </cell>
          <cell r="D58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I79" sqref="AI79"/>
    </sheetView>
  </sheetViews>
  <sheetFormatPr defaultColWidth="9.00390625" defaultRowHeight="12.75"/>
  <cols>
    <col min="1" max="1" width="16.375" style="6" customWidth="1"/>
    <col min="2" max="2" width="4.25390625" style="6" hidden="1" customWidth="1"/>
    <col min="3" max="3" width="3.75390625" style="6" hidden="1" customWidth="1"/>
    <col min="4" max="4" width="4.75390625" style="1" customWidth="1"/>
    <col min="5" max="5" width="4.625" style="1" customWidth="1"/>
    <col min="6" max="6" width="3.625" style="1" customWidth="1"/>
    <col min="7" max="7" width="4.875" style="1" customWidth="1"/>
    <col min="8" max="8" width="4.125" style="1" customWidth="1"/>
    <col min="9" max="9" width="4.25390625" style="1" customWidth="1"/>
    <col min="10" max="10" width="4.00390625" style="1" customWidth="1"/>
    <col min="11" max="11" width="4.375" style="1" customWidth="1"/>
    <col min="12" max="12" width="4.75390625" style="8" customWidth="1"/>
    <col min="13" max="13" width="5.375" style="8" customWidth="1"/>
    <col min="14" max="14" width="4.00390625" style="1" customWidth="1"/>
    <col min="15" max="15" width="4.25390625" style="1" customWidth="1"/>
    <col min="16" max="16" width="3.875" style="1" customWidth="1"/>
    <col min="17" max="17" width="4.375" style="1" customWidth="1"/>
    <col min="18" max="18" width="4.625" style="1" customWidth="1"/>
    <col min="19" max="19" width="4.875" style="1" customWidth="1"/>
    <col min="20" max="20" width="4.375" style="1" customWidth="1"/>
    <col min="21" max="21" width="4.25390625" style="1" customWidth="1"/>
    <col min="22" max="23" width="4.375" style="1" customWidth="1"/>
    <col min="24" max="24" width="4.625" style="1" customWidth="1"/>
    <col min="25" max="25" width="5.875" style="1" customWidth="1"/>
    <col min="26" max="26" width="4.375" style="1" customWidth="1"/>
    <col min="27" max="27" width="4.25390625" style="1" customWidth="1"/>
    <col min="28" max="28" width="3.875" style="1" customWidth="1"/>
    <col min="29" max="29" width="4.75390625" style="1" customWidth="1"/>
    <col min="30" max="30" width="4.25390625" style="1" customWidth="1"/>
    <col min="31" max="31" width="5.25390625" style="1" customWidth="1"/>
    <col min="32" max="32" width="4.625" style="1" customWidth="1"/>
    <col min="33" max="33" width="5.625" style="1" customWidth="1"/>
    <col min="34" max="34" width="5.00390625" style="9" customWidth="1"/>
    <col min="35" max="35" width="4.875" style="1" customWidth="1"/>
    <col min="36" max="36" width="5.00390625" style="1" customWidth="1"/>
    <col min="37" max="37" width="4.75390625" style="1" customWidth="1"/>
    <col min="38" max="38" width="5.125" style="1" customWidth="1"/>
    <col min="39" max="16384" width="9.125" style="1" customWidth="1"/>
  </cols>
  <sheetData>
    <row r="1" spans="1:36" s="57" customFormat="1" ht="12" customHeight="1">
      <c r="A1" s="54"/>
      <c r="B1" s="54"/>
      <c r="C1" s="54"/>
      <c r="D1" s="55"/>
      <c r="E1" s="55"/>
      <c r="F1" s="55"/>
      <c r="G1" s="55"/>
      <c r="H1" s="55"/>
      <c r="I1" s="55"/>
      <c r="J1" s="55"/>
      <c r="K1" s="55"/>
      <c r="L1" s="56"/>
      <c r="M1" s="56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31"/>
      <c r="AC1" s="31"/>
      <c r="AD1" s="121" t="s">
        <v>49</v>
      </c>
      <c r="AE1" s="121"/>
      <c r="AF1" s="121"/>
      <c r="AG1" s="121"/>
      <c r="AH1" s="121"/>
      <c r="AI1" s="121"/>
      <c r="AJ1" s="121"/>
    </row>
    <row r="2" spans="1:36" s="57" customFormat="1" ht="12" customHeight="1">
      <c r="A2" s="54"/>
      <c r="B2" s="54"/>
      <c r="C2" s="54"/>
      <c r="D2" s="55"/>
      <c r="E2" s="55"/>
      <c r="F2" s="55"/>
      <c r="G2" s="55"/>
      <c r="H2" s="55"/>
      <c r="I2" s="55"/>
      <c r="J2" s="55"/>
      <c r="K2" s="55"/>
      <c r="L2" s="56"/>
      <c r="M2" s="56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1"/>
      <c r="AC2" s="31"/>
      <c r="AD2" s="122" t="s">
        <v>55</v>
      </c>
      <c r="AE2" s="122"/>
      <c r="AF2" s="122"/>
      <c r="AG2" s="122"/>
      <c r="AH2" s="122"/>
      <c r="AI2" s="122"/>
      <c r="AJ2" s="122"/>
    </row>
    <row r="3" spans="1:36" s="57" customFormat="1" ht="12" customHeight="1">
      <c r="A3" s="54"/>
      <c r="B3" s="54"/>
      <c r="C3" s="54"/>
      <c r="D3" s="55"/>
      <c r="E3" s="55"/>
      <c r="F3" s="55"/>
      <c r="G3" s="55"/>
      <c r="H3" s="55"/>
      <c r="I3" s="55"/>
      <c r="J3" s="55"/>
      <c r="K3" s="55"/>
      <c r="L3" s="56"/>
      <c r="M3" s="56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31"/>
      <c r="AC3" s="31"/>
      <c r="AD3" s="122" t="s">
        <v>37</v>
      </c>
      <c r="AE3" s="122"/>
      <c r="AF3" s="122"/>
      <c r="AG3" s="122"/>
      <c r="AH3" s="122"/>
      <c r="AI3" s="122"/>
      <c r="AJ3" s="122"/>
    </row>
    <row r="4" spans="1:36" s="57" customFormat="1" ht="12">
      <c r="A4" s="54"/>
      <c r="B4" s="54"/>
      <c r="C4" s="54"/>
      <c r="D4" s="55"/>
      <c r="E4" s="55"/>
      <c r="F4" s="55"/>
      <c r="G4" s="55"/>
      <c r="H4" s="55"/>
      <c r="I4" s="55"/>
      <c r="J4" s="55"/>
      <c r="K4" s="55"/>
      <c r="L4" s="56"/>
      <c r="M4" s="56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8"/>
      <c r="AI4" s="55"/>
      <c r="AJ4" s="55"/>
    </row>
    <row r="5" spans="1:36" ht="15.75" customHeight="1">
      <c r="A5" s="126" t="s">
        <v>85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8"/>
      <c r="AI6" s="39"/>
      <c r="AJ6" s="39"/>
    </row>
    <row r="7" spans="1:38" s="5" customFormat="1" ht="29.25" customHeight="1">
      <c r="A7" s="127" t="s">
        <v>51</v>
      </c>
      <c r="B7" s="118" t="s">
        <v>31</v>
      </c>
      <c r="C7" s="119"/>
      <c r="D7" s="117" t="s">
        <v>33</v>
      </c>
      <c r="E7" s="117"/>
      <c r="F7" s="117" t="s">
        <v>34</v>
      </c>
      <c r="G7" s="117"/>
      <c r="H7" s="117" t="s">
        <v>35</v>
      </c>
      <c r="I7" s="117"/>
      <c r="J7" s="117" t="s">
        <v>0</v>
      </c>
      <c r="K7" s="117"/>
      <c r="L7" s="125" t="s">
        <v>38</v>
      </c>
      <c r="M7" s="125"/>
      <c r="N7" s="117" t="s">
        <v>1</v>
      </c>
      <c r="O7" s="117"/>
      <c r="P7" s="117" t="s">
        <v>2</v>
      </c>
      <c r="Q7" s="117"/>
      <c r="R7" s="117" t="s">
        <v>36</v>
      </c>
      <c r="S7" s="117"/>
      <c r="T7" s="117" t="s">
        <v>3</v>
      </c>
      <c r="U7" s="117"/>
      <c r="V7" s="117" t="s">
        <v>4</v>
      </c>
      <c r="W7" s="117"/>
      <c r="X7" s="125" t="s">
        <v>39</v>
      </c>
      <c r="Y7" s="125"/>
      <c r="Z7" s="117" t="s">
        <v>5</v>
      </c>
      <c r="AA7" s="117"/>
      <c r="AB7" s="117" t="s">
        <v>6</v>
      </c>
      <c r="AC7" s="117"/>
      <c r="AD7" s="125" t="s">
        <v>40</v>
      </c>
      <c r="AE7" s="125"/>
      <c r="AF7" s="117" t="s">
        <v>59</v>
      </c>
      <c r="AG7" s="117"/>
      <c r="AH7" s="123" t="s">
        <v>42</v>
      </c>
      <c r="AI7" s="117" t="s">
        <v>30</v>
      </c>
      <c r="AJ7" s="117"/>
      <c r="AK7" s="117" t="s">
        <v>75</v>
      </c>
      <c r="AL7" s="117"/>
    </row>
    <row r="8" spans="1:38" s="7" customFormat="1" ht="42.75" customHeight="1">
      <c r="A8" s="127"/>
      <c r="B8" s="40" t="s">
        <v>8</v>
      </c>
      <c r="C8" s="40" t="s">
        <v>9</v>
      </c>
      <c r="D8" s="41" t="s">
        <v>8</v>
      </c>
      <c r="E8" s="41" t="s">
        <v>9</v>
      </c>
      <c r="F8" s="41" t="s">
        <v>8</v>
      </c>
      <c r="G8" s="41" t="s">
        <v>9</v>
      </c>
      <c r="H8" s="41" t="s">
        <v>8</v>
      </c>
      <c r="I8" s="41" t="s">
        <v>9</v>
      </c>
      <c r="J8" s="41" t="s">
        <v>8</v>
      </c>
      <c r="K8" s="41" t="s">
        <v>9</v>
      </c>
      <c r="L8" s="40" t="s">
        <v>8</v>
      </c>
      <c r="M8" s="40" t="s">
        <v>9</v>
      </c>
      <c r="N8" s="41" t="s">
        <v>8</v>
      </c>
      <c r="O8" s="41" t="s">
        <v>9</v>
      </c>
      <c r="P8" s="41" t="s">
        <v>8</v>
      </c>
      <c r="Q8" s="41" t="s">
        <v>9</v>
      </c>
      <c r="R8" s="41" t="s">
        <v>8</v>
      </c>
      <c r="S8" s="41" t="s">
        <v>9</v>
      </c>
      <c r="T8" s="41" t="s">
        <v>8</v>
      </c>
      <c r="U8" s="41" t="s">
        <v>9</v>
      </c>
      <c r="V8" s="41" t="s">
        <v>8</v>
      </c>
      <c r="W8" s="41" t="s">
        <v>9</v>
      </c>
      <c r="X8" s="40" t="s">
        <v>8</v>
      </c>
      <c r="Y8" s="40" t="s">
        <v>9</v>
      </c>
      <c r="Z8" s="41" t="s">
        <v>8</v>
      </c>
      <c r="AA8" s="41" t="s">
        <v>9</v>
      </c>
      <c r="AB8" s="41" t="s">
        <v>8</v>
      </c>
      <c r="AC8" s="41" t="s">
        <v>9</v>
      </c>
      <c r="AD8" s="40" t="s">
        <v>8</v>
      </c>
      <c r="AE8" s="40" t="s">
        <v>9</v>
      </c>
      <c r="AF8" s="41" t="s">
        <v>8</v>
      </c>
      <c r="AG8" s="41" t="s">
        <v>9</v>
      </c>
      <c r="AH8" s="124"/>
      <c r="AI8" s="41" t="s">
        <v>8</v>
      </c>
      <c r="AJ8" s="41" t="s">
        <v>9</v>
      </c>
      <c r="AK8" s="19" t="s">
        <v>8</v>
      </c>
      <c r="AL8" s="19" t="s">
        <v>9</v>
      </c>
    </row>
    <row r="9" spans="1:38" s="6" customFormat="1" ht="12" customHeight="1">
      <c r="A9" s="95" t="s">
        <v>10</v>
      </c>
      <c r="B9" s="43"/>
      <c r="C9" s="43"/>
      <c r="D9" s="43">
        <v>4</v>
      </c>
      <c r="E9" s="43">
        <f>32+32+30+31</f>
        <v>125</v>
      </c>
      <c r="F9" s="43">
        <v>4</v>
      </c>
      <c r="G9" s="43">
        <f>31+30+31+30</f>
        <v>122</v>
      </c>
      <c r="H9" s="43">
        <v>5</v>
      </c>
      <c r="I9" s="43">
        <f>28+28+32+32+28</f>
        <v>148</v>
      </c>
      <c r="J9" s="43">
        <v>4</v>
      </c>
      <c r="K9" s="43">
        <f>34+34+34+32</f>
        <v>134</v>
      </c>
      <c r="L9" s="42">
        <f>D9+F9+H9+J9</f>
        <v>17</v>
      </c>
      <c r="M9" s="42">
        <f>E9+G9+I9+K9</f>
        <v>529</v>
      </c>
      <c r="N9" s="43">
        <f>4</f>
        <v>4</v>
      </c>
      <c r="O9" s="43">
        <f>30+30+28+29</f>
        <v>117</v>
      </c>
      <c r="P9" s="43">
        <v>4</v>
      </c>
      <c r="Q9" s="43">
        <f>30+33+33+34</f>
        <v>130</v>
      </c>
      <c r="R9" s="43">
        <v>4</v>
      </c>
      <c r="S9" s="43">
        <f>31+30+31+19</f>
        <v>111</v>
      </c>
      <c r="T9" s="43">
        <v>4</v>
      </c>
      <c r="U9" s="43">
        <f>29+28+29+28</f>
        <v>114</v>
      </c>
      <c r="V9" s="43">
        <f>3</f>
        <v>3</v>
      </c>
      <c r="W9" s="43">
        <f>29+28+28</f>
        <v>85</v>
      </c>
      <c r="X9" s="42">
        <f>N9+P9+R9+T9+V9</f>
        <v>19</v>
      </c>
      <c r="Y9" s="42">
        <f>O9+Q9+S9+U9+W9</f>
        <v>557</v>
      </c>
      <c r="Z9" s="43">
        <v>2</v>
      </c>
      <c r="AA9" s="43">
        <f>18+28</f>
        <v>46</v>
      </c>
      <c r="AB9" s="43">
        <v>1</v>
      </c>
      <c r="AC9" s="43">
        <v>33</v>
      </c>
      <c r="AD9" s="42">
        <f>Z9+AB9</f>
        <v>3</v>
      </c>
      <c r="AE9" s="42">
        <f>AA9+AC9</f>
        <v>79</v>
      </c>
      <c r="AF9" s="99">
        <f>L9+X9+AD9+B9</f>
        <v>39</v>
      </c>
      <c r="AG9" s="99">
        <f>M9+Y9+AE9+C9</f>
        <v>1165</v>
      </c>
      <c r="AH9" s="44">
        <f>AG9/AF9</f>
        <v>29.871794871794872</v>
      </c>
      <c r="AI9" s="43">
        <v>3</v>
      </c>
      <c r="AJ9" s="43">
        <v>90</v>
      </c>
      <c r="AK9" s="15"/>
      <c r="AL9" s="15"/>
    </row>
    <row r="10" spans="1:38" s="6" customFormat="1" ht="12" customHeight="1">
      <c r="A10" s="61" t="s">
        <v>54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42">
        <f>D10+F10+H10+J10</f>
        <v>0</v>
      </c>
      <c r="M10" s="42">
        <f>E10+G10+I10+K10</f>
        <v>0</v>
      </c>
      <c r="N10" s="83"/>
      <c r="O10" s="83"/>
      <c r="P10" s="83">
        <v>1</v>
      </c>
      <c r="Q10" s="83">
        <v>1</v>
      </c>
      <c r="R10" s="83"/>
      <c r="S10" s="83"/>
      <c r="T10" s="83"/>
      <c r="U10" s="83"/>
      <c r="V10" s="83"/>
      <c r="W10" s="83"/>
      <c r="X10" s="42">
        <f>N10+P10+R10+T10+V10</f>
        <v>1</v>
      </c>
      <c r="Y10" s="42">
        <f>O10+Q10+S10+U10+W10</f>
        <v>1</v>
      </c>
      <c r="Z10" s="83"/>
      <c r="AA10" s="83"/>
      <c r="AB10" s="83"/>
      <c r="AC10" s="83"/>
      <c r="AD10" s="42">
        <f>Z10+AB10</f>
        <v>0</v>
      </c>
      <c r="AE10" s="42">
        <f>AA10+AC10</f>
        <v>0</v>
      </c>
      <c r="AF10" s="59">
        <f>L10+X10+AD10</f>
        <v>1</v>
      </c>
      <c r="AG10" s="59">
        <f>M10+Y10+AE10</f>
        <v>1</v>
      </c>
      <c r="AH10" s="44"/>
      <c r="AI10" s="43"/>
      <c r="AJ10" s="43"/>
      <c r="AK10" s="15"/>
      <c r="AL10" s="15"/>
    </row>
    <row r="11" spans="1:38" s="6" customFormat="1" ht="12" customHeight="1">
      <c r="A11" s="95" t="s">
        <v>11</v>
      </c>
      <c r="B11" s="43"/>
      <c r="C11" s="43"/>
      <c r="D11" s="43">
        <v>3</v>
      </c>
      <c r="E11" s="43">
        <f>30+30+32</f>
        <v>92</v>
      </c>
      <c r="F11" s="43">
        <f>4</f>
        <v>4</v>
      </c>
      <c r="G11" s="43">
        <f>27+28+27+28</f>
        <v>110</v>
      </c>
      <c r="H11" s="43">
        <v>4</v>
      </c>
      <c r="I11" s="43">
        <f>32+31+30+30</f>
        <v>123</v>
      </c>
      <c r="J11" s="43">
        <f>3</f>
        <v>3</v>
      </c>
      <c r="K11" s="43">
        <f>34+34+32</f>
        <v>100</v>
      </c>
      <c r="L11" s="42">
        <f aca="true" t="shared" si="0" ref="L11:M59">D11+F11+H11+J11</f>
        <v>14</v>
      </c>
      <c r="M11" s="42">
        <f t="shared" si="0"/>
        <v>425</v>
      </c>
      <c r="N11" s="43">
        <v>3</v>
      </c>
      <c r="O11" s="43">
        <f>35+32+31</f>
        <v>98</v>
      </c>
      <c r="P11" s="43">
        <v>4</v>
      </c>
      <c r="Q11" s="43">
        <f>32+34+31+33</f>
        <v>130</v>
      </c>
      <c r="R11" s="43">
        <v>4</v>
      </c>
      <c r="S11" s="43">
        <f>30+28+28+28</f>
        <v>114</v>
      </c>
      <c r="T11" s="43">
        <f>3</f>
        <v>3</v>
      </c>
      <c r="U11" s="43">
        <f>28+36+31</f>
        <v>95</v>
      </c>
      <c r="V11" s="43">
        <f>3</f>
        <v>3</v>
      </c>
      <c r="W11" s="43">
        <f>32+35+31</f>
        <v>98</v>
      </c>
      <c r="X11" s="42">
        <f aca="true" t="shared" si="1" ref="X11:Y50">N11+P11+R11+T11+V11</f>
        <v>17</v>
      </c>
      <c r="Y11" s="42">
        <f t="shared" si="1"/>
        <v>535</v>
      </c>
      <c r="Z11" s="43">
        <v>2</v>
      </c>
      <c r="AA11" s="43">
        <f>28+21</f>
        <v>49</v>
      </c>
      <c r="AB11" s="43">
        <f>2</f>
        <v>2</v>
      </c>
      <c r="AC11" s="43">
        <f>28+23</f>
        <v>51</v>
      </c>
      <c r="AD11" s="42">
        <f aca="true" t="shared" si="2" ref="AD11:AE59">Z11+AB11</f>
        <v>4</v>
      </c>
      <c r="AE11" s="42">
        <f t="shared" si="2"/>
        <v>100</v>
      </c>
      <c r="AF11" s="99">
        <f aca="true" t="shared" si="3" ref="AF11:AG21">L11+X11+AD11+B11</f>
        <v>35</v>
      </c>
      <c r="AG11" s="99">
        <f t="shared" si="3"/>
        <v>1060</v>
      </c>
      <c r="AH11" s="44">
        <f aca="true" t="shared" si="4" ref="AH11:AH79">AG11/AF11</f>
        <v>30.285714285714285</v>
      </c>
      <c r="AI11" s="43">
        <v>2</v>
      </c>
      <c r="AJ11" s="43">
        <v>60</v>
      </c>
      <c r="AK11" s="15"/>
      <c r="AL11" s="15"/>
    </row>
    <row r="12" spans="1:38" s="11" customFormat="1" ht="12" customHeight="1">
      <c r="A12" s="95" t="s">
        <v>12</v>
      </c>
      <c r="B12" s="43"/>
      <c r="C12" s="43"/>
      <c r="D12" s="43">
        <v>1</v>
      </c>
      <c r="E12" s="43">
        <v>21</v>
      </c>
      <c r="F12" s="43">
        <v>1</v>
      </c>
      <c r="G12" s="43">
        <v>25</v>
      </c>
      <c r="H12" s="43">
        <v>1</v>
      </c>
      <c r="I12" s="43">
        <v>16</v>
      </c>
      <c r="J12" s="43">
        <v>1</v>
      </c>
      <c r="K12" s="43">
        <v>25</v>
      </c>
      <c r="L12" s="42">
        <f t="shared" si="0"/>
        <v>4</v>
      </c>
      <c r="M12" s="42">
        <f t="shared" si="0"/>
        <v>87</v>
      </c>
      <c r="N12" s="43">
        <v>1</v>
      </c>
      <c r="O12" s="43">
        <v>22</v>
      </c>
      <c r="P12" s="43">
        <v>1</v>
      </c>
      <c r="Q12" s="43">
        <v>28</v>
      </c>
      <c r="R12" s="43"/>
      <c r="S12" s="43"/>
      <c r="T12" s="43"/>
      <c r="U12" s="43"/>
      <c r="V12" s="43">
        <v>1</v>
      </c>
      <c r="W12" s="43">
        <v>25</v>
      </c>
      <c r="X12" s="42">
        <f t="shared" si="1"/>
        <v>3</v>
      </c>
      <c r="Y12" s="42">
        <f t="shared" si="1"/>
        <v>75</v>
      </c>
      <c r="Z12" s="43">
        <v>1</v>
      </c>
      <c r="AA12" s="43">
        <v>16</v>
      </c>
      <c r="AB12" s="43"/>
      <c r="AC12" s="43"/>
      <c r="AD12" s="42">
        <f t="shared" si="2"/>
        <v>1</v>
      </c>
      <c r="AE12" s="42">
        <f t="shared" si="2"/>
        <v>16</v>
      </c>
      <c r="AF12" s="99">
        <f t="shared" si="3"/>
        <v>8</v>
      </c>
      <c r="AG12" s="99">
        <f t="shared" si="3"/>
        <v>178</v>
      </c>
      <c r="AH12" s="44">
        <f t="shared" si="4"/>
        <v>22.25</v>
      </c>
      <c r="AI12" s="43">
        <v>1</v>
      </c>
      <c r="AJ12" s="43">
        <v>30</v>
      </c>
      <c r="AK12" s="15"/>
      <c r="AL12" s="15"/>
    </row>
    <row r="13" spans="1:38" s="11" customFormat="1" ht="12" customHeight="1">
      <c r="A13" s="61" t="s">
        <v>54</v>
      </c>
      <c r="B13" s="83"/>
      <c r="C13" s="83"/>
      <c r="D13" s="83"/>
      <c r="E13" s="83"/>
      <c r="F13" s="83"/>
      <c r="G13" s="83"/>
      <c r="H13" s="83">
        <v>1</v>
      </c>
      <c r="I13" s="83">
        <v>3</v>
      </c>
      <c r="J13" s="83">
        <v>1</v>
      </c>
      <c r="K13" s="83">
        <v>2</v>
      </c>
      <c r="L13" s="42">
        <f>D13+F13+H13+J13</f>
        <v>2</v>
      </c>
      <c r="M13" s="42">
        <f>E13+G13+I13+K13</f>
        <v>5</v>
      </c>
      <c r="N13" s="83">
        <v>1</v>
      </c>
      <c r="O13" s="83">
        <v>1</v>
      </c>
      <c r="P13" s="83">
        <v>1</v>
      </c>
      <c r="Q13" s="83">
        <v>2</v>
      </c>
      <c r="R13" s="83"/>
      <c r="S13" s="83"/>
      <c r="T13" s="83"/>
      <c r="U13" s="83"/>
      <c r="V13" s="83"/>
      <c r="W13" s="83"/>
      <c r="X13" s="42">
        <f t="shared" si="1"/>
        <v>2</v>
      </c>
      <c r="Y13" s="42">
        <f t="shared" si="1"/>
        <v>3</v>
      </c>
      <c r="Z13" s="83">
        <v>1</v>
      </c>
      <c r="AA13" s="83">
        <v>1</v>
      </c>
      <c r="AB13" s="83"/>
      <c r="AC13" s="83"/>
      <c r="AD13" s="42">
        <f t="shared" si="2"/>
        <v>1</v>
      </c>
      <c r="AE13" s="42">
        <f t="shared" si="2"/>
        <v>1</v>
      </c>
      <c r="AF13" s="59">
        <f>L13+X13+AD13</f>
        <v>5</v>
      </c>
      <c r="AG13" s="59">
        <f>M13+Y13+AE13</f>
        <v>9</v>
      </c>
      <c r="AH13" s="44"/>
      <c r="AI13" s="43"/>
      <c r="AJ13" s="43"/>
      <c r="AK13" s="15"/>
      <c r="AL13" s="15"/>
    </row>
    <row r="14" spans="1:38" s="6" customFormat="1" ht="12" customHeight="1">
      <c r="A14" s="95" t="s">
        <v>13</v>
      </c>
      <c r="B14" s="43"/>
      <c r="C14" s="43"/>
      <c r="D14" s="43">
        <v>2</v>
      </c>
      <c r="E14" s="43">
        <f>29+29</f>
        <v>58</v>
      </c>
      <c r="F14" s="43">
        <v>2</v>
      </c>
      <c r="G14" s="43">
        <f>27+28</f>
        <v>55</v>
      </c>
      <c r="H14" s="43">
        <v>2</v>
      </c>
      <c r="I14" s="43">
        <f>29+32</f>
        <v>61</v>
      </c>
      <c r="J14" s="43">
        <v>3</v>
      </c>
      <c r="K14" s="43">
        <f>28+29+28</f>
        <v>85</v>
      </c>
      <c r="L14" s="42">
        <f t="shared" si="0"/>
        <v>9</v>
      </c>
      <c r="M14" s="42">
        <f t="shared" si="0"/>
        <v>259</v>
      </c>
      <c r="N14" s="43">
        <v>2</v>
      </c>
      <c r="O14" s="43">
        <f>28+24</f>
        <v>52</v>
      </c>
      <c r="P14" s="43">
        <v>1</v>
      </c>
      <c r="Q14" s="43">
        <v>31</v>
      </c>
      <c r="R14" s="43">
        <v>2</v>
      </c>
      <c r="S14" s="43">
        <f>18+23</f>
        <v>41</v>
      </c>
      <c r="T14" s="43">
        <v>2</v>
      </c>
      <c r="U14" s="43">
        <f>17+18</f>
        <v>35</v>
      </c>
      <c r="V14" s="43">
        <v>1</v>
      </c>
      <c r="W14" s="43">
        <v>23</v>
      </c>
      <c r="X14" s="42">
        <f t="shared" si="1"/>
        <v>8</v>
      </c>
      <c r="Y14" s="42">
        <f t="shared" si="1"/>
        <v>182</v>
      </c>
      <c r="Z14" s="43">
        <v>1</v>
      </c>
      <c r="AA14" s="43">
        <v>24</v>
      </c>
      <c r="AB14" s="43">
        <v>1</v>
      </c>
      <c r="AC14" s="43">
        <v>23</v>
      </c>
      <c r="AD14" s="42">
        <f t="shared" si="2"/>
        <v>2</v>
      </c>
      <c r="AE14" s="42">
        <f t="shared" si="2"/>
        <v>47</v>
      </c>
      <c r="AF14" s="99">
        <f t="shared" si="3"/>
        <v>19</v>
      </c>
      <c r="AG14" s="99">
        <f t="shared" si="3"/>
        <v>488</v>
      </c>
      <c r="AH14" s="44">
        <f t="shared" si="4"/>
        <v>25.68421052631579</v>
      </c>
      <c r="AI14" s="43">
        <v>2</v>
      </c>
      <c r="AJ14" s="43">
        <v>60</v>
      </c>
      <c r="AK14" s="15"/>
      <c r="AL14" s="15"/>
    </row>
    <row r="15" spans="1:38" s="6" customFormat="1" ht="12" customHeight="1">
      <c r="A15" s="95" t="s">
        <v>14</v>
      </c>
      <c r="B15" s="43"/>
      <c r="C15" s="43"/>
      <c r="D15" s="43">
        <v>2</v>
      </c>
      <c r="E15" s="43">
        <f>21+21</f>
        <v>42</v>
      </c>
      <c r="F15" s="43">
        <v>2</v>
      </c>
      <c r="G15" s="43">
        <f>20+23</f>
        <v>43</v>
      </c>
      <c r="H15" s="43">
        <f>2</f>
        <v>2</v>
      </c>
      <c r="I15" s="43">
        <f>19+18</f>
        <v>37</v>
      </c>
      <c r="J15" s="43">
        <v>2</v>
      </c>
      <c r="K15" s="43">
        <f>23+23</f>
        <v>46</v>
      </c>
      <c r="L15" s="42">
        <f t="shared" si="0"/>
        <v>8</v>
      </c>
      <c r="M15" s="42">
        <f t="shared" si="0"/>
        <v>168</v>
      </c>
      <c r="N15" s="43">
        <v>1</v>
      </c>
      <c r="O15" s="43">
        <v>29</v>
      </c>
      <c r="P15" s="43">
        <v>2</v>
      </c>
      <c r="Q15" s="43">
        <f>21+22</f>
        <v>43</v>
      </c>
      <c r="R15" s="43">
        <v>2</v>
      </c>
      <c r="S15" s="43">
        <f>21+20</f>
        <v>41</v>
      </c>
      <c r="T15" s="43">
        <v>1</v>
      </c>
      <c r="U15" s="43">
        <v>30</v>
      </c>
      <c r="V15" s="43">
        <v>2</v>
      </c>
      <c r="W15" s="43">
        <f>19+19</f>
        <v>38</v>
      </c>
      <c r="X15" s="42">
        <f t="shared" si="1"/>
        <v>8</v>
      </c>
      <c r="Y15" s="42">
        <f t="shared" si="1"/>
        <v>181</v>
      </c>
      <c r="Z15" s="43">
        <v>1</v>
      </c>
      <c r="AA15" s="43">
        <v>23</v>
      </c>
      <c r="AB15" s="43">
        <v>1</v>
      </c>
      <c r="AC15" s="43">
        <v>22</v>
      </c>
      <c r="AD15" s="42">
        <f t="shared" si="2"/>
        <v>2</v>
      </c>
      <c r="AE15" s="42">
        <f t="shared" si="2"/>
        <v>45</v>
      </c>
      <c r="AF15" s="99">
        <f t="shared" si="3"/>
        <v>18</v>
      </c>
      <c r="AG15" s="99">
        <f t="shared" si="3"/>
        <v>394</v>
      </c>
      <c r="AH15" s="44">
        <f t="shared" si="4"/>
        <v>21.88888888888889</v>
      </c>
      <c r="AI15" s="43">
        <v>1</v>
      </c>
      <c r="AJ15" s="43">
        <v>30</v>
      </c>
      <c r="AK15" s="15"/>
      <c r="AL15" s="15"/>
    </row>
    <row r="16" spans="1:38" s="6" customFormat="1" ht="12" customHeight="1">
      <c r="A16" s="61" t="s">
        <v>54</v>
      </c>
      <c r="B16" s="83"/>
      <c r="C16" s="83"/>
      <c r="D16" s="83">
        <v>1</v>
      </c>
      <c r="E16" s="83">
        <v>1</v>
      </c>
      <c r="F16" s="83"/>
      <c r="G16" s="83"/>
      <c r="H16" s="83"/>
      <c r="I16" s="83"/>
      <c r="J16" s="83"/>
      <c r="K16" s="83"/>
      <c r="L16" s="42">
        <f>D16+F16+H16+J16</f>
        <v>1</v>
      </c>
      <c r="M16" s="42">
        <f>E16+G16+I16+K16</f>
        <v>1</v>
      </c>
      <c r="N16" s="83">
        <v>1</v>
      </c>
      <c r="O16" s="83">
        <v>1</v>
      </c>
      <c r="P16" s="83">
        <v>1</v>
      </c>
      <c r="Q16" s="83">
        <v>1</v>
      </c>
      <c r="R16" s="83"/>
      <c r="S16" s="83"/>
      <c r="T16" s="83"/>
      <c r="U16" s="83"/>
      <c r="V16" s="83"/>
      <c r="W16" s="83"/>
      <c r="X16" s="42">
        <f>N16+P16+R16+T16+V16</f>
        <v>2</v>
      </c>
      <c r="Y16" s="42">
        <f>O16+Q16+S16+U16+W16</f>
        <v>2</v>
      </c>
      <c r="Z16" s="83"/>
      <c r="AA16" s="83"/>
      <c r="AB16" s="83"/>
      <c r="AC16" s="83"/>
      <c r="AD16" s="42">
        <f>Z16+AB16</f>
        <v>0</v>
      </c>
      <c r="AE16" s="42">
        <f>AA16+AC16</f>
        <v>0</v>
      </c>
      <c r="AF16" s="59">
        <f>L16+X16+AD16</f>
        <v>3</v>
      </c>
      <c r="AG16" s="59">
        <f>M16+Y16+AE16</f>
        <v>3</v>
      </c>
      <c r="AH16" s="44"/>
      <c r="AI16" s="43"/>
      <c r="AJ16" s="43"/>
      <c r="AK16" s="15"/>
      <c r="AL16" s="15"/>
    </row>
    <row r="17" spans="1:38" s="6" customFormat="1" ht="11.25" customHeight="1">
      <c r="A17" s="95" t="s">
        <v>15</v>
      </c>
      <c r="B17" s="43"/>
      <c r="C17" s="43"/>
      <c r="D17" s="43">
        <f>5</f>
        <v>5</v>
      </c>
      <c r="E17" s="43">
        <f>33+32+31+30+31</f>
        <v>157</v>
      </c>
      <c r="F17" s="43">
        <v>5</v>
      </c>
      <c r="G17" s="43">
        <f>30+33+30+30+30</f>
        <v>153</v>
      </c>
      <c r="H17" s="43">
        <v>5</v>
      </c>
      <c r="I17" s="43">
        <f>33+33+32+34+30</f>
        <v>162</v>
      </c>
      <c r="J17" s="43">
        <f>4</f>
        <v>4</v>
      </c>
      <c r="K17" s="43">
        <f>38+37+31+32</f>
        <v>138</v>
      </c>
      <c r="L17" s="42">
        <f t="shared" si="0"/>
        <v>19</v>
      </c>
      <c r="M17" s="42">
        <f t="shared" si="0"/>
        <v>610</v>
      </c>
      <c r="N17" s="43">
        <f>4</f>
        <v>4</v>
      </c>
      <c r="O17" s="43">
        <f>28+27+29+28</f>
        <v>112</v>
      </c>
      <c r="P17" s="43">
        <f>4</f>
        <v>4</v>
      </c>
      <c r="Q17" s="43">
        <f>30+33+31+33</f>
        <v>127</v>
      </c>
      <c r="R17" s="43">
        <f>4</f>
        <v>4</v>
      </c>
      <c r="S17" s="43">
        <f>33+31+34+30</f>
        <v>128</v>
      </c>
      <c r="T17" s="43">
        <f>4</f>
        <v>4</v>
      </c>
      <c r="U17" s="43">
        <f>30+29+28+22</f>
        <v>109</v>
      </c>
      <c r="V17" s="43">
        <f>4</f>
        <v>4</v>
      </c>
      <c r="W17" s="43">
        <f>30+28+28+20</f>
        <v>106</v>
      </c>
      <c r="X17" s="42">
        <f t="shared" si="1"/>
        <v>20</v>
      </c>
      <c r="Y17" s="42">
        <f t="shared" si="1"/>
        <v>582</v>
      </c>
      <c r="Z17" s="43">
        <f>2</f>
        <v>2</v>
      </c>
      <c r="AA17" s="43">
        <f>30+28</f>
        <v>58</v>
      </c>
      <c r="AB17" s="43">
        <f>2</f>
        <v>2</v>
      </c>
      <c r="AC17" s="43">
        <f>29+24</f>
        <v>53</v>
      </c>
      <c r="AD17" s="42">
        <f t="shared" si="2"/>
        <v>4</v>
      </c>
      <c r="AE17" s="42">
        <f t="shared" si="2"/>
        <v>111</v>
      </c>
      <c r="AF17" s="99">
        <f t="shared" si="3"/>
        <v>43</v>
      </c>
      <c r="AG17" s="99">
        <f t="shared" si="3"/>
        <v>1303</v>
      </c>
      <c r="AH17" s="44">
        <f t="shared" si="4"/>
        <v>30.302325581395348</v>
      </c>
      <c r="AI17" s="43">
        <v>3</v>
      </c>
      <c r="AJ17" s="43">
        <v>90</v>
      </c>
      <c r="AK17" s="15"/>
      <c r="AL17" s="15"/>
    </row>
    <row r="18" spans="1:38" s="6" customFormat="1" ht="11.25" customHeight="1">
      <c r="A18" s="61" t="s">
        <v>54</v>
      </c>
      <c r="B18" s="83"/>
      <c r="C18" s="83"/>
      <c r="D18" s="83"/>
      <c r="E18" s="83"/>
      <c r="F18" s="83">
        <v>1</v>
      </c>
      <c r="G18" s="83">
        <v>1</v>
      </c>
      <c r="H18" s="83">
        <v>1</v>
      </c>
      <c r="I18" s="83">
        <v>1</v>
      </c>
      <c r="J18" s="83"/>
      <c r="K18" s="83"/>
      <c r="L18" s="42">
        <f>D18+F18+H18+J18</f>
        <v>2</v>
      </c>
      <c r="M18" s="42">
        <f>E18+G18+I18+K18</f>
        <v>2</v>
      </c>
      <c r="N18" s="83">
        <v>1</v>
      </c>
      <c r="O18" s="83">
        <v>1</v>
      </c>
      <c r="P18" s="83"/>
      <c r="Q18" s="83"/>
      <c r="R18" s="83"/>
      <c r="S18" s="83"/>
      <c r="T18" s="83"/>
      <c r="U18" s="83"/>
      <c r="V18" s="83"/>
      <c r="W18" s="83"/>
      <c r="X18" s="42">
        <f>N18+P18+R18+T18+V18</f>
        <v>1</v>
      </c>
      <c r="Y18" s="42">
        <f>O18+Q18+S18+U18+W18</f>
        <v>1</v>
      </c>
      <c r="Z18" s="83"/>
      <c r="AA18" s="83"/>
      <c r="AB18" s="83"/>
      <c r="AC18" s="83"/>
      <c r="AD18" s="42">
        <f>Z18+AB18</f>
        <v>0</v>
      </c>
      <c r="AE18" s="42">
        <f>AA18+AC18</f>
        <v>0</v>
      </c>
      <c r="AF18" s="59">
        <f>L18+X18+AD18</f>
        <v>3</v>
      </c>
      <c r="AG18" s="59">
        <f>M18+Y18+AE18</f>
        <v>3</v>
      </c>
      <c r="AH18" s="44"/>
      <c r="AI18" s="43"/>
      <c r="AJ18" s="43"/>
      <c r="AK18" s="15"/>
      <c r="AL18" s="15"/>
    </row>
    <row r="19" spans="1:38" s="69" customFormat="1" ht="12" customHeight="1">
      <c r="A19" s="95" t="s">
        <v>17</v>
      </c>
      <c r="B19" s="43"/>
      <c r="C19" s="43"/>
      <c r="D19" s="43">
        <v>6</v>
      </c>
      <c r="E19" s="43">
        <f>30+30+30+30+30+30</f>
        <v>180</v>
      </c>
      <c r="F19" s="43">
        <v>7</v>
      </c>
      <c r="G19" s="43">
        <f>32+31+31+29+30+31+31</f>
        <v>215</v>
      </c>
      <c r="H19" s="43">
        <v>7</v>
      </c>
      <c r="I19" s="43">
        <f>31+31+33+30+30+33+31</f>
        <v>219</v>
      </c>
      <c r="J19" s="43">
        <v>8</v>
      </c>
      <c r="K19" s="43">
        <f>31+31+27+27+28+24+30+29</f>
        <v>227</v>
      </c>
      <c r="L19" s="42">
        <f t="shared" si="0"/>
        <v>28</v>
      </c>
      <c r="M19" s="42">
        <f t="shared" si="0"/>
        <v>841</v>
      </c>
      <c r="N19" s="43">
        <v>7</v>
      </c>
      <c r="O19" s="43">
        <f>29+31+30+31+28+30+30</f>
        <v>209</v>
      </c>
      <c r="P19" s="43">
        <v>8</v>
      </c>
      <c r="Q19" s="43">
        <f>30+30+29+24+31+29+29+24</f>
        <v>226</v>
      </c>
      <c r="R19" s="43">
        <v>7</v>
      </c>
      <c r="S19" s="43">
        <f>33+28+35+28+28+28+25</f>
        <v>205</v>
      </c>
      <c r="T19" s="43">
        <v>8</v>
      </c>
      <c r="U19" s="43">
        <f>25+27+24+27+25+26+21+28</f>
        <v>203</v>
      </c>
      <c r="V19" s="43">
        <v>6</v>
      </c>
      <c r="W19" s="43">
        <f>28+29+28+25+26+27</f>
        <v>163</v>
      </c>
      <c r="X19" s="42">
        <f t="shared" si="1"/>
        <v>36</v>
      </c>
      <c r="Y19" s="42">
        <f t="shared" si="1"/>
        <v>1006</v>
      </c>
      <c r="Z19" s="43">
        <v>4</v>
      </c>
      <c r="AA19" s="43">
        <f>22+23+23+24</f>
        <v>92</v>
      </c>
      <c r="AB19" s="43">
        <v>3</v>
      </c>
      <c r="AC19" s="43">
        <f>27+27+29</f>
        <v>83</v>
      </c>
      <c r="AD19" s="42">
        <f t="shared" si="2"/>
        <v>7</v>
      </c>
      <c r="AE19" s="42">
        <f t="shared" si="2"/>
        <v>175</v>
      </c>
      <c r="AF19" s="99">
        <f t="shared" si="3"/>
        <v>71</v>
      </c>
      <c r="AG19" s="99">
        <f t="shared" si="3"/>
        <v>2022</v>
      </c>
      <c r="AH19" s="44">
        <f t="shared" si="4"/>
        <v>28.47887323943662</v>
      </c>
      <c r="AI19" s="43">
        <v>4</v>
      </c>
      <c r="AJ19" s="43">
        <v>120</v>
      </c>
      <c r="AK19" s="15"/>
      <c r="AL19" s="15"/>
    </row>
    <row r="20" spans="1:38" s="69" customFormat="1" ht="12" customHeight="1">
      <c r="A20" s="61" t="s">
        <v>54</v>
      </c>
      <c r="B20" s="83"/>
      <c r="C20" s="83"/>
      <c r="D20" s="105">
        <v>1</v>
      </c>
      <c r="E20" s="105">
        <v>1</v>
      </c>
      <c r="F20" s="83">
        <v>1</v>
      </c>
      <c r="G20" s="83">
        <v>1</v>
      </c>
      <c r="H20" s="83"/>
      <c r="I20" s="83"/>
      <c r="J20" s="83">
        <v>1</v>
      </c>
      <c r="K20" s="83">
        <v>1</v>
      </c>
      <c r="L20" s="42">
        <f>F20+H20+J20+D20</f>
        <v>3</v>
      </c>
      <c r="M20" s="42">
        <f>G20+I20+K20+E20</f>
        <v>3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42">
        <f t="shared" si="1"/>
        <v>0</v>
      </c>
      <c r="Y20" s="42">
        <f>O20+Q20+S20+U20+W20</f>
        <v>0</v>
      </c>
      <c r="Z20" s="83"/>
      <c r="AA20" s="83"/>
      <c r="AB20" s="83"/>
      <c r="AC20" s="83"/>
      <c r="AD20" s="42">
        <f t="shared" si="2"/>
        <v>0</v>
      </c>
      <c r="AE20" s="42">
        <f>AA20+AC20</f>
        <v>0</v>
      </c>
      <c r="AF20" s="59">
        <f>L20+X20+AD20</f>
        <v>3</v>
      </c>
      <c r="AG20" s="59">
        <f>M20+Y20+AE20</f>
        <v>3</v>
      </c>
      <c r="AH20" s="44"/>
      <c r="AI20" s="43"/>
      <c r="AJ20" s="43"/>
      <c r="AK20" s="15"/>
      <c r="AL20" s="15"/>
    </row>
    <row r="21" spans="1:38" s="6" customFormat="1" ht="13.5" customHeight="1">
      <c r="A21" s="95" t="s">
        <v>16</v>
      </c>
      <c r="B21" s="43"/>
      <c r="C21" s="43"/>
      <c r="D21" s="43">
        <v>1</v>
      </c>
      <c r="E21" s="43">
        <v>30</v>
      </c>
      <c r="F21" s="43">
        <v>1</v>
      </c>
      <c r="G21" s="43">
        <v>33</v>
      </c>
      <c r="H21" s="43">
        <v>2</v>
      </c>
      <c r="I21" s="43">
        <f>24+24</f>
        <v>48</v>
      </c>
      <c r="J21" s="43">
        <v>1</v>
      </c>
      <c r="K21" s="43">
        <v>29</v>
      </c>
      <c r="L21" s="42">
        <f t="shared" si="0"/>
        <v>5</v>
      </c>
      <c r="M21" s="42">
        <f t="shared" si="0"/>
        <v>140</v>
      </c>
      <c r="N21" s="43">
        <v>1</v>
      </c>
      <c r="O21" s="43">
        <v>25</v>
      </c>
      <c r="P21" s="43">
        <v>1</v>
      </c>
      <c r="Q21" s="43">
        <v>31</v>
      </c>
      <c r="R21" s="43">
        <v>2</v>
      </c>
      <c r="S21" s="43">
        <f>22+23</f>
        <v>45</v>
      </c>
      <c r="T21" s="43">
        <v>1</v>
      </c>
      <c r="U21" s="43">
        <v>21</v>
      </c>
      <c r="V21" s="43">
        <v>1</v>
      </c>
      <c r="W21" s="43">
        <v>31</v>
      </c>
      <c r="X21" s="42">
        <f t="shared" si="1"/>
        <v>6</v>
      </c>
      <c r="Y21" s="42">
        <f t="shared" si="1"/>
        <v>153</v>
      </c>
      <c r="Z21" s="71">
        <v>1</v>
      </c>
      <c r="AA21" s="71">
        <v>15</v>
      </c>
      <c r="AB21" s="71">
        <v>1</v>
      </c>
      <c r="AC21" s="71">
        <v>18</v>
      </c>
      <c r="AD21" s="42">
        <f t="shared" si="2"/>
        <v>2</v>
      </c>
      <c r="AE21" s="42">
        <f t="shared" si="2"/>
        <v>33</v>
      </c>
      <c r="AF21" s="99">
        <f t="shared" si="3"/>
        <v>13</v>
      </c>
      <c r="AG21" s="99">
        <f t="shared" si="3"/>
        <v>326</v>
      </c>
      <c r="AH21" s="44">
        <f t="shared" si="4"/>
        <v>25.076923076923077</v>
      </c>
      <c r="AI21" s="43">
        <v>1</v>
      </c>
      <c r="AJ21" s="43">
        <v>30</v>
      </c>
      <c r="AK21" s="15"/>
      <c r="AL21" s="15"/>
    </row>
    <row r="22" spans="1:38" s="6" customFormat="1" ht="12.75" customHeight="1">
      <c r="A22" s="61" t="s">
        <v>54</v>
      </c>
      <c r="B22" s="59"/>
      <c r="C22" s="59"/>
      <c r="D22" s="105"/>
      <c r="E22" s="105"/>
      <c r="F22" s="59"/>
      <c r="G22" s="59"/>
      <c r="H22" s="59">
        <v>2</v>
      </c>
      <c r="I22" s="59">
        <v>4</v>
      </c>
      <c r="J22" s="59"/>
      <c r="K22" s="59"/>
      <c r="L22" s="42">
        <f>D22+F22+H22+J22</f>
        <v>2</v>
      </c>
      <c r="M22" s="42">
        <f>E22+G22+I22+K22</f>
        <v>4</v>
      </c>
      <c r="N22" s="83">
        <v>1</v>
      </c>
      <c r="O22" s="83">
        <v>2</v>
      </c>
      <c r="P22" s="83">
        <v>1</v>
      </c>
      <c r="Q22" s="83">
        <v>1</v>
      </c>
      <c r="R22" s="83"/>
      <c r="S22" s="83"/>
      <c r="T22" s="83">
        <v>1</v>
      </c>
      <c r="U22" s="83">
        <v>1</v>
      </c>
      <c r="V22" s="83"/>
      <c r="W22" s="83"/>
      <c r="X22" s="42">
        <f t="shared" si="1"/>
        <v>3</v>
      </c>
      <c r="Y22" s="42">
        <f>O22+Q22+S22+U22+W22</f>
        <v>4</v>
      </c>
      <c r="Z22" s="83"/>
      <c r="AA22" s="83"/>
      <c r="AB22" s="83"/>
      <c r="AC22" s="83"/>
      <c r="AD22" s="42">
        <f>Z22+AB22</f>
        <v>0</v>
      </c>
      <c r="AE22" s="42">
        <f t="shared" si="2"/>
        <v>0</v>
      </c>
      <c r="AF22" s="59">
        <f>L22+X22+AD22</f>
        <v>5</v>
      </c>
      <c r="AG22" s="59">
        <f>M22+Y22+AE22</f>
        <v>8</v>
      </c>
      <c r="AH22" s="73"/>
      <c r="AI22" s="65"/>
      <c r="AJ22" s="65"/>
      <c r="AK22" s="15"/>
      <c r="AL22" s="15"/>
    </row>
    <row r="23" spans="1:38" s="6" customFormat="1" ht="12" customHeight="1">
      <c r="A23" s="95" t="s">
        <v>18</v>
      </c>
      <c r="B23" s="43"/>
      <c r="C23" s="43"/>
      <c r="D23" s="43">
        <v>4</v>
      </c>
      <c r="E23" s="43">
        <f>31+31+32+30</f>
        <v>124</v>
      </c>
      <c r="F23" s="43">
        <v>4</v>
      </c>
      <c r="G23" s="43">
        <f>34+34+35+35</f>
        <v>138</v>
      </c>
      <c r="H23" s="43">
        <v>4</v>
      </c>
      <c r="I23" s="43">
        <f>32+32+33+33</f>
        <v>130</v>
      </c>
      <c r="J23" s="43">
        <v>5</v>
      </c>
      <c r="K23" s="43">
        <f>34+32+33+33+33</f>
        <v>165</v>
      </c>
      <c r="L23" s="42">
        <f t="shared" si="0"/>
        <v>17</v>
      </c>
      <c r="M23" s="42">
        <f t="shared" si="0"/>
        <v>557</v>
      </c>
      <c r="N23" s="43">
        <v>5</v>
      </c>
      <c r="O23" s="43">
        <f>33+29+32+31+23</f>
        <v>148</v>
      </c>
      <c r="P23" s="43">
        <v>5</v>
      </c>
      <c r="Q23" s="43">
        <f>33+32+33+29+29</f>
        <v>156</v>
      </c>
      <c r="R23" s="43">
        <v>4</v>
      </c>
      <c r="S23" s="43">
        <f>31+30+33+33</f>
        <v>127</v>
      </c>
      <c r="T23" s="43">
        <f>4</f>
        <v>4</v>
      </c>
      <c r="U23" s="43">
        <f>29+31+33+30</f>
        <v>123</v>
      </c>
      <c r="V23" s="43">
        <v>4</v>
      </c>
      <c r="W23" s="43">
        <f>32+29+29+28</f>
        <v>118</v>
      </c>
      <c r="X23" s="42">
        <f t="shared" si="1"/>
        <v>22</v>
      </c>
      <c r="Y23" s="42">
        <f t="shared" si="1"/>
        <v>672</v>
      </c>
      <c r="Z23" s="43">
        <v>3</v>
      </c>
      <c r="AA23" s="43">
        <f>30+23+30</f>
        <v>83</v>
      </c>
      <c r="AB23" s="43">
        <v>2</v>
      </c>
      <c r="AC23" s="43">
        <f>27+18</f>
        <v>45</v>
      </c>
      <c r="AD23" s="42">
        <f>Z23+AB23</f>
        <v>5</v>
      </c>
      <c r="AE23" s="42">
        <f t="shared" si="2"/>
        <v>128</v>
      </c>
      <c r="AF23" s="99">
        <f aca="true" t="shared" si="5" ref="AF23:AG59">L23+X23+AD23+B23</f>
        <v>44</v>
      </c>
      <c r="AG23" s="99">
        <f t="shared" si="5"/>
        <v>1357</v>
      </c>
      <c r="AH23" s="44">
        <f t="shared" si="4"/>
        <v>30.84090909090909</v>
      </c>
      <c r="AI23" s="43">
        <v>3</v>
      </c>
      <c r="AJ23" s="43">
        <v>90</v>
      </c>
      <c r="AK23" s="15"/>
      <c r="AL23" s="15"/>
    </row>
    <row r="24" spans="1:38" s="6" customFormat="1" ht="12" customHeight="1">
      <c r="A24" s="61" t="s">
        <v>54</v>
      </c>
      <c r="B24" s="60"/>
      <c r="C24" s="60"/>
      <c r="D24" s="83"/>
      <c r="E24" s="83"/>
      <c r="F24" s="83"/>
      <c r="G24" s="83"/>
      <c r="H24" s="83"/>
      <c r="I24" s="83"/>
      <c r="J24" s="83"/>
      <c r="K24" s="83"/>
      <c r="L24" s="42">
        <f>D24+F24+H24+J24</f>
        <v>0</v>
      </c>
      <c r="M24" s="42">
        <f>E24+G24+I24+K24</f>
        <v>0</v>
      </c>
      <c r="N24" s="83"/>
      <c r="O24" s="83"/>
      <c r="P24" s="83">
        <v>1</v>
      </c>
      <c r="Q24" s="83">
        <v>1</v>
      </c>
      <c r="R24" s="83"/>
      <c r="S24" s="83"/>
      <c r="T24" s="83"/>
      <c r="U24" s="83"/>
      <c r="V24" s="83"/>
      <c r="W24" s="83"/>
      <c r="X24" s="42">
        <f t="shared" si="1"/>
        <v>1</v>
      </c>
      <c r="Y24" s="42">
        <f>O24+Q24+S24+U24+W24</f>
        <v>1</v>
      </c>
      <c r="Z24" s="83"/>
      <c r="AA24" s="83"/>
      <c r="AB24" s="83"/>
      <c r="AC24" s="83"/>
      <c r="AD24" s="42">
        <f>Z24+AB24</f>
        <v>0</v>
      </c>
      <c r="AE24" s="42">
        <f t="shared" si="2"/>
        <v>0</v>
      </c>
      <c r="AF24" s="59">
        <f>L24+X24+AD24</f>
        <v>1</v>
      </c>
      <c r="AG24" s="59">
        <f>M24+Y24+AE24</f>
        <v>1</v>
      </c>
      <c r="AH24" s="44"/>
      <c r="AI24" s="43"/>
      <c r="AJ24" s="43"/>
      <c r="AK24" s="15"/>
      <c r="AL24" s="15"/>
    </row>
    <row r="25" spans="1:38" s="6" customFormat="1" ht="12" customHeight="1">
      <c r="A25" s="95" t="s">
        <v>19</v>
      </c>
      <c r="B25" s="43"/>
      <c r="C25" s="43"/>
      <c r="D25" s="43">
        <v>4</v>
      </c>
      <c r="E25" s="43">
        <f>24+23+23+23+23</f>
        <v>116</v>
      </c>
      <c r="F25" s="43">
        <v>4</v>
      </c>
      <c r="G25" s="43">
        <f>33+34+31+33</f>
        <v>131</v>
      </c>
      <c r="H25" s="43">
        <v>5</v>
      </c>
      <c r="I25" s="43">
        <f>32+29+29+26+27</f>
        <v>143</v>
      </c>
      <c r="J25" s="43">
        <v>6</v>
      </c>
      <c r="K25" s="43">
        <f>33+30+23+23+30+23</f>
        <v>162</v>
      </c>
      <c r="L25" s="42">
        <f t="shared" si="0"/>
        <v>19</v>
      </c>
      <c r="M25" s="42">
        <f t="shared" si="0"/>
        <v>552</v>
      </c>
      <c r="N25" s="43">
        <v>5</v>
      </c>
      <c r="O25" s="43">
        <f>31+33+30+31+31</f>
        <v>156</v>
      </c>
      <c r="P25" s="43">
        <v>5</v>
      </c>
      <c r="Q25" s="43">
        <f>30+30+30+29+30</f>
        <v>149</v>
      </c>
      <c r="R25" s="43">
        <v>6</v>
      </c>
      <c r="S25" s="43">
        <f>34+33+28+31+30+27</f>
        <v>183</v>
      </c>
      <c r="T25" s="43">
        <v>6</v>
      </c>
      <c r="U25" s="43">
        <f>28+28+25+25+25+25</f>
        <v>156</v>
      </c>
      <c r="V25" s="43">
        <f>5</f>
        <v>5</v>
      </c>
      <c r="W25" s="43">
        <f>27+27+21+21+23</f>
        <v>119</v>
      </c>
      <c r="X25" s="42">
        <f t="shared" si="1"/>
        <v>27</v>
      </c>
      <c r="Y25" s="42">
        <f t="shared" si="1"/>
        <v>763</v>
      </c>
      <c r="Z25" s="43">
        <v>3</v>
      </c>
      <c r="AA25" s="43">
        <f>28+22+24</f>
        <v>74</v>
      </c>
      <c r="AB25" s="43">
        <v>2</v>
      </c>
      <c r="AC25" s="43">
        <f>27+27</f>
        <v>54</v>
      </c>
      <c r="AD25" s="42">
        <f t="shared" si="2"/>
        <v>5</v>
      </c>
      <c r="AE25" s="42">
        <f t="shared" si="2"/>
        <v>128</v>
      </c>
      <c r="AF25" s="99">
        <f t="shared" si="5"/>
        <v>51</v>
      </c>
      <c r="AG25" s="99">
        <f t="shared" si="5"/>
        <v>1443</v>
      </c>
      <c r="AH25" s="44">
        <f t="shared" si="4"/>
        <v>28.294117647058822</v>
      </c>
      <c r="AI25" s="43">
        <v>3</v>
      </c>
      <c r="AJ25" s="43">
        <v>118</v>
      </c>
      <c r="AK25" s="15"/>
      <c r="AL25" s="15"/>
    </row>
    <row r="26" spans="1:38" s="6" customFormat="1" ht="12" customHeight="1">
      <c r="A26" s="61" t="s">
        <v>54</v>
      </c>
      <c r="B26" s="60"/>
      <c r="C26" s="60"/>
      <c r="D26" s="83"/>
      <c r="E26" s="83"/>
      <c r="F26" s="83"/>
      <c r="G26" s="83"/>
      <c r="H26" s="83"/>
      <c r="I26" s="83"/>
      <c r="J26" s="83">
        <v>1</v>
      </c>
      <c r="K26" s="83">
        <v>1</v>
      </c>
      <c r="L26" s="42">
        <f>D26+F26+H26+J26</f>
        <v>1</v>
      </c>
      <c r="M26" s="42">
        <f>E26+G26+I26+K26</f>
        <v>1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2">
        <f>N26+P26+R26+T26+V26</f>
        <v>0</v>
      </c>
      <c r="Y26" s="42">
        <f>O26+Q26+S26+U26+W26</f>
        <v>0</v>
      </c>
      <c r="Z26" s="83"/>
      <c r="AA26" s="83"/>
      <c r="AB26" s="83"/>
      <c r="AC26" s="83"/>
      <c r="AD26" s="42">
        <f>Z26+AB26</f>
        <v>0</v>
      </c>
      <c r="AE26" s="42">
        <f>AA26+AC26</f>
        <v>0</v>
      </c>
      <c r="AF26" s="59">
        <f>L26+X26+AD26</f>
        <v>1</v>
      </c>
      <c r="AG26" s="59">
        <f>M26+Y26+AE26</f>
        <v>1</v>
      </c>
      <c r="AH26" s="44"/>
      <c r="AI26" s="43"/>
      <c r="AJ26" s="43"/>
      <c r="AK26" s="15"/>
      <c r="AL26" s="15"/>
    </row>
    <row r="27" spans="1:38" s="6" customFormat="1" ht="12" customHeight="1">
      <c r="A27" s="95" t="s">
        <v>20</v>
      </c>
      <c r="B27" s="43"/>
      <c r="C27" s="43"/>
      <c r="D27" s="43">
        <v>3</v>
      </c>
      <c r="E27" s="43">
        <f>30+30+30</f>
        <v>90</v>
      </c>
      <c r="F27" s="43">
        <f>3</f>
        <v>3</v>
      </c>
      <c r="G27" s="43">
        <f>30+32+30</f>
        <v>92</v>
      </c>
      <c r="H27" s="43">
        <f>3</f>
        <v>3</v>
      </c>
      <c r="I27" s="43">
        <f>29+31+32</f>
        <v>92</v>
      </c>
      <c r="J27" s="43">
        <f>3</f>
        <v>3</v>
      </c>
      <c r="K27" s="43">
        <f>29+32+31</f>
        <v>92</v>
      </c>
      <c r="L27" s="42">
        <f t="shared" si="0"/>
        <v>12</v>
      </c>
      <c r="M27" s="42">
        <f t="shared" si="0"/>
        <v>366</v>
      </c>
      <c r="N27" s="43">
        <v>4</v>
      </c>
      <c r="O27" s="43">
        <f>30+33+31+24</f>
        <v>118</v>
      </c>
      <c r="P27" s="43">
        <f>3</f>
        <v>3</v>
      </c>
      <c r="Q27" s="43">
        <f>34+33+30</f>
        <v>97</v>
      </c>
      <c r="R27" s="43">
        <f>3</f>
        <v>3</v>
      </c>
      <c r="S27" s="43">
        <f>25+32+31</f>
        <v>88</v>
      </c>
      <c r="T27" s="43">
        <v>2</v>
      </c>
      <c r="U27" s="43">
        <f>30+31</f>
        <v>61</v>
      </c>
      <c r="V27" s="43">
        <v>2</v>
      </c>
      <c r="W27" s="43">
        <f>31+30</f>
        <v>61</v>
      </c>
      <c r="X27" s="42">
        <f t="shared" si="1"/>
        <v>14</v>
      </c>
      <c r="Y27" s="42">
        <f t="shared" si="1"/>
        <v>425</v>
      </c>
      <c r="Z27" s="43">
        <v>1</v>
      </c>
      <c r="AA27" s="43">
        <v>28</v>
      </c>
      <c r="AB27" s="43">
        <v>2</v>
      </c>
      <c r="AC27" s="43">
        <f>20+23</f>
        <v>43</v>
      </c>
      <c r="AD27" s="42">
        <f t="shared" si="2"/>
        <v>3</v>
      </c>
      <c r="AE27" s="42">
        <f t="shared" si="2"/>
        <v>71</v>
      </c>
      <c r="AF27" s="99">
        <f t="shared" si="5"/>
        <v>29</v>
      </c>
      <c r="AG27" s="99">
        <f t="shared" si="5"/>
        <v>862</v>
      </c>
      <c r="AH27" s="44">
        <f t="shared" si="4"/>
        <v>29.724137931034484</v>
      </c>
      <c r="AI27" s="43">
        <v>2</v>
      </c>
      <c r="AJ27" s="43">
        <v>60</v>
      </c>
      <c r="AK27" s="15"/>
      <c r="AL27" s="15"/>
    </row>
    <row r="28" spans="1:38" s="6" customFormat="1" ht="12" customHeight="1">
      <c r="A28" s="95" t="s">
        <v>21</v>
      </c>
      <c r="B28" s="43"/>
      <c r="C28" s="43"/>
      <c r="D28" s="43">
        <v>2</v>
      </c>
      <c r="E28" s="43">
        <f>30+30</f>
        <v>60</v>
      </c>
      <c r="F28" s="43">
        <f>2</f>
        <v>2</v>
      </c>
      <c r="G28" s="43">
        <f>28+28</f>
        <v>56</v>
      </c>
      <c r="H28" s="43">
        <v>2</v>
      </c>
      <c r="I28" s="43">
        <f>28+28</f>
        <v>56</v>
      </c>
      <c r="J28" s="43">
        <f>2</f>
        <v>2</v>
      </c>
      <c r="K28" s="43">
        <f>28+22</f>
        <v>50</v>
      </c>
      <c r="L28" s="42">
        <f t="shared" si="0"/>
        <v>8</v>
      </c>
      <c r="M28" s="42">
        <f t="shared" si="0"/>
        <v>222</v>
      </c>
      <c r="N28" s="43">
        <f>2</f>
        <v>2</v>
      </c>
      <c r="O28" s="43">
        <f>28+28</f>
        <v>56</v>
      </c>
      <c r="P28" s="43">
        <f>2</f>
        <v>2</v>
      </c>
      <c r="Q28" s="43">
        <f>25+25</f>
        <v>50</v>
      </c>
      <c r="R28" s="43">
        <f>2</f>
        <v>2</v>
      </c>
      <c r="S28" s="43">
        <f>28+28</f>
        <v>56</v>
      </c>
      <c r="T28" s="43">
        <f>2</f>
        <v>2</v>
      </c>
      <c r="U28" s="43">
        <f>24+24</f>
        <v>48</v>
      </c>
      <c r="V28" s="43">
        <v>2</v>
      </c>
      <c r="W28" s="43">
        <f>25+25</f>
        <v>50</v>
      </c>
      <c r="X28" s="42">
        <f t="shared" si="1"/>
        <v>10</v>
      </c>
      <c r="Y28" s="42">
        <f t="shared" si="1"/>
        <v>260</v>
      </c>
      <c r="Z28" s="43">
        <f>1</f>
        <v>1</v>
      </c>
      <c r="AA28" s="43">
        <v>24</v>
      </c>
      <c r="AB28" s="43">
        <v>1</v>
      </c>
      <c r="AC28" s="43">
        <v>22</v>
      </c>
      <c r="AD28" s="42">
        <f t="shared" si="2"/>
        <v>2</v>
      </c>
      <c r="AE28" s="42">
        <f t="shared" si="2"/>
        <v>46</v>
      </c>
      <c r="AF28" s="99">
        <f t="shared" si="5"/>
        <v>20</v>
      </c>
      <c r="AG28" s="99">
        <f t="shared" si="5"/>
        <v>528</v>
      </c>
      <c r="AH28" s="44">
        <f t="shared" si="4"/>
        <v>26.4</v>
      </c>
      <c r="AI28" s="43">
        <v>1</v>
      </c>
      <c r="AJ28" s="43">
        <v>30</v>
      </c>
      <c r="AK28" s="15"/>
      <c r="AL28" s="15"/>
    </row>
    <row r="29" spans="1:38" s="6" customFormat="1" ht="12" customHeight="1">
      <c r="A29" s="61" t="s">
        <v>54</v>
      </c>
      <c r="B29" s="60"/>
      <c r="C29" s="60"/>
      <c r="D29" s="83"/>
      <c r="E29" s="83"/>
      <c r="F29" s="83"/>
      <c r="G29" s="83"/>
      <c r="H29" s="83">
        <v>1</v>
      </c>
      <c r="I29" s="83">
        <v>2</v>
      </c>
      <c r="J29" s="83"/>
      <c r="K29" s="83"/>
      <c r="L29" s="42">
        <f>D29+F29+H29+J29</f>
        <v>1</v>
      </c>
      <c r="M29" s="42">
        <f>E29+G29+I29+K29</f>
        <v>2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42">
        <f t="shared" si="1"/>
        <v>0</v>
      </c>
      <c r="Y29" s="42">
        <f t="shared" si="1"/>
        <v>0</v>
      </c>
      <c r="Z29" s="83"/>
      <c r="AA29" s="83"/>
      <c r="AB29" s="83"/>
      <c r="AC29" s="83"/>
      <c r="AD29" s="42">
        <f t="shared" si="2"/>
        <v>0</v>
      </c>
      <c r="AE29" s="42">
        <f>AA29+AC29</f>
        <v>0</v>
      </c>
      <c r="AF29" s="59">
        <f>L29+X29+AD29</f>
        <v>1</v>
      </c>
      <c r="AG29" s="59">
        <f>M29+Y29+AE29</f>
        <v>2</v>
      </c>
      <c r="AH29" s="44"/>
      <c r="AI29" s="43"/>
      <c r="AJ29" s="43"/>
      <c r="AK29" s="15"/>
      <c r="AL29" s="15"/>
    </row>
    <row r="30" spans="1:38" s="6" customFormat="1" ht="12" customHeight="1">
      <c r="A30" s="95" t="s">
        <v>22</v>
      </c>
      <c r="B30" s="43"/>
      <c r="C30" s="43"/>
      <c r="D30" s="43">
        <v>4</v>
      </c>
      <c r="E30" s="43">
        <f>28+25+25+24</f>
        <v>102</v>
      </c>
      <c r="F30" s="43">
        <v>4</v>
      </c>
      <c r="G30" s="43">
        <f>22+29+28+26</f>
        <v>105</v>
      </c>
      <c r="H30" s="43">
        <v>5</v>
      </c>
      <c r="I30" s="43">
        <f>26+30+28+28+26</f>
        <v>138</v>
      </c>
      <c r="J30" s="43">
        <v>4</v>
      </c>
      <c r="K30" s="43">
        <f>30+32+34+32</f>
        <v>128</v>
      </c>
      <c r="L30" s="42">
        <f t="shared" si="0"/>
        <v>17</v>
      </c>
      <c r="M30" s="42">
        <f t="shared" si="0"/>
        <v>473</v>
      </c>
      <c r="N30" s="43">
        <v>3</v>
      </c>
      <c r="O30" s="43">
        <f>27+30+31</f>
        <v>88</v>
      </c>
      <c r="P30" s="43">
        <f>4</f>
        <v>4</v>
      </c>
      <c r="Q30" s="43">
        <f>25+28+27+24</f>
        <v>104</v>
      </c>
      <c r="R30" s="43">
        <v>4</v>
      </c>
      <c r="S30" s="43">
        <f>27+28+31+23</f>
        <v>109</v>
      </c>
      <c r="T30" s="43">
        <v>4</v>
      </c>
      <c r="U30" s="43">
        <f>28+28+22+28</f>
        <v>106</v>
      </c>
      <c r="V30" s="43">
        <v>3</v>
      </c>
      <c r="W30" s="43">
        <f>23+28+24</f>
        <v>75</v>
      </c>
      <c r="X30" s="42">
        <f t="shared" si="1"/>
        <v>18</v>
      </c>
      <c r="Y30" s="42">
        <f t="shared" si="1"/>
        <v>482</v>
      </c>
      <c r="Z30" s="43">
        <v>2</v>
      </c>
      <c r="AA30" s="43">
        <f>22+24</f>
        <v>46</v>
      </c>
      <c r="AB30" s="43">
        <v>2</v>
      </c>
      <c r="AC30" s="43">
        <f>28+27</f>
        <v>55</v>
      </c>
      <c r="AD30" s="42">
        <f t="shared" si="2"/>
        <v>4</v>
      </c>
      <c r="AE30" s="42">
        <f t="shared" si="2"/>
        <v>101</v>
      </c>
      <c r="AF30" s="99">
        <f t="shared" si="5"/>
        <v>39</v>
      </c>
      <c r="AG30" s="99">
        <f t="shared" si="5"/>
        <v>1056</v>
      </c>
      <c r="AH30" s="44">
        <f t="shared" si="4"/>
        <v>27.076923076923077</v>
      </c>
      <c r="AI30" s="43">
        <v>3</v>
      </c>
      <c r="AJ30" s="43">
        <v>90</v>
      </c>
      <c r="AK30" s="15"/>
      <c r="AL30" s="15"/>
    </row>
    <row r="31" spans="1:38" s="6" customFormat="1" ht="12" customHeight="1">
      <c r="A31" s="95" t="s">
        <v>23</v>
      </c>
      <c r="B31" s="43"/>
      <c r="C31" s="43"/>
      <c r="D31" s="43">
        <v>6</v>
      </c>
      <c r="E31" s="43">
        <f>30+30+30+30+30+28</f>
        <v>178</v>
      </c>
      <c r="F31" s="43">
        <v>7</v>
      </c>
      <c r="G31" s="43">
        <f>30+30+25+25+28+28+29</f>
        <v>195</v>
      </c>
      <c r="H31" s="43">
        <v>7</v>
      </c>
      <c r="I31" s="43">
        <f>31+29+29+30+30+30+30</f>
        <v>209</v>
      </c>
      <c r="J31" s="43">
        <v>5</v>
      </c>
      <c r="K31" s="43">
        <f>30+29+27+29+30</f>
        <v>145</v>
      </c>
      <c r="L31" s="42">
        <f t="shared" si="0"/>
        <v>25</v>
      </c>
      <c r="M31" s="42">
        <f t="shared" si="0"/>
        <v>727</v>
      </c>
      <c r="N31" s="43">
        <v>5</v>
      </c>
      <c r="O31" s="43">
        <f>32+32+32+32+32</f>
        <v>160</v>
      </c>
      <c r="P31" s="43">
        <f>6</f>
        <v>6</v>
      </c>
      <c r="Q31" s="43">
        <f>32+30+28+25+28+27</f>
        <v>170</v>
      </c>
      <c r="R31" s="43">
        <v>6</v>
      </c>
      <c r="S31" s="43">
        <f>29+30+29+29+30+30</f>
        <v>177</v>
      </c>
      <c r="T31" s="43">
        <v>5</v>
      </c>
      <c r="U31" s="43">
        <f>30+31+25+25+24</f>
        <v>135</v>
      </c>
      <c r="V31" s="43">
        <v>5</v>
      </c>
      <c r="W31" s="43">
        <f>31+30+24+23+28</f>
        <v>136</v>
      </c>
      <c r="X31" s="42">
        <f t="shared" si="1"/>
        <v>27</v>
      </c>
      <c r="Y31" s="42">
        <f t="shared" si="1"/>
        <v>778</v>
      </c>
      <c r="Z31" s="43">
        <v>2</v>
      </c>
      <c r="AA31" s="43">
        <f>30+32</f>
        <v>62</v>
      </c>
      <c r="AB31" s="43">
        <f>2</f>
        <v>2</v>
      </c>
      <c r="AC31" s="43">
        <f>30+29</f>
        <v>59</v>
      </c>
      <c r="AD31" s="42">
        <f t="shared" si="2"/>
        <v>4</v>
      </c>
      <c r="AE31" s="42">
        <f t="shared" si="2"/>
        <v>121</v>
      </c>
      <c r="AF31" s="99">
        <f t="shared" si="5"/>
        <v>56</v>
      </c>
      <c r="AG31" s="99">
        <f t="shared" si="5"/>
        <v>1626</v>
      </c>
      <c r="AH31" s="44">
        <f t="shared" si="4"/>
        <v>29.035714285714285</v>
      </c>
      <c r="AI31" s="43">
        <v>4</v>
      </c>
      <c r="AJ31" s="43">
        <v>120</v>
      </c>
      <c r="AK31" s="15"/>
      <c r="AL31" s="15"/>
    </row>
    <row r="32" spans="1:38" s="6" customFormat="1" ht="12.75" customHeight="1">
      <c r="A32" s="61" t="s">
        <v>54</v>
      </c>
      <c r="B32" s="83"/>
      <c r="C32" s="83"/>
      <c r="D32" s="83">
        <v>1</v>
      </c>
      <c r="E32" s="83">
        <v>1</v>
      </c>
      <c r="F32" s="83">
        <v>1</v>
      </c>
      <c r="G32" s="83">
        <v>1</v>
      </c>
      <c r="H32" s="83">
        <v>1</v>
      </c>
      <c r="I32" s="83">
        <v>1</v>
      </c>
      <c r="J32" s="83">
        <v>1</v>
      </c>
      <c r="K32" s="83">
        <v>2</v>
      </c>
      <c r="L32" s="42">
        <f>D32+F32+H32+J32</f>
        <v>4</v>
      </c>
      <c r="M32" s="42">
        <f>E32+G32+I32+K32</f>
        <v>5</v>
      </c>
      <c r="N32" s="83"/>
      <c r="O32" s="83"/>
      <c r="P32" s="83"/>
      <c r="Q32" s="83"/>
      <c r="R32" s="83">
        <v>1</v>
      </c>
      <c r="S32" s="83">
        <v>1</v>
      </c>
      <c r="T32" s="83"/>
      <c r="U32" s="83"/>
      <c r="V32" s="83"/>
      <c r="W32" s="83"/>
      <c r="X32" s="42">
        <f t="shared" si="1"/>
        <v>1</v>
      </c>
      <c r="Y32" s="42">
        <f>O32+Q32+S32+U32+W32</f>
        <v>1</v>
      </c>
      <c r="Z32" s="83"/>
      <c r="AA32" s="83"/>
      <c r="AB32" s="83"/>
      <c r="AC32" s="83"/>
      <c r="AD32" s="42">
        <f>Z32+AB32</f>
        <v>0</v>
      </c>
      <c r="AE32" s="42">
        <f>AA32+AC32</f>
        <v>0</v>
      </c>
      <c r="AF32" s="59">
        <f>L32+X32+AD32+B32</f>
        <v>5</v>
      </c>
      <c r="AG32" s="59">
        <f>M32+Y32+AE32+C32</f>
        <v>6</v>
      </c>
      <c r="AH32" s="44"/>
      <c r="AI32" s="43"/>
      <c r="AJ32" s="43"/>
      <c r="AK32" s="15"/>
      <c r="AL32" s="15"/>
    </row>
    <row r="33" spans="1:38" s="6" customFormat="1" ht="12" customHeight="1">
      <c r="A33" s="95" t="s">
        <v>24</v>
      </c>
      <c r="B33" s="43"/>
      <c r="C33" s="43"/>
      <c r="D33" s="43">
        <v>4</v>
      </c>
      <c r="E33" s="43">
        <f>30+29+29+29</f>
        <v>117</v>
      </c>
      <c r="F33" s="43">
        <v>4</v>
      </c>
      <c r="G33" s="43">
        <f>30+33+34+31</f>
        <v>128</v>
      </c>
      <c r="H33" s="43">
        <f>4</f>
        <v>4</v>
      </c>
      <c r="I33" s="43">
        <f>29+28+28+31</f>
        <v>116</v>
      </c>
      <c r="J33" s="43">
        <f>4</f>
        <v>4</v>
      </c>
      <c r="K33" s="43">
        <f>27+30+28+28</f>
        <v>113</v>
      </c>
      <c r="L33" s="42">
        <f t="shared" si="0"/>
        <v>16</v>
      </c>
      <c r="M33" s="42">
        <f t="shared" si="0"/>
        <v>474</v>
      </c>
      <c r="N33" s="43">
        <v>4</v>
      </c>
      <c r="O33" s="43">
        <f>27+26+29+24</f>
        <v>106</v>
      </c>
      <c r="P33" s="43">
        <v>4</v>
      </c>
      <c r="Q33" s="43">
        <f>31+28+30+30+0</f>
        <v>119</v>
      </c>
      <c r="R33" s="43">
        <v>4</v>
      </c>
      <c r="S33" s="43">
        <f>30+33+33+31</f>
        <v>127</v>
      </c>
      <c r="T33" s="43">
        <v>4</v>
      </c>
      <c r="U33" s="43">
        <f>29+30+30+29</f>
        <v>118</v>
      </c>
      <c r="V33" s="43">
        <v>4</v>
      </c>
      <c r="W33" s="43">
        <f>24+27+23+24</f>
        <v>98</v>
      </c>
      <c r="X33" s="42">
        <f t="shared" si="1"/>
        <v>20</v>
      </c>
      <c r="Y33" s="42">
        <f t="shared" si="1"/>
        <v>568</v>
      </c>
      <c r="Z33" s="43">
        <v>2</v>
      </c>
      <c r="AA33" s="43">
        <f>19+26</f>
        <v>45</v>
      </c>
      <c r="AB33" s="43">
        <v>2</v>
      </c>
      <c r="AC33" s="43">
        <f>23+25</f>
        <v>48</v>
      </c>
      <c r="AD33" s="42">
        <f t="shared" si="2"/>
        <v>4</v>
      </c>
      <c r="AE33" s="42">
        <f t="shared" si="2"/>
        <v>93</v>
      </c>
      <c r="AF33" s="99">
        <f t="shared" si="5"/>
        <v>40</v>
      </c>
      <c r="AG33" s="99">
        <f t="shared" si="5"/>
        <v>1135</v>
      </c>
      <c r="AH33" s="44">
        <f t="shared" si="4"/>
        <v>28.375</v>
      </c>
      <c r="AI33" s="43">
        <v>2</v>
      </c>
      <c r="AJ33" s="43">
        <v>60</v>
      </c>
      <c r="AK33" s="15"/>
      <c r="AL33" s="15"/>
    </row>
    <row r="34" spans="1:38" s="6" customFormat="1" ht="13.5" customHeight="1">
      <c r="A34" s="61" t="s">
        <v>54</v>
      </c>
      <c r="B34" s="83"/>
      <c r="C34" s="83"/>
      <c r="D34" s="83"/>
      <c r="E34" s="83"/>
      <c r="F34" s="83">
        <v>1</v>
      </c>
      <c r="G34" s="83">
        <v>1</v>
      </c>
      <c r="H34" s="83">
        <v>1</v>
      </c>
      <c r="I34" s="83">
        <v>2</v>
      </c>
      <c r="J34" s="83">
        <v>1</v>
      </c>
      <c r="K34" s="83">
        <v>1</v>
      </c>
      <c r="L34" s="42">
        <f>D34+F34+H34+J34</f>
        <v>3</v>
      </c>
      <c r="M34" s="42">
        <f>E34+G34+I34+K34</f>
        <v>4</v>
      </c>
      <c r="N34" s="83"/>
      <c r="O34" s="83"/>
      <c r="P34" s="83">
        <v>1</v>
      </c>
      <c r="Q34" s="83">
        <v>1</v>
      </c>
      <c r="R34" s="83"/>
      <c r="S34" s="83"/>
      <c r="T34" s="83"/>
      <c r="U34" s="83"/>
      <c r="V34" s="83">
        <v>1</v>
      </c>
      <c r="W34" s="83">
        <v>2</v>
      </c>
      <c r="X34" s="42">
        <f t="shared" si="1"/>
        <v>2</v>
      </c>
      <c r="Y34" s="42">
        <f t="shared" si="1"/>
        <v>3</v>
      </c>
      <c r="Z34" s="83"/>
      <c r="AA34" s="83"/>
      <c r="AB34" s="83"/>
      <c r="AC34" s="83"/>
      <c r="AD34" s="42">
        <f>Z34+AB34</f>
        <v>0</v>
      </c>
      <c r="AE34" s="42">
        <f>AA34+AC34</f>
        <v>0</v>
      </c>
      <c r="AF34" s="59">
        <f t="shared" si="5"/>
        <v>5</v>
      </c>
      <c r="AG34" s="59">
        <f t="shared" si="5"/>
        <v>7</v>
      </c>
      <c r="AH34" s="44"/>
      <c r="AI34" s="43"/>
      <c r="AJ34" s="43"/>
      <c r="AK34" s="15"/>
      <c r="AL34" s="15"/>
    </row>
    <row r="35" spans="1:38" s="6" customFormat="1" ht="12" customHeight="1">
      <c r="A35" s="95" t="s">
        <v>60</v>
      </c>
      <c r="B35" s="43"/>
      <c r="C35" s="43"/>
      <c r="D35" s="43">
        <v>1</v>
      </c>
      <c r="E35" s="43">
        <v>32</v>
      </c>
      <c r="F35" s="43">
        <v>1</v>
      </c>
      <c r="G35" s="43">
        <v>31</v>
      </c>
      <c r="H35" s="43">
        <v>1</v>
      </c>
      <c r="I35" s="43">
        <v>33</v>
      </c>
      <c r="J35" s="43">
        <v>1</v>
      </c>
      <c r="K35" s="43">
        <v>27</v>
      </c>
      <c r="L35" s="42">
        <f t="shared" si="0"/>
        <v>4</v>
      </c>
      <c r="M35" s="42">
        <f t="shared" si="0"/>
        <v>123</v>
      </c>
      <c r="N35" s="43">
        <v>1</v>
      </c>
      <c r="O35" s="43">
        <v>29</v>
      </c>
      <c r="P35" s="43">
        <v>1</v>
      </c>
      <c r="Q35" s="43">
        <v>28</v>
      </c>
      <c r="R35" s="43">
        <v>1</v>
      </c>
      <c r="S35" s="43">
        <v>25</v>
      </c>
      <c r="T35" s="43">
        <v>1</v>
      </c>
      <c r="U35" s="43">
        <v>31</v>
      </c>
      <c r="V35" s="43">
        <v>1</v>
      </c>
      <c r="W35" s="43">
        <v>30</v>
      </c>
      <c r="X35" s="42">
        <f t="shared" si="1"/>
        <v>5</v>
      </c>
      <c r="Y35" s="42">
        <f t="shared" si="1"/>
        <v>143</v>
      </c>
      <c r="Z35" s="43">
        <v>1</v>
      </c>
      <c r="AA35" s="43">
        <v>17</v>
      </c>
      <c r="AB35" s="43">
        <v>1</v>
      </c>
      <c r="AC35" s="43">
        <v>26</v>
      </c>
      <c r="AD35" s="42">
        <f t="shared" si="2"/>
        <v>2</v>
      </c>
      <c r="AE35" s="42">
        <f t="shared" si="2"/>
        <v>43</v>
      </c>
      <c r="AF35" s="99">
        <f t="shared" si="5"/>
        <v>11</v>
      </c>
      <c r="AG35" s="99">
        <f t="shared" si="5"/>
        <v>309</v>
      </c>
      <c r="AH35" s="44">
        <f t="shared" si="4"/>
        <v>28.09090909090909</v>
      </c>
      <c r="AI35" s="43">
        <v>1</v>
      </c>
      <c r="AJ35" s="43">
        <v>30</v>
      </c>
      <c r="AK35" s="15"/>
      <c r="AL35" s="15"/>
    </row>
    <row r="36" spans="1:38" s="6" customFormat="1" ht="12" customHeight="1">
      <c r="A36" s="61" t="s">
        <v>54</v>
      </c>
      <c r="B36" s="83"/>
      <c r="C36" s="83"/>
      <c r="D36" s="83"/>
      <c r="E36" s="83"/>
      <c r="F36" s="83"/>
      <c r="G36" s="83"/>
      <c r="H36" s="83"/>
      <c r="I36" s="83"/>
      <c r="J36" s="83">
        <v>1</v>
      </c>
      <c r="K36" s="83">
        <v>2</v>
      </c>
      <c r="L36" s="42">
        <f>D36+F36+H36+J36</f>
        <v>1</v>
      </c>
      <c r="M36" s="42">
        <f>E36+G36+I36+K36</f>
        <v>2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42">
        <f t="shared" si="1"/>
        <v>0</v>
      </c>
      <c r="Y36" s="42">
        <f t="shared" si="1"/>
        <v>0</v>
      </c>
      <c r="Z36" s="83"/>
      <c r="AA36" s="83"/>
      <c r="AB36" s="83"/>
      <c r="AC36" s="83"/>
      <c r="AD36" s="42">
        <f>Z36+AB36</f>
        <v>0</v>
      </c>
      <c r="AE36" s="42">
        <f>AA36+AC36</f>
        <v>0</v>
      </c>
      <c r="AF36" s="59">
        <f t="shared" si="5"/>
        <v>1</v>
      </c>
      <c r="AG36" s="59">
        <f t="shared" si="5"/>
        <v>2</v>
      </c>
      <c r="AH36" s="44"/>
      <c r="AI36" s="43"/>
      <c r="AJ36" s="43"/>
      <c r="AK36" s="15"/>
      <c r="AL36" s="15"/>
    </row>
    <row r="37" spans="1:38" s="6" customFormat="1" ht="12" customHeight="1">
      <c r="A37" s="95" t="s">
        <v>62</v>
      </c>
      <c r="B37" s="43"/>
      <c r="C37" s="43"/>
      <c r="D37" s="43">
        <v>4</v>
      </c>
      <c r="E37" s="43">
        <f>28+28+27+26</f>
        <v>109</v>
      </c>
      <c r="F37" s="43">
        <v>3</v>
      </c>
      <c r="G37" s="43">
        <f>29+30+31</f>
        <v>90</v>
      </c>
      <c r="H37" s="43">
        <f>4</f>
        <v>4</v>
      </c>
      <c r="I37" s="43">
        <f>28+28+28+24</f>
        <v>108</v>
      </c>
      <c r="J37" s="43">
        <v>4</v>
      </c>
      <c r="K37" s="43">
        <f>28+31+29+30</f>
        <v>118</v>
      </c>
      <c r="L37" s="42">
        <f t="shared" si="0"/>
        <v>15</v>
      </c>
      <c r="M37" s="42">
        <f t="shared" si="0"/>
        <v>425</v>
      </c>
      <c r="N37" s="43">
        <v>4</v>
      </c>
      <c r="O37" s="43">
        <f>25+28+30+22</f>
        <v>105</v>
      </c>
      <c r="P37" s="43">
        <f>4</f>
        <v>4</v>
      </c>
      <c r="Q37" s="43">
        <f>28+30+28+24</f>
        <v>110</v>
      </c>
      <c r="R37" s="43">
        <f>3</f>
        <v>3</v>
      </c>
      <c r="S37" s="43">
        <f>28+31+31</f>
        <v>90</v>
      </c>
      <c r="T37" s="43">
        <v>3</v>
      </c>
      <c r="U37" s="43">
        <f>25+30+27</f>
        <v>82</v>
      </c>
      <c r="V37" s="43">
        <v>4</v>
      </c>
      <c r="W37" s="43">
        <f>23+28+25+27</f>
        <v>103</v>
      </c>
      <c r="X37" s="42">
        <f t="shared" si="1"/>
        <v>18</v>
      </c>
      <c r="Y37" s="42">
        <f t="shared" si="1"/>
        <v>490</v>
      </c>
      <c r="Z37" s="43">
        <v>2</v>
      </c>
      <c r="AA37" s="43">
        <f>22+26</f>
        <v>48</v>
      </c>
      <c r="AB37" s="43">
        <f>2</f>
        <v>2</v>
      </c>
      <c r="AC37" s="43">
        <f>26+23</f>
        <v>49</v>
      </c>
      <c r="AD37" s="42">
        <f t="shared" si="2"/>
        <v>4</v>
      </c>
      <c r="AE37" s="42">
        <f t="shared" si="2"/>
        <v>97</v>
      </c>
      <c r="AF37" s="99">
        <f t="shared" si="5"/>
        <v>37</v>
      </c>
      <c r="AG37" s="99">
        <f t="shared" si="5"/>
        <v>1012</v>
      </c>
      <c r="AH37" s="44">
        <f t="shared" si="4"/>
        <v>27.35135135135135</v>
      </c>
      <c r="AI37" s="43">
        <v>2</v>
      </c>
      <c r="AJ37" s="43">
        <v>60</v>
      </c>
      <c r="AK37" s="15"/>
      <c r="AL37" s="15"/>
    </row>
    <row r="38" spans="1:38" s="6" customFormat="1" ht="12" customHeight="1">
      <c r="A38" s="61" t="s">
        <v>54</v>
      </c>
      <c r="B38" s="83"/>
      <c r="C38" s="83"/>
      <c r="D38" s="83"/>
      <c r="E38" s="83"/>
      <c r="F38" s="83"/>
      <c r="G38" s="83"/>
      <c r="H38" s="83">
        <v>1</v>
      </c>
      <c r="I38" s="83">
        <v>1</v>
      </c>
      <c r="J38" s="83">
        <v>1</v>
      </c>
      <c r="K38" s="83">
        <v>1</v>
      </c>
      <c r="L38" s="42">
        <f>D38+F38+H38+J38</f>
        <v>2</v>
      </c>
      <c r="M38" s="42">
        <f>E38+G38+I38+K38</f>
        <v>2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42">
        <f t="shared" si="1"/>
        <v>0</v>
      </c>
      <c r="Y38" s="42">
        <f>O38+Q38+S38+U38+W38</f>
        <v>0</v>
      </c>
      <c r="Z38" s="83"/>
      <c r="AA38" s="83"/>
      <c r="AB38" s="83"/>
      <c r="AC38" s="83"/>
      <c r="AD38" s="42">
        <f>Z38+AB38</f>
        <v>0</v>
      </c>
      <c r="AE38" s="42">
        <f>AA38+AC38</f>
        <v>0</v>
      </c>
      <c r="AF38" s="59">
        <f>L38+X38+AD38+B38</f>
        <v>2</v>
      </c>
      <c r="AG38" s="59">
        <f>M38+Y38+AE38+C38</f>
        <v>2</v>
      </c>
      <c r="AH38" s="44"/>
      <c r="AI38" s="43"/>
      <c r="AJ38" s="43"/>
      <c r="AK38" s="15"/>
      <c r="AL38" s="15"/>
    </row>
    <row r="39" spans="1:38" s="6" customFormat="1" ht="12" customHeight="1">
      <c r="A39" s="95" t="s">
        <v>61</v>
      </c>
      <c r="B39" s="43"/>
      <c r="C39" s="43"/>
      <c r="D39" s="43">
        <v>2</v>
      </c>
      <c r="E39" s="43">
        <f>27+27</f>
        <v>54</v>
      </c>
      <c r="F39" s="43">
        <v>2</v>
      </c>
      <c r="G39" s="43">
        <f>31+30</f>
        <v>61</v>
      </c>
      <c r="H39" s="43">
        <f>3</f>
        <v>3</v>
      </c>
      <c r="I39" s="43">
        <f>33+32+29</f>
        <v>94</v>
      </c>
      <c r="J39" s="43">
        <f>3</f>
        <v>3</v>
      </c>
      <c r="K39" s="43">
        <f>29+29+30</f>
        <v>88</v>
      </c>
      <c r="L39" s="42">
        <f t="shared" si="0"/>
        <v>10</v>
      </c>
      <c r="M39" s="42">
        <f t="shared" si="0"/>
        <v>297</v>
      </c>
      <c r="N39" s="43">
        <v>3</v>
      </c>
      <c r="O39" s="43">
        <f>32+31+30</f>
        <v>93</v>
      </c>
      <c r="P39" s="43">
        <f>3</f>
        <v>3</v>
      </c>
      <c r="Q39" s="43">
        <f>23+28+28</f>
        <v>79</v>
      </c>
      <c r="R39" s="43">
        <v>3</v>
      </c>
      <c r="S39" s="43">
        <f>24+26+25</f>
        <v>75</v>
      </c>
      <c r="T39" s="43">
        <f>2</f>
        <v>2</v>
      </c>
      <c r="U39" s="43">
        <f>30+25</f>
        <v>55</v>
      </c>
      <c r="V39" s="43">
        <v>2</v>
      </c>
      <c r="W39" s="43">
        <f>30+31</f>
        <v>61</v>
      </c>
      <c r="X39" s="42">
        <f t="shared" si="1"/>
        <v>13</v>
      </c>
      <c r="Y39" s="42">
        <f t="shared" si="1"/>
        <v>363</v>
      </c>
      <c r="Z39" s="43">
        <f>1</f>
        <v>1</v>
      </c>
      <c r="AA39" s="43">
        <v>22</v>
      </c>
      <c r="AB39" s="43">
        <f>1</f>
        <v>1</v>
      </c>
      <c r="AC39" s="43">
        <v>29</v>
      </c>
      <c r="AD39" s="42">
        <f t="shared" si="2"/>
        <v>2</v>
      </c>
      <c r="AE39" s="42">
        <f t="shared" si="2"/>
        <v>51</v>
      </c>
      <c r="AF39" s="99">
        <f t="shared" si="5"/>
        <v>25</v>
      </c>
      <c r="AG39" s="99">
        <f t="shared" si="5"/>
        <v>711</v>
      </c>
      <c r="AH39" s="44">
        <f t="shared" si="4"/>
        <v>28.44</v>
      </c>
      <c r="AI39" s="43">
        <v>2</v>
      </c>
      <c r="AJ39" s="43">
        <v>60</v>
      </c>
      <c r="AK39" s="15"/>
      <c r="AL39" s="15"/>
    </row>
    <row r="40" spans="1:38" s="6" customFormat="1" ht="12" customHeight="1" hidden="1">
      <c r="A40" s="84" t="s">
        <v>54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2">
        <f>D40+F40+H40+J40</f>
        <v>0</v>
      </c>
      <c r="M40" s="42">
        <f>E40+G40+I40+K40</f>
        <v>0</v>
      </c>
      <c r="N40" s="71"/>
      <c r="O40" s="71"/>
      <c r="P40" s="43"/>
      <c r="Q40" s="43"/>
      <c r="R40" s="43"/>
      <c r="S40" s="43"/>
      <c r="T40" s="43"/>
      <c r="U40" s="43"/>
      <c r="V40" s="43"/>
      <c r="W40" s="43"/>
      <c r="X40" s="42">
        <f t="shared" si="1"/>
        <v>0</v>
      </c>
      <c r="Y40" s="42">
        <f t="shared" si="1"/>
        <v>0</v>
      </c>
      <c r="Z40" s="43"/>
      <c r="AA40" s="43"/>
      <c r="AB40" s="43"/>
      <c r="AC40" s="43"/>
      <c r="AD40" s="42">
        <f>Z40+AB40</f>
        <v>0</v>
      </c>
      <c r="AE40" s="42">
        <f>AA40+AC40</f>
        <v>0</v>
      </c>
      <c r="AF40" s="65">
        <f>L40+X40+AD40+B40</f>
        <v>0</v>
      </c>
      <c r="AG40" s="65">
        <f>M40+Y40+AE40+C40</f>
        <v>0</v>
      </c>
      <c r="AH40" s="44"/>
      <c r="AI40" s="43"/>
      <c r="AJ40" s="43"/>
      <c r="AK40" s="15"/>
      <c r="AL40" s="15"/>
    </row>
    <row r="41" spans="1:38" s="6" customFormat="1" ht="12" customHeight="1">
      <c r="A41" s="95" t="s">
        <v>63</v>
      </c>
      <c r="B41" s="43"/>
      <c r="C41" s="43"/>
      <c r="D41" s="43">
        <v>5</v>
      </c>
      <c r="E41" s="43">
        <f>28+28+25+28+32</f>
        <v>141</v>
      </c>
      <c r="F41" s="43">
        <v>5</v>
      </c>
      <c r="G41" s="43">
        <f>33+33+32+33+32</f>
        <v>163</v>
      </c>
      <c r="H41" s="43">
        <v>6</v>
      </c>
      <c r="I41" s="43">
        <f>25+32+28+24+25+26</f>
        <v>160</v>
      </c>
      <c r="J41" s="43">
        <f>5</f>
        <v>5</v>
      </c>
      <c r="K41" s="43">
        <f>29+21+28+25+28</f>
        <v>131</v>
      </c>
      <c r="L41" s="42">
        <f t="shared" si="0"/>
        <v>21</v>
      </c>
      <c r="M41" s="42">
        <f t="shared" si="0"/>
        <v>595</v>
      </c>
      <c r="N41" s="43">
        <v>5</v>
      </c>
      <c r="O41" s="43">
        <f>31+28+27+26+28</f>
        <v>140</v>
      </c>
      <c r="P41" s="43">
        <v>5</v>
      </c>
      <c r="Q41" s="43">
        <f>28+29+26+26+24</f>
        <v>133</v>
      </c>
      <c r="R41" s="43">
        <v>5</v>
      </c>
      <c r="S41" s="43">
        <f>30+29+29+30+27</f>
        <v>145</v>
      </c>
      <c r="T41" s="43">
        <v>4</v>
      </c>
      <c r="U41" s="43">
        <f>30+30+31+28</f>
        <v>119</v>
      </c>
      <c r="V41" s="43">
        <v>4</v>
      </c>
      <c r="W41" s="43">
        <f>31+32+31+32</f>
        <v>126</v>
      </c>
      <c r="X41" s="42">
        <f t="shared" si="1"/>
        <v>23</v>
      </c>
      <c r="Y41" s="42">
        <f t="shared" si="1"/>
        <v>663</v>
      </c>
      <c r="Z41" s="43">
        <v>2</v>
      </c>
      <c r="AA41" s="43">
        <f>22+21</f>
        <v>43</v>
      </c>
      <c r="AB41" s="43">
        <v>2</v>
      </c>
      <c r="AC41" s="43">
        <f>20+20</f>
        <v>40</v>
      </c>
      <c r="AD41" s="42">
        <f t="shared" si="2"/>
        <v>4</v>
      </c>
      <c r="AE41" s="42">
        <f t="shared" si="2"/>
        <v>83</v>
      </c>
      <c r="AF41" s="99">
        <f t="shared" si="5"/>
        <v>48</v>
      </c>
      <c r="AG41" s="99">
        <f t="shared" si="5"/>
        <v>1341</v>
      </c>
      <c r="AH41" s="44">
        <f t="shared" si="4"/>
        <v>27.9375</v>
      </c>
      <c r="AI41" s="43">
        <v>4</v>
      </c>
      <c r="AJ41" s="43">
        <v>120</v>
      </c>
      <c r="AK41" s="15"/>
      <c r="AL41" s="15"/>
    </row>
    <row r="42" spans="1:38" s="6" customFormat="1" ht="12" customHeight="1">
      <c r="A42" s="61" t="s">
        <v>54</v>
      </c>
      <c r="B42" s="83"/>
      <c r="C42" s="83"/>
      <c r="D42" s="83">
        <v>1</v>
      </c>
      <c r="E42" s="83">
        <v>1</v>
      </c>
      <c r="F42" s="83"/>
      <c r="G42" s="83"/>
      <c r="H42" s="83">
        <v>1</v>
      </c>
      <c r="I42" s="83">
        <v>1</v>
      </c>
      <c r="J42" s="83">
        <v>1</v>
      </c>
      <c r="K42" s="83">
        <v>1</v>
      </c>
      <c r="L42" s="42">
        <f>D42+F42+H42+J42</f>
        <v>3</v>
      </c>
      <c r="M42" s="42">
        <f>E42+G42+I42+K42</f>
        <v>3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42">
        <f t="shared" si="1"/>
        <v>0</v>
      </c>
      <c r="Y42" s="42">
        <f t="shared" si="1"/>
        <v>0</v>
      </c>
      <c r="Z42" s="83"/>
      <c r="AA42" s="83"/>
      <c r="AB42" s="83"/>
      <c r="AC42" s="83"/>
      <c r="AD42" s="42">
        <f>Z42+AB42</f>
        <v>0</v>
      </c>
      <c r="AE42" s="42">
        <f>AA42+AC42</f>
        <v>0</v>
      </c>
      <c r="AF42" s="59">
        <f t="shared" si="5"/>
        <v>3</v>
      </c>
      <c r="AG42" s="59">
        <f t="shared" si="5"/>
        <v>3</v>
      </c>
      <c r="AH42" s="44"/>
      <c r="AI42" s="43"/>
      <c r="AJ42" s="43"/>
      <c r="AK42" s="15"/>
      <c r="AL42" s="15"/>
    </row>
    <row r="43" spans="1:38" s="6" customFormat="1" ht="12" customHeight="1">
      <c r="A43" s="95" t="s">
        <v>64</v>
      </c>
      <c r="B43" s="43"/>
      <c r="C43" s="43"/>
      <c r="D43" s="43">
        <v>8</v>
      </c>
      <c r="E43" s="43">
        <f>28+28+28+28+28+24+24+24</f>
        <v>212</v>
      </c>
      <c r="F43" s="43">
        <f>8</f>
        <v>8</v>
      </c>
      <c r="G43" s="43">
        <f>25+30+30+25+23+28+26+24</f>
        <v>211</v>
      </c>
      <c r="H43" s="43">
        <v>8</v>
      </c>
      <c r="I43" s="43">
        <f>29+30+29+28+28+28+28+29</f>
        <v>229</v>
      </c>
      <c r="J43" s="43">
        <v>8</v>
      </c>
      <c r="K43" s="43">
        <f>29+29+30+28+28+22+28+28</f>
        <v>222</v>
      </c>
      <c r="L43" s="42">
        <f t="shared" si="0"/>
        <v>32</v>
      </c>
      <c r="M43" s="42">
        <f t="shared" si="0"/>
        <v>874</v>
      </c>
      <c r="N43" s="43">
        <v>6</v>
      </c>
      <c r="O43" s="43">
        <f>29+28+28+28+29+28</f>
        <v>170</v>
      </c>
      <c r="P43" s="43">
        <v>7</v>
      </c>
      <c r="Q43" s="43">
        <f>30+30+28+30+29+28+29</f>
        <v>204</v>
      </c>
      <c r="R43" s="43">
        <v>4</v>
      </c>
      <c r="S43" s="43">
        <f>30+33+31+32</f>
        <v>126</v>
      </c>
      <c r="T43" s="43">
        <v>6</v>
      </c>
      <c r="U43" s="43">
        <f>28+24+25+28+30+29</f>
        <v>164</v>
      </c>
      <c r="V43" s="43">
        <v>4</v>
      </c>
      <c r="W43" s="43">
        <f>29+31+32+28</f>
        <v>120</v>
      </c>
      <c r="X43" s="42">
        <f t="shared" si="1"/>
        <v>27</v>
      </c>
      <c r="Y43" s="42">
        <f t="shared" si="1"/>
        <v>784</v>
      </c>
      <c r="Z43" s="43">
        <f>2</f>
        <v>2</v>
      </c>
      <c r="AA43" s="43">
        <f>30+30</f>
        <v>60</v>
      </c>
      <c r="AB43" s="43">
        <v>3</v>
      </c>
      <c r="AC43" s="43">
        <f>28+28+29</f>
        <v>85</v>
      </c>
      <c r="AD43" s="42">
        <f t="shared" si="2"/>
        <v>5</v>
      </c>
      <c r="AE43" s="42">
        <f t="shared" si="2"/>
        <v>145</v>
      </c>
      <c r="AF43" s="99">
        <f t="shared" si="5"/>
        <v>64</v>
      </c>
      <c r="AG43" s="99">
        <f t="shared" si="5"/>
        <v>1803</v>
      </c>
      <c r="AH43" s="44">
        <f t="shared" si="4"/>
        <v>28.171875</v>
      </c>
      <c r="AI43" s="43">
        <v>5</v>
      </c>
      <c r="AJ43" s="43">
        <v>150</v>
      </c>
      <c r="AK43" s="15"/>
      <c r="AL43" s="15"/>
    </row>
    <row r="44" spans="1:38" s="6" customFormat="1" ht="12" customHeight="1">
      <c r="A44" s="61" t="s">
        <v>54</v>
      </c>
      <c r="B44" s="60"/>
      <c r="C44" s="60"/>
      <c r="D44" s="60">
        <v>1</v>
      </c>
      <c r="E44" s="60">
        <v>1</v>
      </c>
      <c r="F44" s="60"/>
      <c r="G44" s="60"/>
      <c r="H44" s="60"/>
      <c r="I44" s="60"/>
      <c r="J44" s="60">
        <v>1</v>
      </c>
      <c r="K44" s="60">
        <v>1</v>
      </c>
      <c r="L44" s="42">
        <f>D44+F44+H44+J44</f>
        <v>2</v>
      </c>
      <c r="M44" s="42">
        <f>E44+G44+I44+K44</f>
        <v>2</v>
      </c>
      <c r="N44" s="83"/>
      <c r="O44" s="83"/>
      <c r="P44" s="83">
        <v>1</v>
      </c>
      <c r="Q44" s="83">
        <v>2</v>
      </c>
      <c r="R44" s="60"/>
      <c r="S44" s="60"/>
      <c r="T44" s="60"/>
      <c r="U44" s="60"/>
      <c r="V44" s="60"/>
      <c r="W44" s="60"/>
      <c r="X44" s="42">
        <f t="shared" si="1"/>
        <v>1</v>
      </c>
      <c r="Y44" s="42">
        <f t="shared" si="1"/>
        <v>2</v>
      </c>
      <c r="Z44" s="60"/>
      <c r="AA44" s="60"/>
      <c r="AB44" s="60"/>
      <c r="AC44" s="60"/>
      <c r="AD44" s="42">
        <f>Z44+AB44</f>
        <v>0</v>
      </c>
      <c r="AE44" s="42">
        <f>AA44+AC44</f>
        <v>0</v>
      </c>
      <c r="AF44" s="59">
        <f>L44+X44+AD44+B44</f>
        <v>3</v>
      </c>
      <c r="AG44" s="59">
        <f>M44+Y44+AE44+C44</f>
        <v>4</v>
      </c>
      <c r="AH44" s="44"/>
      <c r="AI44" s="43"/>
      <c r="AJ44" s="43"/>
      <c r="AK44" s="15"/>
      <c r="AL44" s="15"/>
    </row>
    <row r="45" spans="1:38" s="6" customFormat="1" ht="12" customHeight="1">
      <c r="A45" s="95" t="s">
        <v>65</v>
      </c>
      <c r="B45" s="43"/>
      <c r="C45" s="43"/>
      <c r="D45" s="43">
        <f>3</f>
        <v>3</v>
      </c>
      <c r="E45" s="43">
        <f>24+24+24</f>
        <v>72</v>
      </c>
      <c r="F45" s="43">
        <f>3</f>
        <v>3</v>
      </c>
      <c r="G45" s="43">
        <f>29+26+30</f>
        <v>85</v>
      </c>
      <c r="H45" s="43">
        <v>3</v>
      </c>
      <c r="I45" s="43">
        <f>24+21+24</f>
        <v>69</v>
      </c>
      <c r="J45" s="43">
        <v>3</v>
      </c>
      <c r="K45" s="43">
        <f>25+23+24</f>
        <v>72</v>
      </c>
      <c r="L45" s="42">
        <f t="shared" si="0"/>
        <v>12</v>
      </c>
      <c r="M45" s="42">
        <f t="shared" si="0"/>
        <v>298</v>
      </c>
      <c r="N45" s="43">
        <v>2</v>
      </c>
      <c r="O45" s="43">
        <f>28+28</f>
        <v>56</v>
      </c>
      <c r="P45" s="43">
        <f>2</f>
        <v>2</v>
      </c>
      <c r="Q45" s="43">
        <f>31+29</f>
        <v>60</v>
      </c>
      <c r="R45" s="43">
        <f>2</f>
        <v>2</v>
      </c>
      <c r="S45" s="43">
        <f>26+22</f>
        <v>48</v>
      </c>
      <c r="T45" s="43">
        <v>2</v>
      </c>
      <c r="U45" s="43">
        <f>28+22</f>
        <v>50</v>
      </c>
      <c r="V45" s="43">
        <v>2</v>
      </c>
      <c r="W45" s="43">
        <f>25+18</f>
        <v>43</v>
      </c>
      <c r="X45" s="42">
        <f t="shared" si="1"/>
        <v>10</v>
      </c>
      <c r="Y45" s="42">
        <f t="shared" si="1"/>
        <v>257</v>
      </c>
      <c r="Z45" s="43">
        <v>1</v>
      </c>
      <c r="AA45" s="43">
        <v>24</v>
      </c>
      <c r="AB45" s="43">
        <v>1</v>
      </c>
      <c r="AC45" s="43">
        <v>24</v>
      </c>
      <c r="AD45" s="42">
        <f t="shared" si="2"/>
        <v>2</v>
      </c>
      <c r="AE45" s="42">
        <f t="shared" si="2"/>
        <v>48</v>
      </c>
      <c r="AF45" s="99">
        <f t="shared" si="5"/>
        <v>24</v>
      </c>
      <c r="AG45" s="99">
        <f t="shared" si="5"/>
        <v>603</v>
      </c>
      <c r="AH45" s="44">
        <f t="shared" si="4"/>
        <v>25.125</v>
      </c>
      <c r="AI45" s="43">
        <v>1</v>
      </c>
      <c r="AJ45" s="43">
        <v>30</v>
      </c>
      <c r="AK45" s="15"/>
      <c r="AL45" s="15"/>
    </row>
    <row r="46" spans="1:38" s="6" customFormat="1" ht="12" customHeight="1">
      <c r="A46" s="61" t="s">
        <v>54</v>
      </c>
      <c r="B46" s="60"/>
      <c r="C46" s="60"/>
      <c r="D46" s="83"/>
      <c r="E46" s="83"/>
      <c r="F46" s="83">
        <v>1</v>
      </c>
      <c r="G46" s="83">
        <v>1</v>
      </c>
      <c r="H46" s="83"/>
      <c r="I46" s="83"/>
      <c r="J46" s="83">
        <v>1</v>
      </c>
      <c r="K46" s="83">
        <v>2</v>
      </c>
      <c r="L46" s="42">
        <f>D46+F46+H46+J46</f>
        <v>2</v>
      </c>
      <c r="M46" s="42">
        <f>E46+G46+I46+K46</f>
        <v>3</v>
      </c>
      <c r="N46" s="83">
        <v>0</v>
      </c>
      <c r="O46" s="83">
        <v>0</v>
      </c>
      <c r="P46" s="60"/>
      <c r="Q46" s="60"/>
      <c r="R46" s="60"/>
      <c r="S46" s="60"/>
      <c r="T46" s="60"/>
      <c r="U46" s="60"/>
      <c r="V46" s="60"/>
      <c r="W46" s="60"/>
      <c r="X46" s="42">
        <f t="shared" si="1"/>
        <v>0</v>
      </c>
      <c r="Y46" s="42">
        <f t="shared" si="1"/>
        <v>0</v>
      </c>
      <c r="Z46" s="60"/>
      <c r="AA46" s="60"/>
      <c r="AB46" s="60"/>
      <c r="AC46" s="60"/>
      <c r="AD46" s="42">
        <f>Z46+AB46</f>
        <v>0</v>
      </c>
      <c r="AE46" s="42">
        <f>AA46+AC46</f>
        <v>0</v>
      </c>
      <c r="AF46" s="59">
        <f t="shared" si="5"/>
        <v>2</v>
      </c>
      <c r="AG46" s="59">
        <f t="shared" si="5"/>
        <v>3</v>
      </c>
      <c r="AH46" s="44"/>
      <c r="AI46" s="43"/>
      <c r="AJ46" s="43"/>
      <c r="AK46" s="15"/>
      <c r="AL46" s="15"/>
    </row>
    <row r="47" spans="1:38" s="6" customFormat="1" ht="12" customHeight="1">
      <c r="A47" s="95" t="s">
        <v>27</v>
      </c>
      <c r="B47" s="43"/>
      <c r="C47" s="43"/>
      <c r="D47" s="43">
        <v>4</v>
      </c>
      <c r="E47" s="43">
        <f>30+30+30+30</f>
        <v>120</v>
      </c>
      <c r="F47" s="43">
        <v>4</v>
      </c>
      <c r="G47" s="43">
        <f>30+30+29+30</f>
        <v>119</v>
      </c>
      <c r="H47" s="43">
        <v>4</v>
      </c>
      <c r="I47" s="43">
        <f>30+29+30+30</f>
        <v>119</v>
      </c>
      <c r="J47" s="43">
        <v>4</v>
      </c>
      <c r="K47" s="43">
        <f>31+27+24+30</f>
        <v>112</v>
      </c>
      <c r="L47" s="42">
        <f t="shared" si="0"/>
        <v>16</v>
      </c>
      <c r="M47" s="42">
        <f t="shared" si="0"/>
        <v>470</v>
      </c>
      <c r="N47" s="43">
        <v>4</v>
      </c>
      <c r="O47" s="43">
        <f>31+22+28+21</f>
        <v>102</v>
      </c>
      <c r="P47" s="43">
        <f>4</f>
        <v>4</v>
      </c>
      <c r="Q47" s="43">
        <f>29+28+31+28</f>
        <v>116</v>
      </c>
      <c r="R47" s="43">
        <v>4</v>
      </c>
      <c r="S47" s="43">
        <f>30+29+30+29</f>
        <v>118</v>
      </c>
      <c r="T47" s="43">
        <v>3</v>
      </c>
      <c r="U47" s="43">
        <f>30+28+28</f>
        <v>86</v>
      </c>
      <c r="V47" s="43">
        <f>3</f>
        <v>3</v>
      </c>
      <c r="W47" s="43">
        <f>30+30+30</f>
        <v>90</v>
      </c>
      <c r="X47" s="42">
        <f t="shared" si="1"/>
        <v>18</v>
      </c>
      <c r="Y47" s="42">
        <f t="shared" si="1"/>
        <v>512</v>
      </c>
      <c r="Z47" s="43">
        <f>2</f>
        <v>2</v>
      </c>
      <c r="AA47" s="43">
        <f>20+20</f>
        <v>40</v>
      </c>
      <c r="AB47" s="43">
        <v>2</v>
      </c>
      <c r="AC47" s="43">
        <f>23+26</f>
        <v>49</v>
      </c>
      <c r="AD47" s="42">
        <f t="shared" si="2"/>
        <v>4</v>
      </c>
      <c r="AE47" s="42">
        <f t="shared" si="2"/>
        <v>89</v>
      </c>
      <c r="AF47" s="99">
        <f t="shared" si="5"/>
        <v>38</v>
      </c>
      <c r="AG47" s="99">
        <f t="shared" si="5"/>
        <v>1071</v>
      </c>
      <c r="AH47" s="44">
        <f t="shared" si="4"/>
        <v>28.18421052631579</v>
      </c>
      <c r="AI47" s="43">
        <v>2</v>
      </c>
      <c r="AJ47" s="43">
        <v>60</v>
      </c>
      <c r="AK47" s="15"/>
      <c r="AL47" s="15"/>
    </row>
    <row r="48" spans="1:38" s="6" customFormat="1" ht="24" customHeight="1">
      <c r="A48" s="128" t="s">
        <v>51</v>
      </c>
      <c r="B48" s="130" t="s">
        <v>31</v>
      </c>
      <c r="C48" s="131"/>
      <c r="D48" s="115" t="s">
        <v>33</v>
      </c>
      <c r="E48" s="116"/>
      <c r="F48" s="112" t="s">
        <v>34</v>
      </c>
      <c r="G48" s="112"/>
      <c r="H48" s="112" t="s">
        <v>35</v>
      </c>
      <c r="I48" s="112"/>
      <c r="J48" s="112" t="s">
        <v>0</v>
      </c>
      <c r="K48" s="112"/>
      <c r="L48" s="114" t="s">
        <v>38</v>
      </c>
      <c r="M48" s="114"/>
      <c r="N48" s="112" t="s">
        <v>1</v>
      </c>
      <c r="O48" s="112"/>
      <c r="P48" s="112" t="s">
        <v>2</v>
      </c>
      <c r="Q48" s="112"/>
      <c r="R48" s="112" t="s">
        <v>36</v>
      </c>
      <c r="S48" s="112"/>
      <c r="T48" s="112" t="s">
        <v>3</v>
      </c>
      <c r="U48" s="112"/>
      <c r="V48" s="112" t="s">
        <v>4</v>
      </c>
      <c r="W48" s="112"/>
      <c r="X48" s="114" t="s">
        <v>39</v>
      </c>
      <c r="Y48" s="114"/>
      <c r="Z48" s="112" t="s">
        <v>5</v>
      </c>
      <c r="AA48" s="112"/>
      <c r="AB48" s="112" t="s">
        <v>6</v>
      </c>
      <c r="AC48" s="112"/>
      <c r="AD48" s="114" t="s">
        <v>40</v>
      </c>
      <c r="AE48" s="114"/>
      <c r="AF48" s="112" t="s">
        <v>41</v>
      </c>
      <c r="AG48" s="112"/>
      <c r="AH48" s="110" t="s">
        <v>42</v>
      </c>
      <c r="AI48" s="113" t="s">
        <v>30</v>
      </c>
      <c r="AJ48" s="113"/>
      <c r="AK48" s="3"/>
      <c r="AL48" s="3"/>
    </row>
    <row r="49" spans="1:38" s="6" customFormat="1" ht="69.75" customHeight="1">
      <c r="A49" s="129"/>
      <c r="B49" s="47" t="s">
        <v>8</v>
      </c>
      <c r="C49" s="47" t="s">
        <v>9</v>
      </c>
      <c r="D49" s="19" t="s">
        <v>8</v>
      </c>
      <c r="E49" s="19" t="s">
        <v>9</v>
      </c>
      <c r="F49" s="19" t="s">
        <v>8</v>
      </c>
      <c r="G49" s="19" t="s">
        <v>9</v>
      </c>
      <c r="H49" s="19" t="s">
        <v>8</v>
      </c>
      <c r="I49" s="19" t="s">
        <v>9</v>
      </c>
      <c r="J49" s="19" t="s">
        <v>8</v>
      </c>
      <c r="K49" s="19" t="s">
        <v>9</v>
      </c>
      <c r="L49" s="47" t="s">
        <v>8</v>
      </c>
      <c r="M49" s="47" t="s">
        <v>9</v>
      </c>
      <c r="N49" s="19" t="s">
        <v>8</v>
      </c>
      <c r="O49" s="19" t="s">
        <v>9</v>
      </c>
      <c r="P49" s="19" t="s">
        <v>8</v>
      </c>
      <c r="Q49" s="19" t="s">
        <v>9</v>
      </c>
      <c r="R49" s="19" t="s">
        <v>8</v>
      </c>
      <c r="S49" s="19" t="s">
        <v>9</v>
      </c>
      <c r="T49" s="19" t="s">
        <v>8</v>
      </c>
      <c r="U49" s="19" t="s">
        <v>9</v>
      </c>
      <c r="V49" s="19" t="s">
        <v>8</v>
      </c>
      <c r="W49" s="19" t="s">
        <v>9</v>
      </c>
      <c r="X49" s="47" t="s">
        <v>8</v>
      </c>
      <c r="Y49" s="47" t="s">
        <v>9</v>
      </c>
      <c r="Z49" s="19" t="s">
        <v>8</v>
      </c>
      <c r="AA49" s="19" t="s">
        <v>9</v>
      </c>
      <c r="AB49" s="19" t="s">
        <v>8</v>
      </c>
      <c r="AC49" s="19" t="s">
        <v>9</v>
      </c>
      <c r="AD49" s="47" t="s">
        <v>8</v>
      </c>
      <c r="AE49" s="47" t="s">
        <v>9</v>
      </c>
      <c r="AF49" s="19" t="s">
        <v>8</v>
      </c>
      <c r="AG49" s="19" t="s">
        <v>9</v>
      </c>
      <c r="AH49" s="111"/>
      <c r="AI49" s="19" t="s">
        <v>8</v>
      </c>
      <c r="AJ49" s="19" t="s">
        <v>9</v>
      </c>
      <c r="AK49" s="3"/>
      <c r="AL49" s="3"/>
    </row>
    <row r="50" spans="1:38" s="6" customFormat="1" ht="11.25" customHeight="1">
      <c r="A50" s="95" t="s">
        <v>76</v>
      </c>
      <c r="B50" s="43"/>
      <c r="C50" s="43"/>
      <c r="D50" s="43">
        <v>3</v>
      </c>
      <c r="E50" s="43">
        <f>25+24+24</f>
        <v>73</v>
      </c>
      <c r="F50" s="43">
        <v>2</v>
      </c>
      <c r="G50" s="43">
        <f>29+30</f>
        <v>59</v>
      </c>
      <c r="H50" s="43">
        <v>3</v>
      </c>
      <c r="I50" s="43">
        <f>24+27+26</f>
        <v>77</v>
      </c>
      <c r="J50" s="43">
        <f>2</f>
        <v>2</v>
      </c>
      <c r="K50" s="43">
        <f>29+30</f>
        <v>59</v>
      </c>
      <c r="L50" s="42">
        <f t="shared" si="0"/>
        <v>10</v>
      </c>
      <c r="M50" s="42">
        <f t="shared" si="0"/>
        <v>268</v>
      </c>
      <c r="N50" s="43">
        <f>2</f>
        <v>2</v>
      </c>
      <c r="O50" s="43">
        <f>32+31</f>
        <v>63</v>
      </c>
      <c r="P50" s="43">
        <f>2</f>
        <v>2</v>
      </c>
      <c r="Q50" s="43">
        <f>32+23</f>
        <v>55</v>
      </c>
      <c r="R50" s="43">
        <f>2</f>
        <v>2</v>
      </c>
      <c r="S50" s="43">
        <f>30+30</f>
        <v>60</v>
      </c>
      <c r="T50" s="43">
        <f>2</f>
        <v>2</v>
      </c>
      <c r="U50" s="43">
        <f>23+23</f>
        <v>46</v>
      </c>
      <c r="V50" s="43">
        <f>2</f>
        <v>2</v>
      </c>
      <c r="W50" s="43">
        <f>28+20</f>
        <v>48</v>
      </c>
      <c r="X50" s="42">
        <f t="shared" si="1"/>
        <v>10</v>
      </c>
      <c r="Y50" s="42">
        <f t="shared" si="1"/>
        <v>272</v>
      </c>
      <c r="Z50" s="43">
        <v>1</v>
      </c>
      <c r="AA50" s="43">
        <v>28</v>
      </c>
      <c r="AB50" s="43"/>
      <c r="AC50" s="43"/>
      <c r="AD50" s="42">
        <f t="shared" si="2"/>
        <v>1</v>
      </c>
      <c r="AE50" s="42">
        <f t="shared" si="2"/>
        <v>28</v>
      </c>
      <c r="AF50" s="99">
        <f t="shared" si="5"/>
        <v>21</v>
      </c>
      <c r="AG50" s="99">
        <f t="shared" si="5"/>
        <v>568</v>
      </c>
      <c r="AH50" s="44">
        <f t="shared" si="4"/>
        <v>27.047619047619047</v>
      </c>
      <c r="AI50" s="43">
        <v>1</v>
      </c>
      <c r="AJ50" s="43">
        <v>28</v>
      </c>
      <c r="AK50" s="15"/>
      <c r="AL50" s="15"/>
    </row>
    <row r="51" spans="1:38" s="6" customFormat="1" ht="11.25" customHeight="1">
      <c r="A51" s="106" t="s">
        <v>54</v>
      </c>
      <c r="B51" s="107"/>
      <c r="C51" s="107"/>
      <c r="D51" s="107">
        <v>1</v>
      </c>
      <c r="E51" s="107">
        <v>2</v>
      </c>
      <c r="F51" s="107"/>
      <c r="G51" s="107"/>
      <c r="H51" s="107">
        <v>1</v>
      </c>
      <c r="I51" s="107">
        <v>2</v>
      </c>
      <c r="J51" s="107"/>
      <c r="K51" s="107"/>
      <c r="L51" s="108">
        <f>D51+F51+H51+J51</f>
        <v>2</v>
      </c>
      <c r="M51" s="108">
        <f>E51+G51+I51+K51</f>
        <v>4</v>
      </c>
      <c r="N51" s="107">
        <v>1</v>
      </c>
      <c r="O51" s="107">
        <v>2</v>
      </c>
      <c r="P51" s="107">
        <v>1</v>
      </c>
      <c r="Q51" s="107">
        <v>4</v>
      </c>
      <c r="R51" s="107">
        <v>1</v>
      </c>
      <c r="S51" s="107">
        <v>2</v>
      </c>
      <c r="T51" s="107"/>
      <c r="U51" s="107"/>
      <c r="V51" s="107"/>
      <c r="W51" s="107"/>
      <c r="X51" s="108">
        <f>N51+P51+R51+T51+V51</f>
        <v>3</v>
      </c>
      <c r="Y51" s="108">
        <f>O51+Q51+S51+U51+W51</f>
        <v>8</v>
      </c>
      <c r="Z51" s="107"/>
      <c r="AA51" s="107"/>
      <c r="AB51" s="107"/>
      <c r="AC51" s="107"/>
      <c r="AD51" s="108"/>
      <c r="AE51" s="108"/>
      <c r="AF51" s="109">
        <f>L51+X51+AD51+B51</f>
        <v>5</v>
      </c>
      <c r="AG51" s="109">
        <f>M51+Y51+AE51+C51</f>
        <v>12</v>
      </c>
      <c r="AH51" s="78"/>
      <c r="AI51" s="79"/>
      <c r="AJ51" s="79"/>
      <c r="AK51" s="15"/>
      <c r="AL51" s="15"/>
    </row>
    <row r="52" spans="1:38" s="6" customFormat="1" ht="10.5" customHeight="1">
      <c r="A52" s="95" t="s">
        <v>66</v>
      </c>
      <c r="B52" s="43"/>
      <c r="C52" s="43"/>
      <c r="D52" s="43">
        <v>4</v>
      </c>
      <c r="E52" s="43">
        <f>24+24+24+25</f>
        <v>97</v>
      </c>
      <c r="F52" s="43">
        <v>4</v>
      </c>
      <c r="G52" s="43">
        <f>30+29+30+30</f>
        <v>119</v>
      </c>
      <c r="H52" s="43">
        <f>3</f>
        <v>3</v>
      </c>
      <c r="I52" s="43">
        <f>35+34+33</f>
        <v>102</v>
      </c>
      <c r="J52" s="43">
        <v>3</v>
      </c>
      <c r="K52" s="43">
        <f>30+29+34</f>
        <v>93</v>
      </c>
      <c r="L52" s="42">
        <f t="shared" si="0"/>
        <v>14</v>
      </c>
      <c r="M52" s="42">
        <f t="shared" si="0"/>
        <v>411</v>
      </c>
      <c r="N52" s="43">
        <v>4</v>
      </c>
      <c r="O52" s="43">
        <f>31+32+31+30</f>
        <v>124</v>
      </c>
      <c r="P52" s="43">
        <v>4</v>
      </c>
      <c r="Q52" s="43">
        <f>28+32+30+31</f>
        <v>121</v>
      </c>
      <c r="R52" s="43">
        <v>3</v>
      </c>
      <c r="S52" s="43">
        <f>31+33+31</f>
        <v>95</v>
      </c>
      <c r="T52" s="43">
        <v>4</v>
      </c>
      <c r="U52" s="43">
        <f>28+29+28+31</f>
        <v>116</v>
      </c>
      <c r="V52" s="43">
        <v>4</v>
      </c>
      <c r="W52" s="43">
        <f>29+27+27+28</f>
        <v>111</v>
      </c>
      <c r="X52" s="42">
        <f>N52+P52+R52+T52+V52</f>
        <v>19</v>
      </c>
      <c r="Y52" s="42">
        <f>O52+Q52+S52+U52+W52</f>
        <v>567</v>
      </c>
      <c r="Z52" s="43">
        <v>2</v>
      </c>
      <c r="AA52" s="43">
        <f>30+30</f>
        <v>60</v>
      </c>
      <c r="AB52" s="43">
        <f>2</f>
        <v>2</v>
      </c>
      <c r="AC52" s="43">
        <f>22+28</f>
        <v>50</v>
      </c>
      <c r="AD52" s="42">
        <f t="shared" si="2"/>
        <v>4</v>
      </c>
      <c r="AE52" s="42">
        <f t="shared" si="2"/>
        <v>110</v>
      </c>
      <c r="AF52" s="99">
        <f t="shared" si="5"/>
        <v>37</v>
      </c>
      <c r="AG52" s="99">
        <f t="shared" si="5"/>
        <v>1088</v>
      </c>
      <c r="AH52" s="44">
        <f t="shared" si="4"/>
        <v>29.405405405405407</v>
      </c>
      <c r="AI52" s="43">
        <v>2</v>
      </c>
      <c r="AJ52" s="43">
        <v>60</v>
      </c>
      <c r="AK52" s="3"/>
      <c r="AL52" s="3"/>
    </row>
    <row r="53" spans="1:38" s="6" customFormat="1" ht="10.5" customHeight="1" hidden="1">
      <c r="A53" s="61" t="s">
        <v>54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42">
        <f>D53+F53+H53+J53</f>
        <v>0</v>
      </c>
      <c r="M53" s="42">
        <f>E53+G53+I53+K53</f>
        <v>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42">
        <f>P53+R53+T53+V53</f>
        <v>0</v>
      </c>
      <c r="Y53" s="42">
        <f>Q53+S53+U53+W53</f>
        <v>0</v>
      </c>
      <c r="Z53" s="83"/>
      <c r="AA53" s="83"/>
      <c r="AB53" s="83"/>
      <c r="AC53" s="83"/>
      <c r="AD53" s="42">
        <f>V53+X53+Z53+AB53</f>
        <v>0</v>
      </c>
      <c r="AE53" s="42">
        <f>W53+Y53+AA53+AC53</f>
        <v>0</v>
      </c>
      <c r="AF53" s="59">
        <f>L53+X53+AD53+B53</f>
        <v>0</v>
      </c>
      <c r="AG53" s="59">
        <f>M53+Y53+AE53+C53</f>
        <v>0</v>
      </c>
      <c r="AH53" s="44"/>
      <c r="AI53" s="43"/>
      <c r="AJ53" s="43"/>
      <c r="AK53" s="3"/>
      <c r="AL53" s="3"/>
    </row>
    <row r="54" spans="1:38" s="6" customFormat="1" ht="11.25" customHeight="1">
      <c r="A54" s="95" t="s">
        <v>25</v>
      </c>
      <c r="B54" s="43"/>
      <c r="C54" s="43"/>
      <c r="D54" s="43">
        <v>6</v>
      </c>
      <c r="E54" s="43">
        <f>30+30+30+30+30+30</f>
        <v>180</v>
      </c>
      <c r="F54" s="43">
        <v>6</v>
      </c>
      <c r="G54" s="43">
        <f>32+30+30+31+31+28</f>
        <v>182</v>
      </c>
      <c r="H54" s="43">
        <v>6</v>
      </c>
      <c r="I54" s="43">
        <f>28+29+30+29+31+30</f>
        <v>177</v>
      </c>
      <c r="J54" s="43">
        <v>6</v>
      </c>
      <c r="K54" s="43">
        <f>28+29+32+28+32+30</f>
        <v>179</v>
      </c>
      <c r="L54" s="42">
        <f t="shared" si="0"/>
        <v>24</v>
      </c>
      <c r="M54" s="42">
        <f t="shared" si="0"/>
        <v>718</v>
      </c>
      <c r="N54" s="43">
        <f>6</f>
        <v>6</v>
      </c>
      <c r="O54" s="43">
        <f>29+31+34+33+34+33</f>
        <v>194</v>
      </c>
      <c r="P54" s="43">
        <f>6</f>
        <v>6</v>
      </c>
      <c r="Q54" s="43">
        <f>26+24+29+28+32+25</f>
        <v>164</v>
      </c>
      <c r="R54" s="43">
        <v>6</v>
      </c>
      <c r="S54" s="43">
        <f>30+31+30+24+30+29</f>
        <v>174</v>
      </c>
      <c r="T54" s="43">
        <v>6</v>
      </c>
      <c r="U54" s="43">
        <f>29+29+25+33+29+18</f>
        <v>163</v>
      </c>
      <c r="V54" s="43">
        <v>5</v>
      </c>
      <c r="W54" s="43">
        <f>33+29+24+30+30</f>
        <v>146</v>
      </c>
      <c r="X54" s="42">
        <f aca="true" t="shared" si="6" ref="X54:Y59">N54+P54+R54+T54+V54</f>
        <v>29</v>
      </c>
      <c r="Y54" s="42">
        <f t="shared" si="6"/>
        <v>841</v>
      </c>
      <c r="Z54" s="43">
        <v>2</v>
      </c>
      <c r="AA54" s="43">
        <f>28+22</f>
        <v>50</v>
      </c>
      <c r="AB54" s="43">
        <v>1</v>
      </c>
      <c r="AC54" s="43">
        <v>30</v>
      </c>
      <c r="AD54" s="42">
        <f t="shared" si="2"/>
        <v>3</v>
      </c>
      <c r="AE54" s="42">
        <f t="shared" si="2"/>
        <v>80</v>
      </c>
      <c r="AF54" s="99">
        <f t="shared" si="5"/>
        <v>56</v>
      </c>
      <c r="AG54" s="99">
        <f t="shared" si="5"/>
        <v>1639</v>
      </c>
      <c r="AH54" s="44">
        <f t="shared" si="4"/>
        <v>29.267857142857142</v>
      </c>
      <c r="AI54" s="43">
        <v>3</v>
      </c>
      <c r="AJ54" s="43">
        <v>120</v>
      </c>
      <c r="AK54" s="15"/>
      <c r="AL54" s="15"/>
    </row>
    <row r="55" spans="1:38" s="6" customFormat="1" ht="12" customHeight="1">
      <c r="A55" s="61" t="s">
        <v>54</v>
      </c>
      <c r="B55" s="83"/>
      <c r="C55" s="83"/>
      <c r="D55" s="83"/>
      <c r="E55" s="83"/>
      <c r="F55" s="83">
        <v>1</v>
      </c>
      <c r="G55" s="83">
        <v>1</v>
      </c>
      <c r="H55" s="83">
        <v>1</v>
      </c>
      <c r="I55" s="83">
        <v>2</v>
      </c>
      <c r="J55" s="83"/>
      <c r="K55" s="83"/>
      <c r="L55" s="42">
        <f>D55+F55+H55+J55</f>
        <v>2</v>
      </c>
      <c r="M55" s="42">
        <f>E55+G55+I55+K55</f>
        <v>3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42">
        <f t="shared" si="6"/>
        <v>0</v>
      </c>
      <c r="Y55" s="42">
        <f t="shared" si="6"/>
        <v>0</v>
      </c>
      <c r="Z55" s="83"/>
      <c r="AA55" s="83"/>
      <c r="AB55" s="83"/>
      <c r="AC55" s="83"/>
      <c r="AD55" s="42">
        <f>Z55+AB55</f>
        <v>0</v>
      </c>
      <c r="AE55" s="42">
        <f>AA55+AC55</f>
        <v>0</v>
      </c>
      <c r="AF55" s="59">
        <f>L55+X55+AD55+B55</f>
        <v>2</v>
      </c>
      <c r="AG55" s="59">
        <f>M55+Y55+AE55+C55</f>
        <v>3</v>
      </c>
      <c r="AH55" s="44"/>
      <c r="AI55" s="43"/>
      <c r="AJ55" s="43"/>
      <c r="AK55" s="3"/>
      <c r="AL55" s="3"/>
    </row>
    <row r="56" spans="1:38" s="6" customFormat="1" ht="14.25" customHeight="1">
      <c r="A56" s="95" t="s">
        <v>26</v>
      </c>
      <c r="B56" s="43"/>
      <c r="C56" s="43"/>
      <c r="D56" s="43">
        <v>5</v>
      </c>
      <c r="E56" s="43">
        <f>33+39+30+34+31</f>
        <v>167</v>
      </c>
      <c r="F56" s="43">
        <v>4</v>
      </c>
      <c r="G56" s="43">
        <f>36+35+35+36</f>
        <v>142</v>
      </c>
      <c r="H56" s="43">
        <v>4</v>
      </c>
      <c r="I56" s="43">
        <f>38+37+38+36</f>
        <v>149</v>
      </c>
      <c r="J56" s="43">
        <f>4</f>
        <v>4</v>
      </c>
      <c r="K56" s="43">
        <f>36+36+35+36</f>
        <v>143</v>
      </c>
      <c r="L56" s="42">
        <f t="shared" si="0"/>
        <v>17</v>
      </c>
      <c r="M56" s="42">
        <f t="shared" si="0"/>
        <v>601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2">
        <f t="shared" si="6"/>
        <v>0</v>
      </c>
      <c r="Y56" s="42">
        <f t="shared" si="6"/>
        <v>0</v>
      </c>
      <c r="Z56" s="43"/>
      <c r="AA56" s="43"/>
      <c r="AB56" s="43"/>
      <c r="AC56" s="43"/>
      <c r="AD56" s="42">
        <f t="shared" si="2"/>
        <v>0</v>
      </c>
      <c r="AE56" s="42">
        <f t="shared" si="2"/>
        <v>0</v>
      </c>
      <c r="AF56" s="99">
        <f t="shared" si="5"/>
        <v>17</v>
      </c>
      <c r="AG56" s="99">
        <f t="shared" si="5"/>
        <v>601</v>
      </c>
      <c r="AH56" s="44">
        <f t="shared" si="4"/>
        <v>35.35294117647059</v>
      </c>
      <c r="AI56" s="43">
        <v>4</v>
      </c>
      <c r="AJ56" s="43">
        <v>120</v>
      </c>
      <c r="AK56" s="15">
        <v>13</v>
      </c>
      <c r="AL56" s="15">
        <v>481</v>
      </c>
    </row>
    <row r="57" spans="1:38" s="6" customFormat="1" ht="12.75" customHeight="1">
      <c r="A57" s="95" t="s">
        <v>69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2">
        <f t="shared" si="0"/>
        <v>0</v>
      </c>
      <c r="M57" s="42">
        <f t="shared" si="0"/>
        <v>0</v>
      </c>
      <c r="N57" s="43">
        <v>4</v>
      </c>
      <c r="O57" s="43">
        <f>30+30+30+30</f>
        <v>120</v>
      </c>
      <c r="P57" s="43">
        <v>4</v>
      </c>
      <c r="Q57" s="43">
        <f>32+32+32+32</f>
        <v>128</v>
      </c>
      <c r="R57" s="43">
        <v>4</v>
      </c>
      <c r="S57" s="43">
        <f>31+30+30+30</f>
        <v>121</v>
      </c>
      <c r="T57" s="43">
        <v>5</v>
      </c>
      <c r="U57" s="43">
        <f>30+25+27+37+31</f>
        <v>150</v>
      </c>
      <c r="V57" s="43">
        <v>4</v>
      </c>
      <c r="W57" s="43">
        <f>29+31+33+31</f>
        <v>124</v>
      </c>
      <c r="X57" s="42">
        <f t="shared" si="6"/>
        <v>21</v>
      </c>
      <c r="Y57" s="42">
        <f t="shared" si="6"/>
        <v>643</v>
      </c>
      <c r="Z57" s="43">
        <v>3</v>
      </c>
      <c r="AA57" s="43">
        <f>30+35+35</f>
        <v>100</v>
      </c>
      <c r="AB57" s="43">
        <v>3</v>
      </c>
      <c r="AC57" s="43">
        <f>29+32+36</f>
        <v>97</v>
      </c>
      <c r="AD57" s="42">
        <f t="shared" si="2"/>
        <v>6</v>
      </c>
      <c r="AE57" s="42">
        <f t="shared" si="2"/>
        <v>197</v>
      </c>
      <c r="AF57" s="99">
        <f t="shared" si="5"/>
        <v>27</v>
      </c>
      <c r="AG57" s="99">
        <f t="shared" si="5"/>
        <v>840</v>
      </c>
      <c r="AH57" s="44">
        <f t="shared" si="4"/>
        <v>31.11111111111111</v>
      </c>
      <c r="AI57" s="43"/>
      <c r="AJ57" s="43"/>
      <c r="AK57" s="3"/>
      <c r="AL57" s="3"/>
    </row>
    <row r="58" spans="1:38" s="6" customFormat="1" ht="13.5" customHeight="1">
      <c r="A58" s="61" t="s">
        <v>54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42">
        <f>D58+F58+H58+J58</f>
        <v>0</v>
      </c>
      <c r="M58" s="42">
        <f>E58+G58+I58+K58</f>
        <v>0</v>
      </c>
      <c r="N58" s="59"/>
      <c r="O58" s="59"/>
      <c r="P58" s="59"/>
      <c r="Q58" s="59"/>
      <c r="R58" s="59"/>
      <c r="S58" s="59"/>
      <c r="T58" s="59">
        <v>1</v>
      </c>
      <c r="U58" s="59">
        <v>1</v>
      </c>
      <c r="V58" s="59"/>
      <c r="W58" s="59"/>
      <c r="X58" s="42">
        <f t="shared" si="6"/>
        <v>1</v>
      </c>
      <c r="Y58" s="42">
        <f t="shared" si="6"/>
        <v>1</v>
      </c>
      <c r="Z58" s="59"/>
      <c r="AA58" s="59"/>
      <c r="AB58" s="59"/>
      <c r="AC58" s="59"/>
      <c r="AD58" s="42">
        <f>Z58+AB58</f>
        <v>0</v>
      </c>
      <c r="AE58" s="42">
        <f>AA58+AC58</f>
        <v>0</v>
      </c>
      <c r="AF58" s="59">
        <f>L58+X58+AD58+B58</f>
        <v>1</v>
      </c>
      <c r="AG58" s="59">
        <f>M58+Y58+AE58+C58</f>
        <v>1</v>
      </c>
      <c r="AH58" s="73"/>
      <c r="AI58" s="65"/>
      <c r="AJ58" s="65"/>
      <c r="AK58" s="3"/>
      <c r="AL58" s="3"/>
    </row>
    <row r="59" spans="1:38" s="6" customFormat="1" ht="12" customHeight="1">
      <c r="A59" s="97" t="s">
        <v>72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2">
        <f t="shared" si="0"/>
        <v>0</v>
      </c>
      <c r="M59" s="42">
        <f t="shared" si="0"/>
        <v>0</v>
      </c>
      <c r="N59" s="43">
        <v>4</v>
      </c>
      <c r="O59" s="43">
        <f>30+30+30+30</f>
        <v>120</v>
      </c>
      <c r="P59" s="43">
        <v>4</v>
      </c>
      <c r="Q59" s="43">
        <f>32+32+32+32</f>
        <v>128</v>
      </c>
      <c r="R59" s="43">
        <v>5</v>
      </c>
      <c r="S59" s="43">
        <f>32+26+26+36+32-2</f>
        <v>150</v>
      </c>
      <c r="T59" s="43">
        <v>4</v>
      </c>
      <c r="U59" s="43">
        <f>31+31+33+31</f>
        <v>126</v>
      </c>
      <c r="V59" s="43">
        <v>4</v>
      </c>
      <c r="W59" s="43">
        <f>29+36+28+32-4</f>
        <v>121</v>
      </c>
      <c r="X59" s="42">
        <f t="shared" si="6"/>
        <v>21</v>
      </c>
      <c r="Y59" s="42">
        <f t="shared" si="6"/>
        <v>645</v>
      </c>
      <c r="Z59" s="43">
        <v>3</v>
      </c>
      <c r="AA59" s="43">
        <f>28+28+28</f>
        <v>84</v>
      </c>
      <c r="AB59" s="43">
        <v>4</v>
      </c>
      <c r="AC59" s="43">
        <f>28+23+28+28</f>
        <v>107</v>
      </c>
      <c r="AD59" s="42">
        <f t="shared" si="2"/>
        <v>7</v>
      </c>
      <c r="AE59" s="42">
        <f t="shared" si="2"/>
        <v>191</v>
      </c>
      <c r="AF59" s="99">
        <f t="shared" si="5"/>
        <v>28</v>
      </c>
      <c r="AG59" s="99">
        <f>M59+Y59+AE59+C59</f>
        <v>836</v>
      </c>
      <c r="AH59" s="44">
        <f t="shared" si="4"/>
        <v>29.857142857142858</v>
      </c>
      <c r="AI59" s="43"/>
      <c r="AJ59" s="43"/>
      <c r="AK59" s="3"/>
      <c r="AL59" s="3"/>
    </row>
    <row r="60" spans="1:38" s="5" customFormat="1" ht="13.5" customHeight="1">
      <c r="A60" s="17" t="s">
        <v>7</v>
      </c>
      <c r="B60" s="64">
        <f>SUM(B9:B59)</f>
        <v>0</v>
      </c>
      <c r="C60" s="64">
        <f>SUM(C9:C59)</f>
        <v>0</v>
      </c>
      <c r="D60" s="99">
        <f aca="true" t="shared" si="7" ref="D60:AG60">SUM(D9:D59)-D10-D13-D20-D22-D24-D29-D32-D34-D36-D38-D42-D44-D46-D51-D53-D55-D58-D16-D18-D26</f>
        <v>96</v>
      </c>
      <c r="E60" s="99">
        <f t="shared" si="7"/>
        <v>2749</v>
      </c>
      <c r="F60" s="99">
        <f t="shared" si="7"/>
        <v>96</v>
      </c>
      <c r="G60" s="99">
        <f t="shared" si="7"/>
        <v>2863</v>
      </c>
      <c r="H60" s="99">
        <f t="shared" si="7"/>
        <v>103</v>
      </c>
      <c r="I60" s="99">
        <f t="shared" si="7"/>
        <v>3015</v>
      </c>
      <c r="J60" s="99">
        <f t="shared" si="7"/>
        <v>98</v>
      </c>
      <c r="K60" s="99">
        <f t="shared" si="7"/>
        <v>2883</v>
      </c>
      <c r="L60" s="64">
        <f t="shared" si="7"/>
        <v>393</v>
      </c>
      <c r="M60" s="64">
        <f t="shared" si="7"/>
        <v>11510</v>
      </c>
      <c r="N60" s="99">
        <f t="shared" si="7"/>
        <v>96</v>
      </c>
      <c r="O60" s="99">
        <f t="shared" si="7"/>
        <v>2812</v>
      </c>
      <c r="P60" s="99">
        <f t="shared" si="7"/>
        <v>100</v>
      </c>
      <c r="Q60" s="99">
        <f t="shared" si="7"/>
        <v>2917</v>
      </c>
      <c r="R60" s="99">
        <f t="shared" si="7"/>
        <v>96</v>
      </c>
      <c r="S60" s="99">
        <f t="shared" si="7"/>
        <v>2779</v>
      </c>
      <c r="T60" s="99">
        <f t="shared" si="7"/>
        <v>92</v>
      </c>
      <c r="U60" s="99">
        <f t="shared" si="7"/>
        <v>2542</v>
      </c>
      <c r="V60" s="99">
        <f t="shared" si="7"/>
        <v>85</v>
      </c>
      <c r="W60" s="99">
        <f t="shared" si="7"/>
        <v>2349</v>
      </c>
      <c r="X60" s="64">
        <f t="shared" si="7"/>
        <v>469</v>
      </c>
      <c r="Y60" s="64">
        <f t="shared" si="7"/>
        <v>13399</v>
      </c>
      <c r="Z60" s="99">
        <f t="shared" si="7"/>
        <v>50</v>
      </c>
      <c r="AA60" s="99">
        <f t="shared" si="7"/>
        <v>1261</v>
      </c>
      <c r="AB60" s="99">
        <f t="shared" si="7"/>
        <v>46</v>
      </c>
      <c r="AC60" s="99">
        <f t="shared" si="7"/>
        <v>1195</v>
      </c>
      <c r="AD60" s="64">
        <f t="shared" si="7"/>
        <v>96</v>
      </c>
      <c r="AE60" s="64">
        <f t="shared" si="7"/>
        <v>2456</v>
      </c>
      <c r="AF60" s="99">
        <f t="shared" si="7"/>
        <v>958</v>
      </c>
      <c r="AG60" s="99">
        <f t="shared" si="7"/>
        <v>27365</v>
      </c>
      <c r="AH60" s="45">
        <f>AG60/AF60</f>
        <v>28.56471816283925</v>
      </c>
      <c r="AI60" s="99">
        <f>SUM(AI9:AI59)-AI22</f>
        <v>62</v>
      </c>
      <c r="AJ60" s="99">
        <f>SUM(AJ9:AJ59)-AJ22</f>
        <v>1916</v>
      </c>
      <c r="AK60" s="2">
        <f>SUM(AK9:AK59)-AK22</f>
        <v>13</v>
      </c>
      <c r="AL60" s="2">
        <f>SUM(AL9:AL59)-AL22</f>
        <v>481</v>
      </c>
    </row>
    <row r="61" spans="1:36" s="5" customFormat="1" ht="17.25" customHeight="1" hidden="1">
      <c r="A61" s="46"/>
      <c r="B61" s="29"/>
      <c r="C61" s="29"/>
      <c r="D61" s="29">
        <f aca="true" t="shared" si="8" ref="D61:AG61">D9+D11+D12+D14+D15+D17+D19+D21+D23+D25+D27+D28+D30+D31+D33+D35+D37+D39+D41+D43+D45+D47+D50+D52+D54+D56+D57+D59</f>
        <v>96</v>
      </c>
      <c r="E61" s="29">
        <f t="shared" si="8"/>
        <v>2749</v>
      </c>
      <c r="F61" s="29">
        <f t="shared" si="8"/>
        <v>96</v>
      </c>
      <c r="G61" s="29">
        <f t="shared" si="8"/>
        <v>2863</v>
      </c>
      <c r="H61" s="29">
        <f t="shared" si="8"/>
        <v>103</v>
      </c>
      <c r="I61" s="29">
        <f t="shared" si="8"/>
        <v>3015</v>
      </c>
      <c r="J61" s="29">
        <f t="shared" si="8"/>
        <v>98</v>
      </c>
      <c r="K61" s="29">
        <f t="shared" si="8"/>
        <v>2883</v>
      </c>
      <c r="L61" s="100">
        <f t="shared" si="8"/>
        <v>393</v>
      </c>
      <c r="M61" s="100">
        <f t="shared" si="8"/>
        <v>11510</v>
      </c>
      <c r="N61" s="29">
        <f t="shared" si="8"/>
        <v>96</v>
      </c>
      <c r="O61" s="29">
        <f t="shared" si="8"/>
        <v>2812</v>
      </c>
      <c r="P61" s="29">
        <f t="shared" si="8"/>
        <v>100</v>
      </c>
      <c r="Q61" s="29">
        <f t="shared" si="8"/>
        <v>2917</v>
      </c>
      <c r="R61" s="29">
        <f t="shared" si="8"/>
        <v>96</v>
      </c>
      <c r="S61" s="29">
        <f t="shared" si="8"/>
        <v>2779</v>
      </c>
      <c r="T61" s="29">
        <f t="shared" si="8"/>
        <v>92</v>
      </c>
      <c r="U61" s="29">
        <f t="shared" si="8"/>
        <v>2542</v>
      </c>
      <c r="V61" s="29">
        <f t="shared" si="8"/>
        <v>85</v>
      </c>
      <c r="W61" s="29">
        <f t="shared" si="8"/>
        <v>2349</v>
      </c>
      <c r="X61" s="100">
        <f t="shared" si="8"/>
        <v>469</v>
      </c>
      <c r="Y61" s="100">
        <f t="shared" si="8"/>
        <v>13399</v>
      </c>
      <c r="Z61" s="29">
        <f t="shared" si="8"/>
        <v>50</v>
      </c>
      <c r="AA61" s="29">
        <f t="shared" si="8"/>
        <v>1261</v>
      </c>
      <c r="AB61" s="29">
        <f t="shared" si="8"/>
        <v>46</v>
      </c>
      <c r="AC61" s="29">
        <f t="shared" si="8"/>
        <v>1195</v>
      </c>
      <c r="AD61" s="100">
        <f t="shared" si="8"/>
        <v>96</v>
      </c>
      <c r="AE61" s="100">
        <f t="shared" si="8"/>
        <v>2456</v>
      </c>
      <c r="AF61" s="29">
        <f t="shared" si="8"/>
        <v>958</v>
      </c>
      <c r="AG61" s="29">
        <f t="shared" si="8"/>
        <v>27365</v>
      </c>
      <c r="AH61" s="75"/>
      <c r="AI61" s="75">
        <f>AI9+AI11+AI12+AI14+AI15+AI17+AI19+AI21+AI23+AI25+AI27+AI28+AI30+AI31+AI33+AI35+AI37+AI39+AI41+AI43+AI45+AI47+AI50+AI52+AI54+AI56+AI57+AI59</f>
        <v>62</v>
      </c>
      <c r="AJ61" s="75">
        <f>AJ9+AJ11+AJ12+AJ14+AJ15+AJ17+AJ19+AJ21+AJ23+AJ25+AJ27+AJ28+AJ30+AJ31+AJ33+AJ35+AJ37+AJ39+AJ41+AJ43+AJ45+AJ47+AJ50+AJ52+AJ54+AJ56+AJ57+AJ59</f>
        <v>1916</v>
      </c>
    </row>
    <row r="62" spans="1:36" s="5" customFormat="1" ht="17.25" customHeight="1" hidden="1">
      <c r="A62" s="4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01"/>
      <c r="M62" s="10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101"/>
      <c r="Y62" s="102"/>
      <c r="Z62" s="66"/>
      <c r="AA62" s="66"/>
      <c r="AB62" s="66"/>
      <c r="AC62" s="66"/>
      <c r="AD62" s="102"/>
      <c r="AE62" s="102"/>
      <c r="AF62" s="66"/>
      <c r="AG62" s="66"/>
      <c r="AH62" s="66"/>
      <c r="AI62" s="66"/>
      <c r="AJ62" s="66"/>
    </row>
    <row r="63" spans="1:31" s="4" customFormat="1" ht="16.5" customHeight="1" hidden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100"/>
      <c r="M63" s="100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100"/>
      <c r="Y63" s="103"/>
      <c r="Z63" s="50"/>
      <c r="AA63" s="50"/>
      <c r="AB63" s="50"/>
      <c r="AC63" s="50"/>
      <c r="AD63" s="103"/>
      <c r="AE63" s="103"/>
    </row>
    <row r="64" spans="1:39" s="14" customFormat="1" ht="12" customHeight="1">
      <c r="A64" s="95" t="s">
        <v>70</v>
      </c>
      <c r="B64" s="43"/>
      <c r="C64" s="43"/>
      <c r="D64" s="43">
        <v>1</v>
      </c>
      <c r="E64" s="43">
        <v>14</v>
      </c>
      <c r="F64" s="43">
        <v>1</v>
      </c>
      <c r="G64" s="43">
        <v>13</v>
      </c>
      <c r="H64" s="43">
        <v>1</v>
      </c>
      <c r="I64" s="43">
        <v>10</v>
      </c>
      <c r="J64" s="43">
        <v>1</v>
      </c>
      <c r="K64" s="43">
        <v>13</v>
      </c>
      <c r="L64" s="42">
        <f aca="true" t="shared" si="9" ref="L64:M67">D64+F64+H64+J64</f>
        <v>4</v>
      </c>
      <c r="M64" s="42">
        <f t="shared" si="9"/>
        <v>50</v>
      </c>
      <c r="N64" s="43">
        <v>1</v>
      </c>
      <c r="O64" s="43">
        <v>12</v>
      </c>
      <c r="P64" s="43">
        <v>1</v>
      </c>
      <c r="Q64" s="43">
        <v>19</v>
      </c>
      <c r="R64" s="43">
        <v>1</v>
      </c>
      <c r="S64" s="43">
        <v>13</v>
      </c>
      <c r="T64" s="43">
        <v>1</v>
      </c>
      <c r="U64" s="43">
        <v>10</v>
      </c>
      <c r="V64" s="43">
        <v>1</v>
      </c>
      <c r="W64" s="43">
        <v>20</v>
      </c>
      <c r="X64" s="42">
        <f aca="true" t="shared" si="10" ref="X64:Y66">N64+P64+R64+T64+V64</f>
        <v>5</v>
      </c>
      <c r="Y64" s="42">
        <f t="shared" si="10"/>
        <v>74</v>
      </c>
      <c r="Z64" s="43"/>
      <c r="AA64" s="43"/>
      <c r="AB64" s="43"/>
      <c r="AC64" s="43"/>
      <c r="AD64" s="42">
        <f aca="true" t="shared" si="11" ref="AD64:AE66">Z64+AB64</f>
        <v>0</v>
      </c>
      <c r="AE64" s="42">
        <f t="shared" si="11"/>
        <v>0</v>
      </c>
      <c r="AF64" s="99">
        <f aca="true" t="shared" si="12" ref="AF64:AG66">L64+X64+AD64+B64</f>
        <v>9</v>
      </c>
      <c r="AG64" s="99">
        <f t="shared" si="12"/>
        <v>124</v>
      </c>
      <c r="AH64" s="44">
        <f t="shared" si="4"/>
        <v>13.777777777777779</v>
      </c>
      <c r="AI64" s="43">
        <v>1</v>
      </c>
      <c r="AJ64" s="43">
        <v>30</v>
      </c>
      <c r="AK64" s="12"/>
      <c r="AL64" s="12"/>
      <c r="AM64" s="6"/>
    </row>
    <row r="65" spans="1:39" s="14" customFormat="1" ht="13.5" customHeight="1">
      <c r="A65" s="61" t="s">
        <v>54</v>
      </c>
      <c r="B65" s="83"/>
      <c r="C65" s="83"/>
      <c r="D65" s="83"/>
      <c r="E65" s="83"/>
      <c r="F65" s="83">
        <v>1</v>
      </c>
      <c r="G65" s="83">
        <v>1</v>
      </c>
      <c r="H65" s="83"/>
      <c r="I65" s="83"/>
      <c r="J65" s="83">
        <v>1</v>
      </c>
      <c r="K65" s="83">
        <v>1</v>
      </c>
      <c r="L65" s="42">
        <f>D65+F65+H65+J65</f>
        <v>2</v>
      </c>
      <c r="M65" s="42">
        <f>E65+G65+I65+K65</f>
        <v>2</v>
      </c>
      <c r="N65" s="83"/>
      <c r="O65" s="83"/>
      <c r="P65" s="83">
        <v>1</v>
      </c>
      <c r="Q65" s="83">
        <v>1</v>
      </c>
      <c r="R65" s="83">
        <v>1</v>
      </c>
      <c r="S65" s="83">
        <v>1</v>
      </c>
      <c r="T65" s="83"/>
      <c r="U65" s="83"/>
      <c r="V65" s="83"/>
      <c r="W65" s="83"/>
      <c r="X65" s="42">
        <f t="shared" si="10"/>
        <v>2</v>
      </c>
      <c r="Y65" s="42">
        <f t="shared" si="10"/>
        <v>2</v>
      </c>
      <c r="Z65" s="83"/>
      <c r="AA65" s="83"/>
      <c r="AB65" s="83"/>
      <c r="AC65" s="83"/>
      <c r="AD65" s="42">
        <f t="shared" si="11"/>
        <v>0</v>
      </c>
      <c r="AE65" s="42">
        <f t="shared" si="11"/>
        <v>0</v>
      </c>
      <c r="AF65" s="59">
        <f t="shared" si="12"/>
        <v>4</v>
      </c>
      <c r="AG65" s="59">
        <f t="shared" si="12"/>
        <v>4</v>
      </c>
      <c r="AH65" s="74"/>
      <c r="AI65" s="43"/>
      <c r="AJ65" s="43"/>
      <c r="AK65" s="12"/>
      <c r="AL65" s="12"/>
      <c r="AM65" s="6"/>
    </row>
    <row r="66" spans="1:38" s="6" customFormat="1" ht="12" customHeight="1">
      <c r="A66" s="95" t="s">
        <v>71</v>
      </c>
      <c r="B66" s="43"/>
      <c r="C66" s="43"/>
      <c r="D66" s="43">
        <v>1</v>
      </c>
      <c r="E66" s="43">
        <v>5</v>
      </c>
      <c r="F66" s="43">
        <v>1</v>
      </c>
      <c r="G66" s="43">
        <v>6</v>
      </c>
      <c r="H66" s="43">
        <v>1</v>
      </c>
      <c r="I66" s="43">
        <v>7</v>
      </c>
      <c r="J66" s="43">
        <v>1</v>
      </c>
      <c r="K66" s="43">
        <v>5</v>
      </c>
      <c r="L66" s="42">
        <f>D66+F66+H66+J66</f>
        <v>4</v>
      </c>
      <c r="M66" s="42">
        <f t="shared" si="9"/>
        <v>23</v>
      </c>
      <c r="N66" s="43">
        <v>1</v>
      </c>
      <c r="O66" s="43">
        <v>8</v>
      </c>
      <c r="P66" s="43">
        <v>1</v>
      </c>
      <c r="Q66" s="43">
        <v>10</v>
      </c>
      <c r="R66" s="43">
        <v>1</v>
      </c>
      <c r="S66" s="43">
        <v>14</v>
      </c>
      <c r="T66" s="43">
        <v>1</v>
      </c>
      <c r="U66" s="43">
        <v>10</v>
      </c>
      <c r="V66" s="43">
        <v>1</v>
      </c>
      <c r="W66" s="43">
        <v>7</v>
      </c>
      <c r="X66" s="42">
        <f t="shared" si="10"/>
        <v>5</v>
      </c>
      <c r="Y66" s="42">
        <f t="shared" si="10"/>
        <v>49</v>
      </c>
      <c r="Z66" s="43"/>
      <c r="AA66" s="43"/>
      <c r="AB66" s="43"/>
      <c r="AC66" s="43"/>
      <c r="AD66" s="42">
        <f t="shared" si="11"/>
        <v>0</v>
      </c>
      <c r="AE66" s="42">
        <f t="shared" si="11"/>
        <v>0</v>
      </c>
      <c r="AF66" s="99">
        <f t="shared" si="12"/>
        <v>9</v>
      </c>
      <c r="AG66" s="99">
        <f t="shared" si="12"/>
        <v>72</v>
      </c>
      <c r="AH66" s="44">
        <f t="shared" si="4"/>
        <v>8</v>
      </c>
      <c r="AI66" s="43">
        <v>0</v>
      </c>
      <c r="AJ66" s="43">
        <v>0</v>
      </c>
      <c r="AK66" s="3"/>
      <c r="AL66" s="3"/>
    </row>
    <row r="67" spans="1:38" s="5" customFormat="1" ht="12" customHeight="1">
      <c r="A67" s="17" t="s">
        <v>7</v>
      </c>
      <c r="B67" s="64"/>
      <c r="C67" s="64"/>
      <c r="D67" s="48">
        <f>D66+D64</f>
        <v>2</v>
      </c>
      <c r="E67" s="48">
        <f aca="true" t="shared" si="13" ref="E67:AD67">E66+E64</f>
        <v>19</v>
      </c>
      <c r="F67" s="48">
        <f t="shared" si="13"/>
        <v>2</v>
      </c>
      <c r="G67" s="48">
        <f t="shared" si="13"/>
        <v>19</v>
      </c>
      <c r="H67" s="48">
        <f t="shared" si="13"/>
        <v>2</v>
      </c>
      <c r="I67" s="48">
        <f t="shared" si="13"/>
        <v>17</v>
      </c>
      <c r="J67" s="48">
        <f t="shared" si="13"/>
        <v>2</v>
      </c>
      <c r="K67" s="48">
        <f t="shared" si="13"/>
        <v>18</v>
      </c>
      <c r="L67" s="42">
        <f t="shared" si="9"/>
        <v>8</v>
      </c>
      <c r="M67" s="42">
        <f t="shared" si="9"/>
        <v>73</v>
      </c>
      <c r="N67" s="48">
        <f t="shared" si="13"/>
        <v>2</v>
      </c>
      <c r="O67" s="48">
        <f t="shared" si="13"/>
        <v>20</v>
      </c>
      <c r="P67" s="48">
        <f t="shared" si="13"/>
        <v>2</v>
      </c>
      <c r="Q67" s="48">
        <f t="shared" si="13"/>
        <v>29</v>
      </c>
      <c r="R67" s="48">
        <f t="shared" si="13"/>
        <v>2</v>
      </c>
      <c r="S67" s="48">
        <f t="shared" si="13"/>
        <v>27</v>
      </c>
      <c r="T67" s="48">
        <f t="shared" si="13"/>
        <v>2</v>
      </c>
      <c r="U67" s="48">
        <f t="shared" si="13"/>
        <v>20</v>
      </c>
      <c r="V67" s="48">
        <f t="shared" si="13"/>
        <v>2</v>
      </c>
      <c r="W67" s="48">
        <f t="shared" si="13"/>
        <v>27</v>
      </c>
      <c r="X67" s="64">
        <f t="shared" si="13"/>
        <v>10</v>
      </c>
      <c r="Y67" s="64">
        <f t="shared" si="13"/>
        <v>123</v>
      </c>
      <c r="Z67" s="48">
        <f t="shared" si="13"/>
        <v>0</v>
      </c>
      <c r="AA67" s="48">
        <f t="shared" si="13"/>
        <v>0</v>
      </c>
      <c r="AB67" s="48">
        <f t="shared" si="13"/>
        <v>0</v>
      </c>
      <c r="AC67" s="48">
        <f t="shared" si="13"/>
        <v>0</v>
      </c>
      <c r="AD67" s="64">
        <f t="shared" si="13"/>
        <v>0</v>
      </c>
      <c r="AE67" s="64">
        <f>AE66+AE64</f>
        <v>0</v>
      </c>
      <c r="AF67" s="48">
        <f>AF66+AF64</f>
        <v>18</v>
      </c>
      <c r="AG67" s="48">
        <f>AG66+AG64</f>
        <v>196</v>
      </c>
      <c r="AH67" s="44">
        <f t="shared" si="4"/>
        <v>10.88888888888889</v>
      </c>
      <c r="AI67" s="99">
        <f>AI64</f>
        <v>1</v>
      </c>
      <c r="AJ67" s="99">
        <f>AJ64</f>
        <v>30</v>
      </c>
      <c r="AK67" s="13">
        <v>0</v>
      </c>
      <c r="AL67" s="13">
        <v>0</v>
      </c>
    </row>
    <row r="68" spans="1:38" s="5" customFormat="1" ht="11.25" customHeight="1">
      <c r="A68" s="17" t="s">
        <v>28</v>
      </c>
      <c r="B68" s="64">
        <f aca="true" t="shared" si="14" ref="B68:M68">B60+B67</f>
        <v>0</v>
      </c>
      <c r="C68" s="64">
        <f t="shared" si="14"/>
        <v>0</v>
      </c>
      <c r="D68" s="48">
        <f t="shared" si="14"/>
        <v>98</v>
      </c>
      <c r="E68" s="48">
        <f t="shared" si="14"/>
        <v>2768</v>
      </c>
      <c r="F68" s="48">
        <f t="shared" si="14"/>
        <v>98</v>
      </c>
      <c r="G68" s="48">
        <f t="shared" si="14"/>
        <v>2882</v>
      </c>
      <c r="H68" s="48">
        <f t="shared" si="14"/>
        <v>105</v>
      </c>
      <c r="I68" s="48">
        <f t="shared" si="14"/>
        <v>3032</v>
      </c>
      <c r="J68" s="48">
        <f t="shared" si="14"/>
        <v>100</v>
      </c>
      <c r="K68" s="48">
        <f t="shared" si="14"/>
        <v>2901</v>
      </c>
      <c r="L68" s="64">
        <f t="shared" si="14"/>
        <v>401</v>
      </c>
      <c r="M68" s="64">
        <f t="shared" si="14"/>
        <v>11583</v>
      </c>
      <c r="N68" s="48">
        <f aca="true" t="shared" si="15" ref="N68:AG68">N66+N64+N60</f>
        <v>98</v>
      </c>
      <c r="O68" s="48">
        <f t="shared" si="15"/>
        <v>2832</v>
      </c>
      <c r="P68" s="48">
        <f t="shared" si="15"/>
        <v>102</v>
      </c>
      <c r="Q68" s="48">
        <f t="shared" si="15"/>
        <v>2946</v>
      </c>
      <c r="R68" s="48">
        <f t="shared" si="15"/>
        <v>98</v>
      </c>
      <c r="S68" s="48">
        <f t="shared" si="15"/>
        <v>2806</v>
      </c>
      <c r="T68" s="48">
        <f t="shared" si="15"/>
        <v>94</v>
      </c>
      <c r="U68" s="48">
        <f t="shared" si="15"/>
        <v>2562</v>
      </c>
      <c r="V68" s="48">
        <f t="shared" si="15"/>
        <v>87</v>
      </c>
      <c r="W68" s="48">
        <f t="shared" si="15"/>
        <v>2376</v>
      </c>
      <c r="X68" s="64">
        <f t="shared" si="15"/>
        <v>479</v>
      </c>
      <c r="Y68" s="64">
        <f t="shared" si="15"/>
        <v>13522</v>
      </c>
      <c r="Z68" s="48">
        <f t="shared" si="15"/>
        <v>50</v>
      </c>
      <c r="AA68" s="48">
        <f t="shared" si="15"/>
        <v>1261</v>
      </c>
      <c r="AB68" s="48">
        <f t="shared" si="15"/>
        <v>46</v>
      </c>
      <c r="AC68" s="48">
        <f t="shared" si="15"/>
        <v>1195</v>
      </c>
      <c r="AD68" s="64">
        <f t="shared" si="15"/>
        <v>96</v>
      </c>
      <c r="AE68" s="64">
        <f>AE66+AE64+AE60</f>
        <v>2456</v>
      </c>
      <c r="AF68" s="48">
        <f t="shared" si="15"/>
        <v>976</v>
      </c>
      <c r="AG68" s="48">
        <f t="shared" si="15"/>
        <v>27561</v>
      </c>
      <c r="AH68" s="76">
        <f t="shared" si="4"/>
        <v>28.23872950819672</v>
      </c>
      <c r="AI68" s="99">
        <f>AI67+AI60</f>
        <v>63</v>
      </c>
      <c r="AJ68" s="99">
        <f>AJ67+AJ60</f>
        <v>1946</v>
      </c>
      <c r="AK68" s="13">
        <f>AK67+AK60</f>
        <v>13</v>
      </c>
      <c r="AL68" s="13">
        <f>AL67+AL60</f>
        <v>481</v>
      </c>
    </row>
    <row r="69" spans="1:38" s="6" customFormat="1" ht="12" customHeight="1">
      <c r="A69" s="96" t="s">
        <v>43</v>
      </c>
      <c r="B69" s="72"/>
      <c r="C69" s="72"/>
      <c r="D69" s="72">
        <v>1</v>
      </c>
      <c r="E69" s="72">
        <v>30</v>
      </c>
      <c r="F69" s="72">
        <v>1</v>
      </c>
      <c r="G69" s="72">
        <v>30</v>
      </c>
      <c r="H69" s="72">
        <v>1</v>
      </c>
      <c r="I69" s="72">
        <v>32</v>
      </c>
      <c r="J69" s="72"/>
      <c r="K69" s="72"/>
      <c r="L69" s="42">
        <f>D69+F69+H69+J69</f>
        <v>3</v>
      </c>
      <c r="M69" s="42">
        <f>E69+G69+I69+K69</f>
        <v>92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42">
        <f aca="true" t="shared" si="16" ref="X69:Y77">N69+P69+R69+T69+V69</f>
        <v>0</v>
      </c>
      <c r="Y69" s="104">
        <f t="shared" si="16"/>
        <v>0</v>
      </c>
      <c r="Z69" s="72">
        <v>0</v>
      </c>
      <c r="AA69" s="72">
        <v>0</v>
      </c>
      <c r="AB69" s="72">
        <v>0</v>
      </c>
      <c r="AC69" s="72">
        <v>0</v>
      </c>
      <c r="AD69" s="104">
        <v>0</v>
      </c>
      <c r="AE69" s="104">
        <v>0</v>
      </c>
      <c r="AF69" s="99">
        <f aca="true" t="shared" si="17" ref="AF69:AG71">L69+X69+AD69+B69</f>
        <v>3</v>
      </c>
      <c r="AG69" s="99">
        <f t="shared" si="17"/>
        <v>92</v>
      </c>
      <c r="AH69" s="77">
        <f t="shared" si="4"/>
        <v>30.666666666666668</v>
      </c>
      <c r="AI69" s="72">
        <v>1</v>
      </c>
      <c r="AJ69" s="72">
        <v>30</v>
      </c>
      <c r="AK69" s="15"/>
      <c r="AL69" s="15"/>
    </row>
    <row r="70" spans="1:38" s="6" customFormat="1" ht="11.25">
      <c r="A70" s="95" t="s">
        <v>44</v>
      </c>
      <c r="B70" s="43"/>
      <c r="C70" s="43"/>
      <c r="D70" s="43">
        <v>2</v>
      </c>
      <c r="E70" s="43">
        <v>56</v>
      </c>
      <c r="F70" s="43">
        <v>1</v>
      </c>
      <c r="G70" s="43">
        <v>34</v>
      </c>
      <c r="H70" s="43">
        <v>1</v>
      </c>
      <c r="I70" s="43">
        <v>33</v>
      </c>
      <c r="J70" s="43">
        <v>1</v>
      </c>
      <c r="K70" s="43">
        <v>32</v>
      </c>
      <c r="L70" s="42">
        <f aca="true" t="shared" si="18" ref="L70:M77">D70+F70+H70+J70</f>
        <v>5</v>
      </c>
      <c r="M70" s="42">
        <f t="shared" si="18"/>
        <v>155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2">
        <f t="shared" si="16"/>
        <v>0</v>
      </c>
      <c r="Y70" s="42">
        <f t="shared" si="16"/>
        <v>0</v>
      </c>
      <c r="Z70" s="43"/>
      <c r="AA70" s="43"/>
      <c r="AB70" s="43"/>
      <c r="AC70" s="43"/>
      <c r="AD70" s="42">
        <f aca="true" t="shared" si="19" ref="AD70:AE77">Z70+AB70</f>
        <v>0</v>
      </c>
      <c r="AE70" s="42">
        <f t="shared" si="19"/>
        <v>0</v>
      </c>
      <c r="AF70" s="99">
        <f t="shared" si="17"/>
        <v>5</v>
      </c>
      <c r="AG70" s="99">
        <f t="shared" si="17"/>
        <v>155</v>
      </c>
      <c r="AH70" s="44">
        <f t="shared" si="4"/>
        <v>31</v>
      </c>
      <c r="AI70" s="43">
        <v>1</v>
      </c>
      <c r="AJ70" s="43">
        <v>30</v>
      </c>
      <c r="AK70" s="3"/>
      <c r="AL70" s="3"/>
    </row>
    <row r="71" spans="1:38" s="6" customFormat="1" ht="11.25">
      <c r="A71" s="95" t="s">
        <v>53</v>
      </c>
      <c r="B71" s="43"/>
      <c r="C71" s="43"/>
      <c r="D71" s="43">
        <v>3</v>
      </c>
      <c r="E71" s="43">
        <f>18+18+8</f>
        <v>44</v>
      </c>
      <c r="F71" s="43">
        <f>3</f>
        <v>3</v>
      </c>
      <c r="G71" s="43">
        <f>18+20+12</f>
        <v>50</v>
      </c>
      <c r="H71" s="43">
        <v>3</v>
      </c>
      <c r="I71" s="43">
        <f>20+18+12</f>
        <v>50</v>
      </c>
      <c r="J71" s="43">
        <v>2</v>
      </c>
      <c r="K71" s="43">
        <f>24+21</f>
        <v>45</v>
      </c>
      <c r="L71" s="42">
        <f t="shared" si="18"/>
        <v>11</v>
      </c>
      <c r="M71" s="42">
        <f t="shared" si="18"/>
        <v>189</v>
      </c>
      <c r="N71" s="43">
        <v>2</v>
      </c>
      <c r="O71" s="43">
        <f>18+18</f>
        <v>36</v>
      </c>
      <c r="P71" s="43">
        <v>1</v>
      </c>
      <c r="Q71" s="43">
        <v>26</v>
      </c>
      <c r="R71" s="43">
        <v>2</v>
      </c>
      <c r="S71" s="43">
        <f>18+17</f>
        <v>35</v>
      </c>
      <c r="T71" s="43">
        <v>1</v>
      </c>
      <c r="U71" s="43">
        <v>20</v>
      </c>
      <c r="V71" s="43">
        <v>2</v>
      </c>
      <c r="W71" s="43">
        <f>20+19</f>
        <v>39</v>
      </c>
      <c r="X71" s="42">
        <f t="shared" si="16"/>
        <v>8</v>
      </c>
      <c r="Y71" s="42">
        <f t="shared" si="16"/>
        <v>156</v>
      </c>
      <c r="Z71" s="43">
        <v>1</v>
      </c>
      <c r="AA71" s="43">
        <v>20</v>
      </c>
      <c r="AB71" s="43">
        <v>1</v>
      </c>
      <c r="AC71" s="43">
        <v>17</v>
      </c>
      <c r="AD71" s="42">
        <f>Z71+AB71</f>
        <v>2</v>
      </c>
      <c r="AE71" s="42">
        <f>AA71+AC71</f>
        <v>37</v>
      </c>
      <c r="AF71" s="99">
        <f t="shared" si="17"/>
        <v>21</v>
      </c>
      <c r="AG71" s="99">
        <f t="shared" si="17"/>
        <v>382</v>
      </c>
      <c r="AH71" s="44">
        <f>AG71/AF71</f>
        <v>18.19047619047619</v>
      </c>
      <c r="AI71" s="43">
        <v>2</v>
      </c>
      <c r="AJ71" s="43">
        <v>60</v>
      </c>
      <c r="AK71" s="3"/>
      <c r="AL71" s="3"/>
    </row>
    <row r="72" spans="1:38" s="6" customFormat="1" ht="20.25" customHeight="1">
      <c r="A72" s="61" t="s">
        <v>56</v>
      </c>
      <c r="B72" s="59"/>
      <c r="C72" s="59"/>
      <c r="D72" s="59">
        <v>3</v>
      </c>
      <c r="E72" s="59">
        <v>10</v>
      </c>
      <c r="F72" s="59">
        <v>3</v>
      </c>
      <c r="G72" s="59">
        <v>16</v>
      </c>
      <c r="H72" s="59">
        <v>3</v>
      </c>
      <c r="I72" s="59">
        <v>20</v>
      </c>
      <c r="J72" s="59">
        <v>1</v>
      </c>
      <c r="K72" s="59">
        <v>2</v>
      </c>
      <c r="L72" s="42">
        <f t="shared" si="18"/>
        <v>10</v>
      </c>
      <c r="M72" s="42">
        <f t="shared" si="18"/>
        <v>48</v>
      </c>
      <c r="N72" s="59">
        <v>2</v>
      </c>
      <c r="O72" s="59">
        <v>10</v>
      </c>
      <c r="P72" s="59">
        <v>1</v>
      </c>
      <c r="Q72" s="59">
        <v>4</v>
      </c>
      <c r="R72" s="59">
        <v>1</v>
      </c>
      <c r="S72" s="59">
        <v>2</v>
      </c>
      <c r="T72" s="59">
        <v>1</v>
      </c>
      <c r="U72" s="59">
        <v>4</v>
      </c>
      <c r="V72" s="59">
        <v>2</v>
      </c>
      <c r="W72" s="59">
        <v>6</v>
      </c>
      <c r="X72" s="42">
        <f t="shared" si="16"/>
        <v>7</v>
      </c>
      <c r="Y72" s="42">
        <f t="shared" si="16"/>
        <v>26</v>
      </c>
      <c r="Z72" s="59">
        <v>1</v>
      </c>
      <c r="AA72" s="59">
        <v>4</v>
      </c>
      <c r="AB72" s="59"/>
      <c r="AC72" s="59"/>
      <c r="AD72" s="42">
        <f>Z72+AB72</f>
        <v>1</v>
      </c>
      <c r="AE72" s="42">
        <f>AA72+AC72</f>
        <v>4</v>
      </c>
      <c r="AF72" s="59">
        <f>L72+X72+AD72</f>
        <v>18</v>
      </c>
      <c r="AG72" s="59">
        <f>M72+Y72+AE72</f>
        <v>78</v>
      </c>
      <c r="AH72" s="73"/>
      <c r="AI72" s="65"/>
      <c r="AJ72" s="65"/>
      <c r="AK72" s="3"/>
      <c r="AL72" s="3"/>
    </row>
    <row r="73" spans="1:38" s="67" customFormat="1" ht="12" customHeight="1">
      <c r="A73" s="95" t="s">
        <v>45</v>
      </c>
      <c r="B73" s="43"/>
      <c r="C73" s="43"/>
      <c r="D73" s="43">
        <v>1</v>
      </c>
      <c r="E73" s="43">
        <v>6</v>
      </c>
      <c r="F73" s="43"/>
      <c r="G73" s="43"/>
      <c r="H73" s="43"/>
      <c r="I73" s="43"/>
      <c r="J73" s="43">
        <v>1</v>
      </c>
      <c r="K73" s="43">
        <v>8</v>
      </c>
      <c r="L73" s="42">
        <f t="shared" si="18"/>
        <v>2</v>
      </c>
      <c r="M73" s="42">
        <f t="shared" si="18"/>
        <v>14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2">
        <f t="shared" si="16"/>
        <v>0</v>
      </c>
      <c r="Y73" s="42">
        <f t="shared" si="16"/>
        <v>0</v>
      </c>
      <c r="Z73" s="43"/>
      <c r="AA73" s="43"/>
      <c r="AB73" s="43"/>
      <c r="AC73" s="43"/>
      <c r="AD73" s="42">
        <f t="shared" si="19"/>
        <v>0</v>
      </c>
      <c r="AE73" s="42">
        <f t="shared" si="19"/>
        <v>0</v>
      </c>
      <c r="AF73" s="99">
        <f aca="true" t="shared" si="20" ref="AF73:AG77">L73+X73+AD73+B73</f>
        <v>2</v>
      </c>
      <c r="AG73" s="99">
        <f t="shared" si="20"/>
        <v>14</v>
      </c>
      <c r="AH73" s="44">
        <f>AG73/AF73</f>
        <v>7</v>
      </c>
      <c r="AI73" s="43">
        <v>2</v>
      </c>
      <c r="AJ73" s="43">
        <v>14</v>
      </c>
      <c r="AK73" s="15"/>
      <c r="AL73" s="15"/>
    </row>
    <row r="74" spans="1:38" s="6" customFormat="1" ht="16.5" customHeight="1" hidden="1">
      <c r="A74" s="84" t="s">
        <v>68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2">
        <f>D74+F74+H74+J74</f>
        <v>0</v>
      </c>
      <c r="M74" s="42">
        <f>E74+G74+I74+K74</f>
        <v>0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2">
        <f>N74+P74+R74+T74+V74</f>
        <v>0</v>
      </c>
      <c r="Y74" s="42">
        <f>O74+Q74+S74+U74+W74</f>
        <v>0</v>
      </c>
      <c r="Z74" s="43"/>
      <c r="AA74" s="43"/>
      <c r="AB74" s="43"/>
      <c r="AC74" s="43"/>
      <c r="AD74" s="42">
        <f>Z74+AB74</f>
        <v>0</v>
      </c>
      <c r="AE74" s="42">
        <f>AA74+AC74</f>
        <v>0</v>
      </c>
      <c r="AF74" s="65">
        <f>L74+X74+AD74</f>
        <v>0</v>
      </c>
      <c r="AG74" s="65">
        <f>M74+Y74+AE74</f>
        <v>0</v>
      </c>
      <c r="AH74" s="44"/>
      <c r="AI74" s="43"/>
      <c r="AJ74" s="43"/>
      <c r="AK74" s="15"/>
      <c r="AL74" s="15"/>
    </row>
    <row r="75" spans="1:38" s="6" customFormat="1" ht="12" customHeight="1">
      <c r="A75" s="95" t="s">
        <v>46</v>
      </c>
      <c r="B75" s="43"/>
      <c r="C75" s="43"/>
      <c r="D75" s="43">
        <v>2</v>
      </c>
      <c r="E75" s="43">
        <f>31+30-1</f>
        <v>60</v>
      </c>
      <c r="F75" s="43">
        <v>2</v>
      </c>
      <c r="G75" s="43">
        <v>60</v>
      </c>
      <c r="H75" s="43">
        <v>1</v>
      </c>
      <c r="I75" s="43">
        <v>33</v>
      </c>
      <c r="J75" s="43">
        <v>1</v>
      </c>
      <c r="K75" s="43">
        <v>34</v>
      </c>
      <c r="L75" s="42">
        <f t="shared" si="18"/>
        <v>6</v>
      </c>
      <c r="M75" s="42">
        <f t="shared" si="18"/>
        <v>187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2">
        <f t="shared" si="16"/>
        <v>0</v>
      </c>
      <c r="Y75" s="42">
        <f t="shared" si="16"/>
        <v>0</v>
      </c>
      <c r="Z75" s="43"/>
      <c r="AA75" s="43"/>
      <c r="AB75" s="43"/>
      <c r="AC75" s="43"/>
      <c r="AD75" s="42">
        <f t="shared" si="19"/>
        <v>0</v>
      </c>
      <c r="AE75" s="42">
        <f t="shared" si="19"/>
        <v>0</v>
      </c>
      <c r="AF75" s="99">
        <f t="shared" si="20"/>
        <v>6</v>
      </c>
      <c r="AG75" s="99">
        <f t="shared" si="20"/>
        <v>187</v>
      </c>
      <c r="AH75" s="44">
        <f t="shared" si="4"/>
        <v>31.166666666666668</v>
      </c>
      <c r="AI75" s="43">
        <v>2</v>
      </c>
      <c r="AJ75" s="43">
        <v>60</v>
      </c>
      <c r="AK75" s="15"/>
      <c r="AL75" s="15"/>
    </row>
    <row r="76" spans="1:38" s="6" customFormat="1" ht="12" customHeight="1">
      <c r="A76" s="61" t="s">
        <v>54</v>
      </c>
      <c r="B76" s="83"/>
      <c r="C76" s="83"/>
      <c r="D76" s="83"/>
      <c r="E76" s="83"/>
      <c r="F76" s="83">
        <v>1</v>
      </c>
      <c r="G76" s="83">
        <v>1</v>
      </c>
      <c r="H76" s="83"/>
      <c r="I76" s="83"/>
      <c r="J76" s="83"/>
      <c r="K76" s="83"/>
      <c r="L76" s="42">
        <f>D76+F76+H76+J76</f>
        <v>1</v>
      </c>
      <c r="M76" s="42">
        <f>E76+G76+I76+K76</f>
        <v>1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42">
        <f t="shared" si="16"/>
        <v>0</v>
      </c>
      <c r="Y76" s="42">
        <f t="shared" si="16"/>
        <v>0</v>
      </c>
      <c r="Z76" s="83"/>
      <c r="AA76" s="83"/>
      <c r="AB76" s="83"/>
      <c r="AC76" s="83"/>
      <c r="AD76" s="42">
        <f t="shared" si="19"/>
        <v>0</v>
      </c>
      <c r="AE76" s="42">
        <f t="shared" si="19"/>
        <v>0</v>
      </c>
      <c r="AF76" s="59">
        <f t="shared" si="20"/>
        <v>1</v>
      </c>
      <c r="AG76" s="59">
        <f t="shared" si="20"/>
        <v>1</v>
      </c>
      <c r="AH76" s="44"/>
      <c r="AI76" s="43"/>
      <c r="AJ76" s="43"/>
      <c r="AK76" s="15"/>
      <c r="AL76" s="15"/>
    </row>
    <row r="77" spans="1:38" s="6" customFormat="1" ht="12" customHeight="1">
      <c r="A77" s="95" t="s">
        <v>47</v>
      </c>
      <c r="B77" s="43"/>
      <c r="C77" s="43"/>
      <c r="D77" s="43">
        <v>2</v>
      </c>
      <c r="E77" s="43">
        <f>34+34</f>
        <v>68</v>
      </c>
      <c r="F77" s="43">
        <v>2</v>
      </c>
      <c r="G77" s="43">
        <f>32+34</f>
        <v>66</v>
      </c>
      <c r="H77" s="43">
        <v>2</v>
      </c>
      <c r="I77" s="43">
        <f>33+34</f>
        <v>67</v>
      </c>
      <c r="J77" s="43">
        <v>2</v>
      </c>
      <c r="K77" s="43">
        <f>34+35</f>
        <v>69</v>
      </c>
      <c r="L77" s="42">
        <f t="shared" si="18"/>
        <v>8</v>
      </c>
      <c r="M77" s="42">
        <f t="shared" si="18"/>
        <v>270</v>
      </c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2">
        <f t="shared" si="16"/>
        <v>0</v>
      </c>
      <c r="Y77" s="42">
        <f t="shared" si="16"/>
        <v>0</v>
      </c>
      <c r="Z77" s="43"/>
      <c r="AA77" s="43"/>
      <c r="AB77" s="43"/>
      <c r="AC77" s="43"/>
      <c r="AD77" s="42">
        <f t="shared" si="19"/>
        <v>0</v>
      </c>
      <c r="AE77" s="42">
        <f t="shared" si="19"/>
        <v>0</v>
      </c>
      <c r="AF77" s="99">
        <f t="shared" si="20"/>
        <v>8</v>
      </c>
      <c r="AG77" s="99">
        <f t="shared" si="20"/>
        <v>270</v>
      </c>
      <c r="AH77" s="44">
        <f t="shared" si="4"/>
        <v>33.75</v>
      </c>
      <c r="AI77" s="43">
        <v>2</v>
      </c>
      <c r="AJ77" s="43">
        <v>60</v>
      </c>
      <c r="AK77" s="15"/>
      <c r="AL77" s="15"/>
    </row>
    <row r="78" spans="1:38" s="5" customFormat="1" ht="12" customHeight="1">
      <c r="A78" s="17" t="s">
        <v>28</v>
      </c>
      <c r="B78" s="64" t="e">
        <f>B69+B70+B71+B73+#REF!+B75+B77</f>
        <v>#REF!</v>
      </c>
      <c r="C78" s="64" t="e">
        <f>C69+C70+C71+C73+#REF!+C75+C77</f>
        <v>#REF!</v>
      </c>
      <c r="D78" s="18">
        <f>D69+D70+D71+D73+D75+D77</f>
        <v>11</v>
      </c>
      <c r="E78" s="18">
        <f aca="true" t="shared" si="21" ref="E78:AG78">E69+E70+E71+E73+E75+E77</f>
        <v>264</v>
      </c>
      <c r="F78" s="18">
        <f t="shared" si="21"/>
        <v>9</v>
      </c>
      <c r="G78" s="18">
        <f t="shared" si="21"/>
        <v>240</v>
      </c>
      <c r="H78" s="18">
        <f t="shared" si="21"/>
        <v>8</v>
      </c>
      <c r="I78" s="18">
        <f t="shared" si="21"/>
        <v>215</v>
      </c>
      <c r="J78" s="18">
        <f t="shared" si="21"/>
        <v>7</v>
      </c>
      <c r="K78" s="18">
        <f t="shared" si="21"/>
        <v>188</v>
      </c>
      <c r="L78" s="64">
        <f t="shared" si="21"/>
        <v>35</v>
      </c>
      <c r="M78" s="64">
        <f t="shared" si="21"/>
        <v>907</v>
      </c>
      <c r="N78" s="18">
        <f t="shared" si="21"/>
        <v>2</v>
      </c>
      <c r="O78" s="18">
        <f t="shared" si="21"/>
        <v>36</v>
      </c>
      <c r="P78" s="18">
        <f t="shared" si="21"/>
        <v>1</v>
      </c>
      <c r="Q78" s="18">
        <f t="shared" si="21"/>
        <v>26</v>
      </c>
      <c r="R78" s="18">
        <f t="shared" si="21"/>
        <v>2</v>
      </c>
      <c r="S78" s="18">
        <f t="shared" si="21"/>
        <v>35</v>
      </c>
      <c r="T78" s="18">
        <f t="shared" si="21"/>
        <v>1</v>
      </c>
      <c r="U78" s="18">
        <f t="shared" si="21"/>
        <v>20</v>
      </c>
      <c r="V78" s="18">
        <f t="shared" si="21"/>
        <v>2</v>
      </c>
      <c r="W78" s="18">
        <f t="shared" si="21"/>
        <v>39</v>
      </c>
      <c r="X78" s="64">
        <f t="shared" si="21"/>
        <v>8</v>
      </c>
      <c r="Y78" s="64">
        <f t="shared" si="21"/>
        <v>156</v>
      </c>
      <c r="Z78" s="18">
        <f t="shared" si="21"/>
        <v>1</v>
      </c>
      <c r="AA78" s="18">
        <f t="shared" si="21"/>
        <v>20</v>
      </c>
      <c r="AB78" s="18">
        <f t="shared" si="21"/>
        <v>1</v>
      </c>
      <c r="AC78" s="18">
        <f t="shared" si="21"/>
        <v>17</v>
      </c>
      <c r="AD78" s="64">
        <f t="shared" si="21"/>
        <v>2</v>
      </c>
      <c r="AE78" s="64">
        <f t="shared" si="21"/>
        <v>37</v>
      </c>
      <c r="AF78" s="18">
        <f t="shared" si="21"/>
        <v>45</v>
      </c>
      <c r="AG78" s="18">
        <f t="shared" si="21"/>
        <v>1100</v>
      </c>
      <c r="AH78" s="45">
        <f>AG78/AF78</f>
        <v>24.444444444444443</v>
      </c>
      <c r="AI78" s="18">
        <f>AI69+AI70+AI71+AI73+AI75+AI77</f>
        <v>10</v>
      </c>
      <c r="AJ78" s="18">
        <f>AJ69+AJ70+AJ71+AJ73+AJ75+AJ77</f>
        <v>254</v>
      </c>
      <c r="AK78" s="18">
        <f>AK69+AK70+AK71+AK73+AK75+AK77</f>
        <v>0</v>
      </c>
      <c r="AL78" s="18">
        <f>AL69+AL70+AL71+AL73+AL75+AL77</f>
        <v>0</v>
      </c>
    </row>
    <row r="79" spans="1:38" s="5" customFormat="1" ht="12" customHeight="1">
      <c r="A79" s="17" t="s">
        <v>29</v>
      </c>
      <c r="B79" s="64" t="e">
        <f>B68+B78</f>
        <v>#REF!</v>
      </c>
      <c r="C79" s="64" t="e">
        <f>C68+C78</f>
        <v>#REF!</v>
      </c>
      <c r="D79" s="18">
        <f>D68+D78</f>
        <v>109</v>
      </c>
      <c r="E79" s="18">
        <f aca="true" t="shared" si="22" ref="E79:AG79">E68+E78</f>
        <v>3032</v>
      </c>
      <c r="F79" s="18">
        <f t="shared" si="22"/>
        <v>107</v>
      </c>
      <c r="G79" s="18">
        <f t="shared" si="22"/>
        <v>3122</v>
      </c>
      <c r="H79" s="18">
        <f t="shared" si="22"/>
        <v>113</v>
      </c>
      <c r="I79" s="18">
        <f t="shared" si="22"/>
        <v>3247</v>
      </c>
      <c r="J79" s="18">
        <f t="shared" si="22"/>
        <v>107</v>
      </c>
      <c r="K79" s="18">
        <f t="shared" si="22"/>
        <v>3089</v>
      </c>
      <c r="L79" s="64">
        <f t="shared" si="22"/>
        <v>436</v>
      </c>
      <c r="M79" s="64">
        <f t="shared" si="22"/>
        <v>12490</v>
      </c>
      <c r="N79" s="18">
        <f t="shared" si="22"/>
        <v>100</v>
      </c>
      <c r="O79" s="18">
        <f t="shared" si="22"/>
        <v>2868</v>
      </c>
      <c r="P79" s="18">
        <f t="shared" si="22"/>
        <v>103</v>
      </c>
      <c r="Q79" s="18">
        <f t="shared" si="22"/>
        <v>2972</v>
      </c>
      <c r="R79" s="18">
        <f t="shared" si="22"/>
        <v>100</v>
      </c>
      <c r="S79" s="18">
        <f t="shared" si="22"/>
        <v>2841</v>
      </c>
      <c r="T79" s="18">
        <f t="shared" si="22"/>
        <v>95</v>
      </c>
      <c r="U79" s="18">
        <f t="shared" si="22"/>
        <v>2582</v>
      </c>
      <c r="V79" s="18">
        <f t="shared" si="22"/>
        <v>89</v>
      </c>
      <c r="W79" s="18">
        <f t="shared" si="22"/>
        <v>2415</v>
      </c>
      <c r="X79" s="64">
        <f t="shared" si="22"/>
        <v>487</v>
      </c>
      <c r="Y79" s="64">
        <f t="shared" si="22"/>
        <v>13678</v>
      </c>
      <c r="Z79" s="18">
        <f t="shared" si="22"/>
        <v>51</v>
      </c>
      <c r="AA79" s="18">
        <f t="shared" si="22"/>
        <v>1281</v>
      </c>
      <c r="AB79" s="18">
        <f t="shared" si="22"/>
        <v>47</v>
      </c>
      <c r="AC79" s="18">
        <f t="shared" si="22"/>
        <v>1212</v>
      </c>
      <c r="AD79" s="64">
        <f t="shared" si="22"/>
        <v>98</v>
      </c>
      <c r="AE79" s="64">
        <f t="shared" si="22"/>
        <v>2493</v>
      </c>
      <c r="AF79" s="18">
        <f t="shared" si="22"/>
        <v>1021</v>
      </c>
      <c r="AG79" s="18">
        <f t="shared" si="22"/>
        <v>28661</v>
      </c>
      <c r="AH79" s="45">
        <f t="shared" si="4"/>
        <v>28.071498530852107</v>
      </c>
      <c r="AI79" s="18">
        <f>AI68+AI78</f>
        <v>73</v>
      </c>
      <c r="AJ79" s="18">
        <f>AJ68+AJ78</f>
        <v>2200</v>
      </c>
      <c r="AK79" s="18">
        <f>AK68+AK78</f>
        <v>13</v>
      </c>
      <c r="AL79" s="18">
        <f>AL68+AL78</f>
        <v>481</v>
      </c>
    </row>
    <row r="80" spans="1:38" s="5" customFormat="1" ht="12" customHeight="1" hidden="1">
      <c r="A80" s="82"/>
      <c r="B80" s="82"/>
      <c r="C80" s="82"/>
      <c r="D80" s="82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45"/>
      <c r="AI80" s="87"/>
      <c r="AJ80" s="87"/>
      <c r="AK80" s="87"/>
      <c r="AL80" s="87"/>
    </row>
    <row r="81" spans="1:38" ht="16.5" customHeight="1" hidden="1">
      <c r="A81" s="52" t="s">
        <v>57</v>
      </c>
      <c r="B81" s="64">
        <f>'[2]до рішення '!$B$58</f>
        <v>3</v>
      </c>
      <c r="C81" s="64">
        <f>'[2]до рішення '!$C$58</f>
        <v>29</v>
      </c>
      <c r="D81" s="18">
        <f>'[2]до рішення '!$D$58</f>
        <v>109</v>
      </c>
      <c r="E81" s="18">
        <f>'[2]до рішення '!$D$58</f>
        <v>109</v>
      </c>
      <c r="F81" s="18">
        <f>'[2]до рішення '!$D$58</f>
        <v>109</v>
      </c>
      <c r="G81" s="18">
        <f>'[2]до рішення '!$D$58</f>
        <v>109</v>
      </c>
      <c r="H81" s="18">
        <f>'[2]до рішення '!$D$58</f>
        <v>109</v>
      </c>
      <c r="I81" s="18">
        <f>'[2]до рішення '!$D$58</f>
        <v>109</v>
      </c>
      <c r="J81" s="18">
        <f>'[2]до рішення '!$D$58</f>
        <v>109</v>
      </c>
      <c r="K81" s="18">
        <f>'[2]до рішення '!$D$58</f>
        <v>109</v>
      </c>
      <c r="L81" s="18">
        <f>'[2]до рішення '!$D$58</f>
        <v>109</v>
      </c>
      <c r="M81" s="18">
        <f>'[2]до рішення '!$D$58</f>
        <v>109</v>
      </c>
      <c r="N81" s="18">
        <f>'[2]до рішення '!$D$58</f>
        <v>109</v>
      </c>
      <c r="O81" s="18">
        <f>'[2]до рішення '!$D$58</f>
        <v>109</v>
      </c>
      <c r="P81" s="18">
        <f>'[2]до рішення '!$D$58</f>
        <v>109</v>
      </c>
      <c r="Q81" s="18">
        <f>'[2]до рішення '!$D$58</f>
        <v>109</v>
      </c>
      <c r="R81" s="18">
        <f>'[2]до рішення '!$D$58</f>
        <v>109</v>
      </c>
      <c r="S81" s="18">
        <f>'[2]до рішення '!$D$58</f>
        <v>109</v>
      </c>
      <c r="T81" s="18">
        <f>'[2]до рішення '!$D$58</f>
        <v>109</v>
      </c>
      <c r="U81" s="18">
        <f>'[2]до рішення '!$D$58</f>
        <v>109</v>
      </c>
      <c r="V81" s="18">
        <f>'[2]до рішення '!$D$58</f>
        <v>109</v>
      </c>
      <c r="W81" s="18">
        <f>'[2]до рішення '!$D$58</f>
        <v>109</v>
      </c>
      <c r="X81" s="18">
        <f>'[2]до рішення '!$D$58</f>
        <v>109</v>
      </c>
      <c r="Y81" s="18">
        <f>'[2]до рішення '!$D$58</f>
        <v>109</v>
      </c>
      <c r="Z81" s="18">
        <f>'[2]до рішення '!$D$58</f>
        <v>109</v>
      </c>
      <c r="AA81" s="18">
        <f>'[2]до рішення '!$D$58</f>
        <v>109</v>
      </c>
      <c r="AB81" s="18">
        <f>'[2]до рішення '!$D$58</f>
        <v>109</v>
      </c>
      <c r="AC81" s="18">
        <f>'[2]до рішення '!$D$58</f>
        <v>109</v>
      </c>
      <c r="AD81" s="18">
        <f>'[2]до рішення '!$D$58</f>
        <v>109</v>
      </c>
      <c r="AE81" s="18">
        <f>'[2]до рішення '!$D$58</f>
        <v>109</v>
      </c>
      <c r="AF81" s="18">
        <f>'[2]до рішення '!$D$58</f>
        <v>109</v>
      </c>
      <c r="AG81" s="18">
        <f>'[2]до рішення '!$D$58</f>
        <v>109</v>
      </c>
      <c r="AH81" s="53">
        <f>AG81/AF81</f>
        <v>1</v>
      </c>
      <c r="AI81" s="18">
        <f>'[2]до рішення '!$D$58</f>
        <v>109</v>
      </c>
      <c r="AJ81" s="18">
        <f>'[2]до рішення '!$D$58</f>
        <v>109</v>
      </c>
      <c r="AK81" s="18">
        <f>'[2]до рішення '!$D$58</f>
        <v>109</v>
      </c>
      <c r="AL81" s="18">
        <f>'[2]до рішення '!$D$58</f>
        <v>109</v>
      </c>
    </row>
    <row r="82" spans="1:38" s="5" customFormat="1" ht="12" customHeight="1" hidden="1">
      <c r="A82" s="18" t="s">
        <v>58</v>
      </c>
      <c r="B82" s="64" t="e">
        <f>B79-B81</f>
        <v>#REF!</v>
      </c>
      <c r="C82" s="64" t="e">
        <f>C79-C81</f>
        <v>#REF!</v>
      </c>
      <c r="D82" s="18">
        <f>D79-D81</f>
        <v>0</v>
      </c>
      <c r="E82" s="18">
        <f aca="true" t="shared" si="23" ref="E82:AG82">E79-E81</f>
        <v>2923</v>
      </c>
      <c r="F82" s="18">
        <f t="shared" si="23"/>
        <v>-2</v>
      </c>
      <c r="G82" s="18">
        <f t="shared" si="23"/>
        <v>3013</v>
      </c>
      <c r="H82" s="18">
        <f t="shared" si="23"/>
        <v>4</v>
      </c>
      <c r="I82" s="18">
        <f t="shared" si="23"/>
        <v>3138</v>
      </c>
      <c r="J82" s="18">
        <f t="shared" si="23"/>
        <v>-2</v>
      </c>
      <c r="K82" s="18">
        <f t="shared" si="23"/>
        <v>2980</v>
      </c>
      <c r="L82" s="18">
        <f t="shared" si="23"/>
        <v>327</v>
      </c>
      <c r="M82" s="18">
        <f t="shared" si="23"/>
        <v>12381</v>
      </c>
      <c r="N82" s="18">
        <f t="shared" si="23"/>
        <v>-9</v>
      </c>
      <c r="O82" s="18">
        <f t="shared" si="23"/>
        <v>2759</v>
      </c>
      <c r="P82" s="18">
        <f t="shared" si="23"/>
        <v>-6</v>
      </c>
      <c r="Q82" s="18">
        <f t="shared" si="23"/>
        <v>2863</v>
      </c>
      <c r="R82" s="18">
        <f t="shared" si="23"/>
        <v>-9</v>
      </c>
      <c r="S82" s="18">
        <f t="shared" si="23"/>
        <v>2732</v>
      </c>
      <c r="T82" s="18">
        <f t="shared" si="23"/>
        <v>-14</v>
      </c>
      <c r="U82" s="18">
        <f t="shared" si="23"/>
        <v>2473</v>
      </c>
      <c r="V82" s="18">
        <f t="shared" si="23"/>
        <v>-20</v>
      </c>
      <c r="W82" s="18">
        <f t="shared" si="23"/>
        <v>2306</v>
      </c>
      <c r="X82" s="18">
        <f t="shared" si="23"/>
        <v>378</v>
      </c>
      <c r="Y82" s="18">
        <f t="shared" si="23"/>
        <v>13569</v>
      </c>
      <c r="Z82" s="18">
        <f t="shared" si="23"/>
        <v>-58</v>
      </c>
      <c r="AA82" s="18">
        <f t="shared" si="23"/>
        <v>1172</v>
      </c>
      <c r="AB82" s="18">
        <f t="shared" si="23"/>
        <v>-62</v>
      </c>
      <c r="AC82" s="18">
        <f t="shared" si="23"/>
        <v>1103</v>
      </c>
      <c r="AD82" s="18">
        <f t="shared" si="23"/>
        <v>-11</v>
      </c>
      <c r="AE82" s="18">
        <f t="shared" si="23"/>
        <v>2384</v>
      </c>
      <c r="AF82" s="18">
        <f t="shared" si="23"/>
        <v>912</v>
      </c>
      <c r="AG82" s="18">
        <f t="shared" si="23"/>
        <v>28552</v>
      </c>
      <c r="AH82" s="18">
        <f>AH79-AH81</f>
        <v>27.071498530852107</v>
      </c>
      <c r="AI82" s="18">
        <f>AI79-AI81</f>
        <v>-36</v>
      </c>
      <c r="AJ82" s="18">
        <f>AJ79-AJ81</f>
        <v>2091</v>
      </c>
      <c r="AK82" s="18">
        <f>AK79-AK81</f>
        <v>-96</v>
      </c>
      <c r="AL82" s="18">
        <f>AL79-AL81</f>
        <v>372</v>
      </c>
    </row>
    <row r="83" spans="1:38" s="5" customFormat="1" ht="12" customHeight="1" hidden="1">
      <c r="A83" s="29"/>
      <c r="B83" s="29"/>
      <c r="C83" s="29"/>
      <c r="D83" s="29" t="e">
        <f>D61+D64+D66+D69+D70+D71+D73+#REF!+D75+D77</f>
        <v>#REF!</v>
      </c>
      <c r="E83" s="29" t="e">
        <f>E61+E64+E66+E69+E70+E71+E73+#REF!+E75+E77</f>
        <v>#REF!</v>
      </c>
      <c r="F83" s="29" t="e">
        <f>F61+F64+F66+F69+F70+F71+F73+#REF!+F75+F77</f>
        <v>#REF!</v>
      </c>
      <c r="G83" s="29" t="e">
        <f>G61+G64+G66+G69+G70+G71+G73+#REF!+G75+G77</f>
        <v>#REF!</v>
      </c>
      <c r="H83" s="29" t="e">
        <f>H61+H64+H66+H69+H70+H71+H73+#REF!+H75+H77</f>
        <v>#REF!</v>
      </c>
      <c r="I83" s="29" t="e">
        <f>I61+I64+I66+I69+I70+I71+I73+#REF!+I75+I77</f>
        <v>#REF!</v>
      </c>
      <c r="J83" s="29" t="e">
        <f>J61+J64+J66+J69+J70+J71+J73+#REF!+J75+J77</f>
        <v>#REF!</v>
      </c>
      <c r="K83" s="29" t="e">
        <f>K61+K64+K66+K69+K70+K71+K73+#REF!+K75+K77</f>
        <v>#REF!</v>
      </c>
      <c r="L83" s="29" t="e">
        <f>L61+L64+L66+L69+L70+L71+L73+#REF!+L75+L77</f>
        <v>#REF!</v>
      </c>
      <c r="M83" s="29" t="e">
        <f>M61+M64+M66+M69+M70+M71+M73+#REF!+M75+M77</f>
        <v>#REF!</v>
      </c>
      <c r="N83" s="29" t="e">
        <f>N61+N64+N66+N69+N70+N71+N73+#REF!+N75+N77</f>
        <v>#REF!</v>
      </c>
      <c r="O83" s="29" t="e">
        <f>O61+O64+O66+O69+O70+O71+O73+#REF!+O75+O77</f>
        <v>#REF!</v>
      </c>
      <c r="P83" s="29" t="e">
        <f>P61+P64+P66+P69+P70+P71+P73+#REF!+P75+P77</f>
        <v>#REF!</v>
      </c>
      <c r="Q83" s="29" t="e">
        <f>Q61+Q64+Q66+Q69+Q70+Q71+Q73+#REF!+Q75+Q77</f>
        <v>#REF!</v>
      </c>
      <c r="R83" s="29" t="e">
        <f>R61+R64+R66+R69+R70+R71+R73+#REF!+R75+R77</f>
        <v>#REF!</v>
      </c>
      <c r="S83" s="29" t="e">
        <f>S61+S64+S66+S69+S70+S71+S73+#REF!+S75+S77</f>
        <v>#REF!</v>
      </c>
      <c r="T83" s="29" t="e">
        <f>T61+T64+T66+T69+T70+T71+T73+#REF!+T75+T77</f>
        <v>#REF!</v>
      </c>
      <c r="U83" s="29" t="e">
        <f>U61+U64+U66+U69+U70+U71+U73+#REF!+U75+U77</f>
        <v>#REF!</v>
      </c>
      <c r="V83" s="29" t="e">
        <f>V61+V64+V66+V69+V70+V71+V73+#REF!+V75+V77</f>
        <v>#REF!</v>
      </c>
      <c r="W83" s="29" t="e">
        <f>W61+W64+W66+W69+W70+W71+W73+#REF!+W75+W77</f>
        <v>#REF!</v>
      </c>
      <c r="X83" s="29" t="e">
        <f>X61+X64+X66+X69+X70+X71+X73+#REF!+X75+X77</f>
        <v>#REF!</v>
      </c>
      <c r="Y83" s="29" t="e">
        <f>Y61+Y64+Y66+Y69+Y70+Y71+Y73+#REF!+Y75+Y77</f>
        <v>#REF!</v>
      </c>
      <c r="Z83" s="29" t="e">
        <f>Z61+Z64+Z66+Z69+Z70+Z71+Z73+#REF!+Z75+Z77</f>
        <v>#REF!</v>
      </c>
      <c r="AA83" s="29" t="e">
        <f>AA61+AA64+AA66+AA69+AA70+AA71+AA73+#REF!+AA75+AA77</f>
        <v>#REF!</v>
      </c>
      <c r="AB83" s="29" t="e">
        <f>AB61+AB64+AB66+AB69+AB70+AB71+AB73+#REF!+AB75+AB77</f>
        <v>#REF!</v>
      </c>
      <c r="AC83" s="29" t="e">
        <f>AC61+AC64+AC66+AC69+AC70+AC71+AC73+#REF!+AC75+AC77</f>
        <v>#REF!</v>
      </c>
      <c r="AD83" s="29" t="e">
        <f>AD61+AD64+AD66+AD69+AD70+AD71+AD73+#REF!+AD75+AD77</f>
        <v>#REF!</v>
      </c>
      <c r="AE83" s="29" t="e">
        <f>AE61+AE64+AE66+AE69+AE70+AE71+AE73+#REF!+AE75+AE77</f>
        <v>#REF!</v>
      </c>
      <c r="AF83" s="29" t="e">
        <f>AF61+AF64+AF66+AF69+AF70+AF71+AF73+#REF!+AF75+AF77</f>
        <v>#REF!</v>
      </c>
      <c r="AG83" s="29" t="e">
        <f>AG61+AG64+AG66+AG69+AG70+AG71+AG73+#REF!+AG75+AG77</f>
        <v>#REF!</v>
      </c>
      <c r="AH83" s="68"/>
      <c r="AI83" s="29" t="e">
        <f>AI61+AI64+AI66+AI69+AI70+AI71+AI73+#REF!+AI75+AI77</f>
        <v>#REF!</v>
      </c>
      <c r="AJ83" s="29" t="e">
        <f>AJ61+AJ64+AJ66+AJ69+AJ70+AJ71+AJ73+#REF!+AJ75+AJ77</f>
        <v>#REF!</v>
      </c>
      <c r="AK83" s="29" t="e">
        <f>AK61+AK64+AK66+AK69+AK70+AK71+AK73+#REF!+AK75+AK77</f>
        <v>#REF!</v>
      </c>
      <c r="AL83" s="29" t="e">
        <f>AL61+AL64+AL66+AL69+AL70+AL71+AL73+#REF!+AL75+AL77</f>
        <v>#REF!</v>
      </c>
    </row>
    <row r="84" spans="1:38" s="5" customFormat="1" ht="12" customHeight="1" hidden="1">
      <c r="A84" s="29" t="s">
        <v>73</v>
      </c>
      <c r="B84" s="29"/>
      <c r="C84" s="29"/>
      <c r="D84" s="29">
        <v>119</v>
      </c>
      <c r="E84" s="29">
        <v>119</v>
      </c>
      <c r="F84" s="29">
        <v>119</v>
      </c>
      <c r="G84" s="29">
        <v>119</v>
      </c>
      <c r="H84" s="29">
        <v>119</v>
      </c>
      <c r="I84" s="29">
        <v>119</v>
      </c>
      <c r="J84" s="29">
        <v>119</v>
      </c>
      <c r="K84" s="29">
        <v>119</v>
      </c>
      <c r="L84" s="29">
        <v>119</v>
      </c>
      <c r="M84" s="29">
        <v>119</v>
      </c>
      <c r="N84" s="29">
        <v>119</v>
      </c>
      <c r="O84" s="29">
        <v>119</v>
      </c>
      <c r="P84" s="29">
        <v>119</v>
      </c>
      <c r="Q84" s="29">
        <v>119</v>
      </c>
      <c r="R84" s="29">
        <v>119</v>
      </c>
      <c r="S84" s="29">
        <v>119</v>
      </c>
      <c r="T84" s="29">
        <v>119</v>
      </c>
      <c r="U84" s="29">
        <v>119</v>
      </c>
      <c r="V84" s="29">
        <v>119</v>
      </c>
      <c r="W84" s="29">
        <v>119</v>
      </c>
      <c r="X84" s="29">
        <v>119</v>
      </c>
      <c r="Y84" s="29">
        <v>119</v>
      </c>
      <c r="Z84" s="29">
        <v>119</v>
      </c>
      <c r="AA84" s="29">
        <v>119</v>
      </c>
      <c r="AB84" s="29">
        <v>119</v>
      </c>
      <c r="AC84" s="29">
        <v>119</v>
      </c>
      <c r="AD84" s="29">
        <v>119</v>
      </c>
      <c r="AE84" s="29">
        <v>119</v>
      </c>
      <c r="AF84" s="29">
        <v>119</v>
      </c>
      <c r="AG84" s="29">
        <v>119</v>
      </c>
      <c r="AH84" s="70"/>
      <c r="AI84" s="29">
        <v>119</v>
      </c>
      <c r="AJ84" s="29">
        <v>119</v>
      </c>
      <c r="AK84" s="29">
        <v>119</v>
      </c>
      <c r="AL84" s="29">
        <v>119</v>
      </c>
    </row>
    <row r="85" spans="1:38" s="5" customFormat="1" ht="12" customHeight="1" hidden="1">
      <c r="A85" s="29"/>
      <c r="B85" s="29"/>
      <c r="C85" s="29"/>
      <c r="D85" s="29" t="e">
        <f>D83-D84</f>
        <v>#REF!</v>
      </c>
      <c r="E85" s="29" t="e">
        <f aca="true" t="shared" si="24" ref="E85:AG85">E83-E84</f>
        <v>#REF!</v>
      </c>
      <c r="F85" s="29" t="e">
        <f t="shared" si="24"/>
        <v>#REF!</v>
      </c>
      <c r="G85" s="29" t="e">
        <f t="shared" si="24"/>
        <v>#REF!</v>
      </c>
      <c r="H85" s="29" t="e">
        <f t="shared" si="24"/>
        <v>#REF!</v>
      </c>
      <c r="I85" s="29" t="e">
        <f t="shared" si="24"/>
        <v>#REF!</v>
      </c>
      <c r="J85" s="29" t="e">
        <f t="shared" si="24"/>
        <v>#REF!</v>
      </c>
      <c r="K85" s="29" t="e">
        <f t="shared" si="24"/>
        <v>#REF!</v>
      </c>
      <c r="L85" s="29" t="e">
        <f t="shared" si="24"/>
        <v>#REF!</v>
      </c>
      <c r="M85" s="29" t="e">
        <f t="shared" si="24"/>
        <v>#REF!</v>
      </c>
      <c r="N85" s="29" t="e">
        <f t="shared" si="24"/>
        <v>#REF!</v>
      </c>
      <c r="O85" s="29" t="e">
        <f t="shared" si="24"/>
        <v>#REF!</v>
      </c>
      <c r="P85" s="29" t="e">
        <f t="shared" si="24"/>
        <v>#REF!</v>
      </c>
      <c r="Q85" s="29" t="e">
        <f t="shared" si="24"/>
        <v>#REF!</v>
      </c>
      <c r="R85" s="29" t="e">
        <f t="shared" si="24"/>
        <v>#REF!</v>
      </c>
      <c r="S85" s="29" t="e">
        <f t="shared" si="24"/>
        <v>#REF!</v>
      </c>
      <c r="T85" s="29" t="e">
        <f t="shared" si="24"/>
        <v>#REF!</v>
      </c>
      <c r="U85" s="29" t="e">
        <f t="shared" si="24"/>
        <v>#REF!</v>
      </c>
      <c r="V85" s="29" t="e">
        <f t="shared" si="24"/>
        <v>#REF!</v>
      </c>
      <c r="W85" s="29" t="e">
        <f t="shared" si="24"/>
        <v>#REF!</v>
      </c>
      <c r="X85" s="29" t="e">
        <f t="shared" si="24"/>
        <v>#REF!</v>
      </c>
      <c r="Y85" s="29" t="e">
        <f t="shared" si="24"/>
        <v>#REF!</v>
      </c>
      <c r="Z85" s="29" t="e">
        <f t="shared" si="24"/>
        <v>#REF!</v>
      </c>
      <c r="AA85" s="29" t="e">
        <f t="shared" si="24"/>
        <v>#REF!</v>
      </c>
      <c r="AB85" s="29" t="e">
        <f t="shared" si="24"/>
        <v>#REF!</v>
      </c>
      <c r="AC85" s="29" t="e">
        <f t="shared" si="24"/>
        <v>#REF!</v>
      </c>
      <c r="AD85" s="29" t="e">
        <f t="shared" si="24"/>
        <v>#REF!</v>
      </c>
      <c r="AE85" s="29" t="e">
        <f t="shared" si="24"/>
        <v>#REF!</v>
      </c>
      <c r="AF85" s="29" t="e">
        <f t="shared" si="24"/>
        <v>#REF!</v>
      </c>
      <c r="AG85" s="29" t="e">
        <f t="shared" si="24"/>
        <v>#REF!</v>
      </c>
      <c r="AH85" s="29">
        <f>AH83-AH84</f>
        <v>0</v>
      </c>
      <c r="AI85" s="29" t="e">
        <f>AI83-AI84</f>
        <v>#REF!</v>
      </c>
      <c r="AJ85" s="29" t="e">
        <f>AJ83-AJ84</f>
        <v>#REF!</v>
      </c>
      <c r="AK85" s="29" t="e">
        <f>AK83-AK84</f>
        <v>#REF!</v>
      </c>
      <c r="AL85" s="29" t="e">
        <f>AL83-AL84</f>
        <v>#REF!</v>
      </c>
    </row>
    <row r="86" spans="1:38" s="5" customFormat="1" ht="12" customHeight="1" hidden="1">
      <c r="A86" s="29" t="s">
        <v>74</v>
      </c>
      <c r="B86" s="29"/>
      <c r="C86" s="29"/>
      <c r="D86" s="29">
        <v>116</v>
      </c>
      <c r="E86" s="29">
        <v>116</v>
      </c>
      <c r="F86" s="29">
        <v>116</v>
      </c>
      <c r="G86" s="29">
        <v>116</v>
      </c>
      <c r="H86" s="29">
        <v>116</v>
      </c>
      <c r="I86" s="29">
        <v>116</v>
      </c>
      <c r="J86" s="29">
        <v>116</v>
      </c>
      <c r="K86" s="29">
        <v>116</v>
      </c>
      <c r="L86" s="29">
        <v>116</v>
      </c>
      <c r="M86" s="29">
        <v>116</v>
      </c>
      <c r="N86" s="29">
        <v>116</v>
      </c>
      <c r="O86" s="29">
        <v>116</v>
      </c>
      <c r="P86" s="29">
        <v>116</v>
      </c>
      <c r="Q86" s="29">
        <v>116</v>
      </c>
      <c r="R86" s="29">
        <v>116</v>
      </c>
      <c r="S86" s="29">
        <v>116</v>
      </c>
      <c r="T86" s="29">
        <v>116</v>
      </c>
      <c r="U86" s="29">
        <v>116</v>
      </c>
      <c r="V86" s="29">
        <v>116</v>
      </c>
      <c r="W86" s="29">
        <v>116</v>
      </c>
      <c r="X86" s="29">
        <v>116</v>
      </c>
      <c r="Y86" s="29">
        <v>116</v>
      </c>
      <c r="Z86" s="29">
        <v>116</v>
      </c>
      <c r="AA86" s="29">
        <v>116</v>
      </c>
      <c r="AB86" s="29">
        <v>116</v>
      </c>
      <c r="AC86" s="29">
        <v>116</v>
      </c>
      <c r="AD86" s="29">
        <v>116</v>
      </c>
      <c r="AE86" s="29">
        <v>116</v>
      </c>
      <c r="AF86" s="29">
        <v>116</v>
      </c>
      <c r="AG86" s="29">
        <v>116</v>
      </c>
      <c r="AH86" s="29"/>
      <c r="AI86" s="29">
        <v>116</v>
      </c>
      <c r="AJ86" s="29">
        <v>116</v>
      </c>
      <c r="AK86" s="29">
        <v>116</v>
      </c>
      <c r="AL86" s="29">
        <v>116</v>
      </c>
    </row>
    <row r="87" spans="1:38" s="5" customFormat="1" ht="12" customHeight="1" hidden="1">
      <c r="A87" s="29"/>
      <c r="B87" s="29"/>
      <c r="C87" s="29"/>
      <c r="D87" s="29">
        <f>D79-D86</f>
        <v>-7</v>
      </c>
      <c r="E87" s="29">
        <f aca="true" t="shared" si="25" ref="E87:AG87">E79-E86</f>
        <v>2916</v>
      </c>
      <c r="F87" s="29">
        <f t="shared" si="25"/>
        <v>-9</v>
      </c>
      <c r="G87" s="29">
        <f t="shared" si="25"/>
        <v>3006</v>
      </c>
      <c r="H87" s="29">
        <f t="shared" si="25"/>
        <v>-3</v>
      </c>
      <c r="I87" s="29">
        <f t="shared" si="25"/>
        <v>3131</v>
      </c>
      <c r="J87" s="29">
        <f t="shared" si="25"/>
        <v>-9</v>
      </c>
      <c r="K87" s="29">
        <f t="shared" si="25"/>
        <v>2973</v>
      </c>
      <c r="L87" s="29">
        <f t="shared" si="25"/>
        <v>320</v>
      </c>
      <c r="M87" s="29">
        <f t="shared" si="25"/>
        <v>12374</v>
      </c>
      <c r="N87" s="29">
        <f t="shared" si="25"/>
        <v>-16</v>
      </c>
      <c r="O87" s="29">
        <f t="shared" si="25"/>
        <v>2752</v>
      </c>
      <c r="P87" s="29">
        <f t="shared" si="25"/>
        <v>-13</v>
      </c>
      <c r="Q87" s="29">
        <f t="shared" si="25"/>
        <v>2856</v>
      </c>
      <c r="R87" s="29">
        <f t="shared" si="25"/>
        <v>-16</v>
      </c>
      <c r="S87" s="29">
        <f t="shared" si="25"/>
        <v>2725</v>
      </c>
      <c r="T87" s="29">
        <f t="shared" si="25"/>
        <v>-21</v>
      </c>
      <c r="U87" s="29">
        <f t="shared" si="25"/>
        <v>2466</v>
      </c>
      <c r="V87" s="29">
        <f t="shared" si="25"/>
        <v>-27</v>
      </c>
      <c r="W87" s="29">
        <f t="shared" si="25"/>
        <v>2299</v>
      </c>
      <c r="X87" s="29">
        <f t="shared" si="25"/>
        <v>371</v>
      </c>
      <c r="Y87" s="29">
        <f t="shared" si="25"/>
        <v>13562</v>
      </c>
      <c r="Z87" s="29">
        <f t="shared" si="25"/>
        <v>-65</v>
      </c>
      <c r="AA87" s="29">
        <f t="shared" si="25"/>
        <v>1165</v>
      </c>
      <c r="AB87" s="29">
        <f t="shared" si="25"/>
        <v>-69</v>
      </c>
      <c r="AC87" s="29">
        <f t="shared" si="25"/>
        <v>1096</v>
      </c>
      <c r="AD87" s="29">
        <f t="shared" si="25"/>
        <v>-18</v>
      </c>
      <c r="AE87" s="29">
        <f t="shared" si="25"/>
        <v>2377</v>
      </c>
      <c r="AF87" s="29">
        <f t="shared" si="25"/>
        <v>905</v>
      </c>
      <c r="AG87" s="29">
        <f t="shared" si="25"/>
        <v>28545</v>
      </c>
      <c r="AH87" s="29">
        <f>AH79-AH86</f>
        <v>28.071498530852107</v>
      </c>
      <c r="AI87" s="29">
        <f>AI79-AI86</f>
        <v>-43</v>
      </c>
      <c r="AJ87" s="29">
        <f>AJ79-AJ86</f>
        <v>2084</v>
      </c>
      <c r="AK87" s="29">
        <f>AK79-AK86</f>
        <v>-103</v>
      </c>
      <c r="AL87" s="29">
        <f>AL79-AL86</f>
        <v>365</v>
      </c>
    </row>
    <row r="88" spans="1:38" s="5" customFormat="1" ht="12" customHeight="1" hidden="1">
      <c r="A88" s="29"/>
      <c r="B88" s="29"/>
      <c r="C88" s="29"/>
      <c r="D88" s="29">
        <f aca="true" t="shared" si="26" ref="D88:AG88">D9+D11+D12+D14+D15+D17+D19+D21+D23+D25+D27+D28+D30+D31+D33+D35+D37+D39+D41+D43+D45+D47+D50+D52+D54+D56+D57+D59+D64+D66+D69+D70+D71+D73+D75+D77</f>
        <v>109</v>
      </c>
      <c r="E88" s="29">
        <f t="shared" si="26"/>
        <v>3032</v>
      </c>
      <c r="F88" s="29">
        <f t="shared" si="26"/>
        <v>107</v>
      </c>
      <c r="G88" s="29">
        <f t="shared" si="26"/>
        <v>3122</v>
      </c>
      <c r="H88" s="29">
        <f t="shared" si="26"/>
        <v>113</v>
      </c>
      <c r="I88" s="29">
        <f t="shared" si="26"/>
        <v>3247</v>
      </c>
      <c r="J88" s="29">
        <f t="shared" si="26"/>
        <v>107</v>
      </c>
      <c r="K88" s="29">
        <f t="shared" si="26"/>
        <v>3089</v>
      </c>
      <c r="L88" s="29">
        <f t="shared" si="26"/>
        <v>436</v>
      </c>
      <c r="M88" s="29">
        <f t="shared" si="26"/>
        <v>12490</v>
      </c>
      <c r="N88" s="29">
        <f t="shared" si="26"/>
        <v>100</v>
      </c>
      <c r="O88" s="29">
        <f t="shared" si="26"/>
        <v>2868</v>
      </c>
      <c r="P88" s="29">
        <f t="shared" si="26"/>
        <v>103</v>
      </c>
      <c r="Q88" s="29">
        <f t="shared" si="26"/>
        <v>2972</v>
      </c>
      <c r="R88" s="29">
        <f t="shared" si="26"/>
        <v>100</v>
      </c>
      <c r="S88" s="29">
        <f t="shared" si="26"/>
        <v>2841</v>
      </c>
      <c r="T88" s="29">
        <f t="shared" si="26"/>
        <v>95</v>
      </c>
      <c r="U88" s="29">
        <f t="shared" si="26"/>
        <v>2582</v>
      </c>
      <c r="V88" s="29">
        <f t="shared" si="26"/>
        <v>89</v>
      </c>
      <c r="W88" s="29">
        <f t="shared" si="26"/>
        <v>2415</v>
      </c>
      <c r="X88" s="29">
        <f t="shared" si="26"/>
        <v>487</v>
      </c>
      <c r="Y88" s="29">
        <f t="shared" si="26"/>
        <v>13678</v>
      </c>
      <c r="Z88" s="29">
        <f t="shared" si="26"/>
        <v>51</v>
      </c>
      <c r="AA88" s="29">
        <f t="shared" si="26"/>
        <v>1281</v>
      </c>
      <c r="AB88" s="29">
        <f t="shared" si="26"/>
        <v>47</v>
      </c>
      <c r="AC88" s="29">
        <f t="shared" si="26"/>
        <v>1212</v>
      </c>
      <c r="AD88" s="29">
        <f t="shared" si="26"/>
        <v>98</v>
      </c>
      <c r="AE88" s="29">
        <f t="shared" si="26"/>
        <v>2493</v>
      </c>
      <c r="AF88" s="29">
        <f t="shared" si="26"/>
        <v>1021</v>
      </c>
      <c r="AG88" s="29">
        <f t="shared" si="26"/>
        <v>28661</v>
      </c>
      <c r="AH88" s="29"/>
      <c r="AI88" s="29">
        <f>AI9+AI11+AI12+AI14+AI15+AI17+AI19+AI21+AI23+AI25+AI27+AI28+AI30+AI31+AI33+AI35+AI37+AI39+AI41+AI43+AI45+AI47+AI50+AI52+AI54+AI56+AI57+AI59+AI64+AI66+AI69+AI70+AI71+AI73+AI75+AI77</f>
        <v>73</v>
      </c>
      <c r="AJ88" s="29">
        <f>AJ9+AJ11+AJ12+AJ14+AJ15+AJ17+AJ19+AJ21+AJ23+AJ25+AJ27+AJ28+AJ30+AJ31+AJ33+AJ35+AJ37+AJ39+AJ41+AJ43+AJ45+AJ47+AJ50+AJ52+AJ54+AJ56+AJ57+AJ59+AJ64+AJ66+AJ69+AJ70+AJ71+AJ73+AJ75+AJ77</f>
        <v>2200</v>
      </c>
      <c r="AK88" s="29">
        <f>AK9+AK11+AK12+AK14+AK15+AK17+AK19+AK21+AK23+AK25+AK27+AK28+AK30+AK31+AK33+AK35+AK37+AK39+AK41+AK43+AK45+AK47+AK50+AK52+AK54+AK56+AK57+AK59+AK64+AK66+AK69+AK70+AK71+AK73+AK75+AK77</f>
        <v>13</v>
      </c>
      <c r="AL88" s="29">
        <f>AL9+AL11+AL12+AL14+AL15+AL17+AL19+AL21+AL23+AL25+AL27+AL28+AL30+AL31+AL33+AL35+AL37+AL39+AL41+AL43+AL45+AL47+AL50+AL52+AL54+AL56+AL57+AL59+AL64+AL66+AL69+AL70+AL71+AL73+AL75+AL77</f>
        <v>481</v>
      </c>
    </row>
    <row r="89" spans="1:38" s="5" customFormat="1" ht="12" customHeight="1" hidden="1">
      <c r="A89" s="29" t="s">
        <v>87</v>
      </c>
      <c r="B89" s="29"/>
      <c r="C89" s="29"/>
      <c r="D89" s="29">
        <v>109</v>
      </c>
      <c r="E89" s="29">
        <v>3150</v>
      </c>
      <c r="F89" s="29">
        <v>118</v>
      </c>
      <c r="G89" s="29">
        <v>3312</v>
      </c>
      <c r="H89" s="29">
        <v>109</v>
      </c>
      <c r="I89" s="29">
        <v>3126</v>
      </c>
      <c r="J89" s="29">
        <v>104</v>
      </c>
      <c r="K89" s="29">
        <v>2907</v>
      </c>
      <c r="L89" s="29">
        <v>440</v>
      </c>
      <c r="M89" s="29">
        <v>12495</v>
      </c>
      <c r="N89" s="29">
        <v>103</v>
      </c>
      <c r="O89" s="29">
        <v>2979</v>
      </c>
      <c r="P89" s="29">
        <v>99</v>
      </c>
      <c r="Q89" s="29">
        <v>2879</v>
      </c>
      <c r="R89" s="29">
        <v>97</v>
      </c>
      <c r="S89" s="29">
        <v>2620</v>
      </c>
      <c r="T89" s="29">
        <v>88</v>
      </c>
      <c r="U89" s="29">
        <v>2402</v>
      </c>
      <c r="V89" s="29">
        <v>83</v>
      </c>
      <c r="W89" s="29">
        <v>2157</v>
      </c>
      <c r="X89" s="29">
        <v>470</v>
      </c>
      <c r="Y89" s="29">
        <v>13037</v>
      </c>
      <c r="Z89" s="29">
        <v>47</v>
      </c>
      <c r="AA89" s="29">
        <v>1225</v>
      </c>
      <c r="AB89" s="29">
        <v>50</v>
      </c>
      <c r="AC89" s="29">
        <v>1272</v>
      </c>
      <c r="AD89" s="29">
        <v>97</v>
      </c>
      <c r="AE89" s="29">
        <v>2497</v>
      </c>
      <c r="AF89" s="29">
        <v>1007</v>
      </c>
      <c r="AG89" s="29">
        <v>28029</v>
      </c>
      <c r="AH89" s="29"/>
      <c r="AI89" s="29"/>
      <c r="AJ89" s="29"/>
      <c r="AK89" s="29"/>
      <c r="AL89" s="29"/>
    </row>
    <row r="90" spans="1:38" s="5" customFormat="1" ht="12" customHeight="1" hidden="1">
      <c r="A90" s="98" t="s">
        <v>89</v>
      </c>
      <c r="B90" s="98"/>
      <c r="C90" s="98"/>
      <c r="D90" s="98">
        <f>D88-D89</f>
        <v>0</v>
      </c>
      <c r="E90" s="98">
        <f aca="true" t="shared" si="27" ref="E90:AL90">E88-E89</f>
        <v>-118</v>
      </c>
      <c r="F90" s="98">
        <f t="shared" si="27"/>
        <v>-11</v>
      </c>
      <c r="G90" s="98">
        <f t="shared" si="27"/>
        <v>-190</v>
      </c>
      <c r="H90" s="98">
        <f t="shared" si="27"/>
        <v>4</v>
      </c>
      <c r="I90" s="98">
        <f t="shared" si="27"/>
        <v>121</v>
      </c>
      <c r="J90" s="98">
        <f t="shared" si="27"/>
        <v>3</v>
      </c>
      <c r="K90" s="98">
        <f t="shared" si="27"/>
        <v>182</v>
      </c>
      <c r="L90" s="98">
        <f t="shared" si="27"/>
        <v>-4</v>
      </c>
      <c r="M90" s="98">
        <f t="shared" si="27"/>
        <v>-5</v>
      </c>
      <c r="N90" s="98">
        <f t="shared" si="27"/>
        <v>-3</v>
      </c>
      <c r="O90" s="98">
        <f t="shared" si="27"/>
        <v>-111</v>
      </c>
      <c r="P90" s="98">
        <f t="shared" si="27"/>
        <v>4</v>
      </c>
      <c r="Q90" s="98">
        <f t="shared" si="27"/>
        <v>93</v>
      </c>
      <c r="R90" s="98">
        <f t="shared" si="27"/>
        <v>3</v>
      </c>
      <c r="S90" s="98">
        <f t="shared" si="27"/>
        <v>221</v>
      </c>
      <c r="T90" s="98">
        <f t="shared" si="27"/>
        <v>7</v>
      </c>
      <c r="U90" s="98">
        <f t="shared" si="27"/>
        <v>180</v>
      </c>
      <c r="V90" s="98">
        <f t="shared" si="27"/>
        <v>6</v>
      </c>
      <c r="W90" s="98">
        <f t="shared" si="27"/>
        <v>258</v>
      </c>
      <c r="X90" s="98">
        <f t="shared" si="27"/>
        <v>17</v>
      </c>
      <c r="Y90" s="98">
        <f t="shared" si="27"/>
        <v>641</v>
      </c>
      <c r="Z90" s="98">
        <f t="shared" si="27"/>
        <v>4</v>
      </c>
      <c r="AA90" s="98">
        <f t="shared" si="27"/>
        <v>56</v>
      </c>
      <c r="AB90" s="98">
        <f t="shared" si="27"/>
        <v>-3</v>
      </c>
      <c r="AC90" s="98">
        <f t="shared" si="27"/>
        <v>-60</v>
      </c>
      <c r="AD90" s="98">
        <f t="shared" si="27"/>
        <v>1</v>
      </c>
      <c r="AE90" s="98">
        <f t="shared" si="27"/>
        <v>-4</v>
      </c>
      <c r="AF90" s="98">
        <f t="shared" si="27"/>
        <v>14</v>
      </c>
      <c r="AG90" s="98">
        <f t="shared" si="27"/>
        <v>632</v>
      </c>
      <c r="AH90" s="98">
        <f t="shared" si="27"/>
        <v>0</v>
      </c>
      <c r="AI90" s="98">
        <f t="shared" si="27"/>
        <v>73</v>
      </c>
      <c r="AJ90" s="98">
        <f t="shared" si="27"/>
        <v>2200</v>
      </c>
      <c r="AK90" s="98">
        <f t="shared" si="27"/>
        <v>13</v>
      </c>
      <c r="AL90" s="98">
        <f t="shared" si="27"/>
        <v>481</v>
      </c>
    </row>
    <row r="91" spans="1:38" s="5" customFormat="1" ht="12" customHeight="1" hidden="1">
      <c r="A91" s="29" t="s">
        <v>88</v>
      </c>
      <c r="B91" s="29"/>
      <c r="C91" s="29"/>
      <c r="D91" s="29">
        <v>111</v>
      </c>
      <c r="E91" s="29">
        <v>3157</v>
      </c>
      <c r="F91" s="29">
        <v>109</v>
      </c>
      <c r="G91" s="29">
        <v>3150</v>
      </c>
      <c r="H91" s="29">
        <v>117</v>
      </c>
      <c r="I91" s="29">
        <v>3312</v>
      </c>
      <c r="J91" s="29">
        <v>109</v>
      </c>
      <c r="K91" s="29">
        <v>3126</v>
      </c>
      <c r="L91" s="29">
        <v>446</v>
      </c>
      <c r="M91" s="29">
        <v>12745</v>
      </c>
      <c r="N91" s="29">
        <v>97</v>
      </c>
      <c r="O91" s="29">
        <v>2766</v>
      </c>
      <c r="P91" s="29">
        <v>103</v>
      </c>
      <c r="Q91" s="29">
        <v>2979</v>
      </c>
      <c r="R91" s="29">
        <v>99</v>
      </c>
      <c r="S91" s="29">
        <v>2879</v>
      </c>
      <c r="T91" s="29">
        <v>97</v>
      </c>
      <c r="U91" s="29">
        <v>2620</v>
      </c>
      <c r="V91" s="29">
        <v>88</v>
      </c>
      <c r="W91" s="29">
        <v>2402</v>
      </c>
      <c r="X91" s="29">
        <v>484</v>
      </c>
      <c r="Y91" s="29">
        <v>13646</v>
      </c>
      <c r="Z91" s="29">
        <v>50</v>
      </c>
      <c r="AA91" s="29">
        <v>1390</v>
      </c>
      <c r="AB91" s="29">
        <v>47</v>
      </c>
      <c r="AC91" s="29">
        <v>1225</v>
      </c>
      <c r="AD91" s="29">
        <v>100</v>
      </c>
      <c r="AE91" s="29">
        <v>2669</v>
      </c>
      <c r="AF91" s="29">
        <v>1030</v>
      </c>
      <c r="AG91" s="29">
        <v>29060</v>
      </c>
      <c r="AH91" s="29"/>
      <c r="AI91" s="29"/>
      <c r="AJ91" s="29"/>
      <c r="AK91" s="29"/>
      <c r="AL91" s="29"/>
    </row>
    <row r="92" spans="1:38" s="81" customFormat="1" ht="12" customHeight="1" hidden="1">
      <c r="A92" s="29" t="s">
        <v>89</v>
      </c>
      <c r="B92" s="80"/>
      <c r="C92" s="80"/>
      <c r="D92" s="29">
        <f>D79-D91</f>
        <v>-2</v>
      </c>
      <c r="E92" s="29">
        <f aca="true" t="shared" si="28" ref="E92:AL92">E79-E91</f>
        <v>-125</v>
      </c>
      <c r="F92" s="29">
        <f t="shared" si="28"/>
        <v>-2</v>
      </c>
      <c r="G92" s="29">
        <f t="shared" si="28"/>
        <v>-28</v>
      </c>
      <c r="H92" s="29">
        <f t="shared" si="28"/>
        <v>-4</v>
      </c>
      <c r="I92" s="29">
        <f t="shared" si="28"/>
        <v>-65</v>
      </c>
      <c r="J92" s="29">
        <f t="shared" si="28"/>
        <v>-2</v>
      </c>
      <c r="K92" s="29">
        <f t="shared" si="28"/>
        <v>-37</v>
      </c>
      <c r="L92" s="29">
        <f t="shared" si="28"/>
        <v>-10</v>
      </c>
      <c r="M92" s="29">
        <f t="shared" si="28"/>
        <v>-255</v>
      </c>
      <c r="N92" s="29">
        <f t="shared" si="28"/>
        <v>3</v>
      </c>
      <c r="O92" s="29">
        <f t="shared" si="28"/>
        <v>102</v>
      </c>
      <c r="P92" s="29">
        <f t="shared" si="28"/>
        <v>0</v>
      </c>
      <c r="Q92" s="29">
        <f t="shared" si="28"/>
        <v>-7</v>
      </c>
      <c r="R92" s="29">
        <f t="shared" si="28"/>
        <v>1</v>
      </c>
      <c r="S92" s="29">
        <f t="shared" si="28"/>
        <v>-38</v>
      </c>
      <c r="T92" s="29">
        <f t="shared" si="28"/>
        <v>-2</v>
      </c>
      <c r="U92" s="29">
        <f t="shared" si="28"/>
        <v>-38</v>
      </c>
      <c r="V92" s="29">
        <f t="shared" si="28"/>
        <v>1</v>
      </c>
      <c r="W92" s="29">
        <f t="shared" si="28"/>
        <v>13</v>
      </c>
      <c r="X92" s="29">
        <f t="shared" si="28"/>
        <v>3</v>
      </c>
      <c r="Y92" s="29">
        <f t="shared" si="28"/>
        <v>32</v>
      </c>
      <c r="Z92" s="29">
        <f t="shared" si="28"/>
        <v>1</v>
      </c>
      <c r="AA92" s="29">
        <f t="shared" si="28"/>
        <v>-109</v>
      </c>
      <c r="AB92" s="29">
        <f t="shared" si="28"/>
        <v>0</v>
      </c>
      <c r="AC92" s="29">
        <f t="shared" si="28"/>
        <v>-13</v>
      </c>
      <c r="AD92" s="29">
        <f t="shared" si="28"/>
        <v>-2</v>
      </c>
      <c r="AE92" s="29">
        <f t="shared" si="28"/>
        <v>-176</v>
      </c>
      <c r="AF92" s="29">
        <f t="shared" si="28"/>
        <v>-9</v>
      </c>
      <c r="AG92" s="29">
        <f t="shared" si="28"/>
        <v>-399</v>
      </c>
      <c r="AH92" s="29">
        <f t="shared" si="28"/>
        <v>28.071498530852107</v>
      </c>
      <c r="AI92" s="29">
        <f t="shared" si="28"/>
        <v>73</v>
      </c>
      <c r="AJ92" s="29">
        <f t="shared" si="28"/>
        <v>2200</v>
      </c>
      <c r="AK92" s="29">
        <f t="shared" si="28"/>
        <v>13</v>
      </c>
      <c r="AL92" s="29">
        <f t="shared" si="28"/>
        <v>481</v>
      </c>
    </row>
    <row r="93" spans="1:36" s="5" customFormat="1" ht="12" customHeight="1" hidden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>
        <f>AF10+AF13+AF16+AF18+AF20+AF22+AF24+AF26+AF29+AF32+AF34+AF36+AF38+AF42+AF44+AF46+AF51+AF53+AF55+AF58+AF65+AF72+AF76</f>
        <v>75</v>
      </c>
      <c r="AG93" s="29">
        <f>AG10+AG13+AG16+AG18+AG20+AG22+AG24+AG26+AG29+AG32+AG34+AG36+AG38+AG42+AG44+AG46+AG51+AG53+AG55+AG58+AG65+AG72+AG76</f>
        <v>157</v>
      </c>
      <c r="AH93" s="29"/>
      <c r="AI93" s="29"/>
      <c r="AJ93" s="29"/>
    </row>
    <row r="94" spans="1:36" s="5" customFormat="1" ht="12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80"/>
      <c r="AG94" s="80"/>
      <c r="AH94" s="29"/>
      <c r="AI94" s="29"/>
      <c r="AJ94" s="29"/>
    </row>
    <row r="95" spans="1:36" s="5" customFormat="1" ht="24" customHeight="1">
      <c r="A95" s="28"/>
      <c r="B95" s="28"/>
      <c r="C95" s="28"/>
      <c r="D95" s="120" t="s">
        <v>91</v>
      </c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20" t="s">
        <v>92</v>
      </c>
      <c r="AA95" s="120"/>
      <c r="AB95" s="120"/>
      <c r="AC95" s="120"/>
      <c r="AD95" s="120"/>
      <c r="AE95" s="120"/>
      <c r="AF95" s="28"/>
      <c r="AG95" s="20"/>
      <c r="AH95" s="20"/>
      <c r="AI95" s="20"/>
      <c r="AJ95" s="16"/>
    </row>
    <row r="96" spans="1:36" s="5" customFormat="1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16"/>
      <c r="AH96" s="16"/>
      <c r="AI96" s="16"/>
      <c r="AJ96" s="16"/>
    </row>
    <row r="97" spans="1:36" s="5" customFormat="1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16"/>
      <c r="AH97" s="16"/>
      <c r="AI97" s="16"/>
      <c r="AJ97" s="16"/>
    </row>
    <row r="98" spans="1:36" s="5" customFormat="1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16"/>
      <c r="AH98" s="16"/>
      <c r="AI98" s="16"/>
      <c r="AJ98" s="16"/>
    </row>
    <row r="99" spans="1:36" s="5" customFormat="1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16"/>
      <c r="AH99" s="16"/>
      <c r="AI99" s="16"/>
      <c r="AJ99" s="16"/>
    </row>
    <row r="100" spans="1:36" s="5" customFormat="1" ht="12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1:36" s="5" customFormat="1" ht="12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</row>
    <row r="102" spans="1:36" s="5" customFormat="1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</row>
    <row r="103" spans="1:36" s="5" customFormat="1" ht="12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</row>
    <row r="104" spans="1:36" s="5" customFormat="1" ht="12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05" spans="1:36" s="5" customFormat="1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</row>
    <row r="106" spans="1:36" s="5" customFormat="1" ht="11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</row>
    <row r="107" spans="1:36" s="5" customFormat="1" ht="10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2">
      <c r="AH108" s="1"/>
    </row>
  </sheetData>
  <sheetProtection/>
  <mergeCells count="45">
    <mergeCell ref="D95:O95"/>
    <mergeCell ref="A7:A8"/>
    <mergeCell ref="N7:O7"/>
    <mergeCell ref="D7:E7"/>
    <mergeCell ref="F7:G7"/>
    <mergeCell ref="H7:I7"/>
    <mergeCell ref="J7:K7"/>
    <mergeCell ref="L7:M7"/>
    <mergeCell ref="A48:A49"/>
    <mergeCell ref="B48:C48"/>
    <mergeCell ref="AD1:AJ1"/>
    <mergeCell ref="AD2:AJ2"/>
    <mergeCell ref="AD3:AJ3"/>
    <mergeCell ref="AF7:AG7"/>
    <mergeCell ref="AH7:AH8"/>
    <mergeCell ref="AD7:AE7"/>
    <mergeCell ref="AI7:AJ7"/>
    <mergeCell ref="A5:AJ5"/>
    <mergeCell ref="X7:Y7"/>
    <mergeCell ref="AK7:AL7"/>
    <mergeCell ref="B7:C7"/>
    <mergeCell ref="Z95:AE95"/>
    <mergeCell ref="R7:S7"/>
    <mergeCell ref="T7:U7"/>
    <mergeCell ref="V7:W7"/>
    <mergeCell ref="Z7:AA7"/>
    <mergeCell ref="AB7:AC7"/>
    <mergeCell ref="P7:Q7"/>
    <mergeCell ref="AF48:AG48"/>
    <mergeCell ref="D48:E48"/>
    <mergeCell ref="F48:G48"/>
    <mergeCell ref="H48:I48"/>
    <mergeCell ref="J48:K48"/>
    <mergeCell ref="L48:M48"/>
    <mergeCell ref="N48:O48"/>
    <mergeCell ref="AH48:AH49"/>
    <mergeCell ref="P48:Q48"/>
    <mergeCell ref="R48:S48"/>
    <mergeCell ref="T48:U48"/>
    <mergeCell ref="V48:W48"/>
    <mergeCell ref="AI48:AJ48"/>
    <mergeCell ref="X48:Y48"/>
    <mergeCell ref="Z48:AA48"/>
    <mergeCell ref="AB48:AC48"/>
    <mergeCell ref="AD48:AE48"/>
  </mergeCells>
  <printOptions/>
  <pageMargins left="0.3937007874015748" right="0.3937007874015748" top="1.1811023622047245" bottom="0.3937007874015748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zoomScale="86" zoomScaleNormal="86" zoomScalePageLayoutView="0" workbookViewId="0" topLeftCell="A1">
      <selection activeCell="A13" sqref="A13:K13"/>
    </sheetView>
  </sheetViews>
  <sheetFormatPr defaultColWidth="9.00390625" defaultRowHeight="12.75"/>
  <cols>
    <col min="1" max="1" width="43.00390625" style="0" customWidth="1"/>
    <col min="2" max="11" width="9.125" style="0" customWidth="1"/>
    <col min="13" max="13" width="10.00390625" style="0" customWidth="1"/>
  </cols>
  <sheetData>
    <row r="1" spans="1:13" ht="12.75">
      <c r="A1" s="16"/>
      <c r="B1" s="16"/>
      <c r="C1" s="16"/>
      <c r="D1" s="16"/>
      <c r="E1" s="16"/>
      <c r="F1" s="16"/>
      <c r="G1" s="16"/>
      <c r="H1" s="122" t="s">
        <v>52</v>
      </c>
      <c r="I1" s="122"/>
      <c r="J1" s="122"/>
      <c r="K1" s="122"/>
      <c r="L1" s="122"/>
      <c r="M1" s="122"/>
    </row>
    <row r="2" spans="1:13" ht="12.75" customHeight="1">
      <c r="A2" s="16"/>
      <c r="B2" s="16"/>
      <c r="C2" s="16"/>
      <c r="D2" s="16"/>
      <c r="E2" s="16"/>
      <c r="F2" s="16"/>
      <c r="G2" s="16"/>
      <c r="H2" s="122" t="s">
        <v>55</v>
      </c>
      <c r="I2" s="122"/>
      <c r="J2" s="122"/>
      <c r="K2" s="122"/>
      <c r="L2" s="122"/>
      <c r="M2" s="122"/>
    </row>
    <row r="3" spans="1:13" ht="12.75" customHeight="1">
      <c r="A3" s="16"/>
      <c r="B3" s="16"/>
      <c r="C3" s="16"/>
      <c r="D3" s="16"/>
      <c r="E3" s="16"/>
      <c r="F3" s="16"/>
      <c r="G3" s="16"/>
      <c r="H3" s="122" t="s">
        <v>37</v>
      </c>
      <c r="I3" s="122"/>
      <c r="J3" s="122"/>
      <c r="K3" s="122"/>
      <c r="L3" s="122"/>
      <c r="M3" s="122"/>
    </row>
    <row r="4" spans="1:13" ht="12.75">
      <c r="A4" s="16"/>
      <c r="B4" s="16"/>
      <c r="C4" s="16"/>
      <c r="D4" s="16"/>
      <c r="E4" s="16"/>
      <c r="F4" s="16"/>
      <c r="G4" s="16"/>
      <c r="H4" s="49"/>
      <c r="I4" s="49"/>
      <c r="J4" s="49"/>
      <c r="K4" s="49"/>
      <c r="L4" s="49"/>
      <c r="M4" s="49"/>
    </row>
    <row r="5" spans="1:13" ht="46.5" customHeight="1">
      <c r="A5" s="136" t="s">
        <v>80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30" customHeight="1">
      <c r="A7" s="132" t="s">
        <v>51</v>
      </c>
      <c r="B7" s="133" t="s">
        <v>4</v>
      </c>
      <c r="C7" s="133"/>
      <c r="D7" s="133" t="s">
        <v>5</v>
      </c>
      <c r="E7" s="133"/>
      <c r="F7" s="133" t="s">
        <v>6</v>
      </c>
      <c r="G7" s="133"/>
      <c r="H7" s="133" t="s">
        <v>32</v>
      </c>
      <c r="I7" s="133"/>
      <c r="J7" s="134" t="s">
        <v>90</v>
      </c>
      <c r="K7" s="135"/>
      <c r="L7" s="133" t="s">
        <v>48</v>
      </c>
      <c r="M7" s="133"/>
    </row>
    <row r="8" spans="1:13" ht="78.75" customHeight="1">
      <c r="A8" s="132"/>
      <c r="B8" s="25" t="s">
        <v>77</v>
      </c>
      <c r="C8" s="25" t="s">
        <v>9</v>
      </c>
      <c r="D8" s="25" t="s">
        <v>8</v>
      </c>
      <c r="E8" s="25" t="s">
        <v>9</v>
      </c>
      <c r="F8" s="25" t="s">
        <v>8</v>
      </c>
      <c r="G8" s="25" t="s">
        <v>9</v>
      </c>
      <c r="H8" s="25" t="s">
        <v>8</v>
      </c>
      <c r="I8" s="25" t="s">
        <v>9</v>
      </c>
      <c r="J8" s="25" t="s">
        <v>77</v>
      </c>
      <c r="K8" s="25" t="s">
        <v>9</v>
      </c>
      <c r="L8" s="25" t="s">
        <v>78</v>
      </c>
      <c r="M8" s="25" t="s">
        <v>9</v>
      </c>
    </row>
    <row r="9" spans="1:13" s="10" customFormat="1" ht="67.5" customHeight="1">
      <c r="A9" s="86" t="s">
        <v>86</v>
      </c>
      <c r="B9" s="26">
        <v>1</v>
      </c>
      <c r="C9" s="26">
        <v>3</v>
      </c>
      <c r="D9" s="85" t="s">
        <v>81</v>
      </c>
      <c r="E9" s="26">
        <v>16</v>
      </c>
      <c r="F9" s="26">
        <v>1</v>
      </c>
      <c r="G9" s="26">
        <v>18</v>
      </c>
      <c r="H9" s="26">
        <v>1</v>
      </c>
      <c r="I9" s="26">
        <v>15</v>
      </c>
      <c r="J9" s="26">
        <v>1</v>
      </c>
      <c r="K9" s="26">
        <v>14</v>
      </c>
      <c r="L9" s="85" t="s">
        <v>79</v>
      </c>
      <c r="M9" s="26">
        <f>C9+E9+G9+I9+K9</f>
        <v>66</v>
      </c>
    </row>
    <row r="10" spans="1:13" ht="12.75" hidden="1">
      <c r="A10" s="16"/>
      <c r="B10" s="51">
        <f>'[1]вечірня'!$D$9</f>
        <v>1</v>
      </c>
      <c r="C10" s="51">
        <f>'[1]вечірня'!$E$9</f>
        <v>7</v>
      </c>
      <c r="D10" s="51">
        <f>'[1]вечірня'!$F$9</f>
        <v>2</v>
      </c>
      <c r="E10" s="51">
        <f>'[1]вечірня'!$G$9</f>
        <v>24</v>
      </c>
      <c r="F10" s="51">
        <f>'[1]вечірня'!$H$9</f>
        <v>1</v>
      </c>
      <c r="G10" s="51">
        <f>'[1]вечірня'!$I$9</f>
        <v>19</v>
      </c>
      <c r="H10" s="51">
        <f>'[1]вечірня'!$J$9</f>
        <v>1</v>
      </c>
      <c r="I10" s="51">
        <f>'[1]вечірня'!$K$9</f>
        <v>15</v>
      </c>
      <c r="J10" s="51"/>
      <c r="K10" s="51"/>
      <c r="L10" s="51">
        <f>'[1]вечірня'!$L$9</f>
        <v>5</v>
      </c>
      <c r="M10" s="51">
        <f>'[1]вечірня'!$M$9</f>
        <v>65</v>
      </c>
    </row>
    <row r="11" spans="1:13" ht="12.75" hidden="1">
      <c r="A11" s="16"/>
      <c r="B11" s="51">
        <f>B9-B10</f>
        <v>0</v>
      </c>
      <c r="C11" s="51">
        <f aca="true" t="shared" si="0" ref="C11:M11">C9-C10</f>
        <v>-4</v>
      </c>
      <c r="D11" s="51">
        <f t="shared" si="0"/>
        <v>-1</v>
      </c>
      <c r="E11" s="51">
        <f t="shared" si="0"/>
        <v>-8</v>
      </c>
      <c r="F11" s="51">
        <f t="shared" si="0"/>
        <v>0</v>
      </c>
      <c r="G11" s="51">
        <f t="shared" si="0"/>
        <v>-1</v>
      </c>
      <c r="H11" s="51">
        <f t="shared" si="0"/>
        <v>0</v>
      </c>
      <c r="I11" s="51">
        <f t="shared" si="0"/>
        <v>0</v>
      </c>
      <c r="J11" s="51"/>
      <c r="K11" s="51"/>
      <c r="L11" s="51">
        <f t="shared" si="0"/>
        <v>43887</v>
      </c>
      <c r="M11" s="51">
        <f t="shared" si="0"/>
        <v>1</v>
      </c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28" ht="21.75" customHeight="1">
      <c r="A13" s="120" t="s">
        <v>91</v>
      </c>
      <c r="B13" s="120"/>
      <c r="C13" s="120"/>
      <c r="D13" s="120"/>
      <c r="E13" s="21"/>
      <c r="F13" s="21"/>
      <c r="G13" s="21"/>
      <c r="H13" s="21"/>
      <c r="I13" s="120" t="s">
        <v>92</v>
      </c>
      <c r="J13" s="120"/>
      <c r="K13" s="120"/>
      <c r="L13" s="21"/>
      <c r="M13" s="28"/>
      <c r="N13" s="28"/>
      <c r="O13" s="28"/>
      <c r="P13" s="28"/>
      <c r="Q13" s="28"/>
      <c r="R13" s="28"/>
      <c r="S13" s="28"/>
      <c r="T13" s="28"/>
      <c r="U13" s="28"/>
      <c r="V13" s="28"/>
      <c r="X13" s="21"/>
      <c r="Y13" s="21"/>
      <c r="Z13" s="21"/>
      <c r="AA13" s="21"/>
      <c r="AB13" s="21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</sheetData>
  <sheetProtection/>
  <mergeCells count="13">
    <mergeCell ref="H1:M1"/>
    <mergeCell ref="A5:M5"/>
    <mergeCell ref="H7:I7"/>
    <mergeCell ref="H2:M2"/>
    <mergeCell ref="H3:M3"/>
    <mergeCell ref="L7:M7"/>
    <mergeCell ref="I13:K13"/>
    <mergeCell ref="A13:D13"/>
    <mergeCell ref="A7:A8"/>
    <mergeCell ref="B7:C7"/>
    <mergeCell ref="D7:E7"/>
    <mergeCell ref="F7:G7"/>
    <mergeCell ref="J7:K7"/>
  </mergeCells>
  <printOptions/>
  <pageMargins left="0.3937007874015748" right="0.3937007874015748" top="1.1811023622047245" bottom="0.984251968503937" header="0.1968503937007874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"/>
  <sheetViews>
    <sheetView tabSelected="1" zoomScalePageLayoutView="0" workbookViewId="0" topLeftCell="A1">
      <selection activeCell="A13" sqref="A13:AD13"/>
    </sheetView>
  </sheetViews>
  <sheetFormatPr defaultColWidth="9.00390625" defaultRowHeight="12.75"/>
  <cols>
    <col min="1" max="1" width="10.375" style="6" customWidth="1"/>
    <col min="2" max="2" width="4.00390625" style="6" hidden="1" customWidth="1"/>
    <col min="3" max="3" width="4.75390625" style="6" hidden="1" customWidth="1"/>
    <col min="4" max="4" width="4.875" style="6" hidden="1" customWidth="1"/>
    <col min="5" max="5" width="4.625" style="6" hidden="1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8" customWidth="1"/>
    <col min="23" max="23" width="4.75390625" style="8" customWidth="1"/>
    <col min="24" max="25" width="4.375" style="8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3" width="4.25390625" style="1" customWidth="1"/>
    <col min="44" max="44" width="4.625" style="1" customWidth="1"/>
    <col min="45" max="45" width="4.375" style="1" customWidth="1"/>
    <col min="46" max="47" width="4.375" style="1" hidden="1" customWidth="1"/>
    <col min="48" max="48" width="4.375" style="1" customWidth="1"/>
    <col min="49" max="49" width="4.75390625" style="1" customWidth="1"/>
    <col min="50" max="51" width="5.25390625" style="1" hidden="1" customWidth="1"/>
    <col min="52" max="53" width="3.75390625" style="1" customWidth="1"/>
    <col min="54" max="54" width="4.375" style="1" hidden="1" customWidth="1"/>
    <col min="55" max="55" width="4.25390625" style="1" hidden="1" customWidth="1"/>
    <col min="56" max="57" width="3.375" style="1" customWidth="1"/>
    <col min="58" max="58" width="4.875" style="1" hidden="1" customWidth="1"/>
    <col min="59" max="59" width="4.25390625" style="1" hidden="1" customWidth="1"/>
    <col min="60" max="60" width="4.875" style="1" customWidth="1"/>
    <col min="61" max="61" width="3.375" style="1" customWidth="1"/>
    <col min="62" max="62" width="4.875" style="1" hidden="1" customWidth="1"/>
    <col min="63" max="63" width="3.875" style="1" hidden="1" customWidth="1"/>
    <col min="64" max="65" width="3.75390625" style="1" customWidth="1"/>
    <col min="66" max="66" width="4.375" style="1" hidden="1" customWidth="1"/>
    <col min="67" max="67" width="4.75390625" style="1" hidden="1" customWidth="1"/>
    <col min="68" max="68" width="5.625" style="9" customWidth="1"/>
    <col min="69" max="69" width="3.25390625" style="1" customWidth="1"/>
    <col min="70" max="70" width="4.75390625" style="1" customWidth="1"/>
    <col min="71" max="16384" width="9.125" style="1" customWidth="1"/>
  </cols>
  <sheetData>
    <row r="1" spans="1:70" s="5" customFormat="1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30"/>
      <c r="BG1" s="30"/>
      <c r="BH1" s="121" t="s">
        <v>50</v>
      </c>
      <c r="BI1" s="121"/>
      <c r="BJ1" s="121"/>
      <c r="BK1" s="121"/>
      <c r="BL1" s="121"/>
      <c r="BM1" s="121"/>
      <c r="BN1" s="121"/>
      <c r="BO1" s="121"/>
      <c r="BP1" s="121"/>
      <c r="BQ1" s="121"/>
      <c r="BR1" s="121"/>
    </row>
    <row r="2" spans="1:70" s="5" customFormat="1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0"/>
      <c r="BF2" s="30"/>
      <c r="BG2" s="30"/>
      <c r="BH2" s="122" t="s">
        <v>55</v>
      </c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s="5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30"/>
      <c r="BF3" s="30"/>
      <c r="BG3" s="30"/>
      <c r="BH3" s="122" t="s">
        <v>37</v>
      </c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s="5" customFormat="1" ht="12" customHeight="1">
      <c r="A4" s="29"/>
      <c r="B4" s="29"/>
      <c r="C4" s="29"/>
      <c r="D4" s="29"/>
      <c r="E4" s="29"/>
      <c r="F4" s="2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29"/>
      <c r="BJ4" s="29"/>
      <c r="BK4" s="29"/>
      <c r="BL4" s="29"/>
      <c r="BM4" s="29"/>
      <c r="BN4" s="29"/>
      <c r="BO4" s="29"/>
      <c r="BP4" s="33"/>
      <c r="BQ4" s="34"/>
      <c r="BR4" s="34"/>
    </row>
    <row r="5" spans="1:70" ht="37.5" customHeight="1">
      <c r="A5" s="136" t="s">
        <v>82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ht="18" customHeight="1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8"/>
      <c r="BQ6" s="27"/>
      <c r="BR6" s="27"/>
    </row>
    <row r="7" spans="1:70" ht="91.5" customHeight="1">
      <c r="A7" s="145" t="s">
        <v>51</v>
      </c>
      <c r="B7" s="137" t="s">
        <v>31</v>
      </c>
      <c r="C7" s="137"/>
      <c r="D7" s="137"/>
      <c r="E7" s="137"/>
      <c r="F7" s="137" t="s">
        <v>33</v>
      </c>
      <c r="G7" s="137"/>
      <c r="H7" s="137"/>
      <c r="I7" s="137"/>
      <c r="J7" s="137" t="s">
        <v>34</v>
      </c>
      <c r="K7" s="137"/>
      <c r="L7" s="137"/>
      <c r="M7" s="137"/>
      <c r="N7" s="137" t="s">
        <v>35</v>
      </c>
      <c r="O7" s="137"/>
      <c r="P7" s="137"/>
      <c r="Q7" s="137"/>
      <c r="R7" s="137" t="s">
        <v>0</v>
      </c>
      <c r="S7" s="137"/>
      <c r="T7" s="137"/>
      <c r="U7" s="137"/>
      <c r="V7" s="138" t="s">
        <v>38</v>
      </c>
      <c r="W7" s="139"/>
      <c r="X7" s="139"/>
      <c r="Y7" s="140"/>
      <c r="Z7" s="137" t="s">
        <v>1</v>
      </c>
      <c r="AA7" s="137"/>
      <c r="AB7" s="137"/>
      <c r="AC7" s="137"/>
      <c r="AD7" s="137" t="s">
        <v>2</v>
      </c>
      <c r="AE7" s="137"/>
      <c r="AF7" s="137"/>
      <c r="AG7" s="137"/>
      <c r="AH7" s="137" t="s">
        <v>36</v>
      </c>
      <c r="AI7" s="137"/>
      <c r="AJ7" s="137"/>
      <c r="AK7" s="137"/>
      <c r="AL7" s="137" t="s">
        <v>36</v>
      </c>
      <c r="AM7" s="137"/>
      <c r="AN7" s="137"/>
      <c r="AO7" s="137"/>
      <c r="AP7" s="141" t="s">
        <v>3</v>
      </c>
      <c r="AQ7" s="142"/>
      <c r="AR7" s="137" t="s">
        <v>4</v>
      </c>
      <c r="AS7" s="137"/>
      <c r="AT7" s="137"/>
      <c r="AU7" s="137"/>
      <c r="AV7" s="138" t="s">
        <v>39</v>
      </c>
      <c r="AW7" s="139"/>
      <c r="AX7" s="139"/>
      <c r="AY7" s="140"/>
      <c r="AZ7" s="137" t="s">
        <v>5</v>
      </c>
      <c r="BA7" s="137"/>
      <c r="BB7" s="137"/>
      <c r="BC7" s="137"/>
      <c r="BD7" s="137" t="s">
        <v>6</v>
      </c>
      <c r="BE7" s="137"/>
      <c r="BF7" s="137"/>
      <c r="BG7" s="137"/>
      <c r="BH7" s="138" t="s">
        <v>40</v>
      </c>
      <c r="BI7" s="139"/>
      <c r="BJ7" s="139"/>
      <c r="BK7" s="140"/>
      <c r="BL7" s="147" t="s">
        <v>41</v>
      </c>
      <c r="BM7" s="148"/>
      <c r="BN7" s="148"/>
      <c r="BO7" s="149"/>
      <c r="BP7" s="143" t="s">
        <v>42</v>
      </c>
      <c r="BQ7" s="150" t="s">
        <v>67</v>
      </c>
      <c r="BR7" s="150"/>
    </row>
    <row r="8" spans="1:70" ht="74.25" customHeight="1">
      <c r="A8" s="146"/>
      <c r="B8" s="23" t="s">
        <v>8</v>
      </c>
      <c r="C8" s="23" t="s">
        <v>9</v>
      </c>
      <c r="D8" s="23" t="s">
        <v>8</v>
      </c>
      <c r="E8" s="23" t="s">
        <v>9</v>
      </c>
      <c r="F8" s="23" t="s">
        <v>8</v>
      </c>
      <c r="G8" s="23" t="s">
        <v>9</v>
      </c>
      <c r="H8" s="23" t="s">
        <v>8</v>
      </c>
      <c r="I8" s="23" t="s">
        <v>9</v>
      </c>
      <c r="J8" s="23" t="s">
        <v>8</v>
      </c>
      <c r="K8" s="23" t="s">
        <v>9</v>
      </c>
      <c r="L8" s="23" t="s">
        <v>8</v>
      </c>
      <c r="M8" s="23" t="s">
        <v>9</v>
      </c>
      <c r="N8" s="23" t="s">
        <v>8</v>
      </c>
      <c r="O8" s="23" t="s">
        <v>9</v>
      </c>
      <c r="P8" s="23" t="s">
        <v>8</v>
      </c>
      <c r="Q8" s="23" t="s">
        <v>9</v>
      </c>
      <c r="R8" s="23" t="s">
        <v>8</v>
      </c>
      <c r="S8" s="23" t="s">
        <v>9</v>
      </c>
      <c r="T8" s="23" t="s">
        <v>8</v>
      </c>
      <c r="U8" s="23" t="s">
        <v>9</v>
      </c>
      <c r="V8" s="62" t="s">
        <v>8</v>
      </c>
      <c r="W8" s="62" t="s">
        <v>9</v>
      </c>
      <c r="X8" s="62" t="s">
        <v>8</v>
      </c>
      <c r="Y8" s="62" t="s">
        <v>9</v>
      </c>
      <c r="Z8" s="23" t="s">
        <v>8</v>
      </c>
      <c r="AA8" s="23" t="s">
        <v>9</v>
      </c>
      <c r="AB8" s="23" t="s">
        <v>8</v>
      </c>
      <c r="AC8" s="23" t="s">
        <v>9</v>
      </c>
      <c r="AD8" s="23" t="s">
        <v>8</v>
      </c>
      <c r="AE8" s="23" t="s">
        <v>9</v>
      </c>
      <c r="AF8" s="23" t="s">
        <v>8</v>
      </c>
      <c r="AG8" s="23" t="s">
        <v>9</v>
      </c>
      <c r="AH8" s="23" t="s">
        <v>8</v>
      </c>
      <c r="AI8" s="23" t="s">
        <v>9</v>
      </c>
      <c r="AJ8" s="23" t="s">
        <v>8</v>
      </c>
      <c r="AK8" s="23" t="s">
        <v>9</v>
      </c>
      <c r="AL8" s="23" t="s">
        <v>8</v>
      </c>
      <c r="AM8" s="23" t="s">
        <v>9</v>
      </c>
      <c r="AN8" s="23" t="s">
        <v>8</v>
      </c>
      <c r="AO8" s="23" t="s">
        <v>9</v>
      </c>
      <c r="AP8" s="23" t="s">
        <v>8</v>
      </c>
      <c r="AQ8" s="23" t="s">
        <v>9</v>
      </c>
      <c r="AR8" s="23" t="s">
        <v>8</v>
      </c>
      <c r="AS8" s="23" t="s">
        <v>9</v>
      </c>
      <c r="AT8" s="23" t="s">
        <v>8</v>
      </c>
      <c r="AU8" s="23" t="s">
        <v>9</v>
      </c>
      <c r="AV8" s="62" t="s">
        <v>8</v>
      </c>
      <c r="AW8" s="62" t="s">
        <v>9</v>
      </c>
      <c r="AX8" s="62" t="s">
        <v>8</v>
      </c>
      <c r="AY8" s="62" t="s">
        <v>9</v>
      </c>
      <c r="AZ8" s="23" t="s">
        <v>8</v>
      </c>
      <c r="BA8" s="23" t="s">
        <v>9</v>
      </c>
      <c r="BB8" s="23" t="s">
        <v>8</v>
      </c>
      <c r="BC8" s="23" t="s">
        <v>9</v>
      </c>
      <c r="BD8" s="23" t="s">
        <v>8</v>
      </c>
      <c r="BE8" s="23" t="s">
        <v>9</v>
      </c>
      <c r="BF8" s="23" t="s">
        <v>8</v>
      </c>
      <c r="BG8" s="23" t="s">
        <v>9</v>
      </c>
      <c r="BH8" s="62" t="s">
        <v>8</v>
      </c>
      <c r="BI8" s="62" t="s">
        <v>9</v>
      </c>
      <c r="BJ8" s="62" t="s">
        <v>8</v>
      </c>
      <c r="BK8" s="62" t="s">
        <v>9</v>
      </c>
      <c r="BL8" s="23" t="s">
        <v>8</v>
      </c>
      <c r="BM8" s="23" t="s">
        <v>9</v>
      </c>
      <c r="BN8" s="23" t="s">
        <v>8</v>
      </c>
      <c r="BO8" s="23" t="s">
        <v>9</v>
      </c>
      <c r="BP8" s="144"/>
      <c r="BQ8" s="37" t="s">
        <v>77</v>
      </c>
      <c r="BR8" s="37" t="s">
        <v>9</v>
      </c>
    </row>
    <row r="9" spans="1:70" ht="51.75" customHeight="1">
      <c r="A9" s="22" t="s">
        <v>83</v>
      </c>
      <c r="B9" s="24"/>
      <c r="C9" s="24"/>
      <c r="D9" s="24"/>
      <c r="E9" s="24"/>
      <c r="F9" s="24">
        <v>1</v>
      </c>
      <c r="G9" s="24">
        <v>8</v>
      </c>
      <c r="H9" s="24"/>
      <c r="I9" s="24"/>
      <c r="J9" s="24">
        <v>2</v>
      </c>
      <c r="K9" s="24">
        <v>9</v>
      </c>
      <c r="L9" s="24"/>
      <c r="M9" s="24"/>
      <c r="N9" s="24">
        <v>2</v>
      </c>
      <c r="O9" s="24">
        <f>8+5</f>
        <v>13</v>
      </c>
      <c r="P9" s="24"/>
      <c r="Q9" s="24"/>
      <c r="R9" s="24">
        <v>1</v>
      </c>
      <c r="S9" s="24">
        <v>8</v>
      </c>
      <c r="T9" s="24"/>
      <c r="U9" s="24"/>
      <c r="V9" s="63">
        <f aca="true" t="shared" si="0" ref="V9:W11">F9+J9+N9+R9+D9</f>
        <v>6</v>
      </c>
      <c r="W9" s="63">
        <f t="shared" si="0"/>
        <v>38</v>
      </c>
      <c r="X9" s="63"/>
      <c r="Y9" s="63"/>
      <c r="Z9" s="24">
        <v>1</v>
      </c>
      <c r="AA9" s="24">
        <v>9</v>
      </c>
      <c r="AB9" s="24"/>
      <c r="AC9" s="24"/>
      <c r="AD9" s="24">
        <v>1</v>
      </c>
      <c r="AE9" s="24">
        <v>12</v>
      </c>
      <c r="AF9" s="24"/>
      <c r="AG9" s="24"/>
      <c r="AH9" s="24"/>
      <c r="AI9" s="24"/>
      <c r="AJ9" s="24"/>
      <c r="AK9" s="24"/>
      <c r="AL9" s="24">
        <v>1</v>
      </c>
      <c r="AM9" s="24">
        <v>10</v>
      </c>
      <c r="AN9" s="24"/>
      <c r="AO9" s="24"/>
      <c r="AP9" s="24">
        <v>1</v>
      </c>
      <c r="AQ9" s="24">
        <v>12</v>
      </c>
      <c r="AR9" s="24">
        <v>1</v>
      </c>
      <c r="AS9" s="24">
        <v>11</v>
      </c>
      <c r="AT9" s="24"/>
      <c r="AU9" s="24"/>
      <c r="AV9" s="63">
        <f aca="true" t="shared" si="1" ref="AV9:AW11">Z9+AD9+AH9+AL9+AR9+AP9</f>
        <v>5</v>
      </c>
      <c r="AW9" s="63">
        <f t="shared" si="1"/>
        <v>54</v>
      </c>
      <c r="AX9" s="63"/>
      <c r="AY9" s="63"/>
      <c r="AZ9" s="24">
        <v>1</v>
      </c>
      <c r="BA9" s="24">
        <v>11</v>
      </c>
      <c r="BB9" s="24"/>
      <c r="BC9" s="24"/>
      <c r="BD9" s="24"/>
      <c r="BE9" s="24"/>
      <c r="BF9" s="24"/>
      <c r="BG9" s="24"/>
      <c r="BH9" s="63">
        <f aca="true" t="shared" si="2" ref="BH9:BI11">AZ9+BD9</f>
        <v>1</v>
      </c>
      <c r="BI9" s="63">
        <f t="shared" si="2"/>
        <v>11</v>
      </c>
      <c r="BJ9" s="63">
        <f>BB9</f>
        <v>0</v>
      </c>
      <c r="BK9" s="63">
        <f>BC9</f>
        <v>0</v>
      </c>
      <c r="BL9" s="35">
        <f aca="true" t="shared" si="3" ref="BL9:BM11">V9+AV9+BH9</f>
        <v>12</v>
      </c>
      <c r="BM9" s="35">
        <f t="shared" si="3"/>
        <v>103</v>
      </c>
      <c r="BN9" s="22"/>
      <c r="BO9" s="22"/>
      <c r="BP9" s="36">
        <f>BM9/BL9</f>
        <v>8.583333333333334</v>
      </c>
      <c r="BQ9" s="24">
        <v>11</v>
      </c>
      <c r="BR9" s="24">
        <v>95</v>
      </c>
    </row>
    <row r="10" spans="1:70" ht="28.5" customHeight="1">
      <c r="A10" s="22" t="s">
        <v>84</v>
      </c>
      <c r="B10" s="24"/>
      <c r="C10" s="24"/>
      <c r="D10" s="24"/>
      <c r="E10" s="24"/>
      <c r="F10" s="24">
        <v>3</v>
      </c>
      <c r="G10" s="24">
        <v>36</v>
      </c>
      <c r="H10" s="24"/>
      <c r="I10" s="24"/>
      <c r="J10" s="24">
        <v>2</v>
      </c>
      <c r="K10" s="24">
        <v>25</v>
      </c>
      <c r="L10" s="24"/>
      <c r="M10" s="24"/>
      <c r="N10" s="24">
        <v>4</v>
      </c>
      <c r="O10" s="24">
        <v>57</v>
      </c>
      <c r="P10" s="24"/>
      <c r="Q10" s="24"/>
      <c r="R10" s="24">
        <v>2</v>
      </c>
      <c r="S10" s="24">
        <v>25</v>
      </c>
      <c r="T10" s="24"/>
      <c r="U10" s="24"/>
      <c r="V10" s="63">
        <f t="shared" si="0"/>
        <v>11</v>
      </c>
      <c r="W10" s="63">
        <f t="shared" si="0"/>
        <v>143</v>
      </c>
      <c r="X10" s="63"/>
      <c r="Y10" s="63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63">
        <f t="shared" si="1"/>
        <v>0</v>
      </c>
      <c r="AW10" s="63">
        <f t="shared" si="1"/>
        <v>0</v>
      </c>
      <c r="AX10" s="63"/>
      <c r="AY10" s="63"/>
      <c r="AZ10" s="24"/>
      <c r="BA10" s="24"/>
      <c r="BB10" s="24"/>
      <c r="BC10" s="24"/>
      <c r="BD10" s="24"/>
      <c r="BE10" s="24"/>
      <c r="BF10" s="24"/>
      <c r="BG10" s="24"/>
      <c r="BH10" s="63">
        <f t="shared" si="2"/>
        <v>0</v>
      </c>
      <c r="BI10" s="63">
        <f t="shared" si="2"/>
        <v>0</v>
      </c>
      <c r="BJ10" s="63"/>
      <c r="BK10" s="63"/>
      <c r="BL10" s="35">
        <f t="shared" si="3"/>
        <v>11</v>
      </c>
      <c r="BM10" s="35">
        <f t="shared" si="3"/>
        <v>143</v>
      </c>
      <c r="BN10" s="22"/>
      <c r="BO10" s="22"/>
      <c r="BP10" s="36">
        <f>BM10/BL10</f>
        <v>13</v>
      </c>
      <c r="BQ10" s="24">
        <v>11</v>
      </c>
      <c r="BR10" s="24">
        <v>143</v>
      </c>
    </row>
    <row r="11" spans="1:70" ht="28.5" customHeight="1">
      <c r="A11" s="88" t="s">
        <v>7</v>
      </c>
      <c r="B11" s="89"/>
      <c r="C11" s="89"/>
      <c r="D11" s="89"/>
      <c r="E11" s="89"/>
      <c r="F11" s="24">
        <f>SUM(F9:F10)</f>
        <v>4</v>
      </c>
      <c r="G11" s="24">
        <f aca="true" t="shared" si="4" ref="G11:BK11">SUM(G9:G10)</f>
        <v>44</v>
      </c>
      <c r="H11" s="24">
        <f t="shared" si="4"/>
        <v>0</v>
      </c>
      <c r="I11" s="24">
        <f t="shared" si="4"/>
        <v>0</v>
      </c>
      <c r="J11" s="24">
        <f t="shared" si="4"/>
        <v>4</v>
      </c>
      <c r="K11" s="24">
        <f t="shared" si="4"/>
        <v>34</v>
      </c>
      <c r="L11" s="24">
        <f t="shared" si="4"/>
        <v>0</v>
      </c>
      <c r="M11" s="24">
        <f t="shared" si="4"/>
        <v>0</v>
      </c>
      <c r="N11" s="24">
        <f t="shared" si="4"/>
        <v>6</v>
      </c>
      <c r="O11" s="24">
        <f t="shared" si="4"/>
        <v>70</v>
      </c>
      <c r="P11" s="24">
        <f t="shared" si="4"/>
        <v>0</v>
      </c>
      <c r="Q11" s="24">
        <f t="shared" si="4"/>
        <v>0</v>
      </c>
      <c r="R11" s="24">
        <f t="shared" si="4"/>
        <v>3</v>
      </c>
      <c r="S11" s="24">
        <f t="shared" si="4"/>
        <v>33</v>
      </c>
      <c r="T11" s="24">
        <f t="shared" si="4"/>
        <v>0</v>
      </c>
      <c r="U11" s="24">
        <f t="shared" si="4"/>
        <v>0</v>
      </c>
      <c r="V11" s="63">
        <f t="shared" si="0"/>
        <v>17</v>
      </c>
      <c r="W11" s="63">
        <f t="shared" si="0"/>
        <v>181</v>
      </c>
      <c r="X11" s="24">
        <f t="shared" si="4"/>
        <v>0</v>
      </c>
      <c r="Y11" s="24">
        <f t="shared" si="4"/>
        <v>0</v>
      </c>
      <c r="Z11" s="24">
        <f t="shared" si="4"/>
        <v>1</v>
      </c>
      <c r="AA11" s="24">
        <f t="shared" si="4"/>
        <v>9</v>
      </c>
      <c r="AB11" s="24">
        <f t="shared" si="4"/>
        <v>0</v>
      </c>
      <c r="AC11" s="24">
        <f t="shared" si="4"/>
        <v>0</v>
      </c>
      <c r="AD11" s="24">
        <f t="shared" si="4"/>
        <v>1</v>
      </c>
      <c r="AE11" s="24">
        <f t="shared" si="4"/>
        <v>12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4">
        <f t="shared" si="4"/>
        <v>0</v>
      </c>
      <c r="AK11" s="24">
        <f t="shared" si="4"/>
        <v>0</v>
      </c>
      <c r="AL11" s="24">
        <f t="shared" si="4"/>
        <v>1</v>
      </c>
      <c r="AM11" s="24">
        <f t="shared" si="4"/>
        <v>10</v>
      </c>
      <c r="AN11" s="24">
        <f t="shared" si="4"/>
        <v>0</v>
      </c>
      <c r="AO11" s="24">
        <f t="shared" si="4"/>
        <v>0</v>
      </c>
      <c r="AP11" s="24">
        <f t="shared" si="4"/>
        <v>1</v>
      </c>
      <c r="AQ11" s="24">
        <f t="shared" si="4"/>
        <v>12</v>
      </c>
      <c r="AR11" s="24">
        <f t="shared" si="4"/>
        <v>1</v>
      </c>
      <c r="AS11" s="24">
        <f t="shared" si="4"/>
        <v>11</v>
      </c>
      <c r="AT11" s="24">
        <f t="shared" si="4"/>
        <v>0</v>
      </c>
      <c r="AU11" s="24">
        <f t="shared" si="4"/>
        <v>0</v>
      </c>
      <c r="AV11" s="63">
        <f t="shared" si="1"/>
        <v>5</v>
      </c>
      <c r="AW11" s="63">
        <f t="shared" si="1"/>
        <v>54</v>
      </c>
      <c r="AX11" s="24">
        <f t="shared" si="4"/>
        <v>0</v>
      </c>
      <c r="AY11" s="24">
        <f t="shared" si="4"/>
        <v>0</v>
      </c>
      <c r="AZ11" s="24">
        <f t="shared" si="4"/>
        <v>1</v>
      </c>
      <c r="BA11" s="24">
        <f t="shared" si="4"/>
        <v>11</v>
      </c>
      <c r="BB11" s="24">
        <f t="shared" si="4"/>
        <v>0</v>
      </c>
      <c r="BC11" s="24">
        <f t="shared" si="4"/>
        <v>0</v>
      </c>
      <c r="BD11" s="24">
        <f t="shared" si="4"/>
        <v>0</v>
      </c>
      <c r="BE11" s="24">
        <f t="shared" si="4"/>
        <v>0</v>
      </c>
      <c r="BF11" s="24">
        <f t="shared" si="4"/>
        <v>0</v>
      </c>
      <c r="BG11" s="24">
        <f t="shared" si="4"/>
        <v>0</v>
      </c>
      <c r="BH11" s="63">
        <f t="shared" si="2"/>
        <v>1</v>
      </c>
      <c r="BI11" s="63">
        <f t="shared" si="2"/>
        <v>11</v>
      </c>
      <c r="BJ11" s="24">
        <f t="shared" si="4"/>
        <v>0</v>
      </c>
      <c r="BK11" s="24">
        <f t="shared" si="4"/>
        <v>0</v>
      </c>
      <c r="BL11" s="35">
        <f t="shared" si="3"/>
        <v>23</v>
      </c>
      <c r="BM11" s="35">
        <f t="shared" si="3"/>
        <v>246</v>
      </c>
      <c r="BN11" s="22"/>
      <c r="BO11" s="22"/>
      <c r="BP11" s="36">
        <f>BM11/BL11</f>
        <v>10.695652173913043</v>
      </c>
      <c r="BQ11" s="24">
        <f>SUM(BQ9:BQ10)</f>
        <v>22</v>
      </c>
      <c r="BR11" s="24">
        <f>SUM(BR9:BR10)</f>
        <v>238</v>
      </c>
    </row>
    <row r="12" spans="1:70" ht="28.5" customHeight="1">
      <c r="A12" s="90"/>
      <c r="B12" s="91"/>
      <c r="C12" s="91"/>
      <c r="D12" s="91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93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  <c r="AW12" s="93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3"/>
      <c r="BJ12" s="92"/>
      <c r="BK12" s="92"/>
      <c r="BL12" s="93"/>
      <c r="BM12" s="93"/>
      <c r="BN12" s="93"/>
      <c r="BO12" s="93"/>
      <c r="BP12" s="94"/>
      <c r="BQ12" s="92"/>
      <c r="BR12" s="92"/>
    </row>
    <row r="13" spans="1:70" ht="24.75" customHeight="1">
      <c r="A13" s="120" t="s">
        <v>93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120" t="s">
        <v>92</v>
      </c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21"/>
      <c r="BN13" s="20"/>
      <c r="BO13" s="20"/>
      <c r="BP13" s="20"/>
      <c r="BQ13" s="20"/>
      <c r="BR13" s="20"/>
    </row>
  </sheetData>
  <sheetProtection/>
  <mergeCells count="26">
    <mergeCell ref="A13:AD13"/>
    <mergeCell ref="BP7:BP8"/>
    <mergeCell ref="BH1:BR1"/>
    <mergeCell ref="BH3:BR3"/>
    <mergeCell ref="BH2:BR2"/>
    <mergeCell ref="A7:A8"/>
    <mergeCell ref="BH7:BK7"/>
    <mergeCell ref="BL7:BO7"/>
    <mergeCell ref="BQ7:BR7"/>
    <mergeCell ref="AH7:AK7"/>
    <mergeCell ref="AL7:AO7"/>
    <mergeCell ref="AR7:AU7"/>
    <mergeCell ref="AV7:AY7"/>
    <mergeCell ref="AZ7:BC7"/>
    <mergeCell ref="BD7:BG7"/>
    <mergeCell ref="AP7:AQ7"/>
    <mergeCell ref="AW13:BL13"/>
    <mergeCell ref="R7:U7"/>
    <mergeCell ref="V7:Y7"/>
    <mergeCell ref="A5:BR5"/>
    <mergeCell ref="B7:E7"/>
    <mergeCell ref="F7:I7"/>
    <mergeCell ref="J7:M7"/>
    <mergeCell ref="N7:Q7"/>
    <mergeCell ref="Z7:AC7"/>
    <mergeCell ref="AD7:AG7"/>
  </mergeCells>
  <printOptions/>
  <pageMargins left="0.3937007874015748" right="0.3937007874015748" top="1.1811023622047245" bottom="0.984251968503937" header="0.3937007874015748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Гончарова Наталія Олександрівна</cp:lastModifiedBy>
  <cp:lastPrinted>2020-08-03T10:36:59Z</cp:lastPrinted>
  <dcterms:created xsi:type="dcterms:W3CDTF">2008-07-31T12:03:57Z</dcterms:created>
  <dcterms:modified xsi:type="dcterms:W3CDTF">2020-08-03T10:39:11Z</dcterms:modified>
  <cp:category/>
  <cp:version/>
  <cp:contentType/>
  <cp:contentStatus/>
</cp:coreProperties>
</file>