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БЮДЖЕТ\РІШЕННЯ\Внесення змін та доповнень\Лютий\МВК\"/>
    </mc:Choice>
  </mc:AlternateContent>
  <bookViews>
    <workbookView xWindow="0" yWindow="0" windowWidth="19200" windowHeight="11460" tabRatio="495"/>
  </bookViews>
  <sheets>
    <sheet name="дод 3 " sheetId="1" r:id="rId1"/>
    <sheet name="дод 3-1" sheetId="3" r:id="rId2"/>
  </sheets>
  <definedNames>
    <definedName name="_xlnm.Print_Titles" localSheetId="0">'дод 3 '!$10:$12</definedName>
    <definedName name="_xlnm.Print_Titles" localSheetId="1">'дод 3-1'!$9:$11</definedName>
    <definedName name="_xlnm.Print_Area" localSheetId="0">'дод 3 '!$A$1:$Q$193</definedName>
    <definedName name="_xlnm.Print_Area" localSheetId="1">'дод 3-1'!$A$1:$P$143</definedName>
  </definedNames>
  <calcPr calcId="162913"/>
</workbook>
</file>

<file path=xl/calcChain.xml><?xml version="1.0" encoding="utf-8"?>
<calcChain xmlns="http://schemas.openxmlformats.org/spreadsheetml/2006/main">
  <c r="O83" i="1" l="1"/>
  <c r="K83" i="1"/>
  <c r="O133" i="1"/>
  <c r="K133" i="1"/>
  <c r="O134" i="1" l="1"/>
  <c r="K134" i="1"/>
  <c r="O131" i="1" l="1"/>
  <c r="K131" i="1"/>
  <c r="G52" i="1" l="1"/>
  <c r="F52" i="1"/>
  <c r="O127" i="1" l="1"/>
  <c r="K127" i="1"/>
  <c r="G51" i="1"/>
  <c r="F51" i="1"/>
  <c r="I146" i="1" l="1"/>
  <c r="H146" i="1"/>
  <c r="N146" i="1"/>
  <c r="M146" i="1"/>
  <c r="L146" i="1"/>
  <c r="N101" i="3" l="1"/>
  <c r="M101" i="3"/>
  <c r="L101" i="3"/>
  <c r="K101" i="3"/>
  <c r="J101" i="3"/>
  <c r="H101" i="3"/>
  <c r="G101" i="3"/>
  <c r="F101" i="3"/>
  <c r="E101" i="3"/>
  <c r="J155" i="1"/>
  <c r="I101" i="3" s="1"/>
  <c r="E155" i="1"/>
  <c r="O154" i="1"/>
  <c r="K154" i="1"/>
  <c r="O152" i="1"/>
  <c r="K152" i="1"/>
  <c r="O150" i="1"/>
  <c r="K150" i="1"/>
  <c r="O132" i="1"/>
  <c r="K132" i="1"/>
  <c r="F131" i="1"/>
  <c r="O128" i="1"/>
  <c r="K128" i="1"/>
  <c r="O126" i="1"/>
  <c r="K126" i="1"/>
  <c r="P155" i="1" l="1"/>
  <c r="O101" i="3" s="1"/>
  <c r="D101" i="3"/>
  <c r="F132" i="1"/>
  <c r="O153" i="1"/>
  <c r="K153" i="1"/>
  <c r="E181" i="1" l="1"/>
  <c r="O34" i="1"/>
  <c r="K34" i="1"/>
  <c r="F34" i="1"/>
  <c r="G109" i="1" l="1"/>
  <c r="F109" i="1"/>
  <c r="F105" i="1" l="1"/>
  <c r="F101" i="1"/>
  <c r="O51" i="1"/>
  <c r="K51" i="1"/>
  <c r="G175" i="1"/>
  <c r="F175" i="1"/>
  <c r="G167" i="1"/>
  <c r="F167" i="1"/>
  <c r="G164" i="1"/>
  <c r="F164" i="1"/>
  <c r="G159" i="1"/>
  <c r="F159" i="1"/>
  <c r="O148" i="1"/>
  <c r="K148" i="1"/>
  <c r="K146" i="1" s="1"/>
  <c r="G147" i="1"/>
  <c r="G146" i="1" s="1"/>
  <c r="F147" i="1"/>
  <c r="F146" i="1" s="1"/>
  <c r="G144" i="1"/>
  <c r="F144" i="1"/>
  <c r="I137" i="1"/>
  <c r="F137" i="1"/>
  <c r="G124" i="1"/>
  <c r="F124" i="1"/>
  <c r="G114" i="1"/>
  <c r="F114" i="1"/>
  <c r="G87" i="1"/>
  <c r="F87" i="1"/>
  <c r="G71" i="1"/>
  <c r="F71" i="1"/>
  <c r="G48" i="1"/>
  <c r="F48" i="1"/>
  <c r="G15" i="1"/>
  <c r="F15" i="1"/>
  <c r="N116" i="3" l="1"/>
  <c r="N115" i="3" s="1"/>
  <c r="M116" i="3"/>
  <c r="M115" i="3" s="1"/>
  <c r="L116" i="3"/>
  <c r="L115" i="3" s="1"/>
  <c r="K116" i="3"/>
  <c r="K115" i="3" s="1"/>
  <c r="J116" i="3"/>
  <c r="J115" i="3" s="1"/>
  <c r="H116" i="3"/>
  <c r="H115" i="3" s="1"/>
  <c r="G116" i="3"/>
  <c r="G115" i="3" s="1"/>
  <c r="F116" i="3"/>
  <c r="F115" i="3" s="1"/>
  <c r="E116" i="3"/>
  <c r="E115" i="3" s="1"/>
  <c r="N69" i="1"/>
  <c r="M69" i="1"/>
  <c r="L69" i="1"/>
  <c r="I69" i="1"/>
  <c r="H69" i="1"/>
  <c r="G69" i="1"/>
  <c r="F69" i="1"/>
  <c r="J84" i="1"/>
  <c r="I116" i="3" s="1"/>
  <c r="I115" i="3" s="1"/>
  <c r="E84" i="1"/>
  <c r="D116" i="3" s="1"/>
  <c r="D115" i="3" s="1"/>
  <c r="P84" i="1" l="1"/>
  <c r="D89" i="1"/>
  <c r="O116" i="3" l="1"/>
  <c r="O115" i="3" s="1"/>
  <c r="F25" i="1"/>
  <c r="C153" i="1" l="1"/>
  <c r="D153" i="1"/>
  <c r="B153" i="1"/>
  <c r="E97" i="3"/>
  <c r="F97" i="3"/>
  <c r="G97" i="3"/>
  <c r="H97" i="3"/>
  <c r="J97" i="3"/>
  <c r="K97" i="3"/>
  <c r="L97" i="3"/>
  <c r="M97" i="3"/>
  <c r="N97" i="3"/>
  <c r="D97" i="3"/>
  <c r="J153" i="1"/>
  <c r="I97" i="3" s="1"/>
  <c r="F41" i="1"/>
  <c r="P153" i="1" l="1"/>
  <c r="O97" i="3" s="1"/>
  <c r="E31" i="3"/>
  <c r="F31" i="3"/>
  <c r="G31" i="3"/>
  <c r="H31" i="3"/>
  <c r="I31" i="3"/>
  <c r="J31" i="3"/>
  <c r="K31" i="3"/>
  <c r="L31" i="3"/>
  <c r="M31" i="3"/>
  <c r="N31" i="3"/>
  <c r="F47" i="1"/>
  <c r="H47" i="1"/>
  <c r="I47" i="1"/>
  <c r="L47" i="1"/>
  <c r="M47" i="1"/>
  <c r="N47" i="1"/>
  <c r="O47" i="1"/>
  <c r="E62" i="1"/>
  <c r="P62" i="1" s="1"/>
  <c r="O31" i="3" s="1"/>
  <c r="K52" i="1"/>
  <c r="K47" i="1" s="1"/>
  <c r="G47" i="1"/>
  <c r="J50" i="1"/>
  <c r="I18" i="3" s="1"/>
  <c r="O49" i="1"/>
  <c r="K49" i="1"/>
  <c r="E18" i="3"/>
  <c r="F18" i="3"/>
  <c r="G18" i="3"/>
  <c r="H18" i="3"/>
  <c r="J18" i="3"/>
  <c r="K18" i="3"/>
  <c r="L18" i="3"/>
  <c r="M18" i="3"/>
  <c r="N18" i="3"/>
  <c r="E50" i="1"/>
  <c r="D18" i="3" s="1"/>
  <c r="G49" i="1"/>
  <c r="F49" i="1"/>
  <c r="P50" i="1" l="1"/>
  <c r="O18" i="3" s="1"/>
  <c r="D31" i="3"/>
  <c r="O36" i="1"/>
  <c r="K36" i="1"/>
  <c r="F127" i="1" l="1"/>
  <c r="I127" i="1"/>
  <c r="D106" i="1" l="1"/>
  <c r="E134" i="3"/>
  <c r="F134" i="3"/>
  <c r="G134" i="3"/>
  <c r="H134" i="3"/>
  <c r="K134" i="3"/>
  <c r="L134" i="3"/>
  <c r="M134" i="3"/>
  <c r="E113" i="3"/>
  <c r="F113" i="3"/>
  <c r="G113" i="3"/>
  <c r="H113" i="3"/>
  <c r="J113" i="3"/>
  <c r="L113" i="3"/>
  <c r="M113" i="3"/>
  <c r="N113" i="3"/>
  <c r="F114" i="3"/>
  <c r="G114" i="3"/>
  <c r="H114" i="3"/>
  <c r="J114" i="3"/>
  <c r="K114" i="3"/>
  <c r="L114" i="3"/>
  <c r="M114" i="3"/>
  <c r="N114" i="3"/>
  <c r="E99" i="3"/>
  <c r="F99" i="3"/>
  <c r="G99" i="3"/>
  <c r="H99" i="3"/>
  <c r="J99" i="3"/>
  <c r="K99" i="3"/>
  <c r="L99" i="3"/>
  <c r="M99" i="3"/>
  <c r="N99" i="3"/>
  <c r="F89" i="3"/>
  <c r="G89" i="3"/>
  <c r="H89" i="3"/>
  <c r="J89" i="3"/>
  <c r="K89" i="3"/>
  <c r="L89" i="3"/>
  <c r="M89" i="3"/>
  <c r="N89" i="3"/>
  <c r="F13" i="3"/>
  <c r="G13" i="3"/>
  <c r="H13" i="3"/>
  <c r="J13" i="3"/>
  <c r="K13" i="3"/>
  <c r="L13" i="3"/>
  <c r="M13" i="3"/>
  <c r="N13" i="3"/>
  <c r="G123" i="1"/>
  <c r="H123" i="1"/>
  <c r="I123" i="1"/>
  <c r="M123" i="1"/>
  <c r="N123" i="1"/>
  <c r="G86" i="1"/>
  <c r="H86" i="1"/>
  <c r="I86" i="1"/>
  <c r="L86" i="1"/>
  <c r="M86" i="1"/>
  <c r="N86" i="1"/>
  <c r="G46" i="1"/>
  <c r="I46" i="1"/>
  <c r="L46" i="1"/>
  <c r="M46" i="1"/>
  <c r="N46" i="1"/>
  <c r="G174" i="1"/>
  <c r="H174" i="1"/>
  <c r="I174" i="1"/>
  <c r="K174" i="1"/>
  <c r="L174" i="1"/>
  <c r="M174" i="1"/>
  <c r="N174" i="1"/>
  <c r="O174" i="1"/>
  <c r="G166" i="1"/>
  <c r="H166" i="1"/>
  <c r="K166" i="1"/>
  <c r="L166" i="1"/>
  <c r="M166" i="1"/>
  <c r="N166" i="1"/>
  <c r="O166" i="1"/>
  <c r="G158" i="1"/>
  <c r="H158" i="1"/>
  <c r="I158" i="1"/>
  <c r="K158" i="1"/>
  <c r="L158" i="1"/>
  <c r="M158" i="1"/>
  <c r="N158" i="1"/>
  <c r="O158" i="1"/>
  <c r="G113" i="1"/>
  <c r="H113" i="1"/>
  <c r="I113" i="1"/>
  <c r="L113" i="1"/>
  <c r="M113" i="1"/>
  <c r="N113" i="1"/>
  <c r="G108" i="1"/>
  <c r="H108" i="1"/>
  <c r="I108" i="1"/>
  <c r="K108" i="1"/>
  <c r="L108" i="1"/>
  <c r="M108" i="1"/>
  <c r="N108" i="1"/>
  <c r="O108" i="1"/>
  <c r="G68" i="1"/>
  <c r="H68" i="1"/>
  <c r="I68" i="1"/>
  <c r="L68" i="1"/>
  <c r="M68" i="1"/>
  <c r="N68" i="1"/>
  <c r="G70" i="1"/>
  <c r="G184" i="1" s="1"/>
  <c r="H70" i="1"/>
  <c r="H184" i="1" s="1"/>
  <c r="I70" i="1"/>
  <c r="I184" i="1" s="1"/>
  <c r="K70" i="1"/>
  <c r="K184" i="1" s="1"/>
  <c r="L70" i="1"/>
  <c r="L184" i="1" s="1"/>
  <c r="M70" i="1"/>
  <c r="M184" i="1" s="1"/>
  <c r="N70" i="1"/>
  <c r="N184" i="1" s="1"/>
  <c r="O70" i="1"/>
  <c r="O184" i="1" s="1"/>
  <c r="G14" i="1"/>
  <c r="H14" i="1"/>
  <c r="I14" i="1"/>
  <c r="L14" i="1"/>
  <c r="M14" i="1"/>
  <c r="N14" i="1"/>
  <c r="F73" i="1" l="1"/>
  <c r="F70" i="1" s="1"/>
  <c r="F184" i="1" s="1"/>
  <c r="F90" i="1" l="1"/>
  <c r="F32" i="1" l="1"/>
  <c r="F28" i="1" l="1"/>
  <c r="H56" i="1" l="1"/>
  <c r="H46" i="1" s="1"/>
  <c r="O141" i="1"/>
  <c r="N134" i="3" s="1"/>
  <c r="K141" i="1"/>
  <c r="J134" i="3" s="1"/>
  <c r="F169" i="1" l="1"/>
  <c r="I169" i="1"/>
  <c r="I166" i="1" s="1"/>
  <c r="F56" i="1"/>
  <c r="F53" i="1" l="1"/>
  <c r="F172" i="1" l="1"/>
  <c r="E114" i="3" s="1"/>
  <c r="O138" i="1"/>
  <c r="O123" i="1" s="1"/>
  <c r="K138" i="1"/>
  <c r="K123" i="1" s="1"/>
  <c r="F166" i="1" l="1"/>
  <c r="F158" i="1"/>
  <c r="F108" i="1"/>
  <c r="F68" i="1"/>
  <c r="F46" i="1"/>
  <c r="E13" i="3" l="1"/>
  <c r="O14" i="1"/>
  <c r="K14" i="1"/>
  <c r="O115" i="1"/>
  <c r="O113" i="1" s="1"/>
  <c r="K115" i="1" l="1"/>
  <c r="K113" i="1" s="1"/>
  <c r="O104" i="1" l="1"/>
  <c r="K104" i="1"/>
  <c r="F116" i="1"/>
  <c r="D141" i="1" l="1"/>
  <c r="F35" i="1" l="1"/>
  <c r="F92" i="1" l="1"/>
  <c r="F180" i="1"/>
  <c r="F174" i="1" s="1"/>
  <c r="F119" i="1" l="1"/>
  <c r="F113" i="1" s="1"/>
  <c r="O76" i="1" l="1"/>
  <c r="K76" i="1"/>
  <c r="O69" i="1" l="1"/>
  <c r="O68" i="1" l="1"/>
  <c r="K69" i="1"/>
  <c r="K68" i="1" s="1"/>
  <c r="E125" i="3"/>
  <c r="F125" i="3"/>
  <c r="G125" i="3"/>
  <c r="H125" i="3"/>
  <c r="J125" i="3"/>
  <c r="K125" i="3"/>
  <c r="L125" i="3"/>
  <c r="M125" i="3"/>
  <c r="N125" i="3"/>
  <c r="J121" i="1"/>
  <c r="E121" i="1"/>
  <c r="C121" i="1"/>
  <c r="D121" i="1"/>
  <c r="B121" i="1"/>
  <c r="P121" i="1" l="1"/>
  <c r="E14" i="3"/>
  <c r="F14" i="3"/>
  <c r="G14" i="3"/>
  <c r="H14" i="3"/>
  <c r="J14" i="3"/>
  <c r="K14" i="3"/>
  <c r="L14" i="3"/>
  <c r="M14" i="3"/>
  <c r="N14" i="3"/>
  <c r="E17" i="3"/>
  <c r="F17" i="3"/>
  <c r="G17" i="3"/>
  <c r="H17" i="3"/>
  <c r="K17" i="3"/>
  <c r="L17" i="3"/>
  <c r="M17" i="3"/>
  <c r="N17" i="3"/>
  <c r="E19" i="3"/>
  <c r="F19" i="3"/>
  <c r="G19" i="3"/>
  <c r="H19" i="3"/>
  <c r="K19" i="3"/>
  <c r="L19" i="3"/>
  <c r="M19" i="3"/>
  <c r="E20" i="3"/>
  <c r="F20" i="3"/>
  <c r="G20" i="3"/>
  <c r="H20" i="3"/>
  <c r="J20" i="3"/>
  <c r="K20" i="3"/>
  <c r="L20" i="3"/>
  <c r="M20" i="3"/>
  <c r="N20" i="3"/>
  <c r="E21" i="3"/>
  <c r="F21" i="3"/>
  <c r="G21" i="3"/>
  <c r="H21" i="3"/>
  <c r="J21" i="3"/>
  <c r="K21" i="3"/>
  <c r="L21" i="3"/>
  <c r="M21" i="3"/>
  <c r="N21" i="3"/>
  <c r="E22" i="3"/>
  <c r="F22" i="3"/>
  <c r="G22" i="3"/>
  <c r="H22" i="3"/>
  <c r="J22" i="3"/>
  <c r="K22" i="3"/>
  <c r="L22" i="3"/>
  <c r="M22" i="3"/>
  <c r="N22" i="3"/>
  <c r="E23" i="3"/>
  <c r="F23" i="3"/>
  <c r="G23" i="3"/>
  <c r="H23" i="3"/>
  <c r="J23" i="3"/>
  <c r="K23" i="3"/>
  <c r="L23" i="3"/>
  <c r="M23" i="3"/>
  <c r="N23" i="3"/>
  <c r="E24" i="3"/>
  <c r="F24" i="3"/>
  <c r="G24" i="3"/>
  <c r="H24" i="3"/>
  <c r="J24" i="3"/>
  <c r="K24" i="3"/>
  <c r="L24" i="3"/>
  <c r="M24" i="3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6" i="3"/>
  <c r="F46" i="3"/>
  <c r="G46" i="3"/>
  <c r="H46" i="3"/>
  <c r="K46" i="3"/>
  <c r="L46" i="3"/>
  <c r="M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2" i="3"/>
  <c r="E91" i="3" s="1"/>
  <c r="F92" i="3"/>
  <c r="F91" i="3" s="1"/>
  <c r="G92" i="3"/>
  <c r="G91" i="3" s="1"/>
  <c r="H92" i="3"/>
  <c r="H91" i="3" s="1"/>
  <c r="J92" i="3"/>
  <c r="J91" i="3" s="1"/>
  <c r="K92" i="3"/>
  <c r="K91" i="3" s="1"/>
  <c r="L92" i="3"/>
  <c r="L91" i="3" s="1"/>
  <c r="M92" i="3"/>
  <c r="M91" i="3" s="1"/>
  <c r="N92" i="3"/>
  <c r="N91" i="3" s="1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100" i="3"/>
  <c r="F100" i="3"/>
  <c r="G100" i="3"/>
  <c r="H100" i="3"/>
  <c r="J100" i="3"/>
  <c r="K100" i="3"/>
  <c r="L100" i="3"/>
  <c r="M100" i="3"/>
  <c r="N100" i="3"/>
  <c r="E103" i="3"/>
  <c r="E102" i="3" s="1"/>
  <c r="F103" i="3"/>
  <c r="F102" i="3" s="1"/>
  <c r="G103" i="3"/>
  <c r="G102" i="3" s="1"/>
  <c r="H103" i="3"/>
  <c r="H102" i="3" s="1"/>
  <c r="J103" i="3"/>
  <c r="J102" i="3" s="1"/>
  <c r="K103" i="3"/>
  <c r="K102" i="3" s="1"/>
  <c r="L103" i="3"/>
  <c r="L102" i="3" s="1"/>
  <c r="M103" i="3"/>
  <c r="M102" i="3" s="1"/>
  <c r="N103" i="3"/>
  <c r="N102" i="3" s="1"/>
  <c r="E105" i="3"/>
  <c r="E104" i="3" s="1"/>
  <c r="F105" i="3"/>
  <c r="F104" i="3" s="1"/>
  <c r="G105" i="3"/>
  <c r="G104" i="3" s="1"/>
  <c r="H105" i="3"/>
  <c r="H104" i="3" s="1"/>
  <c r="J105" i="3"/>
  <c r="J104" i="3" s="1"/>
  <c r="K105" i="3"/>
  <c r="K104" i="3" s="1"/>
  <c r="L105" i="3"/>
  <c r="L104" i="3" s="1"/>
  <c r="M105" i="3"/>
  <c r="M104" i="3" s="1"/>
  <c r="N105" i="3"/>
  <c r="N104" i="3" s="1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F112" i="3"/>
  <c r="G112" i="3"/>
  <c r="H112" i="3"/>
  <c r="J112" i="3"/>
  <c r="K112" i="3"/>
  <c r="L112" i="3"/>
  <c r="M112" i="3"/>
  <c r="N112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E121" i="3" s="1"/>
  <c r="F122" i="3"/>
  <c r="F121" i="3" s="1"/>
  <c r="G122" i="3"/>
  <c r="G121" i="3" s="1"/>
  <c r="H122" i="3"/>
  <c r="H121" i="3" s="1"/>
  <c r="J122" i="3"/>
  <c r="J121" i="3" s="1"/>
  <c r="K122" i="3"/>
  <c r="K121" i="3" s="1"/>
  <c r="L122" i="3"/>
  <c r="L121" i="3" s="1"/>
  <c r="M122" i="3"/>
  <c r="M121" i="3" s="1"/>
  <c r="N122" i="3"/>
  <c r="N121" i="3" s="1"/>
  <c r="E124" i="3"/>
  <c r="E123" i="3" s="1"/>
  <c r="F124" i="3"/>
  <c r="F123" i="3" s="1"/>
  <c r="G124" i="3"/>
  <c r="H124" i="3"/>
  <c r="J124" i="3"/>
  <c r="K124" i="3"/>
  <c r="K123" i="3" s="1"/>
  <c r="L124" i="3"/>
  <c r="M124" i="3"/>
  <c r="M123" i="3" s="1"/>
  <c r="N124" i="3"/>
  <c r="E127" i="3"/>
  <c r="E126" i="3" s="1"/>
  <c r="F127" i="3"/>
  <c r="F126" i="3" s="1"/>
  <c r="G127" i="3"/>
  <c r="G126" i="3" s="1"/>
  <c r="H127" i="3"/>
  <c r="H126" i="3" s="1"/>
  <c r="J127" i="3"/>
  <c r="J126" i="3" s="1"/>
  <c r="K127" i="3"/>
  <c r="K126" i="3" s="1"/>
  <c r="L127" i="3"/>
  <c r="L126" i="3" s="1"/>
  <c r="M127" i="3"/>
  <c r="M126" i="3" s="1"/>
  <c r="N127" i="3"/>
  <c r="N126" i="3" s="1"/>
  <c r="E128" i="3"/>
  <c r="F128" i="3"/>
  <c r="G128" i="3"/>
  <c r="H128" i="3"/>
  <c r="J128" i="3"/>
  <c r="K128" i="3"/>
  <c r="L128" i="3"/>
  <c r="M128" i="3"/>
  <c r="N128" i="3"/>
  <c r="D129" i="3"/>
  <c r="E129" i="3"/>
  <c r="F129" i="3"/>
  <c r="G129" i="3"/>
  <c r="H129" i="3"/>
  <c r="J129" i="3"/>
  <c r="K129" i="3"/>
  <c r="L129" i="3"/>
  <c r="M129" i="3"/>
  <c r="N129" i="3"/>
  <c r="E132" i="3"/>
  <c r="E131" i="3" s="1"/>
  <c r="F132" i="3"/>
  <c r="F131" i="3" s="1"/>
  <c r="G132" i="3"/>
  <c r="G131" i="3" s="1"/>
  <c r="H132" i="3"/>
  <c r="H131" i="3" s="1"/>
  <c r="J132" i="3"/>
  <c r="J131" i="3" s="1"/>
  <c r="K132" i="3"/>
  <c r="K131" i="3" s="1"/>
  <c r="L132" i="3"/>
  <c r="L131" i="3" s="1"/>
  <c r="M132" i="3"/>
  <c r="M131" i="3" s="1"/>
  <c r="N132" i="3"/>
  <c r="N131" i="3" s="1"/>
  <c r="E133" i="3"/>
  <c r="F133" i="3"/>
  <c r="G133" i="3"/>
  <c r="H133" i="3"/>
  <c r="J133" i="3"/>
  <c r="K133" i="3"/>
  <c r="L133" i="3"/>
  <c r="M133" i="3"/>
  <c r="N133" i="3"/>
  <c r="F31" i="1"/>
  <c r="O156" i="1"/>
  <c r="O146" i="1" s="1"/>
  <c r="L139" i="1"/>
  <c r="J49" i="1"/>
  <c r="I17" i="3" s="1"/>
  <c r="J176" i="1"/>
  <c r="J177" i="1"/>
  <c r="J178" i="1"/>
  <c r="I124" i="3" s="1"/>
  <c r="J179" i="1"/>
  <c r="J180" i="1"/>
  <c r="I128" i="3" s="1"/>
  <c r="J181" i="1"/>
  <c r="I129" i="3" s="1"/>
  <c r="J182" i="1"/>
  <c r="I132" i="3" s="1"/>
  <c r="I131" i="3" s="1"/>
  <c r="J175" i="1"/>
  <c r="J168" i="1"/>
  <c r="I92" i="3" s="1"/>
  <c r="I91" i="3" s="1"/>
  <c r="J169" i="1"/>
  <c r="J170" i="1"/>
  <c r="I109" i="3" s="1"/>
  <c r="J171" i="1"/>
  <c r="I110" i="3" s="1"/>
  <c r="J172" i="1"/>
  <c r="J167" i="1"/>
  <c r="J164" i="1"/>
  <c r="J148" i="1"/>
  <c r="J149" i="1"/>
  <c r="I88" i="3" s="1"/>
  <c r="J150" i="1"/>
  <c r="J151" i="1"/>
  <c r="I95" i="3" s="1"/>
  <c r="J152" i="1"/>
  <c r="I96" i="3" s="1"/>
  <c r="J154" i="1"/>
  <c r="J159" i="1"/>
  <c r="J160" i="1"/>
  <c r="J161" i="1"/>
  <c r="J147" i="1"/>
  <c r="J144" i="1"/>
  <c r="J125" i="1"/>
  <c r="J126" i="1"/>
  <c r="I82" i="3" s="1"/>
  <c r="J127" i="1"/>
  <c r="I83" i="3" s="1"/>
  <c r="J128" i="1"/>
  <c r="I84" i="3" s="1"/>
  <c r="J129" i="1"/>
  <c r="I85" i="3" s="1"/>
  <c r="J130" i="1"/>
  <c r="I86" i="3" s="1"/>
  <c r="J131" i="1"/>
  <c r="J132" i="1"/>
  <c r="J133" i="1"/>
  <c r="J134" i="1"/>
  <c r="J135" i="1"/>
  <c r="I99" i="3" s="1"/>
  <c r="J136" i="1"/>
  <c r="I100" i="3" s="1"/>
  <c r="J137" i="1"/>
  <c r="J138" i="1"/>
  <c r="J140" i="1"/>
  <c r="J141" i="1"/>
  <c r="J124" i="1"/>
  <c r="J116" i="1"/>
  <c r="I70" i="3" s="1"/>
  <c r="J117" i="1"/>
  <c r="J118" i="1"/>
  <c r="J119" i="1"/>
  <c r="J120" i="1"/>
  <c r="J114" i="1"/>
  <c r="J110" i="1"/>
  <c r="I54" i="3" s="1"/>
  <c r="J111" i="1"/>
  <c r="I55" i="3" s="1"/>
  <c r="J109" i="1"/>
  <c r="J89" i="1"/>
  <c r="I47" i="3" s="1"/>
  <c r="J90" i="1"/>
  <c r="J91" i="1"/>
  <c r="I49" i="3" s="1"/>
  <c r="J92" i="1"/>
  <c r="J93" i="1"/>
  <c r="I51" i="3" s="1"/>
  <c r="J94" i="1"/>
  <c r="I52" i="3" s="1"/>
  <c r="J95" i="1"/>
  <c r="I53" i="3" s="1"/>
  <c r="J96" i="1"/>
  <c r="I59" i="3" s="1"/>
  <c r="J97" i="1"/>
  <c r="I60" i="3" s="1"/>
  <c r="J98" i="1"/>
  <c r="I61" i="3" s="1"/>
  <c r="J99" i="1"/>
  <c r="I62" i="3" s="1"/>
  <c r="J100" i="1"/>
  <c r="I63" i="3" s="1"/>
  <c r="J101" i="1"/>
  <c r="I64" i="3" s="1"/>
  <c r="J102" i="1"/>
  <c r="I65" i="3" s="1"/>
  <c r="J103" i="1"/>
  <c r="J104" i="1"/>
  <c r="J105" i="1"/>
  <c r="J106" i="1"/>
  <c r="J87" i="1"/>
  <c r="J72" i="1"/>
  <c r="I34" i="3" s="1"/>
  <c r="J73" i="1"/>
  <c r="J74" i="1"/>
  <c r="I36" i="3" s="1"/>
  <c r="J75" i="1"/>
  <c r="I37" i="3" s="1"/>
  <c r="J76" i="1"/>
  <c r="I38" i="3" s="1"/>
  <c r="J77" i="1"/>
  <c r="I39" i="3" s="1"/>
  <c r="J78" i="1"/>
  <c r="I40" i="3" s="1"/>
  <c r="J79" i="1"/>
  <c r="I41" i="3" s="1"/>
  <c r="J80" i="1"/>
  <c r="I42" i="3" s="1"/>
  <c r="J81" i="1"/>
  <c r="I43" i="3" s="1"/>
  <c r="J82" i="1"/>
  <c r="I44" i="3" s="1"/>
  <c r="J71" i="1"/>
  <c r="J52" i="1"/>
  <c r="J53" i="1"/>
  <c r="I21" i="3" s="1"/>
  <c r="J54" i="1"/>
  <c r="I22" i="3" s="1"/>
  <c r="J55" i="1"/>
  <c r="I23" i="3" s="1"/>
  <c r="J56" i="1"/>
  <c r="I25" i="3" s="1"/>
  <c r="J57" i="1"/>
  <c r="I26" i="3" s="1"/>
  <c r="J58" i="1"/>
  <c r="I27" i="3" s="1"/>
  <c r="J59" i="1"/>
  <c r="I28" i="3" s="1"/>
  <c r="J60" i="1"/>
  <c r="I29" i="3" s="1"/>
  <c r="J61" i="1"/>
  <c r="I30" i="3" s="1"/>
  <c r="J63" i="1"/>
  <c r="J64" i="1"/>
  <c r="J65" i="1"/>
  <c r="J66" i="1"/>
  <c r="J67" i="1"/>
  <c r="J48" i="1"/>
  <c r="J16" i="1"/>
  <c r="I14" i="3" s="1"/>
  <c r="J17" i="1"/>
  <c r="J18" i="1"/>
  <c r="J19" i="1"/>
  <c r="I56" i="3" s="1"/>
  <c r="J20" i="1"/>
  <c r="I57" i="3" s="1"/>
  <c r="J21" i="1"/>
  <c r="J22" i="1"/>
  <c r="J23" i="1"/>
  <c r="J24" i="1"/>
  <c r="J25" i="1"/>
  <c r="J26" i="1"/>
  <c r="J27" i="1"/>
  <c r="I75" i="3" s="1"/>
  <c r="J28" i="1"/>
  <c r="I76" i="3" s="1"/>
  <c r="J29" i="1"/>
  <c r="J30" i="1"/>
  <c r="I78" i="3" s="1"/>
  <c r="J31" i="1"/>
  <c r="I79" i="3" s="1"/>
  <c r="J32" i="1"/>
  <c r="I80" i="3" s="1"/>
  <c r="J33" i="1"/>
  <c r="I103" i="3" s="1"/>
  <c r="I102" i="3" s="1"/>
  <c r="J34" i="1"/>
  <c r="I105" i="3" s="1"/>
  <c r="I104" i="3" s="1"/>
  <c r="J35" i="1"/>
  <c r="J36" i="1"/>
  <c r="J37" i="1"/>
  <c r="I112" i="3" s="1"/>
  <c r="J38" i="1"/>
  <c r="J39" i="1"/>
  <c r="J40" i="1"/>
  <c r="I119" i="3" s="1"/>
  <c r="J41" i="1"/>
  <c r="I120" i="3" s="1"/>
  <c r="J42" i="1"/>
  <c r="I122" i="3" s="1"/>
  <c r="I121" i="3" s="1"/>
  <c r="J43" i="1"/>
  <c r="J44" i="1"/>
  <c r="I127" i="3" s="1"/>
  <c r="I126" i="3" s="1"/>
  <c r="J15" i="1"/>
  <c r="I89" i="3" l="1"/>
  <c r="J174" i="1"/>
  <c r="M93" i="3"/>
  <c r="K93" i="3"/>
  <c r="H93" i="3"/>
  <c r="F93" i="3"/>
  <c r="M130" i="3"/>
  <c r="N93" i="3"/>
  <c r="L93" i="3"/>
  <c r="J93" i="3"/>
  <c r="G93" i="3"/>
  <c r="E93" i="3"/>
  <c r="K130" i="3"/>
  <c r="H130" i="3"/>
  <c r="I13" i="3"/>
  <c r="I12" i="3" s="1"/>
  <c r="I114" i="3"/>
  <c r="K113" i="3"/>
  <c r="K106" i="3" s="1"/>
  <c r="L123" i="1"/>
  <c r="J47" i="1"/>
  <c r="I134" i="3"/>
  <c r="I133" i="3" s="1"/>
  <c r="I130" i="3" s="1"/>
  <c r="N16" i="3"/>
  <c r="L16" i="3"/>
  <c r="J16" i="3"/>
  <c r="G16" i="3"/>
  <c r="E16" i="3"/>
  <c r="M16" i="3"/>
  <c r="K16" i="3"/>
  <c r="H16" i="3"/>
  <c r="F16" i="3"/>
  <c r="F130" i="3"/>
  <c r="N130" i="3"/>
  <c r="L130" i="3"/>
  <c r="J130" i="3"/>
  <c r="G130" i="3"/>
  <c r="E130" i="3"/>
  <c r="N81" i="3"/>
  <c r="L81" i="3"/>
  <c r="J81" i="3"/>
  <c r="G81" i="3"/>
  <c r="M81" i="3"/>
  <c r="K81" i="3"/>
  <c r="H81" i="3"/>
  <c r="F81" i="3"/>
  <c r="L45" i="3"/>
  <c r="H45" i="3"/>
  <c r="F45" i="3"/>
  <c r="M45" i="3"/>
  <c r="K45" i="3"/>
  <c r="G45" i="3"/>
  <c r="I32" i="3"/>
  <c r="M33" i="3"/>
  <c r="K33" i="3"/>
  <c r="H33" i="3"/>
  <c r="F33" i="3"/>
  <c r="N32" i="3"/>
  <c r="L32" i="3"/>
  <c r="J32" i="3"/>
  <c r="G32" i="3"/>
  <c r="E32" i="3"/>
  <c r="N33" i="3"/>
  <c r="L33" i="3"/>
  <c r="J33" i="3"/>
  <c r="G33" i="3"/>
  <c r="E33" i="3"/>
  <c r="M32" i="3"/>
  <c r="K32" i="3"/>
  <c r="H32" i="3"/>
  <c r="F32" i="3"/>
  <c r="L15" i="3"/>
  <c r="H15" i="3"/>
  <c r="F15" i="3"/>
  <c r="M15" i="3"/>
  <c r="K15" i="3"/>
  <c r="G15" i="3"/>
  <c r="E15" i="3"/>
  <c r="I20" i="3"/>
  <c r="I16" i="3" s="1"/>
  <c r="J166" i="1"/>
  <c r="J158" i="1"/>
  <c r="J157" i="1" s="1"/>
  <c r="J156" i="1"/>
  <c r="J146" i="1" s="1"/>
  <c r="J108" i="1"/>
  <c r="I73" i="3"/>
  <c r="I71" i="3"/>
  <c r="I35" i="3"/>
  <c r="I33" i="3" s="1"/>
  <c r="J70" i="1"/>
  <c r="I111" i="3"/>
  <c r="I72" i="3"/>
  <c r="J14" i="1"/>
  <c r="E79" i="3"/>
  <c r="E74" i="3" s="1"/>
  <c r="I98" i="3"/>
  <c r="I94" i="3"/>
  <c r="L118" i="3"/>
  <c r="J118" i="3"/>
  <c r="G118" i="3"/>
  <c r="I68" i="3"/>
  <c r="I48" i="3"/>
  <c r="I125" i="3"/>
  <c r="I123" i="3" s="1"/>
  <c r="I107" i="3"/>
  <c r="I77" i="3"/>
  <c r="I74" i="3" s="1"/>
  <c r="I58" i="3"/>
  <c r="I66" i="3"/>
  <c r="N108" i="3"/>
  <c r="N106" i="3" s="1"/>
  <c r="N118" i="3"/>
  <c r="H118" i="3"/>
  <c r="M118" i="3"/>
  <c r="M117" i="3" s="1"/>
  <c r="K118" i="3"/>
  <c r="K117" i="3" s="1"/>
  <c r="F118" i="3"/>
  <c r="F117" i="3" s="1"/>
  <c r="E118" i="3"/>
  <c r="E117" i="3" s="1"/>
  <c r="L12" i="3"/>
  <c r="I87" i="3"/>
  <c r="I81" i="3" s="1"/>
  <c r="I118" i="3"/>
  <c r="M74" i="3"/>
  <c r="F74" i="3"/>
  <c r="I67" i="3"/>
  <c r="I50" i="3"/>
  <c r="N123" i="3"/>
  <c r="L123" i="3"/>
  <c r="J123" i="3"/>
  <c r="H123" i="3"/>
  <c r="G123" i="3"/>
  <c r="M106" i="3"/>
  <c r="F106" i="3"/>
  <c r="K74" i="3"/>
  <c r="L69" i="3"/>
  <c r="H69" i="3"/>
  <c r="N12" i="3"/>
  <c r="J12" i="3"/>
  <c r="H12" i="3"/>
  <c r="G12" i="3"/>
  <c r="M12" i="3"/>
  <c r="K12" i="3"/>
  <c r="F12" i="3"/>
  <c r="E12" i="3"/>
  <c r="L106" i="3"/>
  <c r="J106" i="3"/>
  <c r="H106" i="3"/>
  <c r="G106" i="3"/>
  <c r="N69" i="3"/>
  <c r="J69" i="3"/>
  <c r="G69" i="3"/>
  <c r="M69" i="3"/>
  <c r="K69" i="3"/>
  <c r="F69" i="3"/>
  <c r="E69" i="3"/>
  <c r="N74" i="3"/>
  <c r="L74" i="3"/>
  <c r="J74" i="3"/>
  <c r="H74" i="3"/>
  <c r="G74" i="3"/>
  <c r="J139" i="1"/>
  <c r="I113" i="3" s="1"/>
  <c r="K90" i="3" l="1"/>
  <c r="K135" i="3" s="1"/>
  <c r="I93" i="3"/>
  <c r="H90" i="3"/>
  <c r="F136" i="3"/>
  <c r="F140" i="3" s="1"/>
  <c r="M90" i="3"/>
  <c r="M135" i="3" s="1"/>
  <c r="G90" i="3"/>
  <c r="L90" i="3"/>
  <c r="F90" i="3"/>
  <c r="F135" i="3" s="1"/>
  <c r="J90" i="3"/>
  <c r="N90" i="3"/>
  <c r="J184" i="1"/>
  <c r="K136" i="3"/>
  <c r="K140" i="3" s="1"/>
  <c r="J123" i="1"/>
  <c r="H136" i="3"/>
  <c r="H140" i="3" s="1"/>
  <c r="M136" i="3"/>
  <c r="M140" i="3" s="1"/>
  <c r="I136" i="3"/>
  <c r="I140" i="3" s="1"/>
  <c r="E136" i="3"/>
  <c r="E140" i="3" s="1"/>
  <c r="J136" i="3"/>
  <c r="J140" i="3" s="1"/>
  <c r="N136" i="3"/>
  <c r="N140" i="3" s="1"/>
  <c r="G136" i="3"/>
  <c r="G140" i="3" s="1"/>
  <c r="L136" i="3"/>
  <c r="L140" i="3" s="1"/>
  <c r="I69" i="3"/>
  <c r="L117" i="3"/>
  <c r="G117" i="3"/>
  <c r="N117" i="3"/>
  <c r="J117" i="3"/>
  <c r="I117" i="3"/>
  <c r="H117" i="3"/>
  <c r="F37" i="1"/>
  <c r="F14" i="1" s="1"/>
  <c r="E178" i="1"/>
  <c r="D124" i="3" s="1"/>
  <c r="C178" i="1"/>
  <c r="D178" i="1"/>
  <c r="B178" i="1"/>
  <c r="E89" i="3" l="1"/>
  <c r="E81" i="3" s="1"/>
  <c r="F123" i="1"/>
  <c r="G135" i="3"/>
  <c r="L135" i="3"/>
  <c r="H135" i="3"/>
  <c r="E112" i="3"/>
  <c r="E106" i="3" s="1"/>
  <c r="E90" i="3" s="1"/>
  <c r="J83" i="1"/>
  <c r="J69" i="1" s="1"/>
  <c r="P178" i="1"/>
  <c r="O124" i="3" s="1"/>
  <c r="I108" i="3" l="1"/>
  <c r="I106" i="3" s="1"/>
  <c r="I90" i="3" s="1"/>
  <c r="J68" i="1"/>
  <c r="E136" i="1" l="1"/>
  <c r="C136" i="1"/>
  <c r="D136" i="1"/>
  <c r="B136" i="1"/>
  <c r="D100" i="3" l="1"/>
  <c r="P136" i="1"/>
  <c r="O100" i="3" s="1"/>
  <c r="F99" i="1"/>
  <c r="E62" i="3" l="1"/>
  <c r="F86" i="1"/>
  <c r="E45" i="3"/>
  <c r="E135" i="3" s="1"/>
  <c r="J17" i="3"/>
  <c r="N19" i="3" l="1"/>
  <c r="O46" i="1"/>
  <c r="J19" i="3"/>
  <c r="J15" i="3" s="1"/>
  <c r="K46" i="1"/>
  <c r="J51" i="1"/>
  <c r="I19" i="3" l="1"/>
  <c r="J46" i="1"/>
  <c r="N24" i="3"/>
  <c r="N15" i="3" s="1"/>
  <c r="J115" i="1"/>
  <c r="J113" i="1" s="1"/>
  <c r="D38" i="1"/>
  <c r="D161" i="1"/>
  <c r="D139" i="1"/>
  <c r="C117" i="1"/>
  <c r="D117" i="1"/>
  <c r="B117" i="1"/>
  <c r="D110" i="1"/>
  <c r="D61" i="1"/>
  <c r="D59" i="1"/>
  <c r="P181" i="1"/>
  <c r="O129" i="3" s="1"/>
  <c r="E176" i="1"/>
  <c r="E177" i="1"/>
  <c r="E179" i="1"/>
  <c r="E180" i="1"/>
  <c r="D128" i="3" s="1"/>
  <c r="E182" i="1"/>
  <c r="D132" i="3" s="1"/>
  <c r="D131" i="3" s="1"/>
  <c r="E175" i="1"/>
  <c r="K173" i="1"/>
  <c r="L173" i="1"/>
  <c r="M173" i="1"/>
  <c r="N173" i="1"/>
  <c r="O173" i="1"/>
  <c r="F173" i="1"/>
  <c r="G173" i="1"/>
  <c r="H173" i="1"/>
  <c r="I173" i="1"/>
  <c r="E168" i="1"/>
  <c r="D92" i="3" s="1"/>
  <c r="D91" i="3" s="1"/>
  <c r="E169" i="1"/>
  <c r="E170" i="1"/>
  <c r="D109" i="3" s="1"/>
  <c r="E171" i="1"/>
  <c r="D110" i="3" s="1"/>
  <c r="E172" i="1"/>
  <c r="E167" i="1"/>
  <c r="K165" i="1"/>
  <c r="L165" i="1"/>
  <c r="M165" i="1"/>
  <c r="N165" i="1"/>
  <c r="O165" i="1"/>
  <c r="F165" i="1"/>
  <c r="G165" i="1"/>
  <c r="H165" i="1"/>
  <c r="I165" i="1"/>
  <c r="J163" i="1"/>
  <c r="J162" i="1" s="1"/>
  <c r="E164" i="1"/>
  <c r="K163" i="1"/>
  <c r="K162" i="1" s="1"/>
  <c r="L163" i="1"/>
  <c r="L162" i="1" s="1"/>
  <c r="M163" i="1"/>
  <c r="M162" i="1" s="1"/>
  <c r="N163" i="1"/>
  <c r="N162" i="1" s="1"/>
  <c r="O163" i="1"/>
  <c r="O162" i="1" s="1"/>
  <c r="F163" i="1"/>
  <c r="F162" i="1" s="1"/>
  <c r="G163" i="1"/>
  <c r="G162" i="1" s="1"/>
  <c r="H163" i="1"/>
  <c r="H162" i="1" s="1"/>
  <c r="I163" i="1"/>
  <c r="I162" i="1" s="1"/>
  <c r="E163" i="1"/>
  <c r="E162" i="1" s="1"/>
  <c r="E160" i="1"/>
  <c r="E161" i="1"/>
  <c r="E159" i="1"/>
  <c r="K157" i="1"/>
  <c r="L157" i="1"/>
  <c r="M157" i="1"/>
  <c r="N157" i="1"/>
  <c r="O157" i="1"/>
  <c r="F157" i="1"/>
  <c r="G157" i="1"/>
  <c r="H157" i="1"/>
  <c r="I157" i="1"/>
  <c r="E148" i="1"/>
  <c r="E149" i="1"/>
  <c r="D88" i="3" s="1"/>
  <c r="E150" i="1"/>
  <c r="E151" i="1"/>
  <c r="D95" i="3" s="1"/>
  <c r="E152" i="1"/>
  <c r="D96" i="3" s="1"/>
  <c r="E154" i="1"/>
  <c r="E156" i="1"/>
  <c r="E147" i="1"/>
  <c r="K145" i="1"/>
  <c r="M145" i="1"/>
  <c r="N145" i="1"/>
  <c r="O145" i="1"/>
  <c r="F145" i="1"/>
  <c r="G145" i="1"/>
  <c r="H145" i="1"/>
  <c r="I145" i="1"/>
  <c r="J143" i="1"/>
  <c r="J142" i="1" s="1"/>
  <c r="E144" i="1"/>
  <c r="E143" i="1" s="1"/>
  <c r="E142" i="1" s="1"/>
  <c r="K143" i="1"/>
  <c r="K142" i="1" s="1"/>
  <c r="L143" i="1"/>
  <c r="L142" i="1" s="1"/>
  <c r="M143" i="1"/>
  <c r="M142" i="1" s="1"/>
  <c r="N143" i="1"/>
  <c r="N142" i="1" s="1"/>
  <c r="O143" i="1"/>
  <c r="O142" i="1" s="1"/>
  <c r="F143" i="1"/>
  <c r="F142" i="1" s="1"/>
  <c r="G143" i="1"/>
  <c r="G142" i="1" s="1"/>
  <c r="H143" i="1"/>
  <c r="H142" i="1" s="1"/>
  <c r="I143" i="1"/>
  <c r="I142" i="1" s="1"/>
  <c r="E125" i="1"/>
  <c r="P125" i="1" s="1"/>
  <c r="E126" i="1"/>
  <c r="D82" i="3" s="1"/>
  <c r="E127" i="1"/>
  <c r="E128" i="1"/>
  <c r="D84" i="3" s="1"/>
  <c r="E129" i="1"/>
  <c r="D85" i="3" s="1"/>
  <c r="E130" i="1"/>
  <c r="D86" i="3" s="1"/>
  <c r="E131" i="1"/>
  <c r="E132" i="1"/>
  <c r="D89" i="3" s="1"/>
  <c r="E133" i="1"/>
  <c r="E134" i="1"/>
  <c r="P134" i="1" s="1"/>
  <c r="E135" i="1"/>
  <c r="D99" i="3" s="1"/>
  <c r="E137" i="1"/>
  <c r="E138" i="1"/>
  <c r="P138" i="1" s="1"/>
  <c r="E139" i="1"/>
  <c r="P139" i="1" s="1"/>
  <c r="E140" i="1"/>
  <c r="P140" i="1" s="1"/>
  <c r="E141" i="1"/>
  <c r="E124" i="1"/>
  <c r="K122" i="1"/>
  <c r="L122" i="1"/>
  <c r="M122" i="1"/>
  <c r="N122" i="1"/>
  <c r="O122" i="1"/>
  <c r="F122" i="1"/>
  <c r="G122" i="1"/>
  <c r="H122" i="1"/>
  <c r="I122" i="1"/>
  <c r="E115" i="1"/>
  <c r="D24" i="3" s="1"/>
  <c r="E116" i="1"/>
  <c r="D70" i="3" s="1"/>
  <c r="E117" i="1"/>
  <c r="E118" i="1"/>
  <c r="E119" i="1"/>
  <c r="E120" i="1"/>
  <c r="E114" i="1"/>
  <c r="K112" i="1"/>
  <c r="L112" i="1"/>
  <c r="M112" i="1"/>
  <c r="N112" i="1"/>
  <c r="F112" i="1"/>
  <c r="G112" i="1"/>
  <c r="H112" i="1"/>
  <c r="I112" i="1"/>
  <c r="E110" i="1"/>
  <c r="D54" i="3" s="1"/>
  <c r="E111" i="1"/>
  <c r="D55" i="3" s="1"/>
  <c r="E109" i="1"/>
  <c r="K107" i="1"/>
  <c r="L107" i="1"/>
  <c r="M107" i="1"/>
  <c r="N107" i="1"/>
  <c r="O107" i="1"/>
  <c r="F107" i="1"/>
  <c r="G107" i="1"/>
  <c r="H107" i="1"/>
  <c r="I107" i="1"/>
  <c r="E88" i="1"/>
  <c r="D46" i="3" s="1"/>
  <c r="E89" i="1"/>
  <c r="D47" i="3" s="1"/>
  <c r="E90" i="1"/>
  <c r="E91" i="1"/>
  <c r="D49" i="3" s="1"/>
  <c r="E92" i="1"/>
  <c r="E93" i="1"/>
  <c r="D51" i="3" s="1"/>
  <c r="E94" i="1"/>
  <c r="D52" i="3" s="1"/>
  <c r="E95" i="1"/>
  <c r="D53" i="3" s="1"/>
  <c r="E96" i="1"/>
  <c r="D59" i="3" s="1"/>
  <c r="E97" i="1"/>
  <c r="E98" i="1"/>
  <c r="D61" i="3" s="1"/>
  <c r="E99" i="1"/>
  <c r="D62" i="3" s="1"/>
  <c r="E100" i="1"/>
  <c r="D63" i="3" s="1"/>
  <c r="E101" i="1"/>
  <c r="D64" i="3" s="1"/>
  <c r="E102" i="1"/>
  <c r="D65" i="3" s="1"/>
  <c r="E103" i="1"/>
  <c r="E104" i="1"/>
  <c r="E105" i="1"/>
  <c r="P105" i="1" s="1"/>
  <c r="E106" i="1"/>
  <c r="E87" i="1"/>
  <c r="L85" i="1"/>
  <c r="M85" i="1"/>
  <c r="N85" i="1"/>
  <c r="F85" i="1"/>
  <c r="G85" i="1"/>
  <c r="H85" i="1"/>
  <c r="I85" i="1"/>
  <c r="E72" i="1"/>
  <c r="D34" i="3" s="1"/>
  <c r="E73" i="1"/>
  <c r="E74" i="1"/>
  <c r="D36" i="3" s="1"/>
  <c r="E75" i="1"/>
  <c r="D37" i="3" s="1"/>
  <c r="E76" i="1"/>
  <c r="D38" i="3" s="1"/>
  <c r="E77" i="1"/>
  <c r="D39" i="3" s="1"/>
  <c r="E78" i="1"/>
  <c r="D40" i="3" s="1"/>
  <c r="E79" i="1"/>
  <c r="D41" i="3" s="1"/>
  <c r="E80" i="1"/>
  <c r="D42" i="3" s="1"/>
  <c r="E81" i="1"/>
  <c r="D43" i="3" s="1"/>
  <c r="E82" i="1"/>
  <c r="D44" i="3" s="1"/>
  <c r="E83" i="1"/>
  <c r="E71" i="1"/>
  <c r="E69" i="1" s="1"/>
  <c r="K45" i="1"/>
  <c r="L45" i="1"/>
  <c r="M45" i="1"/>
  <c r="N45" i="1"/>
  <c r="O45" i="1"/>
  <c r="F45" i="1"/>
  <c r="G45" i="1"/>
  <c r="H45" i="1"/>
  <c r="I45" i="1"/>
  <c r="E49" i="1"/>
  <c r="D17" i="3" s="1"/>
  <c r="E51" i="1"/>
  <c r="D19" i="3" s="1"/>
  <c r="E52" i="1"/>
  <c r="E53" i="1"/>
  <c r="D21" i="3" s="1"/>
  <c r="E54" i="1"/>
  <c r="D22" i="3" s="1"/>
  <c r="E55" i="1"/>
  <c r="D23" i="3" s="1"/>
  <c r="E56" i="1"/>
  <c r="D25" i="3" s="1"/>
  <c r="E57" i="1"/>
  <c r="D26" i="3" s="1"/>
  <c r="E58" i="1"/>
  <c r="D27" i="3" s="1"/>
  <c r="E59" i="1"/>
  <c r="D28" i="3" s="1"/>
  <c r="E60" i="1"/>
  <c r="D29" i="3" s="1"/>
  <c r="E61" i="1"/>
  <c r="D30" i="3" s="1"/>
  <c r="E63" i="1"/>
  <c r="E64" i="1"/>
  <c r="E65" i="1"/>
  <c r="E66" i="1"/>
  <c r="E67" i="1"/>
  <c r="P67" i="1" s="1"/>
  <c r="E48" i="1"/>
  <c r="E16" i="1"/>
  <c r="D14" i="3" s="1"/>
  <c r="E17" i="1"/>
  <c r="E18" i="1"/>
  <c r="E19" i="1"/>
  <c r="D56" i="3" s="1"/>
  <c r="E20" i="1"/>
  <c r="D57" i="3" s="1"/>
  <c r="E21" i="1"/>
  <c r="E22" i="1"/>
  <c r="E23" i="1"/>
  <c r="E24" i="1"/>
  <c r="E25" i="1"/>
  <c r="E26" i="1"/>
  <c r="E27" i="1"/>
  <c r="D75" i="3" s="1"/>
  <c r="E28" i="1"/>
  <c r="D76" i="3" s="1"/>
  <c r="E29" i="1"/>
  <c r="E30" i="1"/>
  <c r="D78" i="3" s="1"/>
  <c r="E31" i="1"/>
  <c r="D79" i="3" s="1"/>
  <c r="E32" i="1"/>
  <c r="D80" i="3" s="1"/>
  <c r="E33" i="1"/>
  <c r="D103" i="3" s="1"/>
  <c r="D102" i="3" s="1"/>
  <c r="E34" i="1"/>
  <c r="D105" i="3" s="1"/>
  <c r="D104" i="3" s="1"/>
  <c r="E35" i="1"/>
  <c r="E36" i="1"/>
  <c r="E37" i="1"/>
  <c r="D112" i="3" s="1"/>
  <c r="E38" i="1"/>
  <c r="E39" i="1"/>
  <c r="E40" i="1"/>
  <c r="D119" i="3" s="1"/>
  <c r="E41" i="1"/>
  <c r="D120" i="3" s="1"/>
  <c r="E42" i="1"/>
  <c r="D122" i="3" s="1"/>
  <c r="D121" i="3" s="1"/>
  <c r="E43" i="1"/>
  <c r="E44" i="1"/>
  <c r="D127" i="3" s="1"/>
  <c r="D126" i="3" s="1"/>
  <c r="E15" i="1"/>
  <c r="K13" i="1"/>
  <c r="M13" i="1"/>
  <c r="N13" i="1"/>
  <c r="O13" i="1"/>
  <c r="F13" i="1"/>
  <c r="G13" i="1"/>
  <c r="H13" i="1"/>
  <c r="I13" i="1"/>
  <c r="L13" i="1"/>
  <c r="E146" i="1" l="1"/>
  <c r="E174" i="1"/>
  <c r="H183" i="1"/>
  <c r="G139" i="3" s="1"/>
  <c r="N183" i="1"/>
  <c r="M139" i="3" s="1"/>
  <c r="D114" i="3"/>
  <c r="I183" i="1"/>
  <c r="H139" i="3" s="1"/>
  <c r="M183" i="1"/>
  <c r="L139" i="3" s="1"/>
  <c r="P141" i="1"/>
  <c r="D134" i="3"/>
  <c r="D133" i="3" s="1"/>
  <c r="D130" i="3" s="1"/>
  <c r="D113" i="3"/>
  <c r="E47" i="1"/>
  <c r="E86" i="1"/>
  <c r="E85" i="1" s="1"/>
  <c r="G183" i="1"/>
  <c r="F139" i="3" s="1"/>
  <c r="F183" i="1"/>
  <c r="E139" i="3" s="1"/>
  <c r="E46" i="1"/>
  <c r="D13" i="3"/>
  <c r="D12" i="3" s="1"/>
  <c r="D83" i="3"/>
  <c r="E123" i="1"/>
  <c r="E122" i="1" s="1"/>
  <c r="D32" i="3"/>
  <c r="D15" i="3"/>
  <c r="D20" i="3"/>
  <c r="D16" i="3" s="1"/>
  <c r="E158" i="1"/>
  <c r="E157" i="1" s="1"/>
  <c r="E166" i="1"/>
  <c r="E165" i="1" s="1"/>
  <c r="E145" i="1"/>
  <c r="D87" i="3"/>
  <c r="E113" i="1"/>
  <c r="E112" i="1" s="1"/>
  <c r="E108" i="1"/>
  <c r="E107" i="1" s="1"/>
  <c r="D111" i="3"/>
  <c r="E70" i="1"/>
  <c r="E14" i="1"/>
  <c r="E13" i="1" s="1"/>
  <c r="D35" i="3"/>
  <c r="D33" i="3" s="1"/>
  <c r="D60" i="3"/>
  <c r="D107" i="3"/>
  <c r="P124" i="1"/>
  <c r="O112" i="1"/>
  <c r="D72" i="3"/>
  <c r="D108" i="3"/>
  <c r="D66" i="3"/>
  <c r="D94" i="3"/>
  <c r="D125" i="3"/>
  <c r="D123" i="3" s="1"/>
  <c r="D73" i="3"/>
  <c r="D71" i="3"/>
  <c r="D98" i="3"/>
  <c r="I24" i="3"/>
  <c r="I15" i="3" s="1"/>
  <c r="J112" i="1"/>
  <c r="D118" i="3"/>
  <c r="D68" i="3"/>
  <c r="D77" i="3"/>
  <c r="D74" i="3" s="1"/>
  <c r="D58" i="3"/>
  <c r="P106" i="1"/>
  <c r="D67" i="3"/>
  <c r="D50" i="3"/>
  <c r="D48" i="3"/>
  <c r="P15" i="1"/>
  <c r="P43" i="1"/>
  <c r="P41" i="1"/>
  <c r="O120" i="3" s="1"/>
  <c r="P39" i="1"/>
  <c r="P37" i="1"/>
  <c r="O112" i="3" s="1"/>
  <c r="P35" i="1"/>
  <c r="P65" i="1"/>
  <c r="P63" i="1"/>
  <c r="P61" i="1"/>
  <c r="O30" i="3" s="1"/>
  <c r="P60" i="1"/>
  <c r="O29" i="3" s="1"/>
  <c r="P59" i="1"/>
  <c r="O28" i="3" s="1"/>
  <c r="P57" i="1"/>
  <c r="O26" i="3" s="1"/>
  <c r="P55" i="1"/>
  <c r="O23" i="3" s="1"/>
  <c r="P53" i="1"/>
  <c r="O21" i="3" s="1"/>
  <c r="P51" i="1"/>
  <c r="O19" i="3" s="1"/>
  <c r="P71" i="1"/>
  <c r="E68" i="1"/>
  <c r="P102" i="1"/>
  <c r="O65" i="3" s="1"/>
  <c r="P100" i="1"/>
  <c r="O63" i="3" s="1"/>
  <c r="P98" i="1"/>
  <c r="O61" i="3" s="1"/>
  <c r="P96" i="1"/>
  <c r="O59" i="3" s="1"/>
  <c r="P94" i="1"/>
  <c r="O52" i="3" s="1"/>
  <c r="P92" i="1"/>
  <c r="P90" i="1"/>
  <c r="P132" i="1"/>
  <c r="P130" i="1"/>
  <c r="O86" i="3" s="1"/>
  <c r="P127" i="1"/>
  <c r="O83" i="3" s="1"/>
  <c r="P151" i="1"/>
  <c r="O95" i="3" s="1"/>
  <c r="P182" i="1"/>
  <c r="O132" i="3" s="1"/>
  <c r="O131" i="3" s="1"/>
  <c r="P44" i="1"/>
  <c r="O127" i="3" s="1"/>
  <c r="O126" i="3" s="1"/>
  <c r="P42" i="1"/>
  <c r="O122" i="3" s="1"/>
  <c r="O121" i="3" s="1"/>
  <c r="P40" i="1"/>
  <c r="O119" i="3" s="1"/>
  <c r="P38" i="1"/>
  <c r="P36" i="1"/>
  <c r="O111" i="3" s="1"/>
  <c r="P34" i="1"/>
  <c r="O105" i="3" s="1"/>
  <c r="O104" i="3" s="1"/>
  <c r="P66" i="1"/>
  <c r="P64" i="1"/>
  <c r="P58" i="1"/>
  <c r="O27" i="3" s="1"/>
  <c r="P56" i="1"/>
  <c r="O25" i="3" s="1"/>
  <c r="P54" i="1"/>
  <c r="O22" i="3" s="1"/>
  <c r="P52" i="1"/>
  <c r="P87" i="1"/>
  <c r="P103" i="1"/>
  <c r="O66" i="3" s="1"/>
  <c r="P101" i="1"/>
  <c r="O64" i="3" s="1"/>
  <c r="P99" i="1"/>
  <c r="O62" i="3" s="1"/>
  <c r="P97" i="1"/>
  <c r="O60" i="3" s="1"/>
  <c r="P95" i="1"/>
  <c r="O53" i="3" s="1"/>
  <c r="P93" i="1"/>
  <c r="O51" i="3" s="1"/>
  <c r="P91" i="1"/>
  <c r="O49" i="3" s="1"/>
  <c r="P89" i="1"/>
  <c r="O47" i="3" s="1"/>
  <c r="P135" i="1"/>
  <c r="O99" i="3" s="1"/>
  <c r="P131" i="1"/>
  <c r="P129" i="1"/>
  <c r="O85" i="3" s="1"/>
  <c r="P128" i="1"/>
  <c r="O84" i="3" s="1"/>
  <c r="P152" i="1"/>
  <c r="O96" i="3" s="1"/>
  <c r="P175" i="1"/>
  <c r="E173" i="1"/>
  <c r="J122" i="1"/>
  <c r="P137" i="1"/>
  <c r="P159" i="1"/>
  <c r="P160" i="1"/>
  <c r="P170" i="1"/>
  <c r="O109" i="3" s="1"/>
  <c r="J165" i="1"/>
  <c r="P179" i="1"/>
  <c r="P176" i="1"/>
  <c r="P111" i="1"/>
  <c r="O55" i="3" s="1"/>
  <c r="P110" i="1"/>
  <c r="O54" i="3" s="1"/>
  <c r="P33" i="1"/>
  <c r="O103" i="3" s="1"/>
  <c r="O102" i="3" s="1"/>
  <c r="P29" i="1"/>
  <c r="P27" i="1"/>
  <c r="O75" i="3" s="1"/>
  <c r="P25" i="1"/>
  <c r="P23" i="1"/>
  <c r="P21" i="1"/>
  <c r="P19" i="1"/>
  <c r="O56" i="3" s="1"/>
  <c r="P17" i="1"/>
  <c r="P114" i="1"/>
  <c r="P156" i="1"/>
  <c r="P164" i="1"/>
  <c r="P163" i="1" s="1"/>
  <c r="P162" i="1" s="1"/>
  <c r="P171" i="1"/>
  <c r="O110" i="3" s="1"/>
  <c r="P169" i="1"/>
  <c r="P168" i="1"/>
  <c r="O92" i="3" s="1"/>
  <c r="O91" i="3" s="1"/>
  <c r="P172" i="1"/>
  <c r="P133" i="1"/>
  <c r="P32" i="1"/>
  <c r="O80" i="3" s="1"/>
  <c r="P30" i="1"/>
  <c r="O78" i="3" s="1"/>
  <c r="P28" i="1"/>
  <c r="O76" i="3" s="1"/>
  <c r="P26" i="1"/>
  <c r="P22" i="1"/>
  <c r="P20" i="1"/>
  <c r="O57" i="3" s="1"/>
  <c r="P18" i="1"/>
  <c r="P83" i="1"/>
  <c r="P82" i="1"/>
  <c r="O44" i="3" s="1"/>
  <c r="P81" i="1"/>
  <c r="O43" i="3" s="1"/>
  <c r="P79" i="1"/>
  <c r="O41" i="3" s="1"/>
  <c r="P78" i="1"/>
  <c r="O40" i="3" s="1"/>
  <c r="P76" i="1"/>
  <c r="O38" i="3" s="1"/>
  <c r="P74" i="1"/>
  <c r="O36" i="3" s="1"/>
  <c r="P72" i="1"/>
  <c r="O34" i="3" s="1"/>
  <c r="P80" i="1"/>
  <c r="O42" i="3" s="1"/>
  <c r="P77" i="1"/>
  <c r="O39" i="3" s="1"/>
  <c r="P75" i="1"/>
  <c r="O37" i="3" s="1"/>
  <c r="P73" i="1"/>
  <c r="J107" i="1"/>
  <c r="P119" i="1"/>
  <c r="P120" i="1"/>
  <c r="P116" i="1"/>
  <c r="O70" i="3" s="1"/>
  <c r="P154" i="1"/>
  <c r="O98" i="3" s="1"/>
  <c r="P150" i="1"/>
  <c r="P16" i="1"/>
  <c r="O14" i="3" s="1"/>
  <c r="P24" i="1"/>
  <c r="P126" i="1"/>
  <c r="O82" i="3" s="1"/>
  <c r="P161" i="1"/>
  <c r="P31" i="1"/>
  <c r="O79" i="3" s="1"/>
  <c r="P49" i="1"/>
  <c r="O17" i="3" s="1"/>
  <c r="P109" i="1"/>
  <c r="P118" i="1"/>
  <c r="P117" i="1"/>
  <c r="P177" i="1"/>
  <c r="P147" i="1"/>
  <c r="P148" i="1"/>
  <c r="P180" i="1"/>
  <c r="O128" i="3" s="1"/>
  <c r="J173" i="1"/>
  <c r="J45" i="1"/>
  <c r="E45" i="1"/>
  <c r="P167" i="1"/>
  <c r="P144" i="1"/>
  <c r="P143" i="1" s="1"/>
  <c r="P142" i="1" s="1"/>
  <c r="P48" i="1"/>
  <c r="J13" i="1"/>
  <c r="P104" i="1"/>
  <c r="P115" i="1"/>
  <c r="O24" i="3" s="1"/>
  <c r="D93" i="3" l="1"/>
  <c r="P69" i="1"/>
  <c r="O114" i="3"/>
  <c r="E184" i="1"/>
  <c r="O13" i="3"/>
  <c r="O12" i="3" s="1"/>
  <c r="P47" i="1"/>
  <c r="O113" i="3"/>
  <c r="O89" i="3"/>
  <c r="O134" i="3"/>
  <c r="O133" i="3" s="1"/>
  <c r="O130" i="3" s="1"/>
  <c r="D81" i="3"/>
  <c r="E183" i="1"/>
  <c r="P123" i="1"/>
  <c r="D136" i="3"/>
  <c r="D45" i="3"/>
  <c r="O32" i="3"/>
  <c r="O15" i="3"/>
  <c r="O20" i="3"/>
  <c r="O16" i="3" s="1"/>
  <c r="P46" i="1"/>
  <c r="P45" i="1" s="1"/>
  <c r="P174" i="1"/>
  <c r="P166" i="1"/>
  <c r="P158" i="1"/>
  <c r="P113" i="1"/>
  <c r="P108" i="1"/>
  <c r="O35" i="3"/>
  <c r="O33" i="3" s="1"/>
  <c r="P70" i="1"/>
  <c r="P68" i="1"/>
  <c r="P14" i="1"/>
  <c r="O94" i="3"/>
  <c r="O93" i="3" s="1"/>
  <c r="D106" i="3"/>
  <c r="D90" i="3" s="1"/>
  <c r="O67" i="3"/>
  <c r="D117" i="3"/>
  <c r="D69" i="3"/>
  <c r="O107" i="3"/>
  <c r="O125" i="3"/>
  <c r="O123" i="3" s="1"/>
  <c r="O118" i="3"/>
  <c r="O87" i="3"/>
  <c r="O73" i="3"/>
  <c r="O72" i="3"/>
  <c r="O68" i="3"/>
  <c r="O50" i="3"/>
  <c r="O77" i="3"/>
  <c r="O74" i="3" s="1"/>
  <c r="O71" i="3"/>
  <c r="O108" i="3"/>
  <c r="O48" i="3"/>
  <c r="O58" i="3"/>
  <c r="L145" i="1"/>
  <c r="L183" i="1" s="1"/>
  <c r="K139" i="3" s="1"/>
  <c r="D140" i="3" l="1"/>
  <c r="P184" i="1"/>
  <c r="O136" i="3"/>
  <c r="D135" i="3"/>
  <c r="D139" i="3" s="1"/>
  <c r="O117" i="3"/>
  <c r="O106" i="3"/>
  <c r="O90" i="3" s="1"/>
  <c r="O69" i="3"/>
  <c r="P149" i="1"/>
  <c r="P146" i="1" s="1"/>
  <c r="J145" i="1"/>
  <c r="O140" i="3" l="1"/>
  <c r="O88" i="3"/>
  <c r="O81" i="3" s="1"/>
  <c r="O88" i="1" l="1"/>
  <c r="K88" i="1"/>
  <c r="J46" i="3" l="1"/>
  <c r="J45" i="3" s="1"/>
  <c r="J135" i="3" s="1"/>
  <c r="K86" i="1"/>
  <c r="K85" i="1" s="1"/>
  <c r="K183" i="1" s="1"/>
  <c r="N46" i="3"/>
  <c r="O86" i="1"/>
  <c r="O85" i="1" s="1"/>
  <c r="O183" i="1" s="1"/>
  <c r="N45" i="3"/>
  <c r="N135" i="3" s="1"/>
  <c r="J88" i="1"/>
  <c r="N139" i="3" l="1"/>
  <c r="J139" i="3"/>
  <c r="I46" i="3"/>
  <c r="I45" i="3" s="1"/>
  <c r="I135" i="3" s="1"/>
  <c r="J86" i="1"/>
  <c r="P88" i="1"/>
  <c r="P13" i="1"/>
  <c r="P157" i="1"/>
  <c r="P173" i="1"/>
  <c r="O46" i="3" l="1"/>
  <c r="P86" i="1"/>
  <c r="P85" i="1" s="1"/>
  <c r="O45" i="3"/>
  <c r="O135" i="3" s="1"/>
  <c r="J85" i="1"/>
  <c r="J183" i="1" s="1"/>
  <c r="I139" i="3" s="1"/>
  <c r="P165" i="1"/>
  <c r="P145" i="1"/>
  <c r="P122" i="1"/>
  <c r="P112" i="1"/>
  <c r="P107" i="1"/>
  <c r="P183" i="1" l="1"/>
  <c r="O139" i="3" s="1"/>
  <c r="C41" i="1" l="1"/>
  <c r="C177" i="1" l="1"/>
  <c r="D177" i="1"/>
  <c r="B177" i="1"/>
  <c r="C138" i="1"/>
  <c r="D138" i="1"/>
  <c r="B138" i="1"/>
  <c r="C91" i="1" l="1"/>
  <c r="D91" i="1"/>
  <c r="B91" i="1"/>
  <c r="C24" i="1"/>
  <c r="D24" i="1"/>
  <c r="B24" i="1"/>
  <c r="C64" i="1"/>
  <c r="D64" i="1"/>
  <c r="B64" i="1"/>
  <c r="B79" i="1"/>
  <c r="C79" i="1"/>
  <c r="D79" i="1"/>
  <c r="D80" i="1"/>
  <c r="B97" i="1"/>
  <c r="C97" i="1"/>
  <c r="D97" i="1"/>
  <c r="B98" i="1"/>
  <c r="C98" i="1"/>
  <c r="D98" i="1"/>
  <c r="C94" i="1"/>
  <c r="D94" i="1"/>
  <c r="B94" i="1"/>
  <c r="C161" i="1"/>
  <c r="B161" i="1"/>
  <c r="C160" i="1"/>
  <c r="D160" i="1"/>
  <c r="B160" i="1"/>
  <c r="D82" i="1"/>
  <c r="C82" i="1"/>
  <c r="B82" i="1"/>
  <c r="C81" i="1"/>
  <c r="D81" i="1"/>
  <c r="B81" i="1"/>
  <c r="C38" i="1"/>
  <c r="B38" i="1"/>
  <c r="C106" i="1"/>
  <c r="B106" i="1"/>
  <c r="C104" i="1"/>
  <c r="D104" i="1"/>
  <c r="C105" i="1"/>
  <c r="D105" i="1"/>
  <c r="B105" i="1"/>
  <c r="B104" i="1"/>
  <c r="C103" i="1"/>
  <c r="D103" i="1"/>
  <c r="B103" i="1"/>
  <c r="C102" i="1"/>
  <c r="D102" i="1"/>
  <c r="B102" i="1"/>
  <c r="C101" i="1"/>
  <c r="D101" i="1"/>
  <c r="B101" i="1"/>
  <c r="C100" i="1"/>
  <c r="D100" i="1"/>
  <c r="B100" i="1"/>
  <c r="C99" i="1"/>
  <c r="D99" i="1"/>
  <c r="B99" i="1"/>
  <c r="C96" i="1"/>
  <c r="D96" i="1"/>
  <c r="B96" i="1"/>
  <c r="C95" i="1"/>
  <c r="D95" i="1"/>
  <c r="B95" i="1"/>
  <c r="C93" i="1"/>
  <c r="D93" i="1"/>
  <c r="B93" i="1"/>
  <c r="C92" i="1"/>
  <c r="D92" i="1"/>
  <c r="B92" i="1"/>
  <c r="C90" i="1"/>
  <c r="D90" i="1"/>
  <c r="B90" i="1"/>
  <c r="C89" i="1"/>
  <c r="B89" i="1"/>
  <c r="C88" i="1"/>
  <c r="D88" i="1"/>
  <c r="B88" i="1"/>
  <c r="C83" i="1"/>
  <c r="D83" i="1"/>
  <c r="B83" i="1"/>
  <c r="C78" i="1"/>
  <c r="D78" i="1"/>
  <c r="B78" i="1"/>
  <c r="C76" i="1"/>
  <c r="D76" i="1"/>
  <c r="B76" i="1"/>
  <c r="C74" i="1"/>
  <c r="D74" i="1"/>
  <c r="B74" i="1"/>
  <c r="C72" i="1"/>
  <c r="D72" i="1"/>
  <c r="B72" i="1"/>
  <c r="C67" i="1"/>
  <c r="D67" i="1"/>
  <c r="B67" i="1"/>
  <c r="C66" i="1"/>
  <c r="D66" i="1"/>
  <c r="B66" i="1"/>
  <c r="C65" i="1"/>
  <c r="D65" i="1"/>
  <c r="B65" i="1"/>
  <c r="D63" i="1"/>
  <c r="C63" i="1"/>
  <c r="B63" i="1"/>
  <c r="C59" i="1"/>
  <c r="C60" i="1"/>
  <c r="D60" i="1"/>
  <c r="B60" i="1"/>
  <c r="B59" i="1"/>
  <c r="C58" i="1"/>
  <c r="D58" i="1"/>
  <c r="B58" i="1"/>
  <c r="C56" i="1"/>
  <c r="D56" i="1"/>
  <c r="B56" i="1"/>
  <c r="C55" i="1"/>
  <c r="D55" i="1"/>
  <c r="B55" i="1"/>
  <c r="C53" i="1"/>
  <c r="D53" i="1"/>
  <c r="B53" i="1"/>
  <c r="C51" i="1"/>
  <c r="D51" i="1"/>
  <c r="B51" i="1"/>
  <c r="C49" i="1"/>
  <c r="D49" i="1"/>
  <c r="B49" i="1"/>
  <c r="C44" i="1"/>
  <c r="D44" i="1"/>
  <c r="B44" i="1"/>
  <c r="C43" i="1"/>
  <c r="D43" i="1"/>
  <c r="B43" i="1"/>
  <c r="C42" i="1"/>
  <c r="D42" i="1"/>
  <c r="B42" i="1"/>
  <c r="D41" i="1"/>
  <c r="B41" i="1"/>
  <c r="C40" i="1"/>
  <c r="D40" i="1"/>
  <c r="B40" i="1"/>
  <c r="C39" i="1"/>
  <c r="D39" i="1"/>
  <c r="B39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11" i="1"/>
  <c r="C111" i="1"/>
  <c r="B111" i="1"/>
  <c r="C115" i="1"/>
  <c r="D115" i="1"/>
  <c r="B115" i="1"/>
  <c r="C116" i="1"/>
  <c r="D116" i="1"/>
  <c r="B116" i="1"/>
  <c r="C118" i="1"/>
  <c r="D118" i="1"/>
  <c r="C119" i="1"/>
  <c r="D119" i="1"/>
  <c r="B119" i="1"/>
  <c r="B118" i="1"/>
  <c r="C120" i="1"/>
  <c r="D120" i="1"/>
  <c r="B120" i="1"/>
  <c r="C125" i="1"/>
  <c r="D125" i="1"/>
  <c r="B125" i="1"/>
  <c r="C129" i="1"/>
  <c r="D129" i="1"/>
  <c r="B129" i="1"/>
  <c r="C128" i="1"/>
  <c r="D128" i="1"/>
  <c r="B128" i="1"/>
  <c r="C127" i="1"/>
  <c r="D127" i="1"/>
  <c r="B127" i="1"/>
  <c r="C126" i="1"/>
  <c r="D126" i="1"/>
  <c r="B126" i="1"/>
  <c r="C130" i="1"/>
  <c r="D130" i="1"/>
  <c r="B130" i="1"/>
  <c r="C131" i="1"/>
  <c r="D131" i="1"/>
  <c r="B131" i="1"/>
  <c r="C132" i="1"/>
  <c r="D132" i="1"/>
  <c r="B132" i="1"/>
  <c r="C133" i="1"/>
  <c r="D133" i="1"/>
  <c r="B133" i="1"/>
  <c r="C134" i="1"/>
  <c r="D134" i="1"/>
  <c r="B134" i="1"/>
  <c r="C135" i="1"/>
  <c r="D135" i="1"/>
  <c r="B135" i="1"/>
  <c r="C137" i="1"/>
  <c r="D137" i="1"/>
  <c r="B137" i="1"/>
  <c r="C140" i="1"/>
  <c r="D140" i="1"/>
  <c r="B140" i="1"/>
  <c r="C141" i="1"/>
  <c r="B141" i="1"/>
  <c r="C148" i="1"/>
  <c r="D148" i="1"/>
  <c r="B148" i="1"/>
  <c r="C149" i="1"/>
  <c r="D149" i="1"/>
  <c r="B149" i="1"/>
  <c r="C150" i="1"/>
  <c r="D150" i="1"/>
  <c r="B150" i="1"/>
  <c r="C152" i="1"/>
  <c r="D152" i="1"/>
  <c r="B152" i="1"/>
  <c r="C151" i="1"/>
  <c r="D151" i="1"/>
  <c r="B151" i="1"/>
  <c r="C154" i="1"/>
  <c r="D154" i="1"/>
  <c r="B154" i="1"/>
  <c r="C156" i="1"/>
  <c r="D156" i="1"/>
  <c r="B156" i="1"/>
  <c r="C168" i="1"/>
  <c r="D168" i="1"/>
  <c r="B168" i="1"/>
  <c r="C169" i="1"/>
  <c r="D169" i="1"/>
  <c r="B169" i="1"/>
  <c r="C170" i="1"/>
  <c r="D170" i="1"/>
  <c r="B170" i="1"/>
  <c r="C171" i="1"/>
  <c r="D171" i="1"/>
  <c r="B171" i="1"/>
  <c r="C172" i="1"/>
  <c r="D172" i="1"/>
  <c r="B172" i="1"/>
  <c r="C176" i="1"/>
  <c r="D176" i="1"/>
  <c r="B176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75" i="1"/>
  <c r="B175" i="1"/>
  <c r="C167" i="1"/>
  <c r="B167" i="1"/>
  <c r="C164" i="1"/>
  <c r="B164" i="1"/>
  <c r="C159" i="1"/>
  <c r="B159" i="1"/>
  <c r="C147" i="1"/>
  <c r="B147" i="1"/>
  <c r="C144" i="1"/>
  <c r="B144" i="1"/>
  <c r="C124" i="1"/>
  <c r="B124" i="1"/>
  <c r="C114" i="1"/>
  <c r="B114" i="1"/>
  <c r="C109" i="1"/>
  <c r="B109" i="1"/>
  <c r="C87" i="1"/>
  <c r="B87" i="1"/>
  <c r="C71" i="1"/>
  <c r="B71" i="1"/>
  <c r="C48" i="1"/>
  <c r="B48" i="1"/>
  <c r="C15" i="1"/>
  <c r="B15" i="1"/>
  <c r="D175" i="1"/>
  <c r="D167" i="1"/>
  <c r="D164" i="1"/>
  <c r="D159" i="1"/>
  <c r="D147" i="1"/>
  <c r="D144" i="1"/>
  <c r="D124" i="1"/>
  <c r="D114" i="1"/>
  <c r="D109" i="1"/>
  <c r="D87" i="1"/>
  <c r="D71" i="1"/>
  <c r="D48" i="1"/>
  <c r="D15" i="1"/>
</calcChain>
</file>

<file path=xl/sharedStrings.xml><?xml version="1.0" encoding="utf-8"?>
<sst xmlns="http://schemas.openxmlformats.org/spreadsheetml/2006/main" count="567" uniqueCount="447">
  <si>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</si>
  <si>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</si>
  <si>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</si>
  <si>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</si>
  <si>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</si>
  <si>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</si>
  <si>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</si>
  <si>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</si>
  <si>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</si>
  <si>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</si>
  <si>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</si>
  <si>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</si>
  <si>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</si>
  <si>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</si>
  <si>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</si>
  <si>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</si>
  <si>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</si>
  <si>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</si>
  <si>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</si>
  <si>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</si>
  <si>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</si>
  <si>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</si>
  <si>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</si>
  <si>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</si>
  <si>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</si>
  <si>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</si>
  <si>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</si>
  <si>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</si>
  <si>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</si>
  <si>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</si>
  <si>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</si>
  <si>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</si>
  <si>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</si>
  <si>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</si>
  <si>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</si>
  <si>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</si>
  <si>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</si>
  <si>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</si>
  <si>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</si>
  <si>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</si>
  <si>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</si>
  <si>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</si>
  <si>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</si>
  <si>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</si>
  <si>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</si>
  <si>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</si>
  <si>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</si>
  <si>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</si>
  <si>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</si>
  <si>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</si>
  <si>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</si>
  <si>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</si>
  <si>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</si>
  <si>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</si>
  <si>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</si>
  <si>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</si>
  <si>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</si>
  <si>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</si>
  <si>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</si>
  <si>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</si>
  <si>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</si>
  <si>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</si>
  <si>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</si>
  <si>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</si>
  <si>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</si>
  <si>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</si>
  <si>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</si>
  <si>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</si>
  <si>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</si>
  <si>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</si>
  <si>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</si>
  <si>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</si>
  <si>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</si>
  <si>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</si>
  <si>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</si>
  <si>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</si>
  <si>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</si>
  <si>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</si>
  <si>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</si>
  <si>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</si>
  <si>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</si>
  <si>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</si>
  <si>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</si>
  <si>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</si>
  <si>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</si>
  <si>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</si>
  <si>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</si>
  <si>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</si>
  <si>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</si>
  <si>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</si>
  <si>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</si>
  <si>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</si>
  <si>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</si>
  <si>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</si>
  <si>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</si>
  <si>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</si>
  <si>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</si>
  <si>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</si>
  <si>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</si>
  <si>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</si>
  <si>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</si>
  <si>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</si>
  <si>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</si>
  <si>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</si>
  <si>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</si>
  <si>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</si>
  <si>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</si>
  <si>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</si>
  <si>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</si>
  <si>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</si>
  <si>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</si>
  <si>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</si>
  <si>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</si>
  <si>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</si>
  <si>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</si>
  <si>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</si>
  <si>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</si>
  <si>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</si>
  <si>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</si>
  <si>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</si>
  <si>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</si>
  <si>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</si>
  <si>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</si>
  <si>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</si>
  <si>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</si>
  <si>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</si>
  <si>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</si>
  <si>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</si>
  <si>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</si>
  <si>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</si>
  <si>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</si>
  <si>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</si>
  <si>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</si>
  <si>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</si>
  <si>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</si>
  <si>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</si>
  <si>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</si>
  <si>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</si>
  <si>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</si>
  <si>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</si>
  <si>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</si>
  <si>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</si>
  <si>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</si>
  <si>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</si>
  <si>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</si>
  <si>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</si>
  <si>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</si>
  <si>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</si>
  <si>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</si>
  <si>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</si>
  <si>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</si>
  <si>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</si>
  <si>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</si>
  <si>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</si>
  <si>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</si>
  <si>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</si>
  <si>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</si>
  <si>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</si>
  <si>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</si>
  <si>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</si>
  <si>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</si>
  <si>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</si>
  <si>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</si>
  <si>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</si>
  <si>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</si>
  <si>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</si>
  <si>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</si>
  <si>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</si>
  <si>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</si>
  <si>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</si>
  <si>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</si>
  <si>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</si>
  <si>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</si>
  <si>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</si>
  <si>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</si>
  <si>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</si>
  <si>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</si>
  <si>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</si>
  <si>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</si>
  <si>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</si>
  <si>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</si>
  <si>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</si>
  <si>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</si>
  <si>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</si>
  <si>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</si>
  <si>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</si>
  <si>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</si>
  <si>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</si>
  <si>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</si>
  <si>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</si>
  <si>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</si>
  <si>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</si>
  <si>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</si>
  <si>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</si>
  <si>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</si>
  <si>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</si>
  <si>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</si>
  <si>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</si>
  <si>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</si>
  <si>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</si>
  <si>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</si>
  <si>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</si>
  <si>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</si>
  <si>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</si>
  <si>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</si>
  <si>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</si>
  <si>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</si>
  <si>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</si>
  <si>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</si>
  <si>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</si>
  <si>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</si>
  <si>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</si>
  <si>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</si>
  <si>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</si>
  <si>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</si>
  <si>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</si>
  <si>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</si>
  <si>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</si>
  <si>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</si>
  <si>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</si>
  <si>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</si>
  <si>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</si>
  <si>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</si>
  <si>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</si>
  <si>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</si>
  <si>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</si>
  <si>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</si>
  <si>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</si>
  <si>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</si>
  <si>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</si>
  <si>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</si>
  <si>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</si>
  <si>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</si>
  <si>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</si>
  <si>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</si>
  <si>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</si>
  <si>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</si>
  <si>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</si>
  <si>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</si>
  <si>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</si>
  <si>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</si>
  <si>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</si>
  <si>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</si>
  <si>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</si>
  <si>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</si>
  <si>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</si>
  <si>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</si>
  <si>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</si>
  <si>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</si>
  <si>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</si>
  <si>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</si>
  <si>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</si>
  <si>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</si>
  <si>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</si>
  <si>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</si>
  <si>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</si>
  <si>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</si>
  <si>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</si>
  <si>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</si>
  <si>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</si>
  <si>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</si>
  <si>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</si>
  <si>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</si>
  <si>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</si>
  <si>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</si>
  <si>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</si>
  <si>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</si>
  <si>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</si>
  <si>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</si>
  <si>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</si>
  <si>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</si>
  <si>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</si>
  <si>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</si>
  <si>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</si>
  <si>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</si>
  <si>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</si>
  <si>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</si>
  <si>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</si>
  <si>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</si>
  <si>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</si>
  <si>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</si>
  <si>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</si>
  <si>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</si>
  <si>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</si>
  <si>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</si>
  <si>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</si>
  <si>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</si>
  <si>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</si>
  <si>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</si>
  <si>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</si>
  <si>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</si>
  <si>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</si>
  <si>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</si>
  <si>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</si>
  <si>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</si>
  <si>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</si>
  <si>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</si>
  <si>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</si>
  <si>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</si>
  <si>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</si>
  <si>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</si>
  <si>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</si>
  <si>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</si>
  <si>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</si>
  <si>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</si>
  <si>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</si>
  <si>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</si>
  <si>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</si>
  <si>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</si>
  <si>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</si>
  <si>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</si>
  <si>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</si>
  <si>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</si>
  <si>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</si>
  <si>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</si>
  <si>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</si>
  <si>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</si>
  <si>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</si>
  <si>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</si>
  <si>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</si>
  <si>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</si>
  <si>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</si>
  <si>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</si>
  <si>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</si>
  <si>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</si>
  <si>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</si>
  <si>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</si>
  <si>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</si>
  <si>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</si>
  <si>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</si>
  <si>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</si>
  <si>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</si>
  <si>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</si>
  <si>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</si>
  <si>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</si>
  <si>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</si>
  <si>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</si>
  <si>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</si>
  <si>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</si>
  <si>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</si>
  <si>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</si>
  <si>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</si>
  <si>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</si>
  <si>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</si>
  <si>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</si>
  <si>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</si>
  <si>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</si>
  <si>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</si>
  <si>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</si>
  <si>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</si>
  <si>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</si>
  <si>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</si>
  <si>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</si>
  <si>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</si>
  <si>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</si>
  <si>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</si>
  <si>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</si>
  <si>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</si>
  <si>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</si>
  <si>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</si>
  <si>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</si>
  <si>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</si>
  <si>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</si>
  <si>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</si>
  <si>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</si>
  <si>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</si>
  <si>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</si>
  <si>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</si>
  <si>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</si>
  <si>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</si>
  <si>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</si>
  <si>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</si>
  <si>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</si>
  <si>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</si>
  <si>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</si>
  <si>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</si>
  <si>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</si>
  <si>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</si>
  <si>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</si>
  <si>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</si>
  <si>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</si>
  <si>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</si>
  <si>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</si>
  <si>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</si>
  <si>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</si>
  <si>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</si>
  <si>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</si>
  <si>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</si>
  <si>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</si>
  <si>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</si>
  <si>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</si>
  <si>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</si>
  <si>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</si>
  <si>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</si>
  <si>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</si>
  <si>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</si>
  <si>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</si>
  <si>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</si>
  <si>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</si>
  <si>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</si>
  <si>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</si>
  <si>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</si>
  <si>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</si>
  <si>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</si>
  <si>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</si>
  <si>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</si>
  <si>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</si>
  <si>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</si>
  <si>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</si>
  <si>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</si>
  <si>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</si>
  <si>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</si>
  <si>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</si>
  <si>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</si>
  <si>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</si>
  <si>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</si>
  <si>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</si>
  <si>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</si>
  <si>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</si>
  <si>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</si>
  <si>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</si>
  <si>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</si>
  <si>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</si>
  <si>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</si>
  <si>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</si>
  <si>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 xml:space="preserve">      код бюджету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</si>
  <si>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</si>
  <si>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</si>
  <si>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</si>
  <si>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</si>
  <si>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</si>
  <si>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</si>
  <si>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</si>
  <si>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</si>
  <si>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</si>
  <si>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</si>
  <si>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</si>
  <si>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</si>
  <si>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</si>
  <si>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</si>
  <si>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 рішення виконавчого комітету</t>
  </si>
  <si>
    <t xml:space="preserve">                   Додаток 3</t>
  </si>
  <si>
    <t xml:space="preserve">                   Додаток 3-1</t>
  </si>
  <si>
    <t>Директор департаменту фінансів, економіки та інвестицій</t>
  </si>
  <si>
    <t>С.А. Липова</t>
  </si>
  <si>
    <t>від                     №</t>
  </si>
  <si>
    <t xml:space="preserve">від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</si>
</sst>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5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>
      <alignment horizontal="right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 vertical="center"/>
    </xf>
    <xf numFmtId="4" fontId="40" fillId="0" borderId="0" xfId="0" applyNumberFormat="1" applyFont="1" applyFill="1" applyAlignment="1" applyProtection="1">
      <alignment horizontal="center" vertical="center"/>
    </xf>
    <xf numFmtId="165" fontId="40" fillId="0" borderId="0" xfId="0" applyNumberFormat="1" applyFont="1" applyFill="1" applyAlignment="1" applyProtection="1">
      <alignment horizontal="center" vertical="center"/>
    </xf>
    <xf numFmtId="3" fontId="41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left" wrapText="1"/>
    </xf>
    <xf numFmtId="3" fontId="41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40" fillId="0" borderId="0" xfId="0" applyNumberFormat="1" applyFont="1" applyFill="1" applyBorder="1" applyAlignment="1">
      <alignment wrapText="1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Border="1"/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2" fontId="33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left"/>
    </xf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1" fontId="39" fillId="0" borderId="0" xfId="0" applyNumberFormat="1" applyFont="1" applyFill="1" applyBorder="1" applyAlignment="1">
      <alignment vertical="center" textRotation="180"/>
    </xf>
    <xf numFmtId="1" fontId="39" fillId="0" borderId="0" xfId="0" applyNumberFormat="1" applyFont="1" applyFill="1" applyBorder="1" applyAlignment="1">
      <alignment horizontal="center" vertical="center" textRotation="180"/>
    </xf>
    <xf numFmtId="0" fontId="28" fillId="0" borderId="0" xfId="0" applyFont="1" applyFill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textRotation="180" wrapText="1"/>
    </xf>
    <xf numFmtId="1" fontId="39" fillId="0" borderId="0" xfId="0" applyNumberFormat="1" applyFont="1" applyFill="1" applyAlignment="1">
      <alignment horizontal="center" vertical="center" textRotation="180"/>
    </xf>
    <xf numFmtId="1" fontId="39" fillId="0" borderId="10" xfId="0" applyNumberFormat="1" applyFont="1" applyFill="1" applyBorder="1" applyAlignment="1">
      <alignment horizontal="center" vertical="center" textRotation="180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/>
    </xf>
    <xf numFmtId="49" fontId="43" fillId="0" borderId="0" xfId="0" applyNumberFormat="1" applyFont="1" applyFill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Alignment="1" applyProtection="1">
      <alignment horizontal="left"/>
    </xf>
    <xf numFmtId="3" fontId="40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textRotation="180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85"/>
  <sheetViews>
    <sheetView showGridLines="0" showZeros="0" tabSelected="1" view="pageBreakPreview" topLeftCell="E67" zoomScale="72" zoomScaleNormal="80" zoomScaleSheetLayoutView="72" workbookViewId="0">
      <selection activeCell="M78" sqref="M78"/>
    </sheetView>
  </sheetViews>
  <sheetFormatPr defaultColWidth="9.1640625" defaultRowHeight="15" x14ac:dyDescent="0.25"/>
  <cols>
    <col min="1" max="1" width="16.6640625" style="93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2.83203125" style="59" customWidth="1"/>
    <col min="12" max="12" width="20.1640625" style="59" customWidth="1"/>
    <col min="13" max="13" width="18.33203125" style="59" customWidth="1"/>
    <col min="14" max="15" width="19.83203125" style="59" customWidth="1"/>
    <col min="16" max="16" width="24.33203125" style="82" customWidth="1"/>
    <col min="17" max="17" width="9.1640625" style="138"/>
    <col min="18" max="530" width="9.1640625" style="34"/>
    <col min="531" max="16384" width="9.1640625" style="20"/>
  </cols>
  <sheetData>
    <row r="1" spans="1:530" ht="26.25" customHeight="1" x14ac:dyDescent="0.25">
      <c r="L1" s="127" t="s">
        <v>441</v>
      </c>
      <c r="M1" s="127"/>
      <c r="N1" s="127"/>
      <c r="O1" s="127"/>
      <c r="P1" s="127"/>
      <c r="Q1" s="141">
        <v>15</v>
      </c>
    </row>
    <row r="2" spans="1:530" ht="26.25" customHeight="1" x14ac:dyDescent="0.25">
      <c r="L2" s="127" t="s">
        <v>440</v>
      </c>
      <c r="M2" s="127"/>
      <c r="N2" s="127"/>
      <c r="O2" s="127"/>
      <c r="P2" s="104"/>
      <c r="Q2" s="141"/>
    </row>
    <row r="3" spans="1:530" ht="26.25" customHeight="1" x14ac:dyDescent="0.25">
      <c r="L3" s="139" t="s">
        <v>445</v>
      </c>
      <c r="M3" s="139"/>
      <c r="N3" s="139"/>
      <c r="O3" s="139"/>
      <c r="P3" s="128"/>
      <c r="Q3" s="141"/>
    </row>
    <row r="4" spans="1:530" x14ac:dyDescent="0.25">
      <c r="P4" s="60"/>
      <c r="Q4" s="141"/>
    </row>
    <row r="5" spans="1:530" x14ac:dyDescent="0.25">
      <c r="P5" s="60"/>
      <c r="Q5" s="141"/>
    </row>
    <row r="6" spans="1:530" s="56" customFormat="1" ht="46.5" customHeight="1" x14ac:dyDescent="0.3">
      <c r="A6" s="143" t="s">
        <v>418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1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</row>
    <row r="7" spans="1:530" s="56" customFormat="1" ht="46.5" customHeight="1" x14ac:dyDescent="0.3">
      <c r="A7" s="145" t="s">
        <v>424</v>
      </c>
      <c r="B7" s="14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41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</row>
    <row r="8" spans="1:530" s="56" customFormat="1" ht="46.5" customHeight="1" x14ac:dyDescent="0.3">
      <c r="A8" s="144" t="s">
        <v>425</v>
      </c>
      <c r="B8" s="144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41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</row>
    <row r="9" spans="1:530" s="58" customFormat="1" ht="14.25" customHeight="1" x14ac:dyDescent="0.25">
      <c r="A9" s="87"/>
      <c r="B9" s="63"/>
      <c r="C9" s="63"/>
      <c r="D9" s="19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18" t="s">
        <v>420</v>
      </c>
      <c r="Q9" s="141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</row>
    <row r="10" spans="1:530" s="21" customFormat="1" ht="34.5" customHeight="1" x14ac:dyDescent="0.2">
      <c r="A10" s="146" t="s">
        <v>397</v>
      </c>
      <c r="B10" s="147" t="s">
        <v>398</v>
      </c>
      <c r="C10" s="147" t="s">
        <v>384</v>
      </c>
      <c r="D10" s="147" t="s">
        <v>399</v>
      </c>
      <c r="E10" s="147" t="s">
        <v>265</v>
      </c>
      <c r="F10" s="147"/>
      <c r="G10" s="147"/>
      <c r="H10" s="147"/>
      <c r="I10" s="147"/>
      <c r="J10" s="147" t="s">
        <v>266</v>
      </c>
      <c r="K10" s="147"/>
      <c r="L10" s="147"/>
      <c r="M10" s="147"/>
      <c r="N10" s="147"/>
      <c r="O10" s="147"/>
      <c r="P10" s="147" t="s">
        <v>267</v>
      </c>
      <c r="Q10" s="141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</row>
    <row r="11" spans="1:530" s="21" customFormat="1" ht="19.5" customHeight="1" x14ac:dyDescent="0.2">
      <c r="A11" s="146"/>
      <c r="B11" s="147"/>
      <c r="C11" s="147"/>
      <c r="D11" s="147"/>
      <c r="E11" s="147" t="s">
        <v>385</v>
      </c>
      <c r="F11" s="147" t="s">
        <v>268</v>
      </c>
      <c r="G11" s="147" t="s">
        <v>269</v>
      </c>
      <c r="H11" s="147"/>
      <c r="I11" s="147" t="s">
        <v>270</v>
      </c>
      <c r="J11" s="147" t="s">
        <v>385</v>
      </c>
      <c r="K11" s="147" t="s">
        <v>386</v>
      </c>
      <c r="L11" s="147" t="s">
        <v>268</v>
      </c>
      <c r="M11" s="147" t="s">
        <v>269</v>
      </c>
      <c r="N11" s="147"/>
      <c r="O11" s="147" t="s">
        <v>270</v>
      </c>
      <c r="P11" s="147"/>
      <c r="Q11" s="141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</row>
    <row r="12" spans="1:530" s="21" customFormat="1" ht="54" customHeight="1" x14ac:dyDescent="0.2">
      <c r="A12" s="146"/>
      <c r="B12" s="147"/>
      <c r="C12" s="147"/>
      <c r="D12" s="147"/>
      <c r="E12" s="147"/>
      <c r="F12" s="147"/>
      <c r="G12" s="80" t="s">
        <v>271</v>
      </c>
      <c r="H12" s="80" t="s">
        <v>272</v>
      </c>
      <c r="I12" s="147"/>
      <c r="J12" s="147"/>
      <c r="K12" s="147"/>
      <c r="L12" s="147"/>
      <c r="M12" s="80" t="s">
        <v>271</v>
      </c>
      <c r="N12" s="80" t="s">
        <v>272</v>
      </c>
      <c r="O12" s="147"/>
      <c r="P12" s="147"/>
      <c r="Q12" s="1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</row>
    <row r="13" spans="1:530" s="31" customFormat="1" ht="19.5" customHeight="1" x14ac:dyDescent="0.2">
      <c r="A13" s="88" t="s">
        <v>180</v>
      </c>
      <c r="B13" s="65"/>
      <c r="C13" s="65"/>
      <c r="D13" s="32" t="s">
        <v>48</v>
      </c>
      <c r="E13" s="66">
        <f>E14</f>
        <v>181472531</v>
      </c>
      <c r="F13" s="66">
        <f t="shared" ref="F13:J13" si="0">F14</f>
        <v>171472531</v>
      </c>
      <c r="G13" s="66">
        <f t="shared" si="0"/>
        <v>93258880</v>
      </c>
      <c r="H13" s="66">
        <f t="shared" si="0"/>
        <v>5289300</v>
      </c>
      <c r="I13" s="66">
        <f t="shared" si="0"/>
        <v>10000000</v>
      </c>
      <c r="J13" s="66">
        <f t="shared" si="0"/>
        <v>34174631</v>
      </c>
      <c r="K13" s="66">
        <f t="shared" ref="K13" si="1">K14</f>
        <v>33661300</v>
      </c>
      <c r="L13" s="66">
        <f t="shared" ref="L13" si="2">L14</f>
        <v>513331</v>
      </c>
      <c r="M13" s="66">
        <f t="shared" ref="M13" si="3">M14</f>
        <v>91105</v>
      </c>
      <c r="N13" s="66">
        <f t="shared" ref="N13" si="4">N14</f>
        <v>52450</v>
      </c>
      <c r="O13" s="66">
        <f t="shared" ref="O13:P13" si="5">O14</f>
        <v>33661300</v>
      </c>
      <c r="P13" s="66">
        <f t="shared" si="5"/>
        <v>215647162</v>
      </c>
      <c r="Q13" s="141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</row>
    <row r="14" spans="1:530" s="40" customFormat="1" ht="19.5" customHeight="1" x14ac:dyDescent="0.25">
      <c r="A14" s="77" t="s">
        <v>181</v>
      </c>
      <c r="B14" s="67"/>
      <c r="C14" s="67"/>
      <c r="D14" s="33" t="s">
        <v>48</v>
      </c>
      <c r="E14" s="68">
        <f>E15+E16+E17+E18+E19+E20+E21+E22+E23+E24+E25+E26+E27+E28+E29+E30+E31+E32+E33+E34+E35+E36+E37+E38+E39+E40+E41+E42+E43+E44</f>
        <v>181472531</v>
      </c>
      <c r="F14" s="68">
        <f t="shared" ref="F14:P14" si="6">F15+F16+F17+F18+F19+F20+F21+F22+F23+F24+F25+F26+F27+F28+F29+F30+F31+F32+F33+F34+F35+F36+F37+F38+F39+F40+F41+F42+F43+F44</f>
        <v>171472531</v>
      </c>
      <c r="G14" s="68">
        <f t="shared" si="6"/>
        <v>93258880</v>
      </c>
      <c r="H14" s="68">
        <f t="shared" si="6"/>
        <v>5289300</v>
      </c>
      <c r="I14" s="68">
        <f t="shared" si="6"/>
        <v>10000000</v>
      </c>
      <c r="J14" s="68">
        <f t="shared" si="6"/>
        <v>34174631</v>
      </c>
      <c r="K14" s="68">
        <f t="shared" si="6"/>
        <v>33661300</v>
      </c>
      <c r="L14" s="68">
        <f t="shared" si="6"/>
        <v>513331</v>
      </c>
      <c r="M14" s="68">
        <f t="shared" si="6"/>
        <v>91105</v>
      </c>
      <c r="N14" s="68">
        <f t="shared" si="6"/>
        <v>52450</v>
      </c>
      <c r="O14" s="68">
        <f t="shared" si="6"/>
        <v>33661300</v>
      </c>
      <c r="P14" s="68">
        <f t="shared" si="6"/>
        <v>215647162</v>
      </c>
      <c r="Q14" s="141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</row>
    <row r="15" spans="1:530" s="23" customFormat="1" ht="46.5" customHeight="1" x14ac:dyDescent="0.25">
      <c r="A15" s="43" t="s">
        <v>182</v>
      </c>
      <c r="B15" s="44" t="str">
        <f>'дод 3-1'!A13</f>
        <v>0160</v>
      </c>
      <c r="C15" s="44" t="str">
        <f>'дод 3-1'!B13</f>
        <v>0111</v>
      </c>
      <c r="D15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5" s="69">
        <f t="shared" ref="E15:E44" si="7">F15+I15</f>
        <v>101127900</v>
      </c>
      <c r="F15" s="69">
        <f>105070300+350000+405400-4697800</f>
        <v>101127900</v>
      </c>
      <c r="G15" s="69">
        <f>77144000-3850700</f>
        <v>73293300</v>
      </c>
      <c r="H15" s="69">
        <v>2750400</v>
      </c>
      <c r="I15" s="69"/>
      <c r="J15" s="69">
        <f>L15+O15</f>
        <v>1230200</v>
      </c>
      <c r="K15" s="69">
        <v>1230200</v>
      </c>
      <c r="L15" s="69"/>
      <c r="M15" s="69"/>
      <c r="N15" s="69"/>
      <c r="O15" s="69">
        <v>1230200</v>
      </c>
      <c r="P15" s="69">
        <f t="shared" ref="P15:P44" si="8">E15+J15</f>
        <v>102358100</v>
      </c>
      <c r="Q15" s="14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</row>
    <row r="16" spans="1:530" s="23" customFormat="1" ht="21.75" customHeight="1" x14ac:dyDescent="0.25">
      <c r="A16" s="43" t="s">
        <v>283</v>
      </c>
      <c r="B16" s="44" t="str">
        <f>'дод 3-1'!A14</f>
        <v>0180</v>
      </c>
      <c r="C16" s="44" t="str">
        <f>'дод 3-1'!B14</f>
        <v>0133</v>
      </c>
      <c r="D16" s="24" t="str">
        <f>'дод 3-1'!C14</f>
        <v>Інша діяльність у сфері державного управління</v>
      </c>
      <c r="E16" s="69">
        <f t="shared" si="7"/>
        <v>310000</v>
      </c>
      <c r="F16" s="69">
        <v>310000</v>
      </c>
      <c r="G16" s="69"/>
      <c r="H16" s="69"/>
      <c r="I16" s="69"/>
      <c r="J16" s="69">
        <f t="shared" ref="J16:J44" si="9">L16+O16</f>
        <v>0</v>
      </c>
      <c r="K16" s="69"/>
      <c r="L16" s="69"/>
      <c r="M16" s="69"/>
      <c r="N16" s="69"/>
      <c r="O16" s="69"/>
      <c r="P16" s="69">
        <f t="shared" si="8"/>
        <v>310000</v>
      </c>
      <c r="Q16" s="14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</row>
    <row r="17" spans="1:530" s="23" customFormat="1" ht="43.5" customHeight="1" x14ac:dyDescent="0.25">
      <c r="A17" s="43" t="s">
        <v>299</v>
      </c>
      <c r="B17" s="44" t="str">
        <f>'дод 3-1'!A48</f>
        <v>3033</v>
      </c>
      <c r="C17" s="44" t="str">
        <f>'дод 3-1'!B48</f>
        <v>1070</v>
      </c>
      <c r="D17" s="24" t="str">
        <f>'дод 3-1'!C48</f>
        <v>Компенсаційні виплати на пільговий проїзд автомобільним транспортом окремим категоріям громадян</v>
      </c>
      <c r="E17" s="69">
        <f t="shared" si="7"/>
        <v>124200</v>
      </c>
      <c r="F17" s="69">
        <v>124200</v>
      </c>
      <c r="G17" s="69"/>
      <c r="H17" s="69"/>
      <c r="I17" s="69"/>
      <c r="J17" s="69">
        <f t="shared" si="9"/>
        <v>0</v>
      </c>
      <c r="K17" s="69"/>
      <c r="L17" s="69"/>
      <c r="M17" s="69"/>
      <c r="N17" s="69"/>
      <c r="O17" s="69"/>
      <c r="P17" s="69">
        <f t="shared" si="8"/>
        <v>124200</v>
      </c>
      <c r="Q17" s="14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</row>
    <row r="18" spans="1:530" s="23" customFormat="1" ht="36.75" customHeight="1" x14ac:dyDescent="0.25">
      <c r="A18" s="43" t="s">
        <v>183</v>
      </c>
      <c r="B18" s="44" t="str">
        <f>'дод 3-1'!A50</f>
        <v>3036</v>
      </c>
      <c r="C18" s="44" t="str">
        <f>'дод 3-1'!B50</f>
        <v>1070</v>
      </c>
      <c r="D18" s="24" t="str">
        <f>'дод 3-1'!C50</f>
        <v>Компенсаційні виплати на пільговий проїзд електротранспортом окремим категоріям громадян</v>
      </c>
      <c r="E18" s="69">
        <f t="shared" si="7"/>
        <v>270325</v>
      </c>
      <c r="F18" s="69">
        <v>270325</v>
      </c>
      <c r="G18" s="69"/>
      <c r="H18" s="69"/>
      <c r="I18" s="69"/>
      <c r="J18" s="69">
        <f t="shared" si="9"/>
        <v>0</v>
      </c>
      <c r="K18" s="69"/>
      <c r="L18" s="69"/>
      <c r="M18" s="69"/>
      <c r="N18" s="69"/>
      <c r="O18" s="69"/>
      <c r="P18" s="69">
        <f t="shared" si="8"/>
        <v>270325</v>
      </c>
      <c r="Q18" s="14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36" customHeight="1" x14ac:dyDescent="0.25">
      <c r="A19" s="43" t="s">
        <v>184</v>
      </c>
      <c r="B19" s="44" t="str">
        <f>'дод 3-1'!A56</f>
        <v>3121</v>
      </c>
      <c r="C19" s="44" t="str">
        <f>'дод 3-1'!B56</f>
        <v>1040</v>
      </c>
      <c r="D19" s="24" t="str">
        <f>'дод 3-1'!C56</f>
        <v>Утримання та забезпечення діяльності центрів соціальних служб для сім’ї, дітей та молоді</v>
      </c>
      <c r="E19" s="69">
        <f t="shared" si="7"/>
        <v>2487735</v>
      </c>
      <c r="F19" s="69">
        <v>2487735</v>
      </c>
      <c r="G19" s="69">
        <v>1883250</v>
      </c>
      <c r="H19" s="69">
        <v>50170</v>
      </c>
      <c r="I19" s="69"/>
      <c r="J19" s="69">
        <f t="shared" si="9"/>
        <v>0</v>
      </c>
      <c r="K19" s="69"/>
      <c r="L19" s="69"/>
      <c r="M19" s="69"/>
      <c r="N19" s="69"/>
      <c r="O19" s="69"/>
      <c r="P19" s="69">
        <f t="shared" si="8"/>
        <v>2487735</v>
      </c>
      <c r="Q19" s="14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48.75" customHeight="1" x14ac:dyDescent="0.25">
      <c r="A20" s="43" t="s">
        <v>185</v>
      </c>
      <c r="B20" s="44" t="str">
        <f>'дод 3-1'!A57</f>
        <v>3131</v>
      </c>
      <c r="C20" s="44" t="str">
        <f>'дод 3-1'!B57</f>
        <v>1040</v>
      </c>
      <c r="D20" s="24" t="str">
        <f>'дод 3-1'!C57</f>
        <v>Здійснення заходів та реалізація проектів на виконання Державної цільової соціальної програми "Молодь України"</v>
      </c>
      <c r="E20" s="69">
        <f t="shared" si="7"/>
        <v>850000</v>
      </c>
      <c r="F20" s="69">
        <v>850000</v>
      </c>
      <c r="G20" s="69"/>
      <c r="H20" s="69"/>
      <c r="I20" s="69"/>
      <c r="J20" s="69">
        <f t="shared" si="9"/>
        <v>0</v>
      </c>
      <c r="K20" s="69"/>
      <c r="L20" s="69"/>
      <c r="M20" s="69"/>
      <c r="N20" s="69"/>
      <c r="O20" s="69"/>
      <c r="P20" s="69">
        <f t="shared" si="8"/>
        <v>850000</v>
      </c>
      <c r="Q20" s="14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60" customHeight="1" x14ac:dyDescent="0.25">
      <c r="A21" s="43" t="s">
        <v>186</v>
      </c>
      <c r="B21" s="44" t="str">
        <f>'дод 3-1'!A58</f>
        <v>3140</v>
      </c>
      <c r="C21" s="44" t="str">
        <f>'дод 3-1'!B58</f>
        <v>1040</v>
      </c>
      <c r="D21" s="24" t="str">
        <f>'дод 3-1'!C58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69">
        <f t="shared" si="7"/>
        <v>560000</v>
      </c>
      <c r="F21" s="69">
        <v>560000</v>
      </c>
      <c r="G21" s="69"/>
      <c r="H21" s="69"/>
      <c r="I21" s="69"/>
      <c r="J21" s="69">
        <f t="shared" si="9"/>
        <v>0</v>
      </c>
      <c r="K21" s="69"/>
      <c r="L21" s="69"/>
      <c r="M21" s="69"/>
      <c r="N21" s="69"/>
      <c r="O21" s="69"/>
      <c r="P21" s="69">
        <f t="shared" si="8"/>
        <v>560000</v>
      </c>
      <c r="Q21" s="14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37.5" customHeight="1" x14ac:dyDescent="0.25">
      <c r="A22" s="43" t="s">
        <v>355</v>
      </c>
      <c r="B22" s="44" t="str">
        <f>'дод 3-1'!A67</f>
        <v>3241</v>
      </c>
      <c r="C22" s="44" t="str">
        <f>'дод 3-1'!B67</f>
        <v>1090</v>
      </c>
      <c r="D22" s="24" t="str">
        <f>'дод 3-1'!C67</f>
        <v>Забезпечення діяльності інших закладів у сфері соціального захисту і соціального забезпечення</v>
      </c>
      <c r="E22" s="69">
        <f t="shared" si="7"/>
        <v>1198395</v>
      </c>
      <c r="F22" s="69">
        <v>1198395</v>
      </c>
      <c r="G22" s="69">
        <v>852910</v>
      </c>
      <c r="H22" s="69">
        <v>114300</v>
      </c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1198395</v>
      </c>
      <c r="Q22" s="14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33.75" customHeight="1" x14ac:dyDescent="0.25">
      <c r="A23" s="43" t="s">
        <v>356</v>
      </c>
      <c r="B23" s="44" t="str">
        <f>'дод 3-1'!A68</f>
        <v>3242</v>
      </c>
      <c r="C23" s="44" t="str">
        <f>'дод 3-1'!B68</f>
        <v>1090</v>
      </c>
      <c r="D23" s="24" t="str">
        <f>'дод 3-1'!C68</f>
        <v>Інші заходи у сфері соціального захисту і соціального забезпечення</v>
      </c>
      <c r="E23" s="69">
        <f t="shared" si="7"/>
        <v>218310</v>
      </c>
      <c r="F23" s="69">
        <v>218310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218310</v>
      </c>
      <c r="Q23" s="14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33.75" customHeight="1" x14ac:dyDescent="0.25">
      <c r="A24" s="43" t="s">
        <v>375</v>
      </c>
      <c r="B24" s="44" t="str">
        <f>'дод 3-1'!A71</f>
        <v>4060</v>
      </c>
      <c r="C24" s="44" t="str">
        <f>'дод 3-1'!B71</f>
        <v>0828</v>
      </c>
      <c r="D24" s="24" t="str">
        <f>'дод 3-1'!C71</f>
        <v>Забезпечення діяльності палаців i будинків культури, клубів, центрів дозвілля та iнших клубних закладів</v>
      </c>
      <c r="E24" s="69">
        <f t="shared" si="7"/>
        <v>4745000</v>
      </c>
      <c r="F24" s="70">
        <v>4745000</v>
      </c>
      <c r="G24" s="69">
        <v>2098000</v>
      </c>
      <c r="H24" s="69">
        <v>727600</v>
      </c>
      <c r="I24" s="69"/>
      <c r="J24" s="69">
        <f t="shared" si="9"/>
        <v>25500</v>
      </c>
      <c r="K24" s="69">
        <v>25500</v>
      </c>
      <c r="L24" s="69"/>
      <c r="M24" s="69"/>
      <c r="N24" s="69"/>
      <c r="O24" s="69">
        <v>25500</v>
      </c>
      <c r="P24" s="69">
        <f t="shared" si="8"/>
        <v>4770500</v>
      </c>
      <c r="Q24" s="14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0.75" customHeight="1" x14ac:dyDescent="0.25">
      <c r="A25" s="43" t="s">
        <v>353</v>
      </c>
      <c r="B25" s="44" t="str">
        <f>'дод 3-1'!A72</f>
        <v>4081</v>
      </c>
      <c r="C25" s="44" t="str">
        <f>'дод 3-1'!B72</f>
        <v>0829</v>
      </c>
      <c r="D25" s="24" t="str">
        <f>'дод 3-1'!C72</f>
        <v>Забезпечення діяльності інших закладів в галузі культури і мистецтва</v>
      </c>
      <c r="E25" s="69">
        <f t="shared" si="7"/>
        <v>2950900</v>
      </c>
      <c r="F25" s="69">
        <f>2374900+300000+276000</f>
        <v>2950900</v>
      </c>
      <c r="G25" s="69">
        <v>1389000</v>
      </c>
      <c r="H25" s="69">
        <v>91200</v>
      </c>
      <c r="I25" s="69"/>
      <c r="J25" s="69">
        <f t="shared" si="9"/>
        <v>224000</v>
      </c>
      <c r="K25" s="69">
        <v>224000</v>
      </c>
      <c r="L25" s="69"/>
      <c r="M25" s="69"/>
      <c r="N25" s="69"/>
      <c r="O25" s="69">
        <v>224000</v>
      </c>
      <c r="P25" s="69">
        <f t="shared" si="8"/>
        <v>3174900</v>
      </c>
      <c r="Q25" s="14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25.5" customHeight="1" x14ac:dyDescent="0.25">
      <c r="A26" s="43" t="s">
        <v>354</v>
      </c>
      <c r="B26" s="44" t="str">
        <f>'дод 3-1'!A73</f>
        <v>4082</v>
      </c>
      <c r="C26" s="44" t="str">
        <f>'дод 3-1'!B73</f>
        <v>0829</v>
      </c>
      <c r="D26" s="24" t="str">
        <f>'дод 3-1'!C73</f>
        <v>Інші заходи в галузі культури і мистецтва</v>
      </c>
      <c r="E26" s="69">
        <f t="shared" si="7"/>
        <v>465000</v>
      </c>
      <c r="F26" s="69">
        <v>465000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465000</v>
      </c>
      <c r="Q26" s="14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36.75" customHeight="1" x14ac:dyDescent="0.25">
      <c r="A27" s="52" t="s">
        <v>187</v>
      </c>
      <c r="B27" s="45" t="str">
        <f>'дод 3-1'!A75</f>
        <v>5011</v>
      </c>
      <c r="C27" s="45" t="str">
        <f>'дод 3-1'!B75</f>
        <v>0810</v>
      </c>
      <c r="D27" s="22" t="str">
        <f>'дод 3-1'!C75</f>
        <v>Проведення навчально-тренувальних зборів і змагань з олімпійських видів спорту</v>
      </c>
      <c r="E27" s="69">
        <f t="shared" si="7"/>
        <v>750000</v>
      </c>
      <c r="F27" s="69">
        <v>750000</v>
      </c>
      <c r="G27" s="69"/>
      <c r="H27" s="69"/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750000</v>
      </c>
      <c r="Q27" s="14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34.5" customHeight="1" x14ac:dyDescent="0.25">
      <c r="A28" s="52" t="s">
        <v>188</v>
      </c>
      <c r="B28" s="45" t="str">
        <f>'дод 3-1'!A76</f>
        <v>5012</v>
      </c>
      <c r="C28" s="45" t="str">
        <f>'дод 3-1'!B76</f>
        <v>0810</v>
      </c>
      <c r="D28" s="22" t="str">
        <f>'дод 3-1'!C76</f>
        <v>Проведення навчально-тренувальних зборів і змагань з неолімпійських видів спорту</v>
      </c>
      <c r="E28" s="69">
        <f t="shared" si="7"/>
        <v>2050000</v>
      </c>
      <c r="F28" s="69">
        <f>750000+1300000</f>
        <v>2050000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2050000</v>
      </c>
      <c r="Q28" s="14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39" customHeight="1" x14ac:dyDescent="0.25">
      <c r="A29" s="52" t="s">
        <v>189</v>
      </c>
      <c r="B29" s="45" t="str">
        <f>'дод 3-1'!A77</f>
        <v>5031</v>
      </c>
      <c r="C29" s="45" t="str">
        <f>'дод 3-1'!B77</f>
        <v>0810</v>
      </c>
      <c r="D29" s="22" t="str">
        <f>'дод 3-1'!C77</f>
        <v>Утримання та навчально-тренувальна робота комунальних дитячо-юнацьких спортивних шкіл</v>
      </c>
      <c r="E29" s="69">
        <f t="shared" si="7"/>
        <v>13106830</v>
      </c>
      <c r="F29" s="69">
        <v>13106830</v>
      </c>
      <c r="G29" s="69">
        <v>9753300</v>
      </c>
      <c r="H29" s="69">
        <v>819990</v>
      </c>
      <c r="I29" s="69">
        <v>0</v>
      </c>
      <c r="J29" s="69">
        <f t="shared" si="9"/>
        <v>500000</v>
      </c>
      <c r="K29" s="69">
        <v>500000</v>
      </c>
      <c r="L29" s="69"/>
      <c r="M29" s="69"/>
      <c r="N29" s="69"/>
      <c r="O29" s="69">
        <v>500000</v>
      </c>
      <c r="P29" s="69">
        <f t="shared" si="8"/>
        <v>13606830</v>
      </c>
      <c r="Q29" s="14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3.75" customHeight="1" x14ac:dyDescent="0.25">
      <c r="A30" s="52" t="s">
        <v>419</v>
      </c>
      <c r="B30" s="45" t="str">
        <f>'дод 3-1'!A78</f>
        <v>5032</v>
      </c>
      <c r="C30" s="45" t="str">
        <f>'дод 3-1'!B78</f>
        <v>0810</v>
      </c>
      <c r="D30" s="22" t="str">
        <f>'дод 3-1'!C78</f>
        <v>Фінансова підтримка дитячо-юнацьких спортивних шкіл фізкультурно-спортивних товариств</v>
      </c>
      <c r="E30" s="69">
        <f t="shared" si="7"/>
        <v>11143630</v>
      </c>
      <c r="F30" s="69">
        <v>11143630</v>
      </c>
      <c r="G30" s="69"/>
      <c r="H30" s="69"/>
      <c r="I30" s="69"/>
      <c r="J30" s="69">
        <f t="shared" si="9"/>
        <v>0</v>
      </c>
      <c r="K30" s="69"/>
      <c r="L30" s="69"/>
      <c r="M30" s="69"/>
      <c r="N30" s="69"/>
      <c r="O30" s="69"/>
      <c r="P30" s="69">
        <f t="shared" si="8"/>
        <v>11143630</v>
      </c>
      <c r="Q30" s="141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48" customHeight="1" x14ac:dyDescent="0.25">
      <c r="A31" s="52" t="s">
        <v>190</v>
      </c>
      <c r="B31" s="45" t="str">
        <f>'дод 3-1'!A79</f>
        <v>5061</v>
      </c>
      <c r="C31" s="45" t="str">
        <f>'дод 3-1'!B79</f>
        <v>0810</v>
      </c>
      <c r="D31" s="22" t="str">
        <f>'дод 3-1'!C79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69">
        <f t="shared" si="7"/>
        <v>3893120</v>
      </c>
      <c r="F31" s="69">
        <f>3728120+165000</f>
        <v>3893120</v>
      </c>
      <c r="G31" s="69">
        <v>2446900</v>
      </c>
      <c r="H31" s="69">
        <v>370100</v>
      </c>
      <c r="I31" s="69"/>
      <c r="J31" s="69">
        <f t="shared" si="9"/>
        <v>1079120</v>
      </c>
      <c r="K31" s="69">
        <v>900000</v>
      </c>
      <c r="L31" s="69">
        <v>179120</v>
      </c>
      <c r="M31" s="69">
        <v>91105</v>
      </c>
      <c r="N31" s="69">
        <v>51050</v>
      </c>
      <c r="O31" s="69">
        <v>900000</v>
      </c>
      <c r="P31" s="69">
        <f t="shared" si="8"/>
        <v>4972240</v>
      </c>
      <c r="Q31" s="141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39" customHeight="1" x14ac:dyDescent="0.25">
      <c r="A32" s="52" t="s">
        <v>410</v>
      </c>
      <c r="B32" s="45" t="str">
        <f>'дод 3-1'!A80</f>
        <v>5062</v>
      </c>
      <c r="C32" s="45" t="str">
        <f>'дод 3-1'!B80</f>
        <v>0810</v>
      </c>
      <c r="D32" s="22" t="str">
        <f>'дод 3-1'!C80</f>
        <v>Підтримка спорту вищих досягнень та організацій, які здійснюють фізкультурно-спортивну діяльність в регіоні</v>
      </c>
      <c r="E32" s="69">
        <f t="shared" si="7"/>
        <v>6608390</v>
      </c>
      <c r="F32" s="69">
        <f>6608390</f>
        <v>6608390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6608390</v>
      </c>
      <c r="Q32" s="141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24" customHeight="1" x14ac:dyDescent="0.25">
      <c r="A33" s="52" t="s">
        <v>191</v>
      </c>
      <c r="B33" s="45" t="str">
        <f>'дод 3-1'!A103</f>
        <v>7412</v>
      </c>
      <c r="C33" s="45" t="str">
        <f>'дод 3-1'!B103</f>
        <v>0451</v>
      </c>
      <c r="D33" s="22" t="str">
        <f>'дод 3-1'!C103</f>
        <v>Регулювання цін на послуги місцевого автотранспорту</v>
      </c>
      <c r="E33" s="69">
        <f t="shared" si="7"/>
        <v>10000000</v>
      </c>
      <c r="F33" s="69"/>
      <c r="G33" s="69"/>
      <c r="H33" s="69"/>
      <c r="I33" s="69">
        <v>10000000</v>
      </c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10000000</v>
      </c>
      <c r="Q33" s="14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19.5" customHeight="1" x14ac:dyDescent="0.25">
      <c r="A34" s="52" t="s">
        <v>275</v>
      </c>
      <c r="B34" s="45" t="str">
        <f>'дод 3-1'!A105</f>
        <v>7530</v>
      </c>
      <c r="C34" s="45" t="str">
        <f>'дод 3-1'!B105</f>
        <v>0460</v>
      </c>
      <c r="D34" s="22" t="str">
        <f>'дод 3-1'!C105</f>
        <v>Інші заходи у сфері зв'язку, телекомунікації та інформатики</v>
      </c>
      <c r="E34" s="69">
        <f t="shared" si="7"/>
        <v>13450000</v>
      </c>
      <c r="F34" s="69">
        <f>10000000+3450000</f>
        <v>13450000</v>
      </c>
      <c r="G34" s="69"/>
      <c r="H34" s="69"/>
      <c r="I34" s="69"/>
      <c r="J34" s="69">
        <f t="shared" si="9"/>
        <v>6050000</v>
      </c>
      <c r="K34" s="69">
        <f>5000000+1050000</f>
        <v>6050000</v>
      </c>
      <c r="L34" s="69"/>
      <c r="M34" s="69"/>
      <c r="N34" s="69"/>
      <c r="O34" s="69">
        <f>5000000+1050000</f>
        <v>6050000</v>
      </c>
      <c r="P34" s="69">
        <f t="shared" si="8"/>
        <v>19500000</v>
      </c>
      <c r="Q34" s="141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17.25" customHeight="1" x14ac:dyDescent="0.25">
      <c r="A35" s="52" t="s">
        <v>192</v>
      </c>
      <c r="B35" s="45" t="str">
        <f>'дод 3-1'!A107</f>
        <v>7610</v>
      </c>
      <c r="C35" s="45" t="str">
        <f>'дод 3-1'!B107</f>
        <v>0411</v>
      </c>
      <c r="D35" s="22" t="str">
        <f>'дод 3-1'!C107</f>
        <v>Сприяння розвитку малого та середнього підприємництва</v>
      </c>
      <c r="E35" s="69">
        <f t="shared" si="7"/>
        <v>215000</v>
      </c>
      <c r="F35" s="69">
        <f>115000+100000</f>
        <v>215000</v>
      </c>
      <c r="G35" s="69"/>
      <c r="H35" s="69"/>
      <c r="I35" s="69"/>
      <c r="J35" s="69">
        <f t="shared" si="9"/>
        <v>0</v>
      </c>
      <c r="K35" s="69"/>
      <c r="L35" s="69"/>
      <c r="M35" s="69"/>
      <c r="N35" s="69"/>
      <c r="O35" s="69"/>
      <c r="P35" s="69">
        <f t="shared" si="8"/>
        <v>215000</v>
      </c>
      <c r="Q35" s="141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23.25" customHeight="1" x14ac:dyDescent="0.25">
      <c r="A36" s="52" t="s">
        <v>193</v>
      </c>
      <c r="B36" s="45" t="str">
        <f>'дод 3-1'!A111</f>
        <v>7670</v>
      </c>
      <c r="C36" s="45" t="str">
        <f>'дод 3-1'!B111</f>
        <v>0490</v>
      </c>
      <c r="D36" s="22" t="str">
        <f>'дод 3-1'!C111</f>
        <v>Внески до статутного капіталу суб’єктів господарювання</v>
      </c>
      <c r="E36" s="69">
        <f t="shared" si="7"/>
        <v>0</v>
      </c>
      <c r="F36" s="69"/>
      <c r="G36" s="69"/>
      <c r="H36" s="69"/>
      <c r="I36" s="69"/>
      <c r="J36" s="69">
        <f t="shared" si="9"/>
        <v>22572000</v>
      </c>
      <c r="K36" s="69">
        <f>22572000</f>
        <v>22572000</v>
      </c>
      <c r="L36" s="69"/>
      <c r="M36" s="69"/>
      <c r="N36" s="69"/>
      <c r="O36" s="69">
        <f>22572000</f>
        <v>22572000</v>
      </c>
      <c r="P36" s="69">
        <f t="shared" si="8"/>
        <v>22572000</v>
      </c>
      <c r="Q36" s="141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36.75" customHeight="1" x14ac:dyDescent="0.25">
      <c r="A37" s="52" t="s">
        <v>289</v>
      </c>
      <c r="B37" s="45" t="str">
        <f>'дод 3-1'!A112</f>
        <v>7680</v>
      </c>
      <c r="C37" s="45" t="str">
        <f>'дод 3-1'!B112</f>
        <v>0490</v>
      </c>
      <c r="D37" s="22" t="str">
        <f>'дод 3-1'!C112</f>
        <v>Членські внески до асоціацій органів місцевого самоврядування</v>
      </c>
      <c r="E37" s="69">
        <f t="shared" si="7"/>
        <v>240069</v>
      </c>
      <c r="F37" s="69">
        <f>158069+82000</f>
        <v>240069</v>
      </c>
      <c r="G37" s="69"/>
      <c r="H37" s="69"/>
      <c r="I37" s="69"/>
      <c r="J37" s="69">
        <f t="shared" si="9"/>
        <v>0</v>
      </c>
      <c r="K37" s="69"/>
      <c r="L37" s="69"/>
      <c r="M37" s="69"/>
      <c r="N37" s="69"/>
      <c r="O37" s="69"/>
      <c r="P37" s="69">
        <f t="shared" si="8"/>
        <v>240069</v>
      </c>
      <c r="Q37" s="142">
        <v>16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90" customHeight="1" x14ac:dyDescent="0.25">
      <c r="A38" s="52" t="s">
        <v>351</v>
      </c>
      <c r="B38" s="45" t="str">
        <f>'дод 3-1'!A113</f>
        <v>7691</v>
      </c>
      <c r="C38" s="45" t="str">
        <f>'дод 3-1'!B113</f>
        <v>0490</v>
      </c>
      <c r="D38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8" s="69">
        <f t="shared" si="7"/>
        <v>0</v>
      </c>
      <c r="F38" s="69"/>
      <c r="G38" s="69"/>
      <c r="H38" s="69"/>
      <c r="I38" s="69"/>
      <c r="J38" s="69">
        <f t="shared" si="9"/>
        <v>64711</v>
      </c>
      <c r="K38" s="69"/>
      <c r="L38" s="69">
        <v>64711</v>
      </c>
      <c r="M38" s="69"/>
      <c r="N38" s="69"/>
      <c r="O38" s="69"/>
      <c r="P38" s="69">
        <f t="shared" si="8"/>
        <v>64711</v>
      </c>
      <c r="Q38" s="14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23.25" customHeight="1" x14ac:dyDescent="0.25">
      <c r="A39" s="52" t="s">
        <v>282</v>
      </c>
      <c r="B39" s="45" t="str">
        <f>'дод 3-1'!A114</f>
        <v>7693</v>
      </c>
      <c r="C39" s="45" t="str">
        <f>'дод 3-1'!B114</f>
        <v>0490</v>
      </c>
      <c r="D39" s="22" t="str">
        <f>'дод 3-1'!C114</f>
        <v>Інші заходи, пов'язані з економічною діяльністю</v>
      </c>
      <c r="E39" s="69">
        <f t="shared" si="7"/>
        <v>1617587</v>
      </c>
      <c r="F39" s="69">
        <v>1617587</v>
      </c>
      <c r="G39" s="69"/>
      <c r="H39" s="69"/>
      <c r="I39" s="69"/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1617587</v>
      </c>
      <c r="Q39" s="14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34.5" customHeight="1" x14ac:dyDescent="0.25">
      <c r="A40" s="52" t="s">
        <v>194</v>
      </c>
      <c r="B40" s="45" t="str">
        <f>'дод 3-1'!A119</f>
        <v>8110</v>
      </c>
      <c r="C40" s="45" t="str">
        <f>'дод 3-1'!B119</f>
        <v>0320</v>
      </c>
      <c r="D40" s="22" t="str">
        <f>'дод 3-1'!C119</f>
        <v>Заходи із запобігання та ліквідації надзвичайних ситуацій та наслідків стихійного лиха</v>
      </c>
      <c r="E40" s="69">
        <f t="shared" si="7"/>
        <v>284500</v>
      </c>
      <c r="F40" s="69">
        <v>284500</v>
      </c>
      <c r="G40" s="69"/>
      <c r="H40" s="69">
        <v>7500</v>
      </c>
      <c r="I40" s="69"/>
      <c r="J40" s="69">
        <f t="shared" si="9"/>
        <v>2159600</v>
      </c>
      <c r="K40" s="69">
        <v>2159600</v>
      </c>
      <c r="L40" s="69"/>
      <c r="M40" s="69"/>
      <c r="N40" s="69"/>
      <c r="O40" s="69">
        <v>2159600</v>
      </c>
      <c r="P40" s="69">
        <f t="shared" si="8"/>
        <v>2444100</v>
      </c>
      <c r="Q40" s="14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19.5" customHeight="1" x14ac:dyDescent="0.25">
      <c r="A41" s="52" t="s">
        <v>264</v>
      </c>
      <c r="B41" s="45" t="str">
        <f>'дод 3-1'!A120</f>
        <v>8120</v>
      </c>
      <c r="C41" s="45" t="str">
        <f>'дод 3-1'!B120</f>
        <v>0320</v>
      </c>
      <c r="D41" s="22" t="str">
        <f>'дод 3-1'!C120</f>
        <v>Заходи з організації рятування на водах</v>
      </c>
      <c r="E41" s="69">
        <f t="shared" si="7"/>
        <v>2022280</v>
      </c>
      <c r="F41" s="69">
        <f>1892080+19210+32020+78970</f>
        <v>2022280</v>
      </c>
      <c r="G41" s="69">
        <v>1542220</v>
      </c>
      <c r="H41" s="69">
        <v>79880</v>
      </c>
      <c r="I41" s="69"/>
      <c r="J41" s="69">
        <f t="shared" si="9"/>
        <v>5500</v>
      </c>
      <c r="K41" s="69"/>
      <c r="L41" s="69">
        <v>5500</v>
      </c>
      <c r="M41" s="69"/>
      <c r="N41" s="69">
        <v>1400</v>
      </c>
      <c r="O41" s="69"/>
      <c r="P41" s="69">
        <f t="shared" si="8"/>
        <v>2027780</v>
      </c>
      <c r="Q41" s="142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21.75" customHeight="1" x14ac:dyDescent="0.25">
      <c r="A42" s="52" t="s">
        <v>285</v>
      </c>
      <c r="B42" s="45" t="str">
        <f>'дод 3-1'!A122</f>
        <v>8230</v>
      </c>
      <c r="C42" s="45" t="str">
        <f>'дод 3-1'!B122</f>
        <v>0380</v>
      </c>
      <c r="D42" s="22" t="str">
        <f>'дод 3-1'!C122</f>
        <v>Інші заходи громадського порядку та безпеки</v>
      </c>
      <c r="E42" s="69">
        <f t="shared" si="7"/>
        <v>683360</v>
      </c>
      <c r="F42" s="69">
        <v>683360</v>
      </c>
      <c r="G42" s="69"/>
      <c r="H42" s="69">
        <v>278160</v>
      </c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683360</v>
      </c>
      <c r="Q42" s="142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23.25" customHeight="1" x14ac:dyDescent="0.25">
      <c r="A43" s="43" t="s">
        <v>195</v>
      </c>
      <c r="B43" s="44" t="str">
        <f>'дод 3-1'!A125</f>
        <v>8340</v>
      </c>
      <c r="C43" s="44" t="str">
        <f>'дод 3-1'!B125</f>
        <v>0540</v>
      </c>
      <c r="D43" s="24" t="str">
        <f>'дод 3-1'!C125</f>
        <v>Природоохоронні заходи за рахунок цільових фондів</v>
      </c>
      <c r="E43" s="69">
        <f t="shared" si="7"/>
        <v>0</v>
      </c>
      <c r="F43" s="69"/>
      <c r="G43" s="69"/>
      <c r="H43" s="69"/>
      <c r="I43" s="69"/>
      <c r="J43" s="69">
        <f t="shared" si="9"/>
        <v>264000</v>
      </c>
      <c r="K43" s="69"/>
      <c r="L43" s="69">
        <v>264000</v>
      </c>
      <c r="M43" s="69"/>
      <c r="N43" s="69"/>
      <c r="O43" s="69"/>
      <c r="P43" s="69">
        <f t="shared" si="8"/>
        <v>264000</v>
      </c>
      <c r="Q43" s="142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26.25" customHeight="1" x14ac:dyDescent="0.25">
      <c r="A44" s="52" t="s">
        <v>296</v>
      </c>
      <c r="B44" s="45" t="str">
        <f>'дод 3-1'!A127</f>
        <v>8420</v>
      </c>
      <c r="C44" s="45" t="str">
        <f>'дод 3-1'!B127</f>
        <v>0830</v>
      </c>
      <c r="D44" s="22" t="str">
        <f>'дод 3-1'!C127</f>
        <v>Інші заходи у сфері засобів масової інформації</v>
      </c>
      <c r="E44" s="69">
        <f t="shared" si="7"/>
        <v>100000</v>
      </c>
      <c r="F44" s="69">
        <v>100000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100000</v>
      </c>
      <c r="Q44" s="142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31" customFormat="1" ht="23.25" customHeight="1" x14ac:dyDescent="0.2">
      <c r="A45" s="89" t="s">
        <v>196</v>
      </c>
      <c r="B45" s="72"/>
      <c r="C45" s="72"/>
      <c r="D45" s="30" t="s">
        <v>34</v>
      </c>
      <c r="E45" s="66">
        <f>E46</f>
        <v>965891654</v>
      </c>
      <c r="F45" s="66">
        <f t="shared" ref="F45:J45" si="10">F46</f>
        <v>965891654</v>
      </c>
      <c r="G45" s="66">
        <f t="shared" si="10"/>
        <v>647988137</v>
      </c>
      <c r="H45" s="66">
        <f t="shared" si="10"/>
        <v>83561807</v>
      </c>
      <c r="I45" s="66">
        <f t="shared" si="10"/>
        <v>0</v>
      </c>
      <c r="J45" s="66">
        <f t="shared" si="10"/>
        <v>80177013</v>
      </c>
      <c r="K45" s="66">
        <f t="shared" ref="K45" si="11">K46</f>
        <v>26470505</v>
      </c>
      <c r="L45" s="66">
        <f t="shared" ref="L45" si="12">L46</f>
        <v>53517508</v>
      </c>
      <c r="M45" s="66">
        <f t="shared" ref="M45" si="13">M46</f>
        <v>4208876</v>
      </c>
      <c r="N45" s="66">
        <f t="shared" ref="N45" si="14">N46</f>
        <v>3124191</v>
      </c>
      <c r="O45" s="66">
        <f t="shared" ref="O45:P45" si="15">O46</f>
        <v>26659505</v>
      </c>
      <c r="P45" s="66">
        <f t="shared" si="15"/>
        <v>1046068667</v>
      </c>
      <c r="Q45" s="142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</row>
    <row r="46" spans="1:530" s="40" customFormat="1" ht="26.25" customHeight="1" x14ac:dyDescent="0.25">
      <c r="A46" s="90" t="s">
        <v>197</v>
      </c>
      <c r="B46" s="73"/>
      <c r="C46" s="73"/>
      <c r="D46" s="33" t="s">
        <v>34</v>
      </c>
      <c r="E46" s="68">
        <f>E48+E49+E51+E53+E55+E56+E58+E59+E60+E61+E63+E64+E65+E66+E67</f>
        <v>965891654</v>
      </c>
      <c r="F46" s="68">
        <f t="shared" ref="F46:P46" si="16">F48+F49+F51+F53+F55+F56+F58+F59+F60+F61+F63+F64+F65+F66+F67</f>
        <v>965891654</v>
      </c>
      <c r="G46" s="68">
        <f t="shared" si="16"/>
        <v>647988137</v>
      </c>
      <c r="H46" s="68">
        <f t="shared" si="16"/>
        <v>83561807</v>
      </c>
      <c r="I46" s="68">
        <f t="shared" si="16"/>
        <v>0</v>
      </c>
      <c r="J46" s="68">
        <f t="shared" si="16"/>
        <v>80177013</v>
      </c>
      <c r="K46" s="68">
        <f t="shared" si="16"/>
        <v>26470505</v>
      </c>
      <c r="L46" s="68">
        <f t="shared" si="16"/>
        <v>53517508</v>
      </c>
      <c r="M46" s="68">
        <f t="shared" si="16"/>
        <v>4208876</v>
      </c>
      <c r="N46" s="68">
        <f t="shared" si="16"/>
        <v>3124191</v>
      </c>
      <c r="O46" s="68">
        <f t="shared" si="16"/>
        <v>26659505</v>
      </c>
      <c r="P46" s="68">
        <f t="shared" si="16"/>
        <v>1046068667</v>
      </c>
      <c r="Q46" s="142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</row>
    <row r="47" spans="1:530" s="40" customFormat="1" ht="18.75" customHeight="1" x14ac:dyDescent="0.25">
      <c r="A47" s="90"/>
      <c r="B47" s="73"/>
      <c r="C47" s="73"/>
      <c r="D47" s="33" t="s">
        <v>308</v>
      </c>
      <c r="E47" s="68">
        <f>E52++E54+E57+E50+E62</f>
        <v>360751654</v>
      </c>
      <c r="F47" s="68">
        <f t="shared" ref="F47:P47" si="17">F52++F54+F57+F50+F62</f>
        <v>360751654</v>
      </c>
      <c r="G47" s="68">
        <f t="shared" si="17"/>
        <v>294458780</v>
      </c>
      <c r="H47" s="68">
        <f t="shared" si="17"/>
        <v>0</v>
      </c>
      <c r="I47" s="68">
        <f t="shared" si="17"/>
        <v>0</v>
      </c>
      <c r="J47" s="68">
        <f t="shared" si="17"/>
        <v>828008</v>
      </c>
      <c r="K47" s="68">
        <f t="shared" si="17"/>
        <v>828008</v>
      </c>
      <c r="L47" s="68">
        <f t="shared" si="17"/>
        <v>0</v>
      </c>
      <c r="M47" s="68">
        <f t="shared" si="17"/>
        <v>0</v>
      </c>
      <c r="N47" s="68">
        <f t="shared" si="17"/>
        <v>0</v>
      </c>
      <c r="O47" s="68">
        <f t="shared" si="17"/>
        <v>828008</v>
      </c>
      <c r="P47" s="68">
        <f t="shared" si="17"/>
        <v>361579662</v>
      </c>
      <c r="Q47" s="142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</row>
    <row r="48" spans="1:530" s="23" customFormat="1" ht="46.5" customHeight="1" x14ac:dyDescent="0.25">
      <c r="A48" s="43" t="s">
        <v>198</v>
      </c>
      <c r="B48" s="44" t="str">
        <f>'дод 3-1'!A13</f>
        <v>0160</v>
      </c>
      <c r="C48" s="44" t="str">
        <f>'дод 3-1'!B13</f>
        <v>0111</v>
      </c>
      <c r="D48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48" s="69">
        <f t="shared" ref="E48:E67" si="18">F48+I48</f>
        <v>3312100</v>
      </c>
      <c r="F48" s="69">
        <f>3470000+3900-161800</f>
        <v>3312100</v>
      </c>
      <c r="G48" s="69">
        <f>2711100-132600</f>
        <v>2578500</v>
      </c>
      <c r="H48" s="69">
        <v>48700</v>
      </c>
      <c r="I48" s="69"/>
      <c r="J48" s="69">
        <f>L48+O48</f>
        <v>0</v>
      </c>
      <c r="K48" s="69"/>
      <c r="L48" s="69"/>
      <c r="M48" s="69"/>
      <c r="N48" s="69"/>
      <c r="O48" s="69"/>
      <c r="P48" s="69">
        <f t="shared" ref="P48:P67" si="19">E48+J48</f>
        <v>3312100</v>
      </c>
      <c r="Q48" s="142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</row>
    <row r="49" spans="1:530" s="23" customFormat="1" ht="21.75" customHeight="1" x14ac:dyDescent="0.25">
      <c r="A49" s="43" t="s">
        <v>199</v>
      </c>
      <c r="B49" s="44" t="str">
        <f>'дод 3-1'!A17</f>
        <v>1010</v>
      </c>
      <c r="C49" s="44" t="str">
        <f>'дод 3-1'!B17</f>
        <v>0910</v>
      </c>
      <c r="D49" s="24" t="str">
        <f>'дод 3-1'!C17</f>
        <v>Надання дошкільної освіти</v>
      </c>
      <c r="E49" s="69">
        <f t="shared" si="18"/>
        <v>244515426</v>
      </c>
      <c r="F49" s="69">
        <f>244339090+176336</f>
        <v>244515426</v>
      </c>
      <c r="G49" s="69">
        <f>159350000+144540</f>
        <v>159494540</v>
      </c>
      <c r="H49" s="69">
        <v>26923940</v>
      </c>
      <c r="I49" s="69"/>
      <c r="J49" s="69">
        <f>L49+O49</f>
        <v>21113792</v>
      </c>
      <c r="K49" s="69">
        <f>4200000+500000+88136</f>
        <v>4788136</v>
      </c>
      <c r="L49" s="69">
        <v>16325656</v>
      </c>
      <c r="M49" s="69"/>
      <c r="N49" s="69"/>
      <c r="O49" s="69">
        <f>4200000+500000+88136</f>
        <v>4788136</v>
      </c>
      <c r="P49" s="69">
        <f t="shared" si="19"/>
        <v>265629218</v>
      </c>
      <c r="Q49" s="142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</row>
    <row r="50" spans="1:530" s="23" customFormat="1" ht="21.75" customHeight="1" x14ac:dyDescent="0.25">
      <c r="A50" s="43"/>
      <c r="B50" s="44"/>
      <c r="C50" s="44"/>
      <c r="D50" s="22" t="s">
        <v>308</v>
      </c>
      <c r="E50" s="69">
        <f t="shared" si="18"/>
        <v>176336</v>
      </c>
      <c r="F50" s="69">
        <v>176336</v>
      </c>
      <c r="G50" s="69">
        <v>144540</v>
      </c>
      <c r="H50" s="69"/>
      <c r="I50" s="69"/>
      <c r="J50" s="69">
        <f>L50+O50</f>
        <v>88136</v>
      </c>
      <c r="K50" s="69">
        <v>88136</v>
      </c>
      <c r="L50" s="69"/>
      <c r="M50" s="69"/>
      <c r="N50" s="69"/>
      <c r="O50" s="69">
        <v>88136</v>
      </c>
      <c r="P50" s="69">
        <f t="shared" si="19"/>
        <v>264472</v>
      </c>
      <c r="Q50" s="142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</row>
    <row r="51" spans="1:530" s="23" customFormat="1" ht="54" customHeight="1" x14ac:dyDescent="0.25">
      <c r="A51" s="43" t="s">
        <v>200</v>
      </c>
      <c r="B51" s="44" t="str">
        <f>'дод 3-1'!A19</f>
        <v>1020</v>
      </c>
      <c r="C51" s="44" t="str">
        <f>'дод 3-1'!B19</f>
        <v>0921</v>
      </c>
      <c r="D51" s="24" t="str">
        <f>'дод 3-1'!C19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1" s="69">
        <f t="shared" si="18"/>
        <v>536779478</v>
      </c>
      <c r="F51" s="69">
        <f>533365430-2738900+2738900-50000+2067000+1396248+800</f>
        <v>536779478</v>
      </c>
      <c r="G51" s="69">
        <f>373446500+1144470+657</f>
        <v>374591627</v>
      </c>
      <c r="H51" s="69">
        <v>40458440</v>
      </c>
      <c r="I51" s="69"/>
      <c r="J51" s="69">
        <f t="shared" ref="J51:J67" si="20">L51+O51</f>
        <v>46500916</v>
      </c>
      <c r="K51" s="69">
        <f>11599400+2199897+739872+3050000</f>
        <v>17589169</v>
      </c>
      <c r="L51" s="69">
        <v>28911747</v>
      </c>
      <c r="M51" s="69">
        <v>1713303</v>
      </c>
      <c r="N51" s="69">
        <v>147329</v>
      </c>
      <c r="O51" s="69">
        <f>11599400+2199897+739872+3050000</f>
        <v>17589169</v>
      </c>
      <c r="P51" s="69">
        <f t="shared" si="19"/>
        <v>583280394</v>
      </c>
      <c r="Q51" s="142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x14ac:dyDescent="0.25">
      <c r="A52" s="43"/>
      <c r="B52" s="44"/>
      <c r="C52" s="44"/>
      <c r="D52" s="22" t="s">
        <v>308</v>
      </c>
      <c r="E52" s="69">
        <f t="shared" si="18"/>
        <v>335299648</v>
      </c>
      <c r="F52" s="69">
        <f>331836400+2067000+1396248</f>
        <v>335299648</v>
      </c>
      <c r="G52" s="69">
        <f>272443700+1144470</f>
        <v>273588170</v>
      </c>
      <c r="H52" s="69"/>
      <c r="I52" s="69"/>
      <c r="J52" s="69">
        <f t="shared" si="20"/>
        <v>739872</v>
      </c>
      <c r="K52" s="69">
        <f>739872</f>
        <v>739872</v>
      </c>
      <c r="L52" s="69"/>
      <c r="M52" s="69"/>
      <c r="N52" s="69"/>
      <c r="O52" s="69">
        <v>739872</v>
      </c>
      <c r="P52" s="69">
        <f t="shared" si="19"/>
        <v>336039520</v>
      </c>
      <c r="Q52" s="142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ht="63.75" customHeight="1" x14ac:dyDescent="0.25">
      <c r="A53" s="43" t="s">
        <v>432</v>
      </c>
      <c r="B53" s="44">
        <f>'дод 3-1'!A21</f>
        <v>1030</v>
      </c>
      <c r="C53" s="44" t="str">
        <f>'дод 3-1'!B21</f>
        <v>0922</v>
      </c>
      <c r="D53" s="24" t="str">
        <f>'дод 3-1'!C21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3" s="69">
        <f t="shared" si="18"/>
        <v>9202880</v>
      </c>
      <c r="F53" s="69">
        <f>9152880+50000</f>
        <v>9202880</v>
      </c>
      <c r="G53" s="69">
        <v>6532300</v>
      </c>
      <c r="H53" s="69">
        <v>709270</v>
      </c>
      <c r="I53" s="69">
        <v>0</v>
      </c>
      <c r="J53" s="69">
        <f t="shared" si="20"/>
        <v>150000</v>
      </c>
      <c r="K53" s="69">
        <v>150000</v>
      </c>
      <c r="L53" s="69"/>
      <c r="M53" s="69"/>
      <c r="N53" s="69"/>
      <c r="O53" s="69">
        <v>150000</v>
      </c>
      <c r="P53" s="69">
        <f t="shared" si="19"/>
        <v>9352880</v>
      </c>
      <c r="Q53" s="142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ht="17.25" customHeight="1" x14ac:dyDescent="0.25">
      <c r="A54" s="43"/>
      <c r="B54" s="44"/>
      <c r="C54" s="44"/>
      <c r="D54" s="22" t="s">
        <v>308</v>
      </c>
      <c r="E54" s="69">
        <f t="shared" si="18"/>
        <v>6214300</v>
      </c>
      <c r="F54" s="69">
        <v>6214300</v>
      </c>
      <c r="G54" s="69">
        <v>5102000</v>
      </c>
      <c r="H54" s="69">
        <v>0</v>
      </c>
      <c r="I54" s="69">
        <v>0</v>
      </c>
      <c r="J54" s="69">
        <f t="shared" si="20"/>
        <v>0</v>
      </c>
      <c r="K54" s="69"/>
      <c r="L54" s="69"/>
      <c r="M54" s="69"/>
      <c r="N54" s="69"/>
      <c r="O54" s="69"/>
      <c r="P54" s="69">
        <f t="shared" si="19"/>
        <v>6214300</v>
      </c>
      <c r="Q54" s="142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ht="32.25" customHeight="1" x14ac:dyDescent="0.25">
      <c r="A55" s="43" t="s">
        <v>263</v>
      </c>
      <c r="B55" s="44" t="str">
        <f>'дод 3-1'!A23</f>
        <v>1090</v>
      </c>
      <c r="C55" s="44" t="str">
        <f>'дод 3-1'!B23</f>
        <v>0960</v>
      </c>
      <c r="D55" s="24" t="str">
        <f>'дод 3-1'!C23</f>
        <v>Надання позашкільної освіти закладами позашкільної освіти, заходи із позашкільної роботи з дітьми</v>
      </c>
      <c r="E55" s="69">
        <f t="shared" si="18"/>
        <v>27792840</v>
      </c>
      <c r="F55" s="69">
        <v>27792840</v>
      </c>
      <c r="G55" s="69">
        <v>19715700</v>
      </c>
      <c r="H55" s="69">
        <v>3358190</v>
      </c>
      <c r="I55" s="69">
        <v>0</v>
      </c>
      <c r="J55" s="69">
        <f t="shared" si="20"/>
        <v>300000</v>
      </c>
      <c r="K55" s="69">
        <v>300000</v>
      </c>
      <c r="L55" s="69"/>
      <c r="M55" s="69"/>
      <c r="N55" s="69"/>
      <c r="O55" s="69">
        <v>300000</v>
      </c>
      <c r="P55" s="69">
        <f t="shared" si="19"/>
        <v>28092840</v>
      </c>
      <c r="Q55" s="142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33.75" customHeight="1" x14ac:dyDescent="0.25">
      <c r="A56" s="43" t="s">
        <v>262</v>
      </c>
      <c r="B56" s="44" t="str">
        <f>'дод 3-1'!A25</f>
        <v>1110</v>
      </c>
      <c r="C56" s="44" t="str">
        <f>'дод 3-1'!B25</f>
        <v>0930</v>
      </c>
      <c r="D56" s="24" t="str">
        <f>'дод 3-1'!C25</f>
        <v>Підготовка кадрів закладами професійної (професійно-технічної) освіти та іншими закладами освіти</v>
      </c>
      <c r="E56" s="69">
        <f t="shared" si="18"/>
        <v>115969900</v>
      </c>
      <c r="F56" s="69">
        <f>116310900-341000</f>
        <v>115969900</v>
      </c>
      <c r="G56" s="69">
        <v>69744500</v>
      </c>
      <c r="H56" s="69">
        <f>11348217-341000</f>
        <v>11007217</v>
      </c>
      <c r="I56" s="69"/>
      <c r="J56" s="69">
        <f t="shared" si="20"/>
        <v>8079105</v>
      </c>
      <c r="K56" s="69"/>
      <c r="L56" s="69">
        <v>7974105</v>
      </c>
      <c r="M56" s="69">
        <v>2495573</v>
      </c>
      <c r="N56" s="69">
        <v>2976862</v>
      </c>
      <c r="O56" s="69">
        <v>105000</v>
      </c>
      <c r="P56" s="69">
        <f t="shared" si="19"/>
        <v>124049005</v>
      </c>
      <c r="Q56" s="142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15.75" customHeight="1" x14ac:dyDescent="0.25">
      <c r="A57" s="43"/>
      <c r="B57" s="44"/>
      <c r="C57" s="44"/>
      <c r="D57" s="22" t="s">
        <v>308</v>
      </c>
      <c r="E57" s="69">
        <f t="shared" si="18"/>
        <v>17825000</v>
      </c>
      <c r="F57" s="69">
        <v>17825000</v>
      </c>
      <c r="G57" s="69">
        <v>14610650</v>
      </c>
      <c r="H57" s="69"/>
      <c r="I57" s="69"/>
      <c r="J57" s="69">
        <f t="shared" si="20"/>
        <v>0</v>
      </c>
      <c r="K57" s="69"/>
      <c r="L57" s="69"/>
      <c r="M57" s="69"/>
      <c r="N57" s="69"/>
      <c r="O57" s="69"/>
      <c r="P57" s="69">
        <f t="shared" si="19"/>
        <v>17825000</v>
      </c>
      <c r="Q57" s="142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21.75" customHeight="1" x14ac:dyDescent="0.25">
      <c r="A58" s="43" t="s">
        <v>201</v>
      </c>
      <c r="B58" s="44" t="str">
        <f>'дод 3-1'!A27</f>
        <v>1150</v>
      </c>
      <c r="C58" s="44" t="str">
        <f>'дод 3-1'!B27</f>
        <v>0990</v>
      </c>
      <c r="D58" s="24" t="str">
        <f>'дод 3-1'!C27</f>
        <v>Методичне забезпечення діяльності закладів освіти</v>
      </c>
      <c r="E58" s="69">
        <f t="shared" si="18"/>
        <v>2893730</v>
      </c>
      <c r="F58" s="69">
        <v>2893730</v>
      </c>
      <c r="G58" s="69">
        <v>2237500</v>
      </c>
      <c r="H58" s="69">
        <v>120380</v>
      </c>
      <c r="I58" s="69"/>
      <c r="J58" s="69">
        <f t="shared" si="20"/>
        <v>0</v>
      </c>
      <c r="K58" s="69"/>
      <c r="L58" s="69"/>
      <c r="M58" s="69"/>
      <c r="N58" s="69"/>
      <c r="O58" s="69"/>
      <c r="P58" s="69">
        <f t="shared" si="19"/>
        <v>2893730</v>
      </c>
      <c r="Q58" s="142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16.5" customHeight="1" x14ac:dyDescent="0.25">
      <c r="A59" s="43" t="s">
        <v>357</v>
      </c>
      <c r="B59" s="44" t="str">
        <f>'дод 3-1'!A28</f>
        <v>1161</v>
      </c>
      <c r="C59" s="44" t="str">
        <f>'дод 3-1'!B28</f>
        <v>0990</v>
      </c>
      <c r="D59" s="24" t="str">
        <f>'дод 3-1'!C28</f>
        <v>Забезпечення діяльності інших закладів у сфері освіти</v>
      </c>
      <c r="E59" s="69">
        <f t="shared" si="18"/>
        <v>9333170</v>
      </c>
      <c r="F59" s="69">
        <v>9333170</v>
      </c>
      <c r="G59" s="69">
        <v>6782550</v>
      </c>
      <c r="H59" s="69">
        <v>613500</v>
      </c>
      <c r="I59" s="69"/>
      <c r="J59" s="69">
        <f t="shared" si="20"/>
        <v>100000</v>
      </c>
      <c r="K59" s="69">
        <v>100000</v>
      </c>
      <c r="L59" s="69"/>
      <c r="M59" s="69"/>
      <c r="N59" s="69"/>
      <c r="O59" s="69">
        <v>100000</v>
      </c>
      <c r="P59" s="69">
        <f t="shared" si="19"/>
        <v>9433170</v>
      </c>
      <c r="Q59" s="142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20.25" customHeight="1" x14ac:dyDescent="0.25">
      <c r="A60" s="43" t="s">
        <v>358</v>
      </c>
      <c r="B60" s="44" t="str">
        <f>'дод 3-1'!A29</f>
        <v>1162</v>
      </c>
      <c r="C60" s="44" t="str">
        <f>'дод 3-1'!B29</f>
        <v>0990</v>
      </c>
      <c r="D60" s="24" t="str">
        <f>'дод 3-1'!C29</f>
        <v>Інші програми та заходи у сфері освіти</v>
      </c>
      <c r="E60" s="69">
        <f t="shared" si="18"/>
        <v>107400</v>
      </c>
      <c r="F60" s="69">
        <v>107400</v>
      </c>
      <c r="G60" s="69"/>
      <c r="H60" s="69"/>
      <c r="I60" s="69"/>
      <c r="J60" s="69">
        <f t="shared" si="20"/>
        <v>0</v>
      </c>
      <c r="K60" s="69"/>
      <c r="L60" s="69"/>
      <c r="M60" s="69"/>
      <c r="N60" s="69"/>
      <c r="O60" s="69"/>
      <c r="P60" s="69">
        <f t="shared" si="19"/>
        <v>107400</v>
      </c>
      <c r="Q60" s="142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x14ac:dyDescent="0.25">
      <c r="A61" s="43" t="s">
        <v>395</v>
      </c>
      <c r="B61" s="44">
        <v>1170</v>
      </c>
      <c r="C61" s="44" t="s">
        <v>75</v>
      </c>
      <c r="D61" s="22" t="str">
        <f>'дод 3-1'!C30</f>
        <v>Забезпечення діяльності інклюзивно-ресурсних центрів</v>
      </c>
      <c r="E61" s="69">
        <f t="shared" si="18"/>
        <v>1627940</v>
      </c>
      <c r="F61" s="69">
        <v>1627940</v>
      </c>
      <c r="G61" s="69">
        <v>1224320</v>
      </c>
      <c r="H61" s="69">
        <v>81470</v>
      </c>
      <c r="I61" s="69"/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1627940</v>
      </c>
      <c r="Q61" s="142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x14ac:dyDescent="0.25">
      <c r="A62" s="43"/>
      <c r="B62" s="44"/>
      <c r="C62" s="44"/>
      <c r="D62" s="22" t="s">
        <v>308</v>
      </c>
      <c r="E62" s="69">
        <f t="shared" si="18"/>
        <v>1236370</v>
      </c>
      <c r="F62" s="69">
        <v>1236370</v>
      </c>
      <c r="G62" s="69">
        <v>1013420</v>
      </c>
      <c r="H62" s="69"/>
      <c r="I62" s="69"/>
      <c r="J62" s="69"/>
      <c r="K62" s="69"/>
      <c r="L62" s="69"/>
      <c r="M62" s="69"/>
      <c r="N62" s="69"/>
      <c r="O62" s="69"/>
      <c r="P62" s="69">
        <f t="shared" si="19"/>
        <v>1236370</v>
      </c>
      <c r="Q62" s="142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ht="64.5" customHeight="1" x14ac:dyDescent="0.25">
      <c r="A63" s="43" t="s">
        <v>202</v>
      </c>
      <c r="B63" s="44" t="str">
        <f>'дод 3-1'!A58</f>
        <v>3140</v>
      </c>
      <c r="C63" s="44" t="str">
        <f>'дод 3-1'!B58</f>
        <v>1040</v>
      </c>
      <c r="D63" s="24" t="str">
        <f>'дод 3-1'!C58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3" s="69">
        <f t="shared" si="18"/>
        <v>7000000</v>
      </c>
      <c r="F63" s="69">
        <v>7000000</v>
      </c>
      <c r="G63" s="69"/>
      <c r="H63" s="69"/>
      <c r="I63" s="69"/>
      <c r="J63" s="69">
        <f t="shared" si="20"/>
        <v>0</v>
      </c>
      <c r="K63" s="69"/>
      <c r="L63" s="69"/>
      <c r="M63" s="69"/>
      <c r="N63" s="69"/>
      <c r="O63" s="69"/>
      <c r="P63" s="69">
        <f t="shared" si="19"/>
        <v>7000000</v>
      </c>
      <c r="Q63" s="142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ht="31.5" customHeight="1" x14ac:dyDescent="0.25">
      <c r="A64" s="43" t="s">
        <v>374</v>
      </c>
      <c r="B64" s="44" t="str">
        <f>'дод 3-1'!A68</f>
        <v>3242</v>
      </c>
      <c r="C64" s="44" t="str">
        <f>'дод 3-1'!B68</f>
        <v>1090</v>
      </c>
      <c r="D64" s="24" t="str">
        <f>'дод 3-1'!C68</f>
        <v>Інші заходи у сфері соціального захисту і соціального забезпечення</v>
      </c>
      <c r="E64" s="69">
        <f t="shared" si="18"/>
        <v>52490</v>
      </c>
      <c r="F64" s="69">
        <v>52490</v>
      </c>
      <c r="G64" s="69"/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52490</v>
      </c>
      <c r="Q64" s="142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ht="33" customHeight="1" x14ac:dyDescent="0.25">
      <c r="A65" s="43" t="s">
        <v>203</v>
      </c>
      <c r="B65" s="44" t="str">
        <f>'дод 3-1'!A77</f>
        <v>5031</v>
      </c>
      <c r="C65" s="44" t="str">
        <f>'дод 3-1'!B77</f>
        <v>0810</v>
      </c>
      <c r="D65" s="24" t="str">
        <f>'дод 3-1'!C77</f>
        <v>Утримання та навчально-тренувальна робота комунальних дитячо-юнацьких спортивних шкіл</v>
      </c>
      <c r="E65" s="69">
        <f t="shared" si="18"/>
        <v>6725500</v>
      </c>
      <c r="F65" s="69">
        <v>6725500</v>
      </c>
      <c r="G65" s="69">
        <v>5086600</v>
      </c>
      <c r="H65" s="69">
        <v>240700</v>
      </c>
      <c r="I65" s="69"/>
      <c r="J65" s="69">
        <f t="shared" si="20"/>
        <v>550000</v>
      </c>
      <c r="K65" s="69">
        <v>550000</v>
      </c>
      <c r="L65" s="69"/>
      <c r="M65" s="69"/>
      <c r="N65" s="69"/>
      <c r="O65" s="69">
        <v>550000</v>
      </c>
      <c r="P65" s="69">
        <f t="shared" si="19"/>
        <v>7275500</v>
      </c>
      <c r="Q65" s="142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25.5" customHeight="1" x14ac:dyDescent="0.25">
      <c r="A66" s="43" t="s">
        <v>204</v>
      </c>
      <c r="B66" s="44" t="str">
        <f>'дод 3-1'!A108</f>
        <v>7640</v>
      </c>
      <c r="C66" s="44" t="str">
        <f>'дод 3-1'!B108</f>
        <v>0470</v>
      </c>
      <c r="D66" s="24" t="str">
        <f>'дод 3-1'!C108</f>
        <v>Заходи з енергозбереження</v>
      </c>
      <c r="E66" s="69">
        <f t="shared" si="18"/>
        <v>578800</v>
      </c>
      <c r="F66" s="69">
        <v>578800</v>
      </c>
      <c r="G66" s="69"/>
      <c r="H66" s="69"/>
      <c r="I66" s="69"/>
      <c r="J66" s="69">
        <f t="shared" si="20"/>
        <v>2993200</v>
      </c>
      <c r="K66" s="69">
        <v>2993200</v>
      </c>
      <c r="L66" s="69"/>
      <c r="M66" s="69"/>
      <c r="N66" s="69"/>
      <c r="O66" s="69">
        <v>2993200</v>
      </c>
      <c r="P66" s="69">
        <f t="shared" si="19"/>
        <v>3572000</v>
      </c>
      <c r="Q66" s="142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ht="27" customHeight="1" x14ac:dyDescent="0.25">
      <c r="A67" s="43" t="s">
        <v>205</v>
      </c>
      <c r="B67" s="44" t="str">
        <f>'дод 3-1'!A125</f>
        <v>8340</v>
      </c>
      <c r="C67" s="44" t="str">
        <f>'дод 3-1'!B125</f>
        <v>0540</v>
      </c>
      <c r="D67" s="24" t="str">
        <f>'дод 3-1'!C125</f>
        <v>Природоохоронні заходи за рахунок цільових фондів</v>
      </c>
      <c r="E67" s="69">
        <f t="shared" si="18"/>
        <v>0</v>
      </c>
      <c r="F67" s="69"/>
      <c r="G67" s="69"/>
      <c r="H67" s="69"/>
      <c r="I67" s="69"/>
      <c r="J67" s="69">
        <f t="shared" si="20"/>
        <v>390000</v>
      </c>
      <c r="K67" s="69"/>
      <c r="L67" s="69">
        <v>306000</v>
      </c>
      <c r="M67" s="69"/>
      <c r="N67" s="69"/>
      <c r="O67" s="69">
        <v>84000</v>
      </c>
      <c r="P67" s="69">
        <f t="shared" si="19"/>
        <v>390000</v>
      </c>
      <c r="Q67" s="142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31" customFormat="1" ht="21" customHeight="1" x14ac:dyDescent="0.2">
      <c r="A68" s="76" t="s">
        <v>206</v>
      </c>
      <c r="B68" s="74"/>
      <c r="C68" s="74"/>
      <c r="D68" s="30" t="s">
        <v>36</v>
      </c>
      <c r="E68" s="66">
        <f>E69</f>
        <v>168221411</v>
      </c>
      <c r="F68" s="66">
        <f t="shared" ref="F68:P68" si="21">F69</f>
        <v>168022411</v>
      </c>
      <c r="G68" s="66">
        <f t="shared" si="21"/>
        <v>1641400</v>
      </c>
      <c r="H68" s="66">
        <f t="shared" si="21"/>
        <v>35400</v>
      </c>
      <c r="I68" s="66">
        <f t="shared" si="21"/>
        <v>199000</v>
      </c>
      <c r="J68" s="66">
        <f t="shared" si="21"/>
        <v>71559904</v>
      </c>
      <c r="K68" s="66">
        <f t="shared" si="21"/>
        <v>70674904</v>
      </c>
      <c r="L68" s="66">
        <f t="shared" si="21"/>
        <v>0</v>
      </c>
      <c r="M68" s="66">
        <f t="shared" si="21"/>
        <v>0</v>
      </c>
      <c r="N68" s="66">
        <f t="shared" si="21"/>
        <v>0</v>
      </c>
      <c r="O68" s="66">
        <f t="shared" si="21"/>
        <v>71559904</v>
      </c>
      <c r="P68" s="66">
        <f t="shared" si="21"/>
        <v>239781315</v>
      </c>
      <c r="Q68" s="142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</row>
    <row r="69" spans="1:530" s="40" customFormat="1" ht="18.75" customHeight="1" x14ac:dyDescent="0.25">
      <c r="A69" s="77" t="s">
        <v>207</v>
      </c>
      <c r="B69" s="75"/>
      <c r="C69" s="75"/>
      <c r="D69" s="33" t="s">
        <v>36</v>
      </c>
      <c r="E69" s="68">
        <f>E71+E72+E74+E76+E78+E79+E81+E82+E83+E84</f>
        <v>168221411</v>
      </c>
      <c r="F69" s="68">
        <f t="shared" ref="F69:P69" si="22">F71+F72+F74+F76+F78+F79+F81+F82+F83+F84</f>
        <v>168022411</v>
      </c>
      <c r="G69" s="68">
        <f t="shared" si="22"/>
        <v>1641400</v>
      </c>
      <c r="H69" s="68">
        <f t="shared" si="22"/>
        <v>35400</v>
      </c>
      <c r="I69" s="68">
        <f t="shared" si="22"/>
        <v>199000</v>
      </c>
      <c r="J69" s="68">
        <f t="shared" si="22"/>
        <v>71559904</v>
      </c>
      <c r="K69" s="68">
        <f t="shared" si="22"/>
        <v>70674904</v>
      </c>
      <c r="L69" s="68">
        <f t="shared" si="22"/>
        <v>0</v>
      </c>
      <c r="M69" s="68">
        <f t="shared" si="22"/>
        <v>0</v>
      </c>
      <c r="N69" s="68">
        <f t="shared" si="22"/>
        <v>0</v>
      </c>
      <c r="O69" s="68">
        <f t="shared" si="22"/>
        <v>71559904</v>
      </c>
      <c r="P69" s="68">
        <f t="shared" si="22"/>
        <v>239781315</v>
      </c>
      <c r="Q69" s="142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</row>
    <row r="70" spans="1:530" s="40" customFormat="1" ht="18.75" customHeight="1" x14ac:dyDescent="0.25">
      <c r="A70" s="77"/>
      <c r="B70" s="75"/>
      <c r="C70" s="75"/>
      <c r="D70" s="33" t="s">
        <v>308</v>
      </c>
      <c r="E70" s="68">
        <f>E73+E75+E77+E80</f>
        <v>57007811</v>
      </c>
      <c r="F70" s="68">
        <f t="shared" ref="F70:P70" si="23">F73+F75+F77+F80</f>
        <v>57007811</v>
      </c>
      <c r="G70" s="68">
        <f t="shared" si="23"/>
        <v>0</v>
      </c>
      <c r="H70" s="68">
        <f t="shared" si="23"/>
        <v>0</v>
      </c>
      <c r="I70" s="68">
        <f t="shared" si="23"/>
        <v>0</v>
      </c>
      <c r="J70" s="68">
        <f t="shared" si="23"/>
        <v>0</v>
      </c>
      <c r="K70" s="68">
        <f t="shared" si="23"/>
        <v>0</v>
      </c>
      <c r="L70" s="68">
        <f t="shared" si="23"/>
        <v>0</v>
      </c>
      <c r="M70" s="68">
        <f t="shared" si="23"/>
        <v>0</v>
      </c>
      <c r="N70" s="68">
        <f t="shared" si="23"/>
        <v>0</v>
      </c>
      <c r="O70" s="68">
        <f t="shared" si="23"/>
        <v>0</v>
      </c>
      <c r="P70" s="68">
        <f t="shared" si="23"/>
        <v>57007811</v>
      </c>
      <c r="Q70" s="142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</row>
    <row r="71" spans="1:530" s="23" customFormat="1" ht="50.25" customHeight="1" x14ac:dyDescent="0.25">
      <c r="A71" s="43" t="s">
        <v>208</v>
      </c>
      <c r="B71" s="44" t="str">
        <f>'дод 3-1'!A13</f>
        <v>0160</v>
      </c>
      <c r="C71" s="44" t="str">
        <f>'дод 3-1'!B13</f>
        <v>0111</v>
      </c>
      <c r="D71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71" s="69">
        <f t="shared" ref="E71:E84" si="24">F71+I71</f>
        <v>2154200</v>
      </c>
      <c r="F71" s="69">
        <f>2218500+30000+3500-97800</f>
        <v>2154200</v>
      </c>
      <c r="G71" s="69">
        <f>1721600-80200</f>
        <v>1641400</v>
      </c>
      <c r="H71" s="69">
        <v>35400</v>
      </c>
      <c r="I71" s="69"/>
      <c r="J71" s="69">
        <f>L71+O71</f>
        <v>0</v>
      </c>
      <c r="K71" s="69"/>
      <c r="L71" s="69"/>
      <c r="M71" s="69"/>
      <c r="N71" s="69"/>
      <c r="O71" s="69"/>
      <c r="P71" s="69">
        <f t="shared" ref="P71:P84" si="25">E71+J71</f>
        <v>2154200</v>
      </c>
      <c r="Q71" s="142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</row>
    <row r="72" spans="1:530" s="23" customFormat="1" ht="21" customHeight="1" x14ac:dyDescent="0.25">
      <c r="A72" s="43" t="s">
        <v>209</v>
      </c>
      <c r="B72" s="44" t="str">
        <f>'дод 3-1'!A34</f>
        <v>2010</v>
      </c>
      <c r="C72" s="44" t="str">
        <f>'дод 3-1'!B34</f>
        <v>0731</v>
      </c>
      <c r="D72" s="24" t="str">
        <f>'дод 3-1'!C34</f>
        <v>Багатопрофільна стаціонарна медична допомога населенню</v>
      </c>
      <c r="E72" s="69">
        <f t="shared" si="24"/>
        <v>118457491</v>
      </c>
      <c r="F72" s="69">
        <v>118457491</v>
      </c>
      <c r="G72" s="69"/>
      <c r="H72" s="69"/>
      <c r="I72" s="71"/>
      <c r="J72" s="69">
        <f t="shared" ref="J72:J84" si="26">L72+O72</f>
        <v>27530000</v>
      </c>
      <c r="K72" s="69">
        <v>27530000</v>
      </c>
      <c r="L72" s="69"/>
      <c r="M72" s="69"/>
      <c r="N72" s="69"/>
      <c r="O72" s="69">
        <v>27530000</v>
      </c>
      <c r="P72" s="69">
        <f t="shared" si="25"/>
        <v>145987491</v>
      </c>
      <c r="Q72" s="142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</row>
    <row r="73" spans="1:530" s="23" customFormat="1" ht="17.25" customHeight="1" x14ac:dyDescent="0.25">
      <c r="A73" s="43"/>
      <c r="B73" s="44"/>
      <c r="C73" s="44"/>
      <c r="D73" s="22" t="s">
        <v>308</v>
      </c>
      <c r="E73" s="69">
        <f t="shared" si="24"/>
        <v>48037871</v>
      </c>
      <c r="F73" s="69">
        <f>45209900+2680300+147671</f>
        <v>48037871</v>
      </c>
      <c r="G73" s="69"/>
      <c r="H73" s="69"/>
      <c r="I73" s="71"/>
      <c r="J73" s="69">
        <f t="shared" si="26"/>
        <v>0</v>
      </c>
      <c r="K73" s="69"/>
      <c r="L73" s="69"/>
      <c r="M73" s="69"/>
      <c r="N73" s="69"/>
      <c r="O73" s="69"/>
      <c r="P73" s="69">
        <f t="shared" si="25"/>
        <v>48037871</v>
      </c>
      <c r="Q73" s="142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</row>
    <row r="74" spans="1:530" s="23" customFormat="1" ht="36.75" customHeight="1" x14ac:dyDescent="0.25">
      <c r="A74" s="43" t="s">
        <v>214</v>
      </c>
      <c r="B74" s="44" t="str">
        <f>'дод 3-1'!A36</f>
        <v>2030</v>
      </c>
      <c r="C74" s="44" t="str">
        <f>'дод 3-1'!B36</f>
        <v>0733</v>
      </c>
      <c r="D74" s="24" t="str">
        <f>'дод 3-1'!C36</f>
        <v>Лікарсько-акушерська допомога вагітним, породіллям та новонародженим</v>
      </c>
      <c r="E74" s="69">
        <f t="shared" si="24"/>
        <v>15275473</v>
      </c>
      <c r="F74" s="69">
        <v>15275473</v>
      </c>
      <c r="G74" s="71"/>
      <c r="H74" s="71"/>
      <c r="I74" s="71"/>
      <c r="J74" s="69">
        <f t="shared" si="26"/>
        <v>15040600</v>
      </c>
      <c r="K74" s="69">
        <v>15040600</v>
      </c>
      <c r="L74" s="69"/>
      <c r="M74" s="69"/>
      <c r="N74" s="69"/>
      <c r="O74" s="69">
        <v>15040600</v>
      </c>
      <c r="P74" s="69">
        <f t="shared" si="25"/>
        <v>30316073</v>
      </c>
      <c r="Q74" s="142">
        <v>17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16.5" customHeight="1" x14ac:dyDescent="0.25">
      <c r="A75" s="43"/>
      <c r="B75" s="44"/>
      <c r="C75" s="44"/>
      <c r="D75" s="22" t="s">
        <v>308</v>
      </c>
      <c r="E75" s="69">
        <f t="shared" si="24"/>
        <v>6347600</v>
      </c>
      <c r="F75" s="69">
        <v>6347600</v>
      </c>
      <c r="G75" s="71"/>
      <c r="H75" s="71"/>
      <c r="I75" s="71"/>
      <c r="J75" s="69">
        <f t="shared" si="26"/>
        <v>0</v>
      </c>
      <c r="K75" s="69"/>
      <c r="L75" s="69"/>
      <c r="M75" s="69"/>
      <c r="N75" s="69"/>
      <c r="O75" s="69"/>
      <c r="P75" s="69">
        <f t="shared" si="25"/>
        <v>6347600</v>
      </c>
      <c r="Q75" s="142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24" customHeight="1" x14ac:dyDescent="0.25">
      <c r="A76" s="43" t="s">
        <v>213</v>
      </c>
      <c r="B76" s="44" t="str">
        <f>'дод 3-1'!A38</f>
        <v>2100</v>
      </c>
      <c r="C76" s="44" t="str">
        <f>'дод 3-1'!B38</f>
        <v>0722</v>
      </c>
      <c r="D76" s="24" t="str">
        <f>'дод 3-1'!C38</f>
        <v>Стоматологічна допомога населенню</v>
      </c>
      <c r="E76" s="69">
        <f t="shared" si="24"/>
        <v>6663426</v>
      </c>
      <c r="F76" s="69">
        <v>6663426</v>
      </c>
      <c r="G76" s="71"/>
      <c r="H76" s="71"/>
      <c r="I76" s="71"/>
      <c r="J76" s="69">
        <f t="shared" si="26"/>
        <v>1130000</v>
      </c>
      <c r="K76" s="69">
        <f>1210600-80600</f>
        <v>1130000</v>
      </c>
      <c r="L76" s="69"/>
      <c r="M76" s="69"/>
      <c r="N76" s="69"/>
      <c r="O76" s="69">
        <f>1210600-80600</f>
        <v>1130000</v>
      </c>
      <c r="P76" s="69">
        <f t="shared" si="25"/>
        <v>7793426</v>
      </c>
      <c r="Q76" s="142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15" customHeight="1" x14ac:dyDescent="0.25">
      <c r="A77" s="43"/>
      <c r="B77" s="44"/>
      <c r="C77" s="44"/>
      <c r="D77" s="22" t="s">
        <v>308</v>
      </c>
      <c r="E77" s="69">
        <f t="shared" si="24"/>
        <v>1132200</v>
      </c>
      <c r="F77" s="69">
        <v>1132200</v>
      </c>
      <c r="G77" s="71"/>
      <c r="H77" s="71"/>
      <c r="I77" s="71"/>
      <c r="J77" s="69">
        <f t="shared" si="26"/>
        <v>0</v>
      </c>
      <c r="K77" s="69"/>
      <c r="L77" s="69"/>
      <c r="M77" s="69"/>
      <c r="N77" s="69"/>
      <c r="O77" s="69"/>
      <c r="P77" s="69">
        <f t="shared" si="25"/>
        <v>1132200</v>
      </c>
      <c r="Q77" s="142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40.5" customHeight="1" x14ac:dyDescent="0.25">
      <c r="A78" s="43" t="s">
        <v>212</v>
      </c>
      <c r="B78" s="44" t="str">
        <f>'дод 3-1'!A40</f>
        <v>2111</v>
      </c>
      <c r="C78" s="44" t="str">
        <f>'дод 3-1'!B40</f>
        <v>0726</v>
      </c>
      <c r="D78" s="24" t="str">
        <f>'дод 3-1'!C40</f>
        <v>Первинна медична допомога населенню, що надається центрами первинної медичної (медико-санітарної) допомоги</v>
      </c>
      <c r="E78" s="69">
        <f t="shared" si="24"/>
        <v>1672468</v>
      </c>
      <c r="F78" s="69">
        <v>1672468</v>
      </c>
      <c r="G78" s="71"/>
      <c r="H78" s="71"/>
      <c r="I78" s="71"/>
      <c r="J78" s="69">
        <f t="shared" si="26"/>
        <v>0</v>
      </c>
      <c r="K78" s="69"/>
      <c r="L78" s="69"/>
      <c r="M78" s="69"/>
      <c r="N78" s="69"/>
      <c r="O78" s="69"/>
      <c r="P78" s="69">
        <f t="shared" si="25"/>
        <v>1672468</v>
      </c>
      <c r="Q78" s="142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32.25" customHeight="1" x14ac:dyDescent="0.25">
      <c r="A79" s="43" t="s">
        <v>211</v>
      </c>
      <c r="B79" s="44">
        <f>'дод 3-1'!A41</f>
        <v>2144</v>
      </c>
      <c r="C79" s="44" t="str">
        <f>'дод 3-1'!B41</f>
        <v>0763</v>
      </c>
      <c r="D79" s="25" t="str">
        <f>'дод 3-1'!C41</f>
        <v>Централізовані заходи з лікування хворих на цукровий та нецукровий діабет</v>
      </c>
      <c r="E79" s="69">
        <f t="shared" si="24"/>
        <v>2090140</v>
      </c>
      <c r="F79" s="69">
        <v>2090140</v>
      </c>
      <c r="G79" s="71"/>
      <c r="H79" s="71"/>
      <c r="I79" s="71"/>
      <c r="J79" s="69">
        <f t="shared" si="26"/>
        <v>0</v>
      </c>
      <c r="K79" s="69"/>
      <c r="L79" s="69"/>
      <c r="M79" s="69"/>
      <c r="N79" s="69"/>
      <c r="O79" s="69"/>
      <c r="P79" s="69">
        <f t="shared" si="25"/>
        <v>2090140</v>
      </c>
      <c r="Q79" s="142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18.75" customHeight="1" x14ac:dyDescent="0.25">
      <c r="A80" s="43"/>
      <c r="B80" s="44"/>
      <c r="C80" s="44"/>
      <c r="D80" s="25" t="str">
        <f>'дод 3-1'!C42</f>
        <v>у т.ч. за рахунок субвенцій з держбюджету</v>
      </c>
      <c r="E80" s="69">
        <f t="shared" si="24"/>
        <v>1490140</v>
      </c>
      <c r="F80" s="69">
        <v>1490140</v>
      </c>
      <c r="G80" s="71"/>
      <c r="H80" s="71"/>
      <c r="I80" s="71"/>
      <c r="J80" s="69">
        <f t="shared" si="26"/>
        <v>0</v>
      </c>
      <c r="K80" s="69"/>
      <c r="L80" s="69"/>
      <c r="M80" s="69"/>
      <c r="N80" s="69"/>
      <c r="O80" s="69"/>
      <c r="P80" s="69">
        <f t="shared" si="25"/>
        <v>1490140</v>
      </c>
      <c r="Q80" s="142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30" customHeight="1" x14ac:dyDescent="0.25">
      <c r="A81" s="43" t="s">
        <v>382</v>
      </c>
      <c r="B81" s="45" t="str">
        <f>'дод 3-1'!A43</f>
        <v>2151</v>
      </c>
      <c r="C81" s="45" t="str">
        <f>'дод 3-1'!B43</f>
        <v>0763</v>
      </c>
      <c r="D81" s="24" t="str">
        <f>'дод 3-1'!C43</f>
        <v>Забезпечення діяльності інших закладів у сфері охорони здоров’я</v>
      </c>
      <c r="E81" s="69">
        <f t="shared" si="24"/>
        <v>2894213</v>
      </c>
      <c r="F81" s="69">
        <v>2894213</v>
      </c>
      <c r="G81" s="71"/>
      <c r="H81" s="71"/>
      <c r="I81" s="71"/>
      <c r="J81" s="69">
        <f t="shared" si="26"/>
        <v>0</v>
      </c>
      <c r="K81" s="69"/>
      <c r="L81" s="69"/>
      <c r="M81" s="69"/>
      <c r="N81" s="69"/>
      <c r="O81" s="69"/>
      <c r="P81" s="69">
        <f t="shared" si="25"/>
        <v>2894213</v>
      </c>
      <c r="Q81" s="142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24.75" customHeight="1" x14ac:dyDescent="0.25">
      <c r="A82" s="43" t="s">
        <v>383</v>
      </c>
      <c r="B82" s="45" t="str">
        <f>'дод 3-1'!A44</f>
        <v>2152</v>
      </c>
      <c r="C82" s="45" t="str">
        <f>'дод 3-1'!B44</f>
        <v>0763</v>
      </c>
      <c r="D82" s="22" t="str">
        <f>'дод 3-1'!C44</f>
        <v>Інші програми та заходи у сфері охорони здоров’я</v>
      </c>
      <c r="E82" s="69">
        <f t="shared" si="24"/>
        <v>18815000</v>
      </c>
      <c r="F82" s="69">
        <v>18815000</v>
      </c>
      <c r="G82" s="69"/>
      <c r="H82" s="69"/>
      <c r="I82" s="69"/>
      <c r="J82" s="69">
        <f t="shared" si="26"/>
        <v>0</v>
      </c>
      <c r="K82" s="69"/>
      <c r="L82" s="69"/>
      <c r="M82" s="69"/>
      <c r="N82" s="69"/>
      <c r="O82" s="69"/>
      <c r="P82" s="69">
        <f t="shared" si="25"/>
        <v>18815000</v>
      </c>
      <c r="Q82" s="142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18.75" customHeight="1" x14ac:dyDescent="0.25">
      <c r="A83" s="43" t="s">
        <v>210</v>
      </c>
      <c r="B83" s="44" t="str">
        <f>'дод 3-1'!A108</f>
        <v>7640</v>
      </c>
      <c r="C83" s="44" t="str">
        <f>'дод 3-1'!B108</f>
        <v>0470</v>
      </c>
      <c r="D83" s="24" t="str">
        <f>'дод 3-1'!C108</f>
        <v>Заходи з енергозбереження</v>
      </c>
      <c r="E83" s="69">
        <f t="shared" si="24"/>
        <v>199000</v>
      </c>
      <c r="F83" s="69"/>
      <c r="G83" s="69"/>
      <c r="H83" s="69"/>
      <c r="I83" s="69">
        <v>199000</v>
      </c>
      <c r="J83" s="69">
        <f t="shared" si="26"/>
        <v>26974304</v>
      </c>
      <c r="K83" s="69">
        <f>17559604+14714700-6500000+1200000</f>
        <v>26974304</v>
      </c>
      <c r="L83" s="69"/>
      <c r="M83" s="69"/>
      <c r="N83" s="69"/>
      <c r="O83" s="69">
        <f>17559604+14714700-6500000+1200000</f>
        <v>26974304</v>
      </c>
      <c r="P83" s="69">
        <f t="shared" si="25"/>
        <v>27173304</v>
      </c>
      <c r="Q83" s="142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45" customHeight="1" x14ac:dyDescent="0.25">
      <c r="A84" s="43" t="s">
        <v>426</v>
      </c>
      <c r="B84" s="44">
        <v>7700</v>
      </c>
      <c r="C84" s="43" t="s">
        <v>113</v>
      </c>
      <c r="D84" s="24" t="s">
        <v>427</v>
      </c>
      <c r="E84" s="69">
        <f t="shared" si="24"/>
        <v>0</v>
      </c>
      <c r="F84" s="69"/>
      <c r="G84" s="69"/>
      <c r="H84" s="69"/>
      <c r="I84" s="69"/>
      <c r="J84" s="69">
        <f t="shared" si="26"/>
        <v>885000</v>
      </c>
      <c r="K84" s="69"/>
      <c r="L84" s="69"/>
      <c r="M84" s="69"/>
      <c r="N84" s="69"/>
      <c r="O84" s="69">
        <v>885000</v>
      </c>
      <c r="P84" s="69">
        <f t="shared" si="25"/>
        <v>885000</v>
      </c>
      <c r="Q84" s="142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31" customFormat="1" ht="36" customHeight="1" x14ac:dyDescent="0.2">
      <c r="A85" s="76" t="s">
        <v>215</v>
      </c>
      <c r="B85" s="74"/>
      <c r="C85" s="74"/>
      <c r="D85" s="30" t="s">
        <v>51</v>
      </c>
      <c r="E85" s="66">
        <f>E86</f>
        <v>181325058</v>
      </c>
      <c r="F85" s="66">
        <f t="shared" ref="F85:J85" si="27">F86</f>
        <v>181325058</v>
      </c>
      <c r="G85" s="66">
        <f t="shared" si="27"/>
        <v>55579225</v>
      </c>
      <c r="H85" s="66">
        <f t="shared" si="27"/>
        <v>1615490</v>
      </c>
      <c r="I85" s="66">
        <f t="shared" si="27"/>
        <v>0</v>
      </c>
      <c r="J85" s="66">
        <f t="shared" si="27"/>
        <v>843740</v>
      </c>
      <c r="K85" s="66">
        <f t="shared" ref="K85" si="28">K86</f>
        <v>735640</v>
      </c>
      <c r="L85" s="66">
        <f t="shared" ref="L85" si="29">L86</f>
        <v>108100</v>
      </c>
      <c r="M85" s="66">
        <f t="shared" ref="M85" si="30">M86</f>
        <v>85100</v>
      </c>
      <c r="N85" s="66">
        <f t="shared" ref="N85" si="31">N86</f>
        <v>0</v>
      </c>
      <c r="O85" s="66">
        <f t="shared" ref="O85:P85" si="32">O86</f>
        <v>735640</v>
      </c>
      <c r="P85" s="66">
        <f t="shared" si="32"/>
        <v>182168798</v>
      </c>
      <c r="Q85" s="142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</row>
    <row r="86" spans="1:530" s="40" customFormat="1" ht="32.25" customHeight="1" x14ac:dyDescent="0.25">
      <c r="A86" s="77" t="s">
        <v>216</v>
      </c>
      <c r="B86" s="75"/>
      <c r="C86" s="75"/>
      <c r="D86" s="33" t="s">
        <v>51</v>
      </c>
      <c r="E86" s="68">
        <f>E87+E88+E89+E90+E91+E92+E93+E94+E95+E96+E97+E98+E99+E100+E101+E102+E103+E104+E105+E106</f>
        <v>181325058</v>
      </c>
      <c r="F86" s="68">
        <f t="shared" ref="F86:P86" si="33">F87+F88+F89+F90+F91+F92+F93+F94+F95+F96+F97+F98+F99+F100+F101+F102+F103+F104+F105+F106</f>
        <v>181325058</v>
      </c>
      <c r="G86" s="68">
        <f t="shared" si="33"/>
        <v>55579225</v>
      </c>
      <c r="H86" s="68">
        <f t="shared" si="33"/>
        <v>1615490</v>
      </c>
      <c r="I86" s="68">
        <f t="shared" si="33"/>
        <v>0</v>
      </c>
      <c r="J86" s="68">
        <f t="shared" si="33"/>
        <v>843740</v>
      </c>
      <c r="K86" s="68">
        <f t="shared" si="33"/>
        <v>735640</v>
      </c>
      <c r="L86" s="68">
        <f t="shared" si="33"/>
        <v>108100</v>
      </c>
      <c r="M86" s="68">
        <f t="shared" si="33"/>
        <v>85100</v>
      </c>
      <c r="N86" s="68">
        <f t="shared" si="33"/>
        <v>0</v>
      </c>
      <c r="O86" s="68">
        <f t="shared" si="33"/>
        <v>735640</v>
      </c>
      <c r="P86" s="68">
        <f t="shared" si="33"/>
        <v>182168798</v>
      </c>
      <c r="Q86" s="142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</row>
    <row r="87" spans="1:530" s="23" customFormat="1" ht="45.75" customHeight="1" x14ac:dyDescent="0.25">
      <c r="A87" s="43" t="s">
        <v>217</v>
      </c>
      <c r="B87" s="44" t="str">
        <f>'дод 3-1'!A13</f>
        <v>0160</v>
      </c>
      <c r="C87" s="44" t="str">
        <f>'дод 3-1'!B13</f>
        <v>0111</v>
      </c>
      <c r="D8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87" s="69">
        <f t="shared" ref="E87:E106" si="34">F87+I87</f>
        <v>53190200</v>
      </c>
      <c r="F87" s="69">
        <f>55432800+254000-2496600</f>
        <v>53190200</v>
      </c>
      <c r="G87" s="69">
        <f>43728800-2046400</f>
        <v>41682400</v>
      </c>
      <c r="H87" s="69">
        <v>841800</v>
      </c>
      <c r="I87" s="69"/>
      <c r="J87" s="69">
        <f>L87+O87</f>
        <v>0</v>
      </c>
      <c r="K87" s="69"/>
      <c r="L87" s="69"/>
      <c r="M87" s="69"/>
      <c r="N87" s="69"/>
      <c r="O87" s="69"/>
      <c r="P87" s="69">
        <f t="shared" ref="P87:P106" si="35">E87+J87</f>
        <v>53190200</v>
      </c>
      <c r="Q87" s="142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</row>
    <row r="88" spans="1:530" s="26" customFormat="1" ht="36" customHeight="1" x14ac:dyDescent="0.25">
      <c r="A88" s="43" t="s">
        <v>218</v>
      </c>
      <c r="B88" s="44" t="str">
        <f>'дод 3-1'!A46</f>
        <v>3031</v>
      </c>
      <c r="C88" s="44" t="str">
        <f>'дод 3-1'!B46</f>
        <v>1030</v>
      </c>
      <c r="D88" s="24" t="str">
        <f>'дод 3-1'!C46</f>
        <v>Надання інших пільг окремим категоріям громадян відповідно до законодавства</v>
      </c>
      <c r="E88" s="69">
        <f t="shared" si="34"/>
        <v>582400</v>
      </c>
      <c r="F88" s="69">
        <v>582400</v>
      </c>
      <c r="G88" s="69"/>
      <c r="H88" s="69"/>
      <c r="I88" s="69"/>
      <c r="J88" s="69">
        <f t="shared" ref="J88:J103" si="36">L88+O88</f>
        <v>0</v>
      </c>
      <c r="K88" s="69">
        <f>232600-190600-42000</f>
        <v>0</v>
      </c>
      <c r="L88" s="69"/>
      <c r="M88" s="69"/>
      <c r="N88" s="69"/>
      <c r="O88" s="69">
        <f>232600-190600-42000</f>
        <v>0</v>
      </c>
      <c r="P88" s="69">
        <f t="shared" si="35"/>
        <v>582400</v>
      </c>
      <c r="Q88" s="142"/>
    </row>
    <row r="89" spans="1:530" s="26" customFormat="1" ht="42.75" customHeight="1" x14ac:dyDescent="0.25">
      <c r="A89" s="43" t="s">
        <v>219</v>
      </c>
      <c r="B89" s="44" t="str">
        <f>'дод 3-1'!A47</f>
        <v>3032</v>
      </c>
      <c r="C89" s="44" t="str">
        <f>'дод 3-1'!B47</f>
        <v>1070</v>
      </c>
      <c r="D89" s="24" t="str">
        <f>'дод 3-1'!C47</f>
        <v>Надання пільг окремим категоріям громадян з оплати послуг зв'язку</v>
      </c>
      <c r="E89" s="69">
        <f t="shared" si="34"/>
        <v>1300000</v>
      </c>
      <c r="F89" s="69">
        <v>1300000</v>
      </c>
      <c r="G89" s="69"/>
      <c r="H89" s="69"/>
      <c r="I89" s="69"/>
      <c r="J89" s="69">
        <f t="shared" si="36"/>
        <v>0</v>
      </c>
      <c r="K89" s="69"/>
      <c r="L89" s="69"/>
      <c r="M89" s="69"/>
      <c r="N89" s="69"/>
      <c r="O89" s="69"/>
      <c r="P89" s="69">
        <f t="shared" si="35"/>
        <v>1300000</v>
      </c>
      <c r="Q89" s="142"/>
    </row>
    <row r="90" spans="1:530" s="26" customFormat="1" ht="51.75" customHeight="1" x14ac:dyDescent="0.25">
      <c r="A90" s="43" t="s">
        <v>413</v>
      </c>
      <c r="B90" s="44" t="str">
        <f>'дод 3-1'!A48</f>
        <v>3033</v>
      </c>
      <c r="C90" s="44" t="str">
        <f>'дод 3-1'!B48</f>
        <v>1070</v>
      </c>
      <c r="D90" s="24" t="str">
        <f>'дод 3-1'!C48</f>
        <v>Компенсаційні виплати на пільговий проїзд автомобільним транспортом окремим категоріям громадян</v>
      </c>
      <c r="E90" s="69">
        <f t="shared" si="34"/>
        <v>24597100</v>
      </c>
      <c r="F90" s="69">
        <f>24500000+97100</f>
        <v>24597100</v>
      </c>
      <c r="G90" s="69"/>
      <c r="H90" s="69"/>
      <c r="I90" s="69"/>
      <c r="J90" s="69">
        <f t="shared" si="36"/>
        <v>0</v>
      </c>
      <c r="K90" s="69"/>
      <c r="L90" s="69"/>
      <c r="M90" s="69"/>
      <c r="N90" s="69"/>
      <c r="O90" s="69"/>
      <c r="P90" s="69">
        <f t="shared" si="35"/>
        <v>24597100</v>
      </c>
      <c r="Q90" s="142"/>
    </row>
    <row r="91" spans="1:530" s="26" customFormat="1" ht="30" x14ac:dyDescent="0.25">
      <c r="A91" s="43" t="s">
        <v>381</v>
      </c>
      <c r="B91" s="44" t="str">
        <f>'дод 3-1'!A49</f>
        <v>3035</v>
      </c>
      <c r="C91" s="44" t="str">
        <f>'дод 3-1'!B49</f>
        <v>1070</v>
      </c>
      <c r="D91" s="24" t="str">
        <f>'дод 3-1'!C49</f>
        <v>Компенсаційні виплати за пільговий проїзд окремих категорій громадян на залізничному транспорті</v>
      </c>
      <c r="E91" s="69">
        <f t="shared" si="34"/>
        <v>1000000</v>
      </c>
      <c r="F91" s="69">
        <v>1000000</v>
      </c>
      <c r="G91" s="69"/>
      <c r="H91" s="69"/>
      <c r="I91" s="69"/>
      <c r="J91" s="69">
        <f t="shared" si="36"/>
        <v>0</v>
      </c>
      <c r="K91" s="69"/>
      <c r="L91" s="69"/>
      <c r="M91" s="69"/>
      <c r="N91" s="69"/>
      <c r="O91" s="69"/>
      <c r="P91" s="69">
        <f t="shared" si="35"/>
        <v>1000000</v>
      </c>
      <c r="Q91" s="142"/>
    </row>
    <row r="92" spans="1:530" s="26" customFormat="1" ht="36" customHeight="1" x14ac:dyDescent="0.25">
      <c r="A92" s="43" t="s">
        <v>220</v>
      </c>
      <c r="B92" s="44" t="str">
        <f>'дод 3-1'!A50</f>
        <v>3036</v>
      </c>
      <c r="C92" s="44" t="str">
        <f>'дод 3-1'!B50</f>
        <v>1070</v>
      </c>
      <c r="D92" s="24" t="str">
        <f>'дод 3-1'!C50</f>
        <v>Компенсаційні виплати на пільговий проїзд електротранспортом окремим категоріям громадян</v>
      </c>
      <c r="E92" s="69">
        <f t="shared" si="34"/>
        <v>40470500</v>
      </c>
      <c r="F92" s="69">
        <f>39098112+1372388</f>
        <v>40470500</v>
      </c>
      <c r="G92" s="69"/>
      <c r="H92" s="69"/>
      <c r="I92" s="69"/>
      <c r="J92" s="69">
        <f t="shared" si="36"/>
        <v>0</v>
      </c>
      <c r="K92" s="69"/>
      <c r="L92" s="69"/>
      <c r="M92" s="69"/>
      <c r="N92" s="69"/>
      <c r="O92" s="69"/>
      <c r="P92" s="69">
        <f t="shared" si="35"/>
        <v>40470500</v>
      </c>
      <c r="Q92" s="142"/>
    </row>
    <row r="93" spans="1:530" s="23" customFormat="1" ht="44.25" customHeight="1" x14ac:dyDescent="0.25">
      <c r="A93" s="43" t="s">
        <v>411</v>
      </c>
      <c r="B93" s="44" t="str">
        <f>'дод 3-1'!A51</f>
        <v>3050</v>
      </c>
      <c r="C93" s="44" t="str">
        <f>'дод 3-1'!B51</f>
        <v>1070</v>
      </c>
      <c r="D93" s="24" t="str">
        <f>'дод 3-1'!C51</f>
        <v>Пільгове медичне обслуговування осіб, які постраждали внаслідок Чорнобильської катастрофи</v>
      </c>
      <c r="E93" s="69">
        <f t="shared" si="34"/>
        <v>853000</v>
      </c>
      <c r="F93" s="69">
        <v>853000</v>
      </c>
      <c r="G93" s="69"/>
      <c r="H93" s="69"/>
      <c r="I93" s="69"/>
      <c r="J93" s="69">
        <f t="shared" si="36"/>
        <v>0</v>
      </c>
      <c r="K93" s="69"/>
      <c r="L93" s="69"/>
      <c r="M93" s="69"/>
      <c r="N93" s="69"/>
      <c r="O93" s="69"/>
      <c r="P93" s="69">
        <f t="shared" si="35"/>
        <v>853000</v>
      </c>
      <c r="Q93" s="142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</row>
    <row r="94" spans="1:530" s="23" customFormat="1" ht="38.25" customHeight="1" x14ac:dyDescent="0.25">
      <c r="A94" s="43" t="s">
        <v>412</v>
      </c>
      <c r="B94" s="44" t="str">
        <f>'дод 3-1'!A52</f>
        <v>3090</v>
      </c>
      <c r="C94" s="44" t="str">
        <f>'дод 3-1'!B52</f>
        <v>1030</v>
      </c>
      <c r="D94" s="24" t="str">
        <f>'дод 3-1'!C52</f>
        <v>Видатки на поховання учасників бойових дій та осіб з інвалідністю внаслідок війни</v>
      </c>
      <c r="E94" s="69">
        <f t="shared" si="34"/>
        <v>228400</v>
      </c>
      <c r="F94" s="69">
        <v>228400</v>
      </c>
      <c r="G94" s="69"/>
      <c r="H94" s="69"/>
      <c r="I94" s="69"/>
      <c r="J94" s="69">
        <f t="shared" si="36"/>
        <v>0</v>
      </c>
      <c r="K94" s="69"/>
      <c r="L94" s="69"/>
      <c r="M94" s="69"/>
      <c r="N94" s="69"/>
      <c r="O94" s="69"/>
      <c r="P94" s="69">
        <f t="shared" si="35"/>
        <v>228400</v>
      </c>
      <c r="Q94" s="142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</row>
    <row r="95" spans="1:530" s="23" customFormat="1" ht="60.75" customHeight="1" x14ac:dyDescent="0.25">
      <c r="A95" s="43" t="s">
        <v>221</v>
      </c>
      <c r="B95" s="44" t="str">
        <f>'дод 3-1'!A53</f>
        <v>3104</v>
      </c>
      <c r="C95" s="44" t="str">
        <f>'дод 3-1'!B53</f>
        <v>1020</v>
      </c>
      <c r="D95" s="24" t="str">
        <f>'дод 3-1'!C53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5" s="69">
        <f t="shared" si="34"/>
        <v>13527630</v>
      </c>
      <c r="F95" s="69">
        <v>13527630</v>
      </c>
      <c r="G95" s="69">
        <v>10389550</v>
      </c>
      <c r="H95" s="69">
        <v>230060</v>
      </c>
      <c r="I95" s="69"/>
      <c r="J95" s="69">
        <f t="shared" si="36"/>
        <v>108100</v>
      </c>
      <c r="K95" s="69"/>
      <c r="L95" s="69">
        <v>108100</v>
      </c>
      <c r="M95" s="69">
        <v>85100</v>
      </c>
      <c r="N95" s="69"/>
      <c r="O95" s="69"/>
      <c r="P95" s="69">
        <f t="shared" si="35"/>
        <v>13635730</v>
      </c>
      <c r="Q95" s="142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</row>
    <row r="96" spans="1:530" s="23" customFormat="1" ht="87" customHeight="1" x14ac:dyDescent="0.25">
      <c r="A96" s="43" t="s">
        <v>222</v>
      </c>
      <c r="B96" s="44" t="str">
        <f>'дод 3-1'!A59</f>
        <v>3160</v>
      </c>
      <c r="C96" s="44">
        <f>'дод 3-1'!B59</f>
        <v>1010</v>
      </c>
      <c r="D96" s="24" t="str">
        <f>'дод 3-1'!C59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6" s="69">
        <f t="shared" si="34"/>
        <v>1911000</v>
      </c>
      <c r="F96" s="69">
        <v>1911000</v>
      </c>
      <c r="G96" s="69"/>
      <c r="H96" s="69"/>
      <c r="I96" s="69"/>
      <c r="J96" s="69">
        <f t="shared" si="36"/>
        <v>0</v>
      </c>
      <c r="K96" s="69"/>
      <c r="L96" s="69"/>
      <c r="M96" s="69"/>
      <c r="N96" s="69"/>
      <c r="O96" s="69"/>
      <c r="P96" s="69">
        <f t="shared" si="35"/>
        <v>1911000</v>
      </c>
      <c r="Q96" s="142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</row>
    <row r="97" spans="1:530" s="23" customFormat="1" ht="63.75" customHeight="1" x14ac:dyDescent="0.25">
      <c r="A97" s="43" t="s">
        <v>414</v>
      </c>
      <c r="B97" s="44" t="str">
        <f>'дод 3-1'!A60</f>
        <v>3171</v>
      </c>
      <c r="C97" s="44">
        <f>'дод 3-1'!B60</f>
        <v>1010</v>
      </c>
      <c r="D97" s="24" t="str">
        <f>'дод 3-1'!C60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97" s="69">
        <f t="shared" si="34"/>
        <v>228095</v>
      </c>
      <c r="F97" s="69">
        <v>228095</v>
      </c>
      <c r="G97" s="69"/>
      <c r="H97" s="69"/>
      <c r="I97" s="69"/>
      <c r="J97" s="69">
        <f t="shared" si="36"/>
        <v>0</v>
      </c>
      <c r="K97" s="69"/>
      <c r="L97" s="69"/>
      <c r="M97" s="69"/>
      <c r="N97" s="69"/>
      <c r="O97" s="69"/>
      <c r="P97" s="69">
        <f t="shared" si="35"/>
        <v>228095</v>
      </c>
      <c r="Q97" s="142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43.5" customHeight="1" x14ac:dyDescent="0.25">
      <c r="A98" s="43" t="s">
        <v>415</v>
      </c>
      <c r="B98" s="44" t="str">
        <f>'дод 3-1'!A61</f>
        <v>3172</v>
      </c>
      <c r="C98" s="44">
        <f>'дод 3-1'!B61</f>
        <v>1010</v>
      </c>
      <c r="D98" s="24" t="str">
        <f>'дод 3-1'!C61</f>
        <v>Встановлення телефонів особам з інвалідністю I і II груп</v>
      </c>
      <c r="E98" s="69">
        <f t="shared" si="34"/>
        <v>90</v>
      </c>
      <c r="F98" s="69">
        <v>90</v>
      </c>
      <c r="G98" s="69"/>
      <c r="H98" s="69"/>
      <c r="I98" s="69"/>
      <c r="J98" s="69">
        <f t="shared" si="36"/>
        <v>0</v>
      </c>
      <c r="K98" s="69"/>
      <c r="L98" s="69"/>
      <c r="M98" s="69"/>
      <c r="N98" s="69"/>
      <c r="O98" s="69"/>
      <c r="P98" s="69">
        <f t="shared" si="35"/>
        <v>90</v>
      </c>
      <c r="Q98" s="142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77.25" customHeight="1" x14ac:dyDescent="0.25">
      <c r="A99" s="43" t="s">
        <v>223</v>
      </c>
      <c r="B99" s="44" t="str">
        <f>'дод 3-1'!A62</f>
        <v>3180</v>
      </c>
      <c r="C99" s="44" t="str">
        <f>'дод 3-1'!B62</f>
        <v>1060</v>
      </c>
      <c r="D99" s="24" t="str">
        <f>'дод 3-1'!C62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99" s="69">
        <f t="shared" si="34"/>
        <v>2075000</v>
      </c>
      <c r="F99" s="69">
        <f>1876300+198700</f>
        <v>2075000</v>
      </c>
      <c r="G99" s="69"/>
      <c r="H99" s="69"/>
      <c r="I99" s="69"/>
      <c r="J99" s="69">
        <f t="shared" si="36"/>
        <v>0</v>
      </c>
      <c r="K99" s="69"/>
      <c r="L99" s="69"/>
      <c r="M99" s="69"/>
      <c r="N99" s="69"/>
      <c r="O99" s="69"/>
      <c r="P99" s="69">
        <f t="shared" si="35"/>
        <v>2075000</v>
      </c>
      <c r="Q99" s="142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27" customHeight="1" x14ac:dyDescent="0.25">
      <c r="A100" s="43" t="s">
        <v>360</v>
      </c>
      <c r="B100" s="44" t="str">
        <f>'дод 3-1'!A63</f>
        <v>3191</v>
      </c>
      <c r="C100" s="44" t="str">
        <f>'дод 3-1'!B63</f>
        <v>1030</v>
      </c>
      <c r="D100" s="24" t="str">
        <f>'дод 3-1'!C63</f>
        <v>Інші видатки на соціальний захист ветеранів війни та праці</v>
      </c>
      <c r="E100" s="69">
        <f t="shared" si="34"/>
        <v>2178000</v>
      </c>
      <c r="F100" s="69">
        <v>2178000</v>
      </c>
      <c r="G100" s="69"/>
      <c r="H100" s="69"/>
      <c r="I100" s="69"/>
      <c r="J100" s="69">
        <f t="shared" si="36"/>
        <v>0</v>
      </c>
      <c r="K100" s="69"/>
      <c r="L100" s="69"/>
      <c r="M100" s="69"/>
      <c r="N100" s="69"/>
      <c r="O100" s="69"/>
      <c r="P100" s="69">
        <f t="shared" si="35"/>
        <v>2178000</v>
      </c>
      <c r="Q100" s="142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45" x14ac:dyDescent="0.25">
      <c r="A101" s="43" t="s">
        <v>361</v>
      </c>
      <c r="B101" s="44" t="str">
        <f>'дод 3-1'!A64</f>
        <v>3192</v>
      </c>
      <c r="C101" s="44" t="str">
        <f>'дод 3-1'!B64</f>
        <v>1030</v>
      </c>
      <c r="D101" s="24" t="str">
        <f>'дод 3-1'!C64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1" s="69">
        <f t="shared" si="34"/>
        <v>1892237</v>
      </c>
      <c r="F101" s="69">
        <f>1478776+413461</f>
        <v>1892237</v>
      </c>
      <c r="G101" s="69"/>
      <c r="H101" s="69"/>
      <c r="I101" s="69"/>
      <c r="J101" s="69">
        <f t="shared" si="36"/>
        <v>0</v>
      </c>
      <c r="K101" s="69"/>
      <c r="L101" s="69"/>
      <c r="M101" s="69"/>
      <c r="N101" s="69"/>
      <c r="O101" s="69"/>
      <c r="P101" s="69">
        <f t="shared" si="35"/>
        <v>1892237</v>
      </c>
      <c r="Q101" s="142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41.25" customHeight="1" x14ac:dyDescent="0.25">
      <c r="A102" s="43" t="s">
        <v>224</v>
      </c>
      <c r="B102" s="44" t="str">
        <f>'дод 3-1'!A65</f>
        <v>3200</v>
      </c>
      <c r="C102" s="44" t="str">
        <f>'дод 3-1'!B65</f>
        <v>1090</v>
      </c>
      <c r="D102" s="24" t="str">
        <f>'дод 3-1'!C65</f>
        <v>Забезпечення обробки інформації з нарахування та виплати допомог і компенсацій</v>
      </c>
      <c r="E102" s="69">
        <f t="shared" si="34"/>
        <v>86500</v>
      </c>
      <c r="F102" s="69">
        <v>86500</v>
      </c>
      <c r="G102" s="69"/>
      <c r="H102" s="69"/>
      <c r="I102" s="69"/>
      <c r="J102" s="69">
        <f t="shared" si="36"/>
        <v>0</v>
      </c>
      <c r="K102" s="69"/>
      <c r="L102" s="69"/>
      <c r="M102" s="69"/>
      <c r="N102" s="69"/>
      <c r="O102" s="69"/>
      <c r="P102" s="69">
        <f t="shared" si="35"/>
        <v>86500</v>
      </c>
      <c r="Q102" s="142">
        <v>18</v>
      </c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19.5" customHeight="1" x14ac:dyDescent="0.25">
      <c r="A103" s="52" t="s">
        <v>362</v>
      </c>
      <c r="B103" s="45" t="str">
        <f>'дод 3-1'!A66</f>
        <v>3210</v>
      </c>
      <c r="C103" s="45" t="str">
        <f>'дод 3-1'!B66</f>
        <v>1050</v>
      </c>
      <c r="D103" s="22" t="str">
        <f>'дод 3-1'!C66</f>
        <v>Організація та проведення громадських робіт</v>
      </c>
      <c r="E103" s="69">
        <f t="shared" si="34"/>
        <v>200000</v>
      </c>
      <c r="F103" s="69">
        <v>200000</v>
      </c>
      <c r="G103" s="69">
        <v>163935</v>
      </c>
      <c r="H103" s="69"/>
      <c r="I103" s="69"/>
      <c r="J103" s="69">
        <f t="shared" si="36"/>
        <v>0</v>
      </c>
      <c r="K103" s="69"/>
      <c r="L103" s="69"/>
      <c r="M103" s="69"/>
      <c r="N103" s="69"/>
      <c r="O103" s="69"/>
      <c r="P103" s="69">
        <f t="shared" si="35"/>
        <v>200000</v>
      </c>
      <c r="Q103" s="142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31.5" customHeight="1" x14ac:dyDescent="0.25">
      <c r="A104" s="43" t="s">
        <v>359</v>
      </c>
      <c r="B104" s="44" t="str">
        <f>'дод 3-1'!A67</f>
        <v>3241</v>
      </c>
      <c r="C104" s="44" t="str">
        <f>'дод 3-1'!B67</f>
        <v>1090</v>
      </c>
      <c r="D104" s="24" t="str">
        <f>'дод 3-1'!C67</f>
        <v>Забезпечення діяльності інших закладів у сфері соціального захисту і соціального забезпечення</v>
      </c>
      <c r="E104" s="69">
        <f t="shared" si="34"/>
        <v>5445830</v>
      </c>
      <c r="F104" s="69">
        <v>5445830</v>
      </c>
      <c r="G104" s="69">
        <v>3343340</v>
      </c>
      <c r="H104" s="69">
        <v>543630</v>
      </c>
      <c r="I104" s="69"/>
      <c r="J104" s="69">
        <f t="shared" ref="J104:J106" si="37">L104+O104</f>
        <v>700000</v>
      </c>
      <c r="K104" s="69">
        <f>200000+500000</f>
        <v>700000</v>
      </c>
      <c r="L104" s="69"/>
      <c r="M104" s="69"/>
      <c r="N104" s="69"/>
      <c r="O104" s="69">
        <f>200000+500000</f>
        <v>700000</v>
      </c>
      <c r="P104" s="69">
        <f t="shared" si="35"/>
        <v>6145830</v>
      </c>
      <c r="Q104" s="142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33" customHeight="1" x14ac:dyDescent="0.25">
      <c r="A105" s="43" t="s">
        <v>416</v>
      </c>
      <c r="B105" s="44" t="str">
        <f>'дод 3-1'!A68</f>
        <v>3242</v>
      </c>
      <c r="C105" s="44" t="str">
        <f>'дод 3-1'!B68</f>
        <v>1090</v>
      </c>
      <c r="D105" s="24" t="str">
        <f>'дод 3-1'!C68</f>
        <v>Інші заходи у сфері соціального захисту і соціального забезпечення</v>
      </c>
      <c r="E105" s="69">
        <f t="shared" si="34"/>
        <v>30489076</v>
      </c>
      <c r="F105" s="69">
        <f>29645360-11+360800-350000+439024+43903+350000</f>
        <v>30489076</v>
      </c>
      <c r="G105" s="69"/>
      <c r="H105" s="69"/>
      <c r="I105" s="69"/>
      <c r="J105" s="69">
        <f t="shared" si="37"/>
        <v>35640</v>
      </c>
      <c r="K105" s="69">
        <v>35640</v>
      </c>
      <c r="L105" s="69"/>
      <c r="M105" s="69"/>
      <c r="N105" s="69"/>
      <c r="O105" s="69">
        <v>35640</v>
      </c>
      <c r="P105" s="69">
        <f t="shared" si="35"/>
        <v>30524716</v>
      </c>
      <c r="Q105" s="142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31.5" customHeight="1" x14ac:dyDescent="0.25">
      <c r="A106" s="43" t="s">
        <v>307</v>
      </c>
      <c r="B106" s="44" t="str">
        <f>'дод 3-1'!A134</f>
        <v>9770</v>
      </c>
      <c r="C106" s="44" t="str">
        <f>'дод 3-1'!B134</f>
        <v>0180</v>
      </c>
      <c r="D106" s="24" t="str">
        <f>'дод 3-1'!C134</f>
        <v>Інші субвенції з місцевого бюджету</v>
      </c>
      <c r="E106" s="69">
        <f t="shared" si="34"/>
        <v>1070000</v>
      </c>
      <c r="F106" s="69">
        <v>1070000</v>
      </c>
      <c r="G106" s="69"/>
      <c r="H106" s="69"/>
      <c r="I106" s="69"/>
      <c r="J106" s="69">
        <f t="shared" si="37"/>
        <v>0</v>
      </c>
      <c r="K106" s="69"/>
      <c r="L106" s="69"/>
      <c r="M106" s="69"/>
      <c r="N106" s="69"/>
      <c r="O106" s="69"/>
      <c r="P106" s="69">
        <f t="shared" si="35"/>
        <v>1070000</v>
      </c>
      <c r="Q106" s="142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31" customFormat="1" ht="28.5" customHeight="1" x14ac:dyDescent="0.2">
      <c r="A107" s="89" t="s">
        <v>225</v>
      </c>
      <c r="B107" s="72"/>
      <c r="C107" s="72"/>
      <c r="D107" s="30" t="s">
        <v>428</v>
      </c>
      <c r="E107" s="66">
        <f>E108</f>
        <v>5088200</v>
      </c>
      <c r="F107" s="66">
        <f t="shared" ref="F107:J107" si="38">F108</f>
        <v>5088200</v>
      </c>
      <c r="G107" s="66">
        <f t="shared" si="38"/>
        <v>3942800</v>
      </c>
      <c r="H107" s="66">
        <f t="shared" si="38"/>
        <v>57500</v>
      </c>
      <c r="I107" s="66">
        <f t="shared" si="38"/>
        <v>0</v>
      </c>
      <c r="J107" s="66">
        <f t="shared" si="38"/>
        <v>20000</v>
      </c>
      <c r="K107" s="66">
        <f t="shared" ref="K107" si="39">K108</f>
        <v>20000</v>
      </c>
      <c r="L107" s="66">
        <f t="shared" ref="L107" si="40">L108</f>
        <v>0</v>
      </c>
      <c r="M107" s="66">
        <f t="shared" ref="M107" si="41">M108</f>
        <v>0</v>
      </c>
      <c r="N107" s="66">
        <f t="shared" ref="N107" si="42">N108</f>
        <v>0</v>
      </c>
      <c r="O107" s="66">
        <f t="shared" ref="O107:P107" si="43">O108</f>
        <v>20000</v>
      </c>
      <c r="P107" s="66">
        <f t="shared" si="43"/>
        <v>5108200</v>
      </c>
      <c r="Q107" s="142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</row>
    <row r="108" spans="1:530" s="40" customFormat="1" ht="29.25" customHeight="1" x14ac:dyDescent="0.25">
      <c r="A108" s="90" t="s">
        <v>226</v>
      </c>
      <c r="B108" s="73"/>
      <c r="C108" s="73"/>
      <c r="D108" s="33" t="s">
        <v>428</v>
      </c>
      <c r="E108" s="68">
        <f>E109+E110+E111</f>
        <v>5088200</v>
      </c>
      <c r="F108" s="68">
        <f t="shared" ref="F108:P108" si="44">F109+F110+F111</f>
        <v>5088200</v>
      </c>
      <c r="G108" s="68">
        <f t="shared" si="44"/>
        <v>3942800</v>
      </c>
      <c r="H108" s="68">
        <f t="shared" si="44"/>
        <v>57500</v>
      </c>
      <c r="I108" s="68">
        <f t="shared" si="44"/>
        <v>0</v>
      </c>
      <c r="J108" s="68">
        <f t="shared" si="44"/>
        <v>20000</v>
      </c>
      <c r="K108" s="68">
        <f t="shared" si="44"/>
        <v>20000</v>
      </c>
      <c r="L108" s="68">
        <f t="shared" si="44"/>
        <v>0</v>
      </c>
      <c r="M108" s="68">
        <f t="shared" si="44"/>
        <v>0</v>
      </c>
      <c r="N108" s="68">
        <f t="shared" si="44"/>
        <v>0</v>
      </c>
      <c r="O108" s="68">
        <f t="shared" si="44"/>
        <v>20000</v>
      </c>
      <c r="P108" s="68">
        <f t="shared" si="44"/>
        <v>5108200</v>
      </c>
      <c r="Q108" s="142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</row>
    <row r="109" spans="1:530" s="23" customFormat="1" ht="42.75" customHeight="1" x14ac:dyDescent="0.25">
      <c r="A109" s="43" t="s">
        <v>227</v>
      </c>
      <c r="B109" s="44" t="str">
        <f>'дод 3-1'!A13</f>
        <v>0160</v>
      </c>
      <c r="C109" s="44" t="str">
        <f>'дод 3-1'!B13</f>
        <v>0111</v>
      </c>
      <c r="D109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09" s="69">
        <f>F109+I109</f>
        <v>4997700</v>
      </c>
      <c r="F109" s="69">
        <f>5240600+10300-253200</f>
        <v>4997700</v>
      </c>
      <c r="G109" s="69">
        <f>4150400-207600</f>
        <v>3942800</v>
      </c>
      <c r="H109" s="69">
        <v>57500</v>
      </c>
      <c r="I109" s="69"/>
      <c r="J109" s="69">
        <f>L109+O109</f>
        <v>0</v>
      </c>
      <c r="K109" s="69"/>
      <c r="L109" s="69"/>
      <c r="M109" s="69"/>
      <c r="N109" s="69"/>
      <c r="O109" s="69"/>
      <c r="P109" s="69">
        <f>E109+J109</f>
        <v>4997700</v>
      </c>
      <c r="Q109" s="142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</row>
    <row r="110" spans="1:530" s="23" customFormat="1" ht="60" x14ac:dyDescent="0.25">
      <c r="A110" s="43" t="s">
        <v>394</v>
      </c>
      <c r="B110" s="44">
        <v>3111</v>
      </c>
      <c r="C110" s="44">
        <v>1040</v>
      </c>
      <c r="D110" s="22" t="str">
        <f>'дод 3-1'!C54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0" s="69">
        <f>F110+I110</f>
        <v>0</v>
      </c>
      <c r="F110" s="69"/>
      <c r="G110" s="69"/>
      <c r="H110" s="69"/>
      <c r="I110" s="69"/>
      <c r="J110" s="69">
        <f t="shared" ref="J110:J111" si="45">L110+O110</f>
        <v>20000</v>
      </c>
      <c r="K110" s="69">
        <v>20000</v>
      </c>
      <c r="L110" s="69"/>
      <c r="M110" s="69"/>
      <c r="N110" s="69"/>
      <c r="O110" s="69">
        <v>20000</v>
      </c>
      <c r="P110" s="69">
        <f>E110+J110</f>
        <v>20000</v>
      </c>
      <c r="Q110" s="142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</row>
    <row r="111" spans="1:530" s="23" customFormat="1" ht="36.75" customHeight="1" x14ac:dyDescent="0.25">
      <c r="A111" s="43" t="s">
        <v>228</v>
      </c>
      <c r="B111" s="44" t="str">
        <f>'дод 3-1'!A55</f>
        <v>3112</v>
      </c>
      <c r="C111" s="44" t="str">
        <f>'дод 3-1'!B55</f>
        <v>1040</v>
      </c>
      <c r="D111" s="24" t="str">
        <f>'дод 3-1'!C55</f>
        <v>Заходи державної політики з питань дітей та їх соціального захисту</v>
      </c>
      <c r="E111" s="69">
        <f>F111+I111</f>
        <v>90500</v>
      </c>
      <c r="F111" s="69">
        <v>90500</v>
      </c>
      <c r="G111" s="69"/>
      <c r="H111" s="69"/>
      <c r="I111" s="69"/>
      <c r="J111" s="69">
        <f t="shared" si="45"/>
        <v>0</v>
      </c>
      <c r="K111" s="69"/>
      <c r="L111" s="69"/>
      <c r="M111" s="69"/>
      <c r="N111" s="69"/>
      <c r="O111" s="69"/>
      <c r="P111" s="69">
        <f>E111+J111</f>
        <v>90500</v>
      </c>
      <c r="Q111" s="142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</row>
    <row r="112" spans="1:530" s="31" customFormat="1" ht="22.5" customHeight="1" x14ac:dyDescent="0.2">
      <c r="A112" s="76" t="s">
        <v>35</v>
      </c>
      <c r="B112" s="74"/>
      <c r="C112" s="74"/>
      <c r="D112" s="30" t="s">
        <v>396</v>
      </c>
      <c r="E112" s="66">
        <f>E113</f>
        <v>64473880</v>
      </c>
      <c r="F112" s="66">
        <f t="shared" ref="F112:J112" si="46">F113</f>
        <v>64473880</v>
      </c>
      <c r="G112" s="66">
        <f t="shared" si="46"/>
        <v>47809400</v>
      </c>
      <c r="H112" s="66">
        <f t="shared" si="46"/>
        <v>2201760</v>
      </c>
      <c r="I112" s="66">
        <f t="shared" si="46"/>
        <v>0</v>
      </c>
      <c r="J112" s="66">
        <f t="shared" si="46"/>
        <v>3814640</v>
      </c>
      <c r="K112" s="66">
        <f t="shared" ref="K112" si="47">K113</f>
        <v>996000</v>
      </c>
      <c r="L112" s="66">
        <f t="shared" ref="L112" si="48">L113</f>
        <v>2813920</v>
      </c>
      <c r="M112" s="66">
        <f t="shared" ref="M112" si="49">M113</f>
        <v>2279416</v>
      </c>
      <c r="N112" s="66">
        <f t="shared" ref="N112" si="50">N113</f>
        <v>3300</v>
      </c>
      <c r="O112" s="66">
        <f t="shared" ref="O112:P112" si="51">O113</f>
        <v>1000720</v>
      </c>
      <c r="P112" s="66">
        <f t="shared" si="51"/>
        <v>68288520</v>
      </c>
      <c r="Q112" s="142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</row>
    <row r="113" spans="1:530" s="40" customFormat="1" ht="21.75" customHeight="1" x14ac:dyDescent="0.25">
      <c r="A113" s="77" t="s">
        <v>229</v>
      </c>
      <c r="B113" s="75"/>
      <c r="C113" s="75"/>
      <c r="D113" s="33" t="s">
        <v>396</v>
      </c>
      <c r="E113" s="68">
        <f>E114+E115+E116+E118+E119++E120+E117+E121</f>
        <v>64473880</v>
      </c>
      <c r="F113" s="68">
        <f t="shared" ref="F113:P113" si="52">F114+F115+F116+F118+F119++F120+F117+F121</f>
        <v>64473880</v>
      </c>
      <c r="G113" s="68">
        <f t="shared" si="52"/>
        <v>47809400</v>
      </c>
      <c r="H113" s="68">
        <f t="shared" si="52"/>
        <v>2201760</v>
      </c>
      <c r="I113" s="68">
        <f t="shared" si="52"/>
        <v>0</v>
      </c>
      <c r="J113" s="68">
        <f t="shared" si="52"/>
        <v>3814640</v>
      </c>
      <c r="K113" s="68">
        <f t="shared" si="52"/>
        <v>996000</v>
      </c>
      <c r="L113" s="68">
        <f t="shared" si="52"/>
        <v>2813920</v>
      </c>
      <c r="M113" s="68">
        <f t="shared" si="52"/>
        <v>2279416</v>
      </c>
      <c r="N113" s="68">
        <f t="shared" si="52"/>
        <v>3300</v>
      </c>
      <c r="O113" s="68">
        <f t="shared" si="52"/>
        <v>1000720</v>
      </c>
      <c r="P113" s="68">
        <f t="shared" si="52"/>
        <v>68288520</v>
      </c>
      <c r="Q113" s="142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</row>
    <row r="114" spans="1:530" s="23" customFormat="1" ht="48" customHeight="1" x14ac:dyDescent="0.25">
      <c r="A114" s="43" t="s">
        <v>169</v>
      </c>
      <c r="B114" s="44" t="str">
        <f>'дод 3-1'!A13</f>
        <v>0160</v>
      </c>
      <c r="C114" s="44" t="str">
        <f>'дод 3-1'!B13</f>
        <v>0111</v>
      </c>
      <c r="D11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14" s="69">
        <f t="shared" ref="E114:E121" si="53">F114+I114</f>
        <v>1776700</v>
      </c>
      <c r="F114" s="69">
        <f>1862800+4400-90500</f>
        <v>1776700</v>
      </c>
      <c r="G114" s="69">
        <f>1461200-74200</f>
        <v>1387000</v>
      </c>
      <c r="H114" s="69">
        <v>17700</v>
      </c>
      <c r="I114" s="69"/>
      <c r="J114" s="69">
        <f>L114+O114</f>
        <v>0</v>
      </c>
      <c r="K114" s="69"/>
      <c r="L114" s="69"/>
      <c r="M114" s="69"/>
      <c r="N114" s="69"/>
      <c r="O114" s="69"/>
      <c r="P114" s="69">
        <f t="shared" ref="P114:P121" si="54">E114+J114</f>
        <v>1776700</v>
      </c>
      <c r="Q114" s="142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</row>
    <row r="115" spans="1:530" s="23" customFormat="1" ht="48.75" customHeight="1" x14ac:dyDescent="0.25">
      <c r="A115" s="43" t="s">
        <v>260</v>
      </c>
      <c r="B115" s="44" t="str">
        <f>'дод 3-1'!A24</f>
        <v>1100</v>
      </c>
      <c r="C115" s="44" t="str">
        <f>'дод 3-1'!B24</f>
        <v>0960</v>
      </c>
      <c r="D115" s="24" t="str">
        <f>'дод 3-1'!C24</f>
        <v>Надання спеціальної освіти мистецькими школами</v>
      </c>
      <c r="E115" s="69">
        <f t="shared" si="53"/>
        <v>38963600</v>
      </c>
      <c r="F115" s="69">
        <v>38963600</v>
      </c>
      <c r="G115" s="69">
        <v>30830000</v>
      </c>
      <c r="H115" s="69">
        <v>793600</v>
      </c>
      <c r="I115" s="69"/>
      <c r="J115" s="69">
        <f t="shared" ref="J115:J121" si="55">L115+O115</f>
        <v>3279640</v>
      </c>
      <c r="K115" s="69">
        <f>100000+400000</f>
        <v>500000</v>
      </c>
      <c r="L115" s="69">
        <v>2774920</v>
      </c>
      <c r="M115" s="69">
        <v>2267316</v>
      </c>
      <c r="N115" s="69"/>
      <c r="O115" s="69">
        <f>4720+500000</f>
        <v>504720</v>
      </c>
      <c r="P115" s="69">
        <f t="shared" si="54"/>
        <v>42243240</v>
      </c>
      <c r="Q115" s="142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</row>
    <row r="116" spans="1:530" s="23" customFormat="1" ht="21" customHeight="1" x14ac:dyDescent="0.25">
      <c r="A116" s="43" t="s">
        <v>230</v>
      </c>
      <c r="B116" s="44" t="str">
        <f>'дод 3-1'!A70</f>
        <v>4030</v>
      </c>
      <c r="C116" s="44" t="str">
        <f>'дод 3-1'!B70</f>
        <v>0824</v>
      </c>
      <c r="D116" s="24" t="str">
        <f>'дод 3-1'!C70</f>
        <v>Забезпечення діяльності бібліотек</v>
      </c>
      <c r="E116" s="69">
        <f t="shared" si="53"/>
        <v>19118200</v>
      </c>
      <c r="F116" s="69">
        <f>19098200+20000</f>
        <v>19118200</v>
      </c>
      <c r="G116" s="69">
        <v>13804000</v>
      </c>
      <c r="H116" s="69">
        <v>1346200</v>
      </c>
      <c r="I116" s="69"/>
      <c r="J116" s="69">
        <f t="shared" si="55"/>
        <v>130000</v>
      </c>
      <c r="K116" s="69">
        <v>100000</v>
      </c>
      <c r="L116" s="69">
        <v>30000</v>
      </c>
      <c r="M116" s="69">
        <v>12100</v>
      </c>
      <c r="N116" s="69"/>
      <c r="O116" s="69">
        <v>100000</v>
      </c>
      <c r="P116" s="69">
        <f t="shared" si="54"/>
        <v>19248200</v>
      </c>
      <c r="Q116" s="142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</row>
    <row r="117" spans="1:530" s="23" customFormat="1" ht="27.75" customHeight="1" x14ac:dyDescent="0.25">
      <c r="A117" s="43">
        <v>1014060</v>
      </c>
      <c r="B117" s="44" t="str">
        <f>'дод 3-1'!A71</f>
        <v>4060</v>
      </c>
      <c r="C117" s="44" t="str">
        <f>'дод 3-1'!B71</f>
        <v>0828</v>
      </c>
      <c r="D117" s="24" t="str">
        <f>'дод 3-1'!C71</f>
        <v>Забезпечення діяльності палаців i будинків культури, клубів, центрів дозвілля та iнших клубних закладів</v>
      </c>
      <c r="E117" s="69">
        <f t="shared" si="53"/>
        <v>546680</v>
      </c>
      <c r="F117" s="69">
        <v>546680</v>
      </c>
      <c r="G117" s="69">
        <v>424400</v>
      </c>
      <c r="H117" s="69">
        <v>11360</v>
      </c>
      <c r="I117" s="69"/>
      <c r="J117" s="69">
        <f t="shared" si="55"/>
        <v>6000</v>
      </c>
      <c r="K117" s="69"/>
      <c r="L117" s="69">
        <v>6000</v>
      </c>
      <c r="M117" s="69"/>
      <c r="N117" s="69">
        <v>3300</v>
      </c>
      <c r="O117" s="69"/>
      <c r="P117" s="69">
        <f t="shared" si="54"/>
        <v>552680</v>
      </c>
      <c r="Q117" s="142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</row>
    <row r="118" spans="1:530" s="27" customFormat="1" ht="33.75" customHeight="1" x14ac:dyDescent="0.25">
      <c r="A118" s="43">
        <v>1014081</v>
      </c>
      <c r="B118" s="44" t="str">
        <f>'дод 3-1'!A72</f>
        <v>4081</v>
      </c>
      <c r="C118" s="44" t="str">
        <f>'дод 3-1'!B72</f>
        <v>0829</v>
      </c>
      <c r="D118" s="24" t="str">
        <f>'дод 3-1'!C72</f>
        <v>Забезпечення діяльності інших закладів в галузі культури і мистецтва</v>
      </c>
      <c r="E118" s="69">
        <f t="shared" si="53"/>
        <v>1803000</v>
      </c>
      <c r="F118" s="69">
        <v>1803000</v>
      </c>
      <c r="G118" s="69">
        <v>1364000</v>
      </c>
      <c r="H118" s="69">
        <v>32900</v>
      </c>
      <c r="I118" s="69"/>
      <c r="J118" s="69">
        <f t="shared" si="55"/>
        <v>0</v>
      </c>
      <c r="K118" s="69"/>
      <c r="L118" s="69"/>
      <c r="M118" s="69"/>
      <c r="N118" s="69"/>
      <c r="O118" s="69"/>
      <c r="P118" s="69">
        <f t="shared" si="54"/>
        <v>1803000</v>
      </c>
      <c r="Q118" s="142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  <c r="TJ118" s="36"/>
    </row>
    <row r="119" spans="1:530" s="27" customFormat="1" ht="25.5" customHeight="1" x14ac:dyDescent="0.25">
      <c r="A119" s="43">
        <v>1014082</v>
      </c>
      <c r="B119" s="44" t="str">
        <f>'дод 3-1'!A73</f>
        <v>4082</v>
      </c>
      <c r="C119" s="44" t="str">
        <f>'дод 3-1'!B73</f>
        <v>0829</v>
      </c>
      <c r="D119" s="24" t="str">
        <f>'дод 3-1'!C73</f>
        <v>Інші заходи в галузі культури і мистецтва</v>
      </c>
      <c r="E119" s="69">
        <f t="shared" si="53"/>
        <v>2265700</v>
      </c>
      <c r="F119" s="69">
        <f>2265700</f>
        <v>2265700</v>
      </c>
      <c r="G119" s="69"/>
      <c r="H119" s="69"/>
      <c r="I119" s="69"/>
      <c r="J119" s="69">
        <f t="shared" si="55"/>
        <v>0</v>
      </c>
      <c r="K119" s="69"/>
      <c r="L119" s="69"/>
      <c r="M119" s="69"/>
      <c r="N119" s="69"/>
      <c r="O119" s="69"/>
      <c r="P119" s="69">
        <f t="shared" si="54"/>
        <v>2265700</v>
      </c>
      <c r="Q119" s="142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</row>
    <row r="120" spans="1:530" s="23" customFormat="1" ht="22.5" customHeight="1" x14ac:dyDescent="0.25">
      <c r="A120" s="43" t="s">
        <v>176</v>
      </c>
      <c r="B120" s="44" t="str">
        <f>'дод 3-1'!A108</f>
        <v>7640</v>
      </c>
      <c r="C120" s="44" t="str">
        <f>'дод 3-1'!B108</f>
        <v>0470</v>
      </c>
      <c r="D120" s="24" t="str">
        <f>'дод 3-1'!C108</f>
        <v>Заходи з енергозбереження</v>
      </c>
      <c r="E120" s="69">
        <f t="shared" si="53"/>
        <v>0</v>
      </c>
      <c r="F120" s="69"/>
      <c r="G120" s="69"/>
      <c r="H120" s="69"/>
      <c r="I120" s="69"/>
      <c r="J120" s="69">
        <f t="shared" si="55"/>
        <v>396000</v>
      </c>
      <c r="K120" s="69">
        <v>396000</v>
      </c>
      <c r="L120" s="69"/>
      <c r="M120" s="69"/>
      <c r="N120" s="69"/>
      <c r="O120" s="69">
        <v>396000</v>
      </c>
      <c r="P120" s="69">
        <f t="shared" si="54"/>
        <v>396000</v>
      </c>
      <c r="Q120" s="142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</row>
    <row r="121" spans="1:530" s="23" customFormat="1" ht="22.5" customHeight="1" x14ac:dyDescent="0.25">
      <c r="A121" s="43">
        <v>1018340</v>
      </c>
      <c r="B121" s="44" t="str">
        <f>'дод 3-1'!A125</f>
        <v>8340</v>
      </c>
      <c r="C121" s="44" t="str">
        <f>'дод 3-1'!B125</f>
        <v>0540</v>
      </c>
      <c r="D121" s="78" t="str">
        <f>'дод 3-1'!C125</f>
        <v>Природоохоронні заходи за рахунок цільових фондів</v>
      </c>
      <c r="E121" s="69">
        <f t="shared" si="53"/>
        <v>0</v>
      </c>
      <c r="F121" s="69"/>
      <c r="G121" s="69"/>
      <c r="H121" s="69"/>
      <c r="I121" s="69"/>
      <c r="J121" s="69">
        <f t="shared" si="55"/>
        <v>3000</v>
      </c>
      <c r="K121" s="69"/>
      <c r="L121" s="69">
        <v>3000</v>
      </c>
      <c r="M121" s="69"/>
      <c r="N121" s="69"/>
      <c r="O121" s="69"/>
      <c r="P121" s="69">
        <f t="shared" si="54"/>
        <v>3000</v>
      </c>
      <c r="Q121" s="142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</row>
    <row r="122" spans="1:530" s="31" customFormat="1" ht="34.5" customHeight="1" x14ac:dyDescent="0.2">
      <c r="A122" s="76" t="s">
        <v>231</v>
      </c>
      <c r="B122" s="74"/>
      <c r="C122" s="74"/>
      <c r="D122" s="30" t="s">
        <v>44</v>
      </c>
      <c r="E122" s="66">
        <f>E123</f>
        <v>281666898</v>
      </c>
      <c r="F122" s="66">
        <f t="shared" ref="F122:J122" si="56">F123</f>
        <v>247571666</v>
      </c>
      <c r="G122" s="66">
        <f t="shared" si="56"/>
        <v>10434500</v>
      </c>
      <c r="H122" s="66">
        <f t="shared" si="56"/>
        <v>28077306</v>
      </c>
      <c r="I122" s="66">
        <f t="shared" si="56"/>
        <v>34095232</v>
      </c>
      <c r="J122" s="66">
        <f t="shared" si="56"/>
        <v>138887989</v>
      </c>
      <c r="K122" s="66">
        <f t="shared" ref="K122" si="57">K123</f>
        <v>134817289</v>
      </c>
      <c r="L122" s="66">
        <f t="shared" ref="L122" si="58">L123</f>
        <v>1911000</v>
      </c>
      <c r="M122" s="66">
        <f t="shared" ref="M122" si="59">M123</f>
        <v>0</v>
      </c>
      <c r="N122" s="66">
        <f t="shared" ref="N122" si="60">N123</f>
        <v>540000</v>
      </c>
      <c r="O122" s="66">
        <f t="shared" ref="O122:P122" si="61">O123</f>
        <v>136976989</v>
      </c>
      <c r="P122" s="66">
        <f t="shared" si="61"/>
        <v>420554887</v>
      </c>
      <c r="Q122" s="142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</row>
    <row r="123" spans="1:530" s="40" customFormat="1" ht="36.75" customHeight="1" x14ac:dyDescent="0.25">
      <c r="A123" s="77" t="s">
        <v>232</v>
      </c>
      <c r="B123" s="75"/>
      <c r="C123" s="75"/>
      <c r="D123" s="33" t="s">
        <v>44</v>
      </c>
      <c r="E123" s="79">
        <f>E124+E125+E126+E127+E128+E129+E130+E131+E132+E133+E134+E135+E137+E138+E139+E140+E141+E136</f>
        <v>281666898</v>
      </c>
      <c r="F123" s="79">
        <f t="shared" ref="F123:P123" si="62">F124+F125+F126+F127+F128+F129+F130+F131+F132+F133+F134+F135+F137+F138+F139+F140+F141+F136</f>
        <v>247571666</v>
      </c>
      <c r="G123" s="79">
        <f t="shared" si="62"/>
        <v>10434500</v>
      </c>
      <c r="H123" s="79">
        <f t="shared" si="62"/>
        <v>28077306</v>
      </c>
      <c r="I123" s="79">
        <f t="shared" si="62"/>
        <v>34095232</v>
      </c>
      <c r="J123" s="79">
        <f t="shared" si="62"/>
        <v>138887989</v>
      </c>
      <c r="K123" s="79">
        <f t="shared" si="62"/>
        <v>134817289</v>
      </c>
      <c r="L123" s="79">
        <f t="shared" si="62"/>
        <v>1911000</v>
      </c>
      <c r="M123" s="79">
        <f t="shared" si="62"/>
        <v>0</v>
      </c>
      <c r="N123" s="79">
        <f t="shared" si="62"/>
        <v>540000</v>
      </c>
      <c r="O123" s="79">
        <f t="shared" si="62"/>
        <v>136976989</v>
      </c>
      <c r="P123" s="79">
        <f t="shared" si="62"/>
        <v>420554887</v>
      </c>
      <c r="Q123" s="142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</row>
    <row r="124" spans="1:530" s="23" customFormat="1" ht="48.75" customHeight="1" x14ac:dyDescent="0.25">
      <c r="A124" s="43" t="s">
        <v>233</v>
      </c>
      <c r="B124" s="44" t="str">
        <f>'дод 3-1'!A13</f>
        <v>0160</v>
      </c>
      <c r="C124" s="44" t="str">
        <f>'дод 3-1'!B13</f>
        <v>0111</v>
      </c>
      <c r="D12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24" s="69">
        <f t="shared" ref="E124:E141" si="63">F124+I124</f>
        <v>13286000</v>
      </c>
      <c r="F124" s="69">
        <f>13873900+90800-678700</f>
        <v>13286000</v>
      </c>
      <c r="G124" s="69">
        <f>10990800-556300</f>
        <v>10434500</v>
      </c>
      <c r="H124" s="69">
        <v>164000</v>
      </c>
      <c r="I124" s="69"/>
      <c r="J124" s="69">
        <f>L124+O124</f>
        <v>0</v>
      </c>
      <c r="K124" s="69"/>
      <c r="L124" s="69"/>
      <c r="M124" s="69"/>
      <c r="N124" s="69"/>
      <c r="O124" s="69"/>
      <c r="P124" s="69">
        <f t="shared" ref="P124:P141" si="64">E124+J124</f>
        <v>13286000</v>
      </c>
      <c r="Q124" s="142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</row>
    <row r="125" spans="1:530" s="23" customFormat="1" ht="19.5" customHeight="1" x14ac:dyDescent="0.25">
      <c r="A125" s="52" t="s">
        <v>352</v>
      </c>
      <c r="B125" s="45" t="str">
        <f>'дод 3-1'!A66</f>
        <v>3210</v>
      </c>
      <c r="C125" s="45" t="str">
        <f>'дод 3-1'!B66</f>
        <v>1050</v>
      </c>
      <c r="D125" s="22" t="str">
        <f>'дод 3-1'!C66</f>
        <v>Організація та проведення громадських робіт</v>
      </c>
      <c r="E125" s="69">
        <f t="shared" si="63"/>
        <v>400000</v>
      </c>
      <c r="F125" s="69">
        <v>400000</v>
      </c>
      <c r="G125" s="69"/>
      <c r="H125" s="69"/>
      <c r="I125" s="69"/>
      <c r="J125" s="69">
        <f t="shared" ref="J125:J141" si="65">L125+O125</f>
        <v>0</v>
      </c>
      <c r="K125" s="69"/>
      <c r="L125" s="69"/>
      <c r="M125" s="69"/>
      <c r="N125" s="69"/>
      <c r="O125" s="69"/>
      <c r="P125" s="69">
        <f t="shared" si="64"/>
        <v>400000</v>
      </c>
      <c r="Q125" s="142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</row>
    <row r="126" spans="1:530" s="23" customFormat="1" ht="38.25" customHeight="1" x14ac:dyDescent="0.25">
      <c r="A126" s="43" t="s">
        <v>234</v>
      </c>
      <c r="B126" s="44" t="str">
        <f>'дод 3-1'!A82</f>
        <v>6011</v>
      </c>
      <c r="C126" s="44" t="str">
        <f>'дод 3-1'!B82</f>
        <v>0610</v>
      </c>
      <c r="D126" s="24" t="str">
        <f>'дод 3-1'!C82</f>
        <v>Експлуатація та технічне обслуговування житлового фонду</v>
      </c>
      <c r="E126" s="69">
        <f t="shared" si="63"/>
        <v>0</v>
      </c>
      <c r="F126" s="69"/>
      <c r="G126" s="69"/>
      <c r="H126" s="69"/>
      <c r="I126" s="69"/>
      <c r="J126" s="69">
        <f t="shared" si="65"/>
        <v>9341784.2400000002</v>
      </c>
      <c r="K126" s="69">
        <f>20000000-4500000-5000000-1188215.76</f>
        <v>9311784.2400000002</v>
      </c>
      <c r="L126" s="69"/>
      <c r="M126" s="69"/>
      <c r="N126" s="69"/>
      <c r="O126" s="69">
        <f>20000000+30000-4500000-5000000-1188215.76</f>
        <v>9341784.2400000002</v>
      </c>
      <c r="P126" s="69">
        <f t="shared" si="64"/>
        <v>9341784.2400000002</v>
      </c>
      <c r="Q126" s="142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</row>
    <row r="127" spans="1:530" s="23" customFormat="1" ht="33" customHeight="1" x14ac:dyDescent="0.25">
      <c r="A127" s="43" t="s">
        <v>235</v>
      </c>
      <c r="B127" s="44" t="str">
        <f>'дод 3-1'!A83</f>
        <v>6013</v>
      </c>
      <c r="C127" s="44" t="str">
        <f>'дод 3-1'!B83</f>
        <v>0620</v>
      </c>
      <c r="D127" s="24" t="str">
        <f>'дод 3-1'!C83</f>
        <v>Забезпечення діяльності водопровідно-каналізаційного господарства</v>
      </c>
      <c r="E127" s="69">
        <f t="shared" si="63"/>
        <v>30925000</v>
      </c>
      <c r="F127" s="69">
        <f>775000-350000</f>
        <v>425000</v>
      </c>
      <c r="G127" s="69"/>
      <c r="H127" s="69"/>
      <c r="I127" s="69">
        <f>30150000+350000</f>
        <v>30500000</v>
      </c>
      <c r="J127" s="69">
        <f t="shared" si="65"/>
        <v>1721000</v>
      </c>
      <c r="K127" s="69">
        <f>1700000+20000+1000</f>
        <v>1721000</v>
      </c>
      <c r="L127" s="69"/>
      <c r="M127" s="69"/>
      <c r="N127" s="69"/>
      <c r="O127" s="69">
        <f>1700000+20000+1000</f>
        <v>1721000</v>
      </c>
      <c r="P127" s="69">
        <f t="shared" si="64"/>
        <v>32646000</v>
      </c>
      <c r="Q127" s="142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</row>
    <row r="128" spans="1:530" s="23" customFormat="1" ht="27.75" customHeight="1" x14ac:dyDescent="0.25">
      <c r="A128" s="43" t="s">
        <v>301</v>
      </c>
      <c r="B128" s="44" t="str">
        <f>'дод 3-1'!A84</f>
        <v>6015</v>
      </c>
      <c r="C128" s="44" t="str">
        <f>'дод 3-1'!B84</f>
        <v>0620</v>
      </c>
      <c r="D128" s="24" t="str">
        <f>'дод 3-1'!C84</f>
        <v>Забезпечення надійної та безперебійної експлуатації ліфтів</v>
      </c>
      <c r="E128" s="69">
        <f t="shared" si="63"/>
        <v>200000</v>
      </c>
      <c r="F128" s="69">
        <v>200000</v>
      </c>
      <c r="G128" s="69"/>
      <c r="H128" s="69"/>
      <c r="I128" s="69"/>
      <c r="J128" s="69">
        <f t="shared" si="65"/>
        <v>13144448.83</v>
      </c>
      <c r="K128" s="69">
        <f>15000000+9-1500000-405560.17</f>
        <v>13094448.83</v>
      </c>
      <c r="L128" s="69"/>
      <c r="M128" s="69"/>
      <c r="N128" s="69"/>
      <c r="O128" s="69">
        <f>15000000+50000+9-1500000-405560.17</f>
        <v>13144448.83</v>
      </c>
      <c r="P128" s="69">
        <f t="shared" si="64"/>
        <v>13344448.83</v>
      </c>
      <c r="Q128" s="142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</row>
    <row r="129" spans="1:530" s="23" customFormat="1" ht="38.25" customHeight="1" x14ac:dyDescent="0.25">
      <c r="A129" s="43" t="s">
        <v>304</v>
      </c>
      <c r="B129" s="44" t="str">
        <f>'дод 3-1'!A85</f>
        <v>6017</v>
      </c>
      <c r="C129" s="44" t="str">
        <f>'дод 3-1'!B85</f>
        <v>0620</v>
      </c>
      <c r="D129" s="24" t="str">
        <f>'дод 3-1'!C85</f>
        <v>Інша діяльність, пов’язана з експлуатацією об’єктів житлово-комунального господарства</v>
      </c>
      <c r="E129" s="69">
        <f t="shared" si="63"/>
        <v>100000</v>
      </c>
      <c r="F129" s="69">
        <v>100000</v>
      </c>
      <c r="G129" s="69"/>
      <c r="H129" s="69"/>
      <c r="I129" s="69"/>
      <c r="J129" s="69">
        <f t="shared" si="65"/>
        <v>0</v>
      </c>
      <c r="K129" s="69"/>
      <c r="L129" s="69"/>
      <c r="M129" s="69"/>
      <c r="N129" s="69"/>
      <c r="O129" s="69"/>
      <c r="P129" s="69">
        <f t="shared" si="64"/>
        <v>100000</v>
      </c>
      <c r="Q129" s="142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45" x14ac:dyDescent="0.25">
      <c r="A130" s="43" t="s">
        <v>236</v>
      </c>
      <c r="B130" s="44" t="str">
        <f>'дод 3-1'!A86</f>
        <v>6020</v>
      </c>
      <c r="C130" s="44" t="str">
        <f>'дод 3-1'!B86</f>
        <v>0620</v>
      </c>
      <c r="D130" s="24" t="str">
        <f>'дод 3-1'!C86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0" s="69">
        <f t="shared" si="63"/>
        <v>2595232</v>
      </c>
      <c r="F130" s="69"/>
      <c r="G130" s="69"/>
      <c r="H130" s="69"/>
      <c r="I130" s="69">
        <v>2595232</v>
      </c>
      <c r="J130" s="69">
        <f t="shared" si="65"/>
        <v>0</v>
      </c>
      <c r="K130" s="69"/>
      <c r="L130" s="69"/>
      <c r="M130" s="69"/>
      <c r="N130" s="69"/>
      <c r="O130" s="69"/>
      <c r="P130" s="69">
        <f t="shared" si="64"/>
        <v>2595232</v>
      </c>
      <c r="Q130" s="142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21.75" customHeight="1" x14ac:dyDescent="0.25">
      <c r="A131" s="43" t="s">
        <v>237</v>
      </c>
      <c r="B131" s="44" t="str">
        <f>'дод 3-1'!A87</f>
        <v>6030</v>
      </c>
      <c r="C131" s="44" t="str">
        <f>'дод 3-1'!B87</f>
        <v>0620</v>
      </c>
      <c r="D131" s="24" t="str">
        <f>'дод 3-1'!C87</f>
        <v>Організація благоустрою населених пунктів</v>
      </c>
      <c r="E131" s="69">
        <f t="shared" si="63"/>
        <v>187703836</v>
      </c>
      <c r="F131" s="69">
        <f>191911836-108000-2000000-100000-2000000</f>
        <v>187703836</v>
      </c>
      <c r="G131" s="69"/>
      <c r="H131" s="69">
        <v>27870906</v>
      </c>
      <c r="I131" s="69"/>
      <c r="J131" s="69">
        <f t="shared" si="65"/>
        <v>48798935.110000007</v>
      </c>
      <c r="K131" s="69">
        <f>27800000+1000000+5000000+5550000-5000000+150000+100000-4000000+10112784.63-4629526.59+12715677.07</f>
        <v>48798935.110000007</v>
      </c>
      <c r="L131" s="71"/>
      <c r="M131" s="69"/>
      <c r="N131" s="69"/>
      <c r="O131" s="69">
        <f>27800000+1000000+5000000+5550000-5000000+150000+100000-4000000+10112784.63-4629526.59+12715677.07</f>
        <v>48798935.110000007</v>
      </c>
      <c r="P131" s="69">
        <f t="shared" si="64"/>
        <v>236502771.11000001</v>
      </c>
      <c r="Q131" s="142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31.5" customHeight="1" x14ac:dyDescent="0.25">
      <c r="A132" s="43" t="s">
        <v>294</v>
      </c>
      <c r="B132" s="44" t="str">
        <f>'дод 3-1'!A89</f>
        <v>6090</v>
      </c>
      <c r="C132" s="44" t="str">
        <f>'дод 3-1'!B89</f>
        <v>0640</v>
      </c>
      <c r="D132" s="24" t="str">
        <f>'дод 3-1'!C89</f>
        <v>Інша діяльність у сфері житлово-комунального господарства</v>
      </c>
      <c r="E132" s="69">
        <f t="shared" si="63"/>
        <v>44588830</v>
      </c>
      <c r="F132" s="69">
        <f>16709746+579084+27300000</f>
        <v>44588830</v>
      </c>
      <c r="G132" s="69"/>
      <c r="H132" s="69">
        <v>42400</v>
      </c>
      <c r="I132" s="69"/>
      <c r="J132" s="69">
        <f t="shared" si="65"/>
        <v>9959364.2899999991</v>
      </c>
      <c r="K132" s="69">
        <f>21793738-10545638.97-1288734.74</f>
        <v>9959364.2899999991</v>
      </c>
      <c r="L132" s="69"/>
      <c r="M132" s="69"/>
      <c r="N132" s="69"/>
      <c r="O132" s="69">
        <f>21793738-10545638.97-1288734.74</f>
        <v>9959364.2899999991</v>
      </c>
      <c r="P132" s="69">
        <f t="shared" si="64"/>
        <v>54548194.289999999</v>
      </c>
      <c r="Q132" s="142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33" customHeight="1" x14ac:dyDescent="0.25">
      <c r="A133" s="43" t="s">
        <v>314</v>
      </c>
      <c r="B133" s="44" t="str">
        <f>'дод 3-1'!A94</f>
        <v>7310</v>
      </c>
      <c r="C133" s="44" t="str">
        <f>'дод 3-1'!B94</f>
        <v>0443</v>
      </c>
      <c r="D133" s="24" t="str">
        <f>'дод 3-1'!C94</f>
        <v>Будівництво об'єктів житлово-комунального господарства</v>
      </c>
      <c r="E133" s="69">
        <f t="shared" si="63"/>
        <v>0</v>
      </c>
      <c r="F133" s="69"/>
      <c r="G133" s="69"/>
      <c r="H133" s="69"/>
      <c r="I133" s="69"/>
      <c r="J133" s="69">
        <f t="shared" si="65"/>
        <v>10200827.759999998</v>
      </c>
      <c r="K133" s="69">
        <f>12540000-60000+40000+8953612-4000000+2338215.76-3000+2000-8410000-1200000</f>
        <v>10200827.759999998</v>
      </c>
      <c r="L133" s="69"/>
      <c r="M133" s="69"/>
      <c r="N133" s="69"/>
      <c r="O133" s="69">
        <f>12540000-60000+40000+8953612-4000000+2338215.76-3000+2000-8410000-1200000</f>
        <v>10200827.759999998</v>
      </c>
      <c r="P133" s="69">
        <f t="shared" si="64"/>
        <v>10200827.759999998</v>
      </c>
      <c r="Q133" s="142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21.75" customHeight="1" x14ac:dyDescent="0.25">
      <c r="A134" s="43" t="s">
        <v>316</v>
      </c>
      <c r="B134" s="44" t="str">
        <f>'дод 3-1'!A98</f>
        <v>7330</v>
      </c>
      <c r="C134" s="44" t="str">
        <f>'дод 3-1'!B98</f>
        <v>0443</v>
      </c>
      <c r="D134" s="24" t="str">
        <f>'дод 3-1'!C98</f>
        <v>Будівництво інших об'єктів комунальної власності</v>
      </c>
      <c r="E134" s="69">
        <f t="shared" si="63"/>
        <v>0</v>
      </c>
      <c r="F134" s="69"/>
      <c r="G134" s="69"/>
      <c r="H134" s="69"/>
      <c r="I134" s="69"/>
      <c r="J134" s="69">
        <f t="shared" si="65"/>
        <v>13980998.77</v>
      </c>
      <c r="K134" s="69">
        <f>15750000+4777000+3000-50000-100000-5550000-700000+550000-4000000+432854.34-1950000+4818144.43</f>
        <v>13980998.77</v>
      </c>
      <c r="L134" s="69"/>
      <c r="M134" s="69"/>
      <c r="N134" s="69"/>
      <c r="O134" s="69">
        <f>15750000+4777000+3000-50000-100000-5550000-700000+550000-4000000+432854.34-1950000+4818144.43</f>
        <v>13980998.77</v>
      </c>
      <c r="P134" s="69">
        <f t="shared" si="64"/>
        <v>13980998.77</v>
      </c>
      <c r="Q134" s="142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29.25" customHeight="1" x14ac:dyDescent="0.25">
      <c r="A135" s="43" t="s">
        <v>238</v>
      </c>
      <c r="B135" s="44" t="str">
        <f>'дод 3-1'!A99</f>
        <v>7340</v>
      </c>
      <c r="C135" s="44" t="str">
        <f>'дод 3-1'!B99</f>
        <v>0443</v>
      </c>
      <c r="D135" s="24" t="str">
        <f>'дод 3-1'!C99</f>
        <v>Проектування, реставрація та охорона пам'яток архітектури</v>
      </c>
      <c r="E135" s="69">
        <f t="shared" si="63"/>
        <v>0</v>
      </c>
      <c r="F135" s="69"/>
      <c r="G135" s="69"/>
      <c r="H135" s="69"/>
      <c r="I135" s="69"/>
      <c r="J135" s="69">
        <f t="shared" si="65"/>
        <v>3000000</v>
      </c>
      <c r="K135" s="69">
        <v>3000000</v>
      </c>
      <c r="L135" s="69"/>
      <c r="M135" s="69"/>
      <c r="N135" s="69"/>
      <c r="O135" s="69">
        <v>3000000</v>
      </c>
      <c r="P135" s="69">
        <f t="shared" si="64"/>
        <v>3000000</v>
      </c>
      <c r="Q135" s="142">
        <v>19</v>
      </c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30" x14ac:dyDescent="0.25">
      <c r="A136" s="43">
        <v>1217362</v>
      </c>
      <c r="B136" s="44">
        <f>'дод 3-1'!A100</f>
        <v>7362</v>
      </c>
      <c r="C136" s="44" t="str">
        <f>'дод 3-1'!B100</f>
        <v>0490</v>
      </c>
      <c r="D136" s="24" t="str">
        <f>'дод 3-1'!C100</f>
        <v>Виконання інвестиційних проектів в рамках підтримки розвитку об'єднаних територіальних громад</v>
      </c>
      <c r="E136" s="69">
        <f t="shared" si="63"/>
        <v>0</v>
      </c>
      <c r="F136" s="69"/>
      <c r="G136" s="69"/>
      <c r="H136" s="69"/>
      <c r="I136" s="69"/>
      <c r="J136" s="69">
        <f t="shared" si="65"/>
        <v>75600</v>
      </c>
      <c r="K136" s="69">
        <v>75600</v>
      </c>
      <c r="L136" s="69"/>
      <c r="M136" s="69"/>
      <c r="N136" s="69"/>
      <c r="O136" s="69">
        <v>75600</v>
      </c>
      <c r="P136" s="69">
        <f t="shared" si="64"/>
        <v>75600</v>
      </c>
      <c r="Q136" s="142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20.25" customHeight="1" x14ac:dyDescent="0.25">
      <c r="A137" s="43" t="s">
        <v>239</v>
      </c>
      <c r="B137" s="44" t="str">
        <f>'дод 3-1'!A108</f>
        <v>7640</v>
      </c>
      <c r="C137" s="44" t="str">
        <f>'дод 3-1'!B108</f>
        <v>0470</v>
      </c>
      <c r="D137" s="24" t="str">
        <f>'дод 3-1'!C108</f>
        <v>Заходи з енергозбереження</v>
      </c>
      <c r="E137" s="69">
        <f t="shared" si="63"/>
        <v>1500000</v>
      </c>
      <c r="F137" s="69">
        <f>750000-250000</f>
        <v>500000</v>
      </c>
      <c r="G137" s="69"/>
      <c r="H137" s="69"/>
      <c r="I137" s="69">
        <f>750000+250000</f>
        <v>1000000</v>
      </c>
      <c r="J137" s="69">
        <f t="shared" si="65"/>
        <v>0</v>
      </c>
      <c r="K137" s="69"/>
      <c r="L137" s="69"/>
      <c r="M137" s="69"/>
      <c r="N137" s="69"/>
      <c r="O137" s="69"/>
      <c r="P137" s="69">
        <f t="shared" si="64"/>
        <v>1500000</v>
      </c>
      <c r="Q137" s="142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23.25" customHeight="1" x14ac:dyDescent="0.25">
      <c r="A138" s="43" t="s">
        <v>388</v>
      </c>
      <c r="B138" s="44" t="str">
        <f>'дод 3-1'!A111</f>
        <v>7670</v>
      </c>
      <c r="C138" s="44" t="str">
        <f>'дод 3-1'!B111</f>
        <v>0490</v>
      </c>
      <c r="D138" s="24" t="str">
        <f>'дод 3-1'!C111</f>
        <v>Внески до статутного капіталу суб’єктів господарювання</v>
      </c>
      <c r="E138" s="69">
        <f t="shared" si="63"/>
        <v>0</v>
      </c>
      <c r="F138" s="69"/>
      <c r="G138" s="69"/>
      <c r="H138" s="69"/>
      <c r="I138" s="69"/>
      <c r="J138" s="69">
        <f t="shared" si="65"/>
        <v>17042330</v>
      </c>
      <c r="K138" s="69">
        <f>7042330+10000000</f>
        <v>17042330</v>
      </c>
      <c r="L138" s="69"/>
      <c r="M138" s="69"/>
      <c r="N138" s="69"/>
      <c r="O138" s="69">
        <f>7042330+10000000</f>
        <v>17042330</v>
      </c>
      <c r="P138" s="69">
        <f t="shared" si="64"/>
        <v>17042330</v>
      </c>
      <c r="Q138" s="142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102" customHeight="1" x14ac:dyDescent="0.25">
      <c r="A139" s="52" t="s">
        <v>350</v>
      </c>
      <c r="B139" s="45">
        <v>7691</v>
      </c>
      <c r="C139" s="45" t="s">
        <v>102</v>
      </c>
      <c r="D139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39" s="69">
        <f t="shared" si="63"/>
        <v>0</v>
      </c>
      <c r="F139" s="69"/>
      <c r="G139" s="69"/>
      <c r="H139" s="69"/>
      <c r="I139" s="69"/>
      <c r="J139" s="69">
        <f t="shared" si="65"/>
        <v>174200</v>
      </c>
      <c r="K139" s="69"/>
      <c r="L139" s="69">
        <f>41000</f>
        <v>41000</v>
      </c>
      <c r="M139" s="69"/>
      <c r="N139" s="69"/>
      <c r="O139" s="69">
        <v>133200</v>
      </c>
      <c r="P139" s="69">
        <f t="shared" si="64"/>
        <v>174200</v>
      </c>
      <c r="Q139" s="142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24.75" customHeight="1" x14ac:dyDescent="0.25">
      <c r="A140" s="43" t="s">
        <v>240</v>
      </c>
      <c r="B140" s="44" t="str">
        <f>'дод 3-1'!A125</f>
        <v>8340</v>
      </c>
      <c r="C140" s="44" t="str">
        <f>'дод 3-1'!B125</f>
        <v>0540</v>
      </c>
      <c r="D140" s="24" t="str">
        <f>'дод 3-1'!C125</f>
        <v>Природоохоронні заходи за рахунок цільових фондів</v>
      </c>
      <c r="E140" s="69">
        <f t="shared" si="63"/>
        <v>0</v>
      </c>
      <c r="F140" s="69"/>
      <c r="G140" s="69"/>
      <c r="H140" s="69"/>
      <c r="I140" s="69"/>
      <c r="J140" s="69">
        <f t="shared" si="65"/>
        <v>3816500</v>
      </c>
      <c r="K140" s="69"/>
      <c r="L140" s="69">
        <v>1870000</v>
      </c>
      <c r="M140" s="69"/>
      <c r="N140" s="69">
        <v>540000</v>
      </c>
      <c r="O140" s="69">
        <v>1946500</v>
      </c>
      <c r="P140" s="69">
        <f t="shared" si="64"/>
        <v>3816500</v>
      </c>
      <c r="Q140" s="142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3.25" customHeight="1" x14ac:dyDescent="0.25">
      <c r="A141" s="43" t="s">
        <v>241</v>
      </c>
      <c r="B141" s="44" t="str">
        <f>'дод 3-1'!A134</f>
        <v>9770</v>
      </c>
      <c r="C141" s="44" t="str">
        <f>'дод 3-1'!B134</f>
        <v>0180</v>
      </c>
      <c r="D141" s="24" t="str">
        <f>'дод 3-1'!C134</f>
        <v>Інші субвенції з місцевого бюджету</v>
      </c>
      <c r="E141" s="69">
        <f t="shared" si="63"/>
        <v>368000</v>
      </c>
      <c r="F141" s="69">
        <v>368000</v>
      </c>
      <c r="G141" s="69"/>
      <c r="H141" s="69"/>
      <c r="I141" s="69"/>
      <c r="J141" s="69">
        <f t="shared" si="65"/>
        <v>7632000</v>
      </c>
      <c r="K141" s="69">
        <f>8000000-368000</f>
        <v>7632000</v>
      </c>
      <c r="L141" s="69"/>
      <c r="M141" s="69"/>
      <c r="N141" s="69"/>
      <c r="O141" s="69">
        <f>8000000-368000</f>
        <v>7632000</v>
      </c>
      <c r="P141" s="69">
        <f t="shared" si="64"/>
        <v>8000000</v>
      </c>
      <c r="Q141" s="142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31" customFormat="1" ht="33.75" customHeight="1" x14ac:dyDescent="0.2">
      <c r="A142" s="76" t="s">
        <v>37</v>
      </c>
      <c r="B142" s="74"/>
      <c r="C142" s="74"/>
      <c r="D142" s="30" t="s">
        <v>47</v>
      </c>
      <c r="E142" s="66">
        <f>E143</f>
        <v>6157500</v>
      </c>
      <c r="F142" s="66">
        <f t="shared" ref="F142:J143" si="66">F143</f>
        <v>6157500</v>
      </c>
      <c r="G142" s="66">
        <f t="shared" si="66"/>
        <v>4788800</v>
      </c>
      <c r="H142" s="66">
        <f t="shared" si="66"/>
        <v>98300</v>
      </c>
      <c r="I142" s="66">
        <f t="shared" si="66"/>
        <v>0</v>
      </c>
      <c r="J142" s="66">
        <f t="shared" si="66"/>
        <v>160000</v>
      </c>
      <c r="K142" s="66">
        <f t="shared" ref="K142:K143" si="67">K143</f>
        <v>160000</v>
      </c>
      <c r="L142" s="66">
        <f t="shared" ref="L142:L143" si="68">L143</f>
        <v>0</v>
      </c>
      <c r="M142" s="66">
        <f t="shared" ref="M142:M143" si="69">M143</f>
        <v>0</v>
      </c>
      <c r="N142" s="66">
        <f t="shared" ref="N142:N143" si="70">N143</f>
        <v>0</v>
      </c>
      <c r="O142" s="66">
        <f t="shared" ref="O142:P143" si="71">O143</f>
        <v>160000</v>
      </c>
      <c r="P142" s="66">
        <f t="shared" si="71"/>
        <v>6317500</v>
      </c>
      <c r="Q142" s="142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  <c r="IW142" s="38"/>
      <c r="IX142" s="38"/>
      <c r="IY142" s="38"/>
      <c r="IZ142" s="38"/>
      <c r="JA142" s="38"/>
      <c r="JB142" s="38"/>
      <c r="JC142" s="38"/>
      <c r="JD142" s="38"/>
      <c r="JE142" s="38"/>
      <c r="JF142" s="38"/>
      <c r="JG142" s="38"/>
      <c r="JH142" s="38"/>
      <c r="JI142" s="38"/>
      <c r="JJ142" s="38"/>
      <c r="JK142" s="38"/>
      <c r="JL142" s="38"/>
      <c r="JM142" s="38"/>
      <c r="JN142" s="38"/>
      <c r="JO142" s="38"/>
      <c r="JP142" s="38"/>
      <c r="JQ142" s="38"/>
      <c r="JR142" s="38"/>
      <c r="JS142" s="38"/>
      <c r="JT142" s="38"/>
      <c r="JU142" s="38"/>
      <c r="JV142" s="38"/>
      <c r="JW142" s="38"/>
      <c r="JX142" s="38"/>
      <c r="JY142" s="38"/>
      <c r="JZ142" s="38"/>
      <c r="KA142" s="38"/>
      <c r="KB142" s="38"/>
      <c r="KC142" s="38"/>
      <c r="KD142" s="38"/>
      <c r="KE142" s="38"/>
      <c r="KF142" s="38"/>
      <c r="KG142" s="38"/>
      <c r="KH142" s="38"/>
      <c r="KI142" s="38"/>
      <c r="KJ142" s="38"/>
      <c r="KK142" s="38"/>
      <c r="KL142" s="38"/>
      <c r="KM142" s="38"/>
      <c r="KN142" s="38"/>
      <c r="KO142" s="38"/>
      <c r="KP142" s="38"/>
      <c r="KQ142" s="38"/>
      <c r="KR142" s="38"/>
      <c r="KS142" s="38"/>
      <c r="KT142" s="38"/>
      <c r="KU142" s="38"/>
      <c r="KV142" s="38"/>
      <c r="KW142" s="38"/>
      <c r="KX142" s="38"/>
      <c r="KY142" s="38"/>
      <c r="KZ142" s="38"/>
      <c r="LA142" s="38"/>
      <c r="LB142" s="38"/>
      <c r="LC142" s="38"/>
      <c r="LD142" s="38"/>
      <c r="LE142" s="38"/>
      <c r="LF142" s="38"/>
      <c r="LG142" s="38"/>
      <c r="LH142" s="38"/>
      <c r="LI142" s="38"/>
      <c r="LJ142" s="38"/>
      <c r="LK142" s="38"/>
      <c r="LL142" s="38"/>
      <c r="LM142" s="38"/>
      <c r="LN142" s="38"/>
      <c r="LO142" s="38"/>
      <c r="LP142" s="38"/>
      <c r="LQ142" s="38"/>
      <c r="LR142" s="38"/>
      <c r="LS142" s="38"/>
      <c r="LT142" s="38"/>
      <c r="LU142" s="38"/>
      <c r="LV142" s="38"/>
      <c r="LW142" s="38"/>
      <c r="LX142" s="38"/>
      <c r="LY142" s="38"/>
      <c r="LZ142" s="38"/>
      <c r="MA142" s="38"/>
      <c r="MB142" s="38"/>
      <c r="MC142" s="38"/>
      <c r="MD142" s="38"/>
      <c r="ME142" s="38"/>
      <c r="MF142" s="38"/>
      <c r="MG142" s="38"/>
      <c r="MH142" s="38"/>
      <c r="MI142" s="38"/>
      <c r="MJ142" s="38"/>
      <c r="MK142" s="38"/>
      <c r="ML142" s="38"/>
      <c r="MM142" s="38"/>
      <c r="MN142" s="38"/>
      <c r="MO142" s="38"/>
      <c r="MP142" s="38"/>
      <c r="MQ142" s="38"/>
      <c r="MR142" s="38"/>
      <c r="MS142" s="38"/>
      <c r="MT142" s="38"/>
      <c r="MU142" s="38"/>
      <c r="MV142" s="38"/>
      <c r="MW142" s="38"/>
      <c r="MX142" s="38"/>
      <c r="MY142" s="38"/>
      <c r="MZ142" s="38"/>
      <c r="NA142" s="38"/>
      <c r="NB142" s="38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38"/>
      <c r="OI142" s="38"/>
      <c r="OJ142" s="38"/>
      <c r="OK142" s="38"/>
      <c r="OL142" s="38"/>
      <c r="OM142" s="38"/>
      <c r="ON142" s="38"/>
      <c r="OO142" s="38"/>
      <c r="OP142" s="38"/>
      <c r="OQ142" s="38"/>
      <c r="OR142" s="38"/>
      <c r="OS142" s="38"/>
      <c r="OT142" s="38"/>
      <c r="OU142" s="38"/>
      <c r="OV142" s="38"/>
      <c r="OW142" s="38"/>
      <c r="OX142" s="38"/>
      <c r="OY142" s="38"/>
      <c r="OZ142" s="38"/>
      <c r="PA142" s="38"/>
      <c r="PB142" s="38"/>
      <c r="PC142" s="38"/>
      <c r="PD142" s="38"/>
      <c r="PE142" s="38"/>
      <c r="PF142" s="38"/>
      <c r="PG142" s="38"/>
      <c r="PH142" s="38"/>
      <c r="PI142" s="38"/>
      <c r="PJ142" s="38"/>
      <c r="PK142" s="38"/>
      <c r="PL142" s="38"/>
      <c r="PM142" s="38"/>
      <c r="PN142" s="38"/>
      <c r="PO142" s="38"/>
      <c r="PP142" s="38"/>
      <c r="PQ142" s="38"/>
      <c r="PR142" s="38"/>
      <c r="PS142" s="38"/>
      <c r="PT142" s="38"/>
      <c r="PU142" s="38"/>
      <c r="PV142" s="38"/>
      <c r="PW142" s="38"/>
      <c r="PX142" s="38"/>
      <c r="PY142" s="38"/>
      <c r="PZ142" s="38"/>
      <c r="QA142" s="38"/>
      <c r="QB142" s="38"/>
      <c r="QC142" s="38"/>
      <c r="QD142" s="38"/>
      <c r="QE142" s="38"/>
      <c r="QF142" s="38"/>
      <c r="QG142" s="38"/>
      <c r="QH142" s="38"/>
      <c r="QI142" s="38"/>
      <c r="QJ142" s="38"/>
      <c r="QK142" s="38"/>
      <c r="QL142" s="38"/>
      <c r="QM142" s="38"/>
      <c r="QN142" s="38"/>
      <c r="QO142" s="38"/>
      <c r="QP142" s="38"/>
      <c r="QQ142" s="38"/>
      <c r="QR142" s="38"/>
      <c r="QS142" s="38"/>
      <c r="QT142" s="38"/>
      <c r="QU142" s="38"/>
      <c r="QV142" s="38"/>
      <c r="QW142" s="38"/>
      <c r="QX142" s="38"/>
      <c r="QY142" s="38"/>
      <c r="QZ142" s="38"/>
      <c r="RA142" s="38"/>
      <c r="RB142" s="38"/>
      <c r="RC142" s="38"/>
      <c r="RD142" s="38"/>
      <c r="RE142" s="38"/>
      <c r="RF142" s="38"/>
      <c r="RG142" s="38"/>
      <c r="RH142" s="38"/>
      <c r="RI142" s="38"/>
      <c r="RJ142" s="38"/>
      <c r="RK142" s="38"/>
      <c r="RL142" s="38"/>
      <c r="RM142" s="38"/>
      <c r="RN142" s="38"/>
      <c r="RO142" s="38"/>
      <c r="RP142" s="38"/>
      <c r="RQ142" s="38"/>
      <c r="RR142" s="38"/>
      <c r="RS142" s="38"/>
      <c r="RT142" s="38"/>
      <c r="RU142" s="38"/>
      <c r="RV142" s="38"/>
      <c r="RW142" s="38"/>
      <c r="RX142" s="38"/>
      <c r="RY142" s="38"/>
      <c r="RZ142" s="38"/>
      <c r="SA142" s="38"/>
      <c r="SB142" s="38"/>
      <c r="SC142" s="38"/>
      <c r="SD142" s="38"/>
      <c r="SE142" s="38"/>
      <c r="SF142" s="38"/>
      <c r="SG142" s="38"/>
      <c r="SH142" s="38"/>
      <c r="SI142" s="38"/>
      <c r="SJ142" s="38"/>
      <c r="SK142" s="38"/>
      <c r="SL142" s="38"/>
      <c r="SM142" s="38"/>
      <c r="SN142" s="38"/>
      <c r="SO142" s="38"/>
      <c r="SP142" s="38"/>
      <c r="SQ142" s="38"/>
      <c r="SR142" s="38"/>
      <c r="SS142" s="38"/>
      <c r="ST142" s="38"/>
      <c r="SU142" s="38"/>
      <c r="SV142" s="38"/>
      <c r="SW142" s="38"/>
      <c r="SX142" s="38"/>
      <c r="SY142" s="38"/>
      <c r="SZ142" s="38"/>
      <c r="TA142" s="38"/>
      <c r="TB142" s="38"/>
      <c r="TC142" s="38"/>
      <c r="TD142" s="38"/>
      <c r="TE142" s="38"/>
      <c r="TF142" s="38"/>
      <c r="TG142" s="38"/>
      <c r="TH142" s="38"/>
      <c r="TI142" s="38"/>
      <c r="TJ142" s="38"/>
    </row>
    <row r="143" spans="1:530" s="40" customFormat="1" ht="36.75" customHeight="1" x14ac:dyDescent="0.25">
      <c r="A143" s="77" t="s">
        <v>139</v>
      </c>
      <c r="B143" s="75"/>
      <c r="C143" s="75"/>
      <c r="D143" s="33" t="s">
        <v>47</v>
      </c>
      <c r="E143" s="68">
        <f>E144</f>
        <v>6157500</v>
      </c>
      <c r="F143" s="68">
        <f t="shared" si="66"/>
        <v>6157500</v>
      </c>
      <c r="G143" s="68">
        <f t="shared" si="66"/>
        <v>4788800</v>
      </c>
      <c r="H143" s="68">
        <f t="shared" si="66"/>
        <v>98300</v>
      </c>
      <c r="I143" s="68">
        <f t="shared" si="66"/>
        <v>0</v>
      </c>
      <c r="J143" s="68">
        <f t="shared" si="66"/>
        <v>160000</v>
      </c>
      <c r="K143" s="68">
        <f t="shared" si="67"/>
        <v>160000</v>
      </c>
      <c r="L143" s="68">
        <f t="shared" si="68"/>
        <v>0</v>
      </c>
      <c r="M143" s="68">
        <f t="shared" si="69"/>
        <v>0</v>
      </c>
      <c r="N143" s="68">
        <f t="shared" si="70"/>
        <v>0</v>
      </c>
      <c r="O143" s="68">
        <f t="shared" si="71"/>
        <v>160000</v>
      </c>
      <c r="P143" s="68">
        <f t="shared" si="71"/>
        <v>6317500</v>
      </c>
      <c r="Q143" s="142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</row>
    <row r="144" spans="1:530" s="23" customFormat="1" ht="45" x14ac:dyDescent="0.25">
      <c r="A144" s="43" t="s">
        <v>0</v>
      </c>
      <c r="B144" s="44" t="str">
        <f>'дод 3-1'!A13</f>
        <v>0160</v>
      </c>
      <c r="C144" s="44" t="str">
        <f>'дод 3-1'!B13</f>
        <v>0111</v>
      </c>
      <c r="D14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44" s="69">
        <f>F144+I144</f>
        <v>6157500</v>
      </c>
      <c r="F144" s="69">
        <f>6462800+10100-315400</f>
        <v>6157500</v>
      </c>
      <c r="G144" s="69">
        <f>5047300-258500</f>
        <v>4788800</v>
      </c>
      <c r="H144" s="69">
        <v>98300</v>
      </c>
      <c r="I144" s="69"/>
      <c r="J144" s="69">
        <f>L144+O144</f>
        <v>160000</v>
      </c>
      <c r="K144" s="69">
        <v>160000</v>
      </c>
      <c r="L144" s="69"/>
      <c r="M144" s="69"/>
      <c r="N144" s="69"/>
      <c r="O144" s="69">
        <v>160000</v>
      </c>
      <c r="P144" s="69">
        <f>E144+J144</f>
        <v>6317500</v>
      </c>
      <c r="Q144" s="142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</row>
    <row r="145" spans="1:530" s="31" customFormat="1" ht="34.5" customHeight="1" x14ac:dyDescent="0.2">
      <c r="A145" s="76" t="s">
        <v>39</v>
      </c>
      <c r="B145" s="74"/>
      <c r="C145" s="74"/>
      <c r="D145" s="30" t="s">
        <v>46</v>
      </c>
      <c r="E145" s="66">
        <f>E146</f>
        <v>3706717</v>
      </c>
      <c r="F145" s="66">
        <f t="shared" ref="F145:J145" si="72">F146</f>
        <v>3621811</v>
      </c>
      <c r="G145" s="66">
        <f t="shared" si="72"/>
        <v>1552300</v>
      </c>
      <c r="H145" s="66">
        <f t="shared" si="72"/>
        <v>0</v>
      </c>
      <c r="I145" s="66">
        <f t="shared" si="72"/>
        <v>84906</v>
      </c>
      <c r="J145" s="66">
        <f t="shared" si="72"/>
        <v>198385724</v>
      </c>
      <c r="K145" s="66">
        <f t="shared" ref="K145" si="73">K146</f>
        <v>185402548</v>
      </c>
      <c r="L145" s="66">
        <f t="shared" ref="L145" si="74">L146</f>
        <v>3200000</v>
      </c>
      <c r="M145" s="66">
        <f t="shared" ref="M145" si="75">M146</f>
        <v>2348000</v>
      </c>
      <c r="N145" s="66">
        <f t="shared" ref="N145" si="76">N146</f>
        <v>90600</v>
      </c>
      <c r="O145" s="66">
        <f t="shared" ref="O145:P145" si="77">O146</f>
        <v>195185724</v>
      </c>
      <c r="P145" s="66">
        <f t="shared" si="77"/>
        <v>202092441</v>
      </c>
      <c r="Q145" s="142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  <c r="IW145" s="38"/>
      <c r="IX145" s="38"/>
      <c r="IY145" s="38"/>
      <c r="IZ145" s="38"/>
      <c r="JA145" s="38"/>
      <c r="JB145" s="38"/>
      <c r="JC145" s="38"/>
      <c r="JD145" s="38"/>
      <c r="JE145" s="38"/>
      <c r="JF145" s="38"/>
      <c r="JG145" s="38"/>
      <c r="JH145" s="38"/>
      <c r="JI145" s="38"/>
      <c r="JJ145" s="38"/>
      <c r="JK145" s="38"/>
      <c r="JL145" s="38"/>
      <c r="JM145" s="38"/>
      <c r="JN145" s="38"/>
      <c r="JO145" s="38"/>
      <c r="JP145" s="38"/>
      <c r="JQ145" s="38"/>
      <c r="JR145" s="38"/>
      <c r="JS145" s="38"/>
      <c r="JT145" s="38"/>
      <c r="JU145" s="38"/>
      <c r="JV145" s="38"/>
      <c r="JW145" s="38"/>
      <c r="JX145" s="38"/>
      <c r="JY145" s="38"/>
      <c r="JZ145" s="38"/>
      <c r="KA145" s="38"/>
      <c r="KB145" s="38"/>
      <c r="KC145" s="38"/>
      <c r="KD145" s="38"/>
      <c r="KE145" s="38"/>
      <c r="KF145" s="38"/>
      <c r="KG145" s="38"/>
      <c r="KH145" s="38"/>
      <c r="KI145" s="38"/>
      <c r="KJ145" s="38"/>
      <c r="KK145" s="38"/>
      <c r="KL145" s="38"/>
      <c r="KM145" s="38"/>
      <c r="KN145" s="38"/>
      <c r="KO145" s="38"/>
      <c r="KP145" s="38"/>
      <c r="KQ145" s="38"/>
      <c r="KR145" s="38"/>
      <c r="KS145" s="38"/>
      <c r="KT145" s="38"/>
      <c r="KU145" s="38"/>
      <c r="KV145" s="38"/>
      <c r="KW145" s="38"/>
      <c r="KX145" s="38"/>
      <c r="KY145" s="38"/>
      <c r="KZ145" s="38"/>
      <c r="LA145" s="38"/>
      <c r="LB145" s="38"/>
      <c r="LC145" s="38"/>
      <c r="LD145" s="38"/>
      <c r="LE145" s="38"/>
      <c r="LF145" s="38"/>
      <c r="LG145" s="38"/>
      <c r="LH145" s="38"/>
      <c r="LI145" s="38"/>
      <c r="LJ145" s="38"/>
      <c r="LK145" s="38"/>
      <c r="LL145" s="38"/>
      <c r="LM145" s="38"/>
      <c r="LN145" s="38"/>
      <c r="LO145" s="38"/>
      <c r="LP145" s="38"/>
      <c r="LQ145" s="38"/>
      <c r="LR145" s="38"/>
      <c r="LS145" s="38"/>
      <c r="LT145" s="38"/>
      <c r="LU145" s="38"/>
      <c r="LV145" s="38"/>
      <c r="LW145" s="38"/>
      <c r="LX145" s="38"/>
      <c r="LY145" s="38"/>
      <c r="LZ145" s="38"/>
      <c r="MA145" s="38"/>
      <c r="MB145" s="38"/>
      <c r="MC145" s="38"/>
      <c r="MD145" s="38"/>
      <c r="ME145" s="38"/>
      <c r="MF145" s="38"/>
      <c r="MG145" s="38"/>
      <c r="MH145" s="38"/>
      <c r="MI145" s="38"/>
      <c r="MJ145" s="38"/>
      <c r="MK145" s="38"/>
      <c r="ML145" s="38"/>
      <c r="MM145" s="38"/>
      <c r="MN145" s="38"/>
      <c r="MO145" s="38"/>
      <c r="MP145" s="38"/>
      <c r="MQ145" s="38"/>
      <c r="MR145" s="38"/>
      <c r="MS145" s="38"/>
      <c r="MT145" s="38"/>
      <c r="MU145" s="38"/>
      <c r="MV145" s="38"/>
      <c r="MW145" s="38"/>
      <c r="MX145" s="38"/>
      <c r="MY145" s="38"/>
      <c r="MZ145" s="38"/>
      <c r="NA145" s="38"/>
      <c r="NB145" s="38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38"/>
      <c r="OI145" s="38"/>
      <c r="OJ145" s="38"/>
      <c r="OK145" s="38"/>
      <c r="OL145" s="38"/>
      <c r="OM145" s="38"/>
      <c r="ON145" s="38"/>
      <c r="OO145" s="38"/>
      <c r="OP145" s="38"/>
      <c r="OQ145" s="38"/>
      <c r="OR145" s="38"/>
      <c r="OS145" s="38"/>
      <c r="OT145" s="38"/>
      <c r="OU145" s="38"/>
      <c r="OV145" s="38"/>
      <c r="OW145" s="38"/>
      <c r="OX145" s="38"/>
      <c r="OY145" s="38"/>
      <c r="OZ145" s="38"/>
      <c r="PA145" s="38"/>
      <c r="PB145" s="38"/>
      <c r="PC145" s="38"/>
      <c r="PD145" s="38"/>
      <c r="PE145" s="38"/>
      <c r="PF145" s="38"/>
      <c r="PG145" s="38"/>
      <c r="PH145" s="38"/>
      <c r="PI145" s="38"/>
      <c r="PJ145" s="38"/>
      <c r="PK145" s="38"/>
      <c r="PL145" s="38"/>
      <c r="PM145" s="38"/>
      <c r="PN145" s="38"/>
      <c r="PO145" s="38"/>
      <c r="PP145" s="38"/>
      <c r="PQ145" s="38"/>
      <c r="PR145" s="38"/>
      <c r="PS145" s="38"/>
      <c r="PT145" s="38"/>
      <c r="PU145" s="38"/>
      <c r="PV145" s="38"/>
      <c r="PW145" s="38"/>
      <c r="PX145" s="38"/>
      <c r="PY145" s="38"/>
      <c r="PZ145" s="38"/>
      <c r="QA145" s="38"/>
      <c r="QB145" s="38"/>
      <c r="QC145" s="38"/>
      <c r="QD145" s="38"/>
      <c r="QE145" s="38"/>
      <c r="QF145" s="38"/>
      <c r="QG145" s="38"/>
      <c r="QH145" s="38"/>
      <c r="QI145" s="38"/>
      <c r="QJ145" s="38"/>
      <c r="QK145" s="38"/>
      <c r="QL145" s="38"/>
      <c r="QM145" s="38"/>
      <c r="QN145" s="38"/>
      <c r="QO145" s="38"/>
      <c r="QP145" s="38"/>
      <c r="QQ145" s="38"/>
      <c r="QR145" s="38"/>
      <c r="QS145" s="38"/>
      <c r="QT145" s="38"/>
      <c r="QU145" s="38"/>
      <c r="QV145" s="38"/>
      <c r="QW145" s="38"/>
      <c r="QX145" s="38"/>
      <c r="QY145" s="38"/>
      <c r="QZ145" s="38"/>
      <c r="RA145" s="38"/>
      <c r="RB145" s="38"/>
      <c r="RC145" s="38"/>
      <c r="RD145" s="38"/>
      <c r="RE145" s="38"/>
      <c r="RF145" s="38"/>
      <c r="RG145" s="38"/>
      <c r="RH145" s="38"/>
      <c r="RI145" s="38"/>
      <c r="RJ145" s="38"/>
      <c r="RK145" s="38"/>
      <c r="RL145" s="38"/>
      <c r="RM145" s="38"/>
      <c r="RN145" s="38"/>
      <c r="RO145" s="38"/>
      <c r="RP145" s="38"/>
      <c r="RQ145" s="38"/>
      <c r="RR145" s="38"/>
      <c r="RS145" s="38"/>
      <c r="RT145" s="38"/>
      <c r="RU145" s="38"/>
      <c r="RV145" s="38"/>
      <c r="RW145" s="38"/>
      <c r="RX145" s="38"/>
      <c r="RY145" s="38"/>
      <c r="RZ145" s="38"/>
      <c r="SA145" s="38"/>
      <c r="SB145" s="38"/>
      <c r="SC145" s="38"/>
      <c r="SD145" s="38"/>
      <c r="SE145" s="38"/>
      <c r="SF145" s="38"/>
      <c r="SG145" s="38"/>
      <c r="SH145" s="38"/>
      <c r="SI145" s="38"/>
      <c r="SJ145" s="38"/>
      <c r="SK145" s="38"/>
      <c r="SL145" s="38"/>
      <c r="SM145" s="38"/>
      <c r="SN145" s="38"/>
      <c r="SO145" s="38"/>
      <c r="SP145" s="38"/>
      <c r="SQ145" s="38"/>
      <c r="SR145" s="38"/>
      <c r="SS145" s="38"/>
      <c r="ST145" s="38"/>
      <c r="SU145" s="38"/>
      <c r="SV145" s="38"/>
      <c r="SW145" s="38"/>
      <c r="SX145" s="38"/>
      <c r="SY145" s="38"/>
      <c r="SZ145" s="38"/>
      <c r="TA145" s="38"/>
      <c r="TB145" s="38"/>
      <c r="TC145" s="38"/>
      <c r="TD145" s="38"/>
      <c r="TE145" s="38"/>
      <c r="TF145" s="38"/>
      <c r="TG145" s="38"/>
      <c r="TH145" s="38"/>
      <c r="TI145" s="38"/>
      <c r="TJ145" s="38"/>
    </row>
    <row r="146" spans="1:530" s="40" customFormat="1" ht="38.25" customHeight="1" x14ac:dyDescent="0.25">
      <c r="A146" s="77" t="s">
        <v>40</v>
      </c>
      <c r="B146" s="75"/>
      <c r="C146" s="75"/>
      <c r="D146" s="33" t="s">
        <v>46</v>
      </c>
      <c r="E146" s="68">
        <f t="shared" ref="E146:I146" si="78">SUM(E147+E148+E149+E150+E151+E152+E154+E155+E156+E153)</f>
        <v>3706717</v>
      </c>
      <c r="F146" s="68">
        <f t="shared" si="78"/>
        <v>3621811</v>
      </c>
      <c r="G146" s="68">
        <f t="shared" si="78"/>
        <v>1552300</v>
      </c>
      <c r="H146" s="68">
        <f t="shared" si="78"/>
        <v>0</v>
      </c>
      <c r="I146" s="68">
        <f t="shared" si="78"/>
        <v>84906</v>
      </c>
      <c r="J146" s="68">
        <f>SUM(J147+J148+J149+J150+J151+J152+J154+J155+J156+J153)</f>
        <v>198385724</v>
      </c>
      <c r="K146" s="68">
        <f>SUM(K147+K148+K149+K150+K151+K152+K154+K155+K156+K153)</f>
        <v>185402548</v>
      </c>
      <c r="L146" s="68">
        <f t="shared" ref="L146:O146" si="79">SUM(L147+L148+L149+L150+L151+L152+L154+L155+L156+L153)</f>
        <v>3200000</v>
      </c>
      <c r="M146" s="68">
        <f t="shared" si="79"/>
        <v>2348000</v>
      </c>
      <c r="N146" s="68">
        <f t="shared" si="79"/>
        <v>90600</v>
      </c>
      <c r="O146" s="68">
        <f t="shared" si="79"/>
        <v>195185724</v>
      </c>
      <c r="P146" s="68">
        <f>SUM(P147+P148+P149+P150+P151+P152+P154+P155+P156+P153)</f>
        <v>202092441</v>
      </c>
      <c r="Q146" s="142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</row>
    <row r="147" spans="1:530" s="23" customFormat="1" ht="44.25" customHeight="1" x14ac:dyDescent="0.25">
      <c r="A147" s="43" t="s">
        <v>170</v>
      </c>
      <c r="B147" s="44" t="str">
        <f>'дод 3-1'!A13</f>
        <v>0160</v>
      </c>
      <c r="C147" s="44" t="str">
        <f>'дод 3-1'!B13</f>
        <v>0111</v>
      </c>
      <c r="D14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47" s="69">
        <f t="shared" ref="E147:E156" si="80">F147+I147</f>
        <v>1893800</v>
      </c>
      <c r="F147" s="69">
        <f>1976700-82900</f>
        <v>1893800</v>
      </c>
      <c r="G147" s="69">
        <f>1620200-67900</f>
        <v>1552300</v>
      </c>
      <c r="H147" s="69"/>
      <c r="I147" s="69"/>
      <c r="J147" s="69">
        <f>L147+O147</f>
        <v>3200000</v>
      </c>
      <c r="K147" s="69"/>
      <c r="L147" s="69">
        <v>3200000</v>
      </c>
      <c r="M147" s="69">
        <v>2348000</v>
      </c>
      <c r="N147" s="69">
        <v>90600</v>
      </c>
      <c r="O147" s="69"/>
      <c r="P147" s="69">
        <f t="shared" ref="P147:P156" si="81">E147+J147</f>
        <v>5093800</v>
      </c>
      <c r="Q147" s="142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</row>
    <row r="148" spans="1:530" s="23" customFormat="1" ht="22.5" customHeight="1" x14ac:dyDescent="0.25">
      <c r="A148" s="43" t="s">
        <v>242</v>
      </c>
      <c r="B148" s="44" t="str">
        <f>'дод 3-1'!A87</f>
        <v>6030</v>
      </c>
      <c r="C148" s="44" t="str">
        <f>'дод 3-1'!B87</f>
        <v>0620</v>
      </c>
      <c r="D148" s="24" t="str">
        <f>'дод 3-1'!C87</f>
        <v>Організація благоустрою населених пунктів</v>
      </c>
      <c r="E148" s="69">
        <f t="shared" si="80"/>
        <v>0</v>
      </c>
      <c r="F148" s="69"/>
      <c r="G148" s="69"/>
      <c r="H148" s="69"/>
      <c r="I148" s="69"/>
      <c r="J148" s="69">
        <f t="shared" ref="J148:J161" si="82">L148+O148</f>
        <v>51250000</v>
      </c>
      <c r="K148" s="69">
        <f>60000000-5000000-3750000</f>
        <v>51250000</v>
      </c>
      <c r="L148" s="69"/>
      <c r="M148" s="69"/>
      <c r="N148" s="69"/>
      <c r="O148" s="69">
        <f>60000000-5000000-3750000</f>
        <v>51250000</v>
      </c>
      <c r="P148" s="69">
        <f t="shared" si="81"/>
        <v>51250000</v>
      </c>
      <c r="Q148" s="142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</row>
    <row r="149" spans="1:530" s="23" customFormat="1" ht="54.75" customHeight="1" x14ac:dyDescent="0.25">
      <c r="A149" s="43" t="s">
        <v>243</v>
      </c>
      <c r="B149" s="44" t="str">
        <f>'дод 3-1'!A88</f>
        <v>6084</v>
      </c>
      <c r="C149" s="44" t="str">
        <f>'дод 3-1'!B88</f>
        <v>0610</v>
      </c>
      <c r="D149" s="24" t="str">
        <f>'дод 3-1'!C88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49" s="69">
        <f t="shared" si="80"/>
        <v>84906</v>
      </c>
      <c r="F149" s="69"/>
      <c r="G149" s="69"/>
      <c r="H149" s="69"/>
      <c r="I149" s="69">
        <v>84906</v>
      </c>
      <c r="J149" s="69">
        <f t="shared" si="82"/>
        <v>46724</v>
      </c>
      <c r="K149" s="69"/>
      <c r="L149" s="71"/>
      <c r="M149" s="69"/>
      <c r="N149" s="69"/>
      <c r="O149" s="69">
        <v>46724</v>
      </c>
      <c r="P149" s="69">
        <f t="shared" si="81"/>
        <v>131630</v>
      </c>
      <c r="Q149" s="142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</row>
    <row r="150" spans="1:530" s="23" customFormat="1" ht="33.75" customHeight="1" x14ac:dyDescent="0.25">
      <c r="A150" s="43" t="s">
        <v>318</v>
      </c>
      <c r="B150" s="44" t="str">
        <f>'дод 3-1'!A94</f>
        <v>7310</v>
      </c>
      <c r="C150" s="44" t="str">
        <f>'дод 3-1'!B94</f>
        <v>0443</v>
      </c>
      <c r="D150" s="24" t="str">
        <f>'дод 3-1'!C94</f>
        <v>Будівництво об'єктів житлово-комунального господарства</v>
      </c>
      <c r="E150" s="69">
        <f t="shared" si="80"/>
        <v>0</v>
      </c>
      <c r="F150" s="69"/>
      <c r="G150" s="69"/>
      <c r="H150" s="69"/>
      <c r="I150" s="69"/>
      <c r="J150" s="69">
        <f t="shared" si="82"/>
        <v>4590000</v>
      </c>
      <c r="K150" s="69">
        <f>3000000+1590000</f>
        <v>4590000</v>
      </c>
      <c r="L150" s="69"/>
      <c r="M150" s="69"/>
      <c r="N150" s="69"/>
      <c r="O150" s="69">
        <f>3000000+1590000</f>
        <v>4590000</v>
      </c>
      <c r="P150" s="69">
        <f t="shared" si="81"/>
        <v>4590000</v>
      </c>
      <c r="Q150" s="142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</row>
    <row r="151" spans="1:530" s="23" customFormat="1" ht="21.75" customHeight="1" x14ac:dyDescent="0.25">
      <c r="A151" s="43" t="s">
        <v>319</v>
      </c>
      <c r="B151" s="44" t="str">
        <f>'дод 3-1'!A95</f>
        <v>7321</v>
      </c>
      <c r="C151" s="44" t="str">
        <f>'дод 3-1'!B95</f>
        <v>0443</v>
      </c>
      <c r="D151" s="24" t="str">
        <f>'дод 3-1'!C95</f>
        <v>Будівництво освітніх установ та закладів</v>
      </c>
      <c r="E151" s="69">
        <f t="shared" si="80"/>
        <v>0</v>
      </c>
      <c r="F151" s="69"/>
      <c r="G151" s="69"/>
      <c r="H151" s="69"/>
      <c r="I151" s="69"/>
      <c r="J151" s="69">
        <f t="shared" si="82"/>
        <v>9000000</v>
      </c>
      <c r="K151" s="69">
        <v>9000000</v>
      </c>
      <c r="L151" s="69"/>
      <c r="M151" s="69"/>
      <c r="N151" s="69"/>
      <c r="O151" s="69">
        <v>9000000</v>
      </c>
      <c r="P151" s="69">
        <f t="shared" si="81"/>
        <v>9000000</v>
      </c>
      <c r="Q151" s="142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</row>
    <row r="152" spans="1:530" s="23" customFormat="1" ht="18" customHeight="1" x14ac:dyDescent="0.25">
      <c r="A152" s="43" t="s">
        <v>321</v>
      </c>
      <c r="B152" s="44" t="str">
        <f>'дод 3-1'!A96</f>
        <v>7322</v>
      </c>
      <c r="C152" s="44" t="str">
        <f>'дод 3-1'!B96</f>
        <v>0443</v>
      </c>
      <c r="D152" s="24" t="str">
        <f>'дод 3-1'!C96</f>
        <v>Будівництво медичних установ та закладів</v>
      </c>
      <c r="E152" s="69">
        <f t="shared" si="80"/>
        <v>0</v>
      </c>
      <c r="F152" s="69"/>
      <c r="G152" s="69"/>
      <c r="H152" s="69"/>
      <c r="I152" s="69"/>
      <c r="J152" s="69">
        <f t="shared" si="82"/>
        <v>4454849</v>
      </c>
      <c r="K152" s="69">
        <f>7000000-3286719+741568</f>
        <v>4454849</v>
      </c>
      <c r="L152" s="69"/>
      <c r="M152" s="69"/>
      <c r="N152" s="69"/>
      <c r="O152" s="69">
        <f>7000000-3286719+741568</f>
        <v>4454849</v>
      </c>
      <c r="P152" s="69">
        <f t="shared" si="81"/>
        <v>4454849</v>
      </c>
      <c r="Q152" s="142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23" customFormat="1" ht="31.5" hidden="1" customHeight="1" x14ac:dyDescent="0.25">
      <c r="A153" s="43" t="s">
        <v>421</v>
      </c>
      <c r="B153" s="44">
        <f>'дод 3-1'!A97</f>
        <v>7325</v>
      </c>
      <c r="C153" s="44">
        <f>'дод 3-1'!B97</f>
        <v>443</v>
      </c>
      <c r="D153" s="24" t="str">
        <f>'дод 3-1'!C97</f>
        <v>Будівництво споруд, установ та закладів фізичної культури і спорту</v>
      </c>
      <c r="E153" s="69"/>
      <c r="F153" s="69"/>
      <c r="G153" s="69"/>
      <c r="H153" s="69"/>
      <c r="I153" s="69"/>
      <c r="J153" s="69">
        <f t="shared" si="82"/>
        <v>0</v>
      </c>
      <c r="K153" s="69">
        <f>7000000-7000000</f>
        <v>0</v>
      </c>
      <c r="L153" s="69"/>
      <c r="M153" s="69"/>
      <c r="N153" s="69"/>
      <c r="O153" s="69">
        <f>7000000-7000000</f>
        <v>0</v>
      </c>
      <c r="P153" s="69">
        <f t="shared" si="81"/>
        <v>0</v>
      </c>
      <c r="Q153" s="142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</row>
    <row r="154" spans="1:530" s="23" customFormat="1" ht="23.25" customHeight="1" x14ac:dyDescent="0.25">
      <c r="A154" s="43" t="s">
        <v>323</v>
      </c>
      <c r="B154" s="44" t="str">
        <f>'дод 3-1'!A98</f>
        <v>7330</v>
      </c>
      <c r="C154" s="44" t="str">
        <f>'дод 3-1'!B98</f>
        <v>0443</v>
      </c>
      <c r="D154" s="24" t="str">
        <f>'дод 3-1'!C98</f>
        <v>Будівництво інших об'єктів комунальної власності</v>
      </c>
      <c r="E154" s="69">
        <f t="shared" si="80"/>
        <v>0</v>
      </c>
      <c r="F154" s="69"/>
      <c r="G154" s="69"/>
      <c r="H154" s="69"/>
      <c r="I154" s="69"/>
      <c r="J154" s="69">
        <f t="shared" si="82"/>
        <v>41660151</v>
      </c>
      <c r="K154" s="69">
        <f>41200000+100000-1000000+300000+1000000+1000000-1800000+860151</f>
        <v>41660151</v>
      </c>
      <c r="L154" s="69"/>
      <c r="M154" s="69"/>
      <c r="N154" s="69"/>
      <c r="O154" s="69">
        <f>41200000+100000-1000000+300000+1000000+1000000-1800000+860151</f>
        <v>41660151</v>
      </c>
      <c r="P154" s="69">
        <f t="shared" si="81"/>
        <v>41660151</v>
      </c>
      <c r="Q154" s="142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</row>
    <row r="155" spans="1:530" s="23" customFormat="1" ht="42.75" customHeight="1" x14ac:dyDescent="0.25">
      <c r="A155" s="43" t="s">
        <v>438</v>
      </c>
      <c r="B155" s="44">
        <v>7363</v>
      </c>
      <c r="C155" s="43" t="s">
        <v>102</v>
      </c>
      <c r="D155" s="24" t="s">
        <v>439</v>
      </c>
      <c r="E155" s="69">
        <f t="shared" si="80"/>
        <v>0</v>
      </c>
      <c r="F155" s="69"/>
      <c r="G155" s="69"/>
      <c r="H155" s="69"/>
      <c r="I155" s="69"/>
      <c r="J155" s="69">
        <f t="shared" si="82"/>
        <v>95000</v>
      </c>
      <c r="K155" s="69">
        <v>95000</v>
      </c>
      <c r="L155" s="69"/>
      <c r="M155" s="69"/>
      <c r="N155" s="69"/>
      <c r="O155" s="69">
        <v>95000</v>
      </c>
      <c r="P155" s="69">
        <f t="shared" si="81"/>
        <v>95000</v>
      </c>
      <c r="Q155" s="142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21.75" customHeight="1" x14ac:dyDescent="0.25">
      <c r="A156" s="43" t="s">
        <v>177</v>
      </c>
      <c r="B156" s="44" t="str">
        <f>'дод 3-1'!A108</f>
        <v>7640</v>
      </c>
      <c r="C156" s="44" t="str">
        <f>'дод 3-1'!B108</f>
        <v>0470</v>
      </c>
      <c r="D156" s="24" t="str">
        <f>'дод 3-1'!C108</f>
        <v>Заходи з енергозбереження</v>
      </c>
      <c r="E156" s="69">
        <f t="shared" si="80"/>
        <v>1728011</v>
      </c>
      <c r="F156" s="69">
        <v>1728011</v>
      </c>
      <c r="G156" s="69"/>
      <c r="H156" s="69"/>
      <c r="I156" s="69"/>
      <c r="J156" s="69">
        <f t="shared" si="82"/>
        <v>84089000</v>
      </c>
      <c r="K156" s="69">
        <v>74352548</v>
      </c>
      <c r="L156" s="71"/>
      <c r="M156" s="69"/>
      <c r="N156" s="69"/>
      <c r="O156" s="69">
        <f>74352548+9736452</f>
        <v>84089000</v>
      </c>
      <c r="P156" s="69">
        <f t="shared" si="81"/>
        <v>85817011</v>
      </c>
      <c r="Q156" s="142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31" customFormat="1" ht="35.25" customHeight="1" x14ac:dyDescent="0.2">
      <c r="A157" s="76" t="s">
        <v>244</v>
      </c>
      <c r="B157" s="74"/>
      <c r="C157" s="74"/>
      <c r="D157" s="30" t="s">
        <v>53</v>
      </c>
      <c r="E157" s="66">
        <f>E158</f>
        <v>9017800</v>
      </c>
      <c r="F157" s="66">
        <f t="shared" ref="F157:J157" si="83">F158</f>
        <v>9017800</v>
      </c>
      <c r="G157" s="66">
        <f t="shared" si="83"/>
        <v>6950200</v>
      </c>
      <c r="H157" s="66">
        <f t="shared" si="83"/>
        <v>92400</v>
      </c>
      <c r="I157" s="66">
        <f t="shared" si="83"/>
        <v>0</v>
      </c>
      <c r="J157" s="66">
        <f t="shared" si="83"/>
        <v>1321371</v>
      </c>
      <c r="K157" s="66">
        <f t="shared" ref="K157" si="84">K158</f>
        <v>0</v>
      </c>
      <c r="L157" s="66">
        <f t="shared" ref="L157" si="85">L158</f>
        <v>1321371</v>
      </c>
      <c r="M157" s="66">
        <f t="shared" ref="M157" si="86">M158</f>
        <v>0</v>
      </c>
      <c r="N157" s="66">
        <f t="shared" ref="N157" si="87">N158</f>
        <v>0</v>
      </c>
      <c r="O157" s="66">
        <f t="shared" ref="O157:P157" si="88">O158</f>
        <v>0</v>
      </c>
      <c r="P157" s="66">
        <f t="shared" si="88"/>
        <v>10339171</v>
      </c>
      <c r="Q157" s="142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  <c r="TJ157" s="38"/>
    </row>
    <row r="158" spans="1:530" s="40" customFormat="1" ht="41.25" customHeight="1" x14ac:dyDescent="0.25">
      <c r="A158" s="77" t="s">
        <v>245</v>
      </c>
      <c r="B158" s="75"/>
      <c r="C158" s="75"/>
      <c r="D158" s="33" t="s">
        <v>53</v>
      </c>
      <c r="E158" s="68">
        <f>E159+E160+E161</f>
        <v>9017800</v>
      </c>
      <c r="F158" s="68">
        <f t="shared" ref="F158:P158" si="89">F159+F160+F161</f>
        <v>9017800</v>
      </c>
      <c r="G158" s="68">
        <f t="shared" si="89"/>
        <v>6950200</v>
      </c>
      <c r="H158" s="68">
        <f t="shared" si="89"/>
        <v>92400</v>
      </c>
      <c r="I158" s="68">
        <f t="shared" si="89"/>
        <v>0</v>
      </c>
      <c r="J158" s="68">
        <f t="shared" si="89"/>
        <v>1321371</v>
      </c>
      <c r="K158" s="68">
        <f t="shared" si="89"/>
        <v>0</v>
      </c>
      <c r="L158" s="68">
        <f t="shared" si="89"/>
        <v>1321371</v>
      </c>
      <c r="M158" s="68">
        <f t="shared" si="89"/>
        <v>0</v>
      </c>
      <c r="N158" s="68">
        <f t="shared" si="89"/>
        <v>0</v>
      </c>
      <c r="O158" s="68">
        <f t="shared" si="89"/>
        <v>0</v>
      </c>
      <c r="P158" s="68">
        <f t="shared" si="89"/>
        <v>10339171</v>
      </c>
      <c r="Q158" s="142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  <c r="TJ158" s="39"/>
    </row>
    <row r="159" spans="1:530" s="23" customFormat="1" ht="45" customHeight="1" x14ac:dyDescent="0.25">
      <c r="A159" s="43" t="s">
        <v>246</v>
      </c>
      <c r="B159" s="44" t="str">
        <f>'дод 3-1'!A13</f>
        <v>0160</v>
      </c>
      <c r="C159" s="44" t="str">
        <f>'дод 3-1'!B13</f>
        <v>0111</v>
      </c>
      <c r="D159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59" s="69">
        <f>F159+I159</f>
        <v>8842800</v>
      </c>
      <c r="F159" s="69">
        <f>8936200+12100+288619-394119</f>
        <v>8842800</v>
      </c>
      <c r="G159" s="69">
        <f>7036700+236573-323073</f>
        <v>6950200</v>
      </c>
      <c r="H159" s="69">
        <v>92400</v>
      </c>
      <c r="I159" s="69"/>
      <c r="J159" s="69">
        <f t="shared" si="82"/>
        <v>0</v>
      </c>
      <c r="K159" s="69"/>
      <c r="L159" s="69"/>
      <c r="M159" s="69"/>
      <c r="N159" s="69"/>
      <c r="O159" s="69"/>
      <c r="P159" s="69">
        <f>E159+J159</f>
        <v>8842800</v>
      </c>
      <c r="Q159" s="142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23" customFormat="1" ht="34.5" customHeight="1" x14ac:dyDescent="0.25">
      <c r="A160" s="43" t="s">
        <v>363</v>
      </c>
      <c r="B160" s="44" t="str">
        <f>'дод 3-1'!A89</f>
        <v>6090</v>
      </c>
      <c r="C160" s="44" t="str">
        <f>'дод 3-1'!B89</f>
        <v>0640</v>
      </c>
      <c r="D160" s="24" t="str">
        <f>'дод 3-1'!C89</f>
        <v>Інша діяльність у сфері житлово-комунального господарства</v>
      </c>
      <c r="E160" s="69">
        <f>F160+I160</f>
        <v>175000</v>
      </c>
      <c r="F160" s="69">
        <v>175000</v>
      </c>
      <c r="G160" s="69"/>
      <c r="H160" s="69"/>
      <c r="I160" s="69"/>
      <c r="J160" s="69">
        <f t="shared" si="82"/>
        <v>0</v>
      </c>
      <c r="K160" s="69"/>
      <c r="L160" s="69"/>
      <c r="M160" s="69"/>
      <c r="N160" s="69"/>
      <c r="O160" s="69"/>
      <c r="P160" s="69">
        <f>E160+J160</f>
        <v>175000</v>
      </c>
      <c r="Q160" s="142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</row>
    <row r="161" spans="1:530" s="23" customFormat="1" ht="87.75" customHeight="1" x14ac:dyDescent="0.25">
      <c r="A161" s="52" t="s">
        <v>349</v>
      </c>
      <c r="B161" s="45" t="str">
        <f>'дод 3-1'!A113</f>
        <v>7691</v>
      </c>
      <c r="C161" s="45" t="str">
        <f>'дод 3-1'!B113</f>
        <v>0490</v>
      </c>
      <c r="D161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61" s="69">
        <f>F161+I161</f>
        <v>0</v>
      </c>
      <c r="F161" s="69"/>
      <c r="G161" s="69"/>
      <c r="H161" s="69"/>
      <c r="I161" s="69"/>
      <c r="J161" s="69">
        <f t="shared" si="82"/>
        <v>1321371</v>
      </c>
      <c r="K161" s="69"/>
      <c r="L161" s="69">
        <v>1321371</v>
      </c>
      <c r="M161" s="69"/>
      <c r="N161" s="69"/>
      <c r="O161" s="69"/>
      <c r="P161" s="69">
        <f>E161+J161</f>
        <v>1321371</v>
      </c>
      <c r="Q161" s="142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</row>
    <row r="162" spans="1:530" s="31" customFormat="1" ht="36.75" customHeight="1" x14ac:dyDescent="0.2">
      <c r="A162" s="76" t="s">
        <v>249</v>
      </c>
      <c r="B162" s="74"/>
      <c r="C162" s="74"/>
      <c r="D162" s="30" t="s">
        <v>56</v>
      </c>
      <c r="E162" s="66">
        <f>E163</f>
        <v>4774500</v>
      </c>
      <c r="F162" s="66">
        <f t="shared" ref="F162:J163" si="90">F163</f>
        <v>4774500</v>
      </c>
      <c r="G162" s="66">
        <f t="shared" si="90"/>
        <v>3716000</v>
      </c>
      <c r="H162" s="66">
        <f t="shared" si="90"/>
        <v>52700</v>
      </c>
      <c r="I162" s="66">
        <f t="shared" si="90"/>
        <v>0</v>
      </c>
      <c r="J162" s="66">
        <f t="shared" si="90"/>
        <v>0</v>
      </c>
      <c r="K162" s="66">
        <f t="shared" ref="K162:K163" si="91">K163</f>
        <v>0</v>
      </c>
      <c r="L162" s="66">
        <f t="shared" ref="L162:L163" si="92">L163</f>
        <v>0</v>
      </c>
      <c r="M162" s="66">
        <f t="shared" ref="M162:M163" si="93">M163</f>
        <v>0</v>
      </c>
      <c r="N162" s="66">
        <f t="shared" ref="N162:N163" si="94">N163</f>
        <v>0</v>
      </c>
      <c r="O162" s="66">
        <f t="shared" ref="O162:P163" si="95">O163</f>
        <v>0</v>
      </c>
      <c r="P162" s="66">
        <f t="shared" si="95"/>
        <v>4774500</v>
      </c>
      <c r="Q162" s="142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</row>
    <row r="163" spans="1:530" s="40" customFormat="1" ht="35.25" customHeight="1" x14ac:dyDescent="0.25">
      <c r="A163" s="77" t="s">
        <v>247</v>
      </c>
      <c r="B163" s="75"/>
      <c r="C163" s="75"/>
      <c r="D163" s="33" t="s">
        <v>56</v>
      </c>
      <c r="E163" s="68">
        <f>E164</f>
        <v>4774500</v>
      </c>
      <c r="F163" s="68">
        <f t="shared" si="90"/>
        <v>4774500</v>
      </c>
      <c r="G163" s="68">
        <f t="shared" si="90"/>
        <v>3716000</v>
      </c>
      <c r="H163" s="68">
        <f t="shared" si="90"/>
        <v>52700</v>
      </c>
      <c r="I163" s="68">
        <f t="shared" si="90"/>
        <v>0</v>
      </c>
      <c r="J163" s="68">
        <f t="shared" si="90"/>
        <v>0</v>
      </c>
      <c r="K163" s="68">
        <f t="shared" si="91"/>
        <v>0</v>
      </c>
      <c r="L163" s="68">
        <f t="shared" si="92"/>
        <v>0</v>
      </c>
      <c r="M163" s="68">
        <f t="shared" si="93"/>
        <v>0</v>
      </c>
      <c r="N163" s="68">
        <f t="shared" si="94"/>
        <v>0</v>
      </c>
      <c r="O163" s="68">
        <f t="shared" si="95"/>
        <v>0</v>
      </c>
      <c r="P163" s="68">
        <f t="shared" si="95"/>
        <v>4774500</v>
      </c>
      <c r="Q163" s="142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  <c r="TJ163" s="39"/>
    </row>
    <row r="164" spans="1:530" s="23" customFormat="1" ht="43.5" customHeight="1" x14ac:dyDescent="0.25">
      <c r="A164" s="43" t="s">
        <v>248</v>
      </c>
      <c r="B164" s="44" t="str">
        <f>'дод 3-1'!A13</f>
        <v>0160</v>
      </c>
      <c r="C164" s="44" t="str">
        <f>'дод 3-1'!B13</f>
        <v>0111</v>
      </c>
      <c r="D16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64" s="69">
        <f>F164+I164</f>
        <v>4774500</v>
      </c>
      <c r="F164" s="69">
        <f>4985700+21800-233000</f>
        <v>4774500</v>
      </c>
      <c r="G164" s="69">
        <f>3907000-191000</f>
        <v>3716000</v>
      </c>
      <c r="H164" s="69">
        <v>52700</v>
      </c>
      <c r="I164" s="69"/>
      <c r="J164" s="69">
        <f>L164+O164</f>
        <v>0</v>
      </c>
      <c r="K164" s="69"/>
      <c r="L164" s="69"/>
      <c r="M164" s="69"/>
      <c r="N164" s="69"/>
      <c r="O164" s="69"/>
      <c r="P164" s="69">
        <f>E164+J164</f>
        <v>4774500</v>
      </c>
      <c r="Q164" s="142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31" customFormat="1" ht="37.5" customHeight="1" x14ac:dyDescent="0.2">
      <c r="A165" s="76" t="s">
        <v>250</v>
      </c>
      <c r="B165" s="74"/>
      <c r="C165" s="74"/>
      <c r="D165" s="30" t="s">
        <v>52</v>
      </c>
      <c r="E165" s="66">
        <f>E166</f>
        <v>20393000</v>
      </c>
      <c r="F165" s="66">
        <f t="shared" ref="F165:J165" si="96">F166</f>
        <v>19775000</v>
      </c>
      <c r="G165" s="66">
        <f t="shared" si="96"/>
        <v>13931300</v>
      </c>
      <c r="H165" s="66">
        <f t="shared" si="96"/>
        <v>314600</v>
      </c>
      <c r="I165" s="66">
        <f t="shared" si="96"/>
        <v>618000</v>
      </c>
      <c r="J165" s="66">
        <f t="shared" si="96"/>
        <v>100000</v>
      </c>
      <c r="K165" s="66">
        <f t="shared" ref="K165" si="97">K166</f>
        <v>100000</v>
      </c>
      <c r="L165" s="66">
        <f t="shared" ref="L165" si="98">L166</f>
        <v>0</v>
      </c>
      <c r="M165" s="66">
        <f t="shared" ref="M165" si="99">M166</f>
        <v>0</v>
      </c>
      <c r="N165" s="66">
        <f t="shared" ref="N165" si="100">N166</f>
        <v>0</v>
      </c>
      <c r="O165" s="66">
        <f t="shared" ref="O165" si="101">O166</f>
        <v>100000</v>
      </c>
      <c r="P165" s="66">
        <f>P166</f>
        <v>20493000</v>
      </c>
      <c r="Q165" s="140">
        <v>20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</row>
    <row r="166" spans="1:530" s="40" customFormat="1" ht="37.5" customHeight="1" x14ac:dyDescent="0.25">
      <c r="A166" s="77" t="s">
        <v>251</v>
      </c>
      <c r="B166" s="75"/>
      <c r="C166" s="75"/>
      <c r="D166" s="33" t="s">
        <v>52</v>
      </c>
      <c r="E166" s="68">
        <f>E167+E168++E169+E170+E171+E172</f>
        <v>20393000</v>
      </c>
      <c r="F166" s="68">
        <f t="shared" ref="F166:P166" si="102">F167+F168++F169+F170+F171+F172</f>
        <v>19775000</v>
      </c>
      <c r="G166" s="68">
        <f t="shared" si="102"/>
        <v>13931300</v>
      </c>
      <c r="H166" s="68">
        <f t="shared" si="102"/>
        <v>314600</v>
      </c>
      <c r="I166" s="68">
        <f t="shared" si="102"/>
        <v>618000</v>
      </c>
      <c r="J166" s="68">
        <f t="shared" si="102"/>
        <v>100000</v>
      </c>
      <c r="K166" s="68">
        <f t="shared" si="102"/>
        <v>100000</v>
      </c>
      <c r="L166" s="68">
        <f t="shared" si="102"/>
        <v>0</v>
      </c>
      <c r="M166" s="68">
        <f t="shared" si="102"/>
        <v>0</v>
      </c>
      <c r="N166" s="68">
        <f t="shared" si="102"/>
        <v>0</v>
      </c>
      <c r="O166" s="68">
        <f t="shared" si="102"/>
        <v>100000</v>
      </c>
      <c r="P166" s="68">
        <f t="shared" si="102"/>
        <v>20493000</v>
      </c>
      <c r="Q166" s="140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</row>
    <row r="167" spans="1:530" s="23" customFormat="1" ht="47.25" customHeight="1" x14ac:dyDescent="0.25">
      <c r="A167" s="43" t="s">
        <v>252</v>
      </c>
      <c r="B167" s="44" t="str">
        <f>'дод 3-1'!A13</f>
        <v>0160</v>
      </c>
      <c r="C167" s="44" t="str">
        <f>'дод 3-1'!B13</f>
        <v>0111</v>
      </c>
      <c r="D16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67" s="69">
        <f t="shared" ref="E167:E172" si="103">F167+I167</f>
        <v>17983000</v>
      </c>
      <c r="F167" s="69">
        <f>18803900+108500-929400</f>
        <v>17983000</v>
      </c>
      <c r="G167" s="69">
        <f>14693100-761800</f>
        <v>13931300</v>
      </c>
      <c r="H167" s="69">
        <v>314600</v>
      </c>
      <c r="I167" s="69"/>
      <c r="J167" s="69">
        <f>L167+O167</f>
        <v>25000</v>
      </c>
      <c r="K167" s="69">
        <v>25000</v>
      </c>
      <c r="L167" s="69"/>
      <c r="M167" s="69"/>
      <c r="N167" s="69"/>
      <c r="O167" s="69">
        <v>25000</v>
      </c>
      <c r="P167" s="69">
        <f t="shared" ref="P167:P172" si="104">E167+J167</f>
        <v>18008000</v>
      </c>
      <c r="Q167" s="140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</row>
    <row r="168" spans="1:530" s="28" customFormat="1" ht="29.25" customHeight="1" x14ac:dyDescent="0.25">
      <c r="A168" s="43" t="s">
        <v>253</v>
      </c>
      <c r="B168" s="44" t="str">
        <f>'дод 3-1'!A92</f>
        <v>7130</v>
      </c>
      <c r="C168" s="44" t="str">
        <f>'дод 3-1'!B92</f>
        <v>0421</v>
      </c>
      <c r="D168" s="24" t="str">
        <f>'дод 3-1'!C92</f>
        <v>Здійснення заходів із землеустрою</v>
      </c>
      <c r="E168" s="69">
        <f t="shared" si="103"/>
        <v>700000</v>
      </c>
      <c r="F168" s="69">
        <v>700000</v>
      </c>
      <c r="G168" s="69"/>
      <c r="H168" s="69"/>
      <c r="I168" s="69"/>
      <c r="J168" s="69">
        <f t="shared" ref="J168:J172" si="105">L168+O168</f>
        <v>0</v>
      </c>
      <c r="K168" s="69"/>
      <c r="L168" s="69"/>
      <c r="M168" s="69"/>
      <c r="N168" s="69"/>
      <c r="O168" s="69"/>
      <c r="P168" s="69">
        <f t="shared" si="104"/>
        <v>700000</v>
      </c>
      <c r="Q168" s="140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  <c r="SE168" s="37"/>
      <c r="SF168" s="37"/>
      <c r="SG168" s="37"/>
      <c r="SH168" s="37"/>
      <c r="SI168" s="37"/>
      <c r="SJ168" s="37"/>
      <c r="SK168" s="37"/>
      <c r="SL168" s="37"/>
      <c r="SM168" s="37"/>
      <c r="SN168" s="37"/>
      <c r="SO168" s="37"/>
      <c r="SP168" s="37"/>
      <c r="SQ168" s="37"/>
      <c r="SR168" s="37"/>
      <c r="SS168" s="37"/>
      <c r="ST168" s="37"/>
      <c r="SU168" s="37"/>
      <c r="SV168" s="37"/>
      <c r="SW168" s="37"/>
      <c r="SX168" s="37"/>
      <c r="SY168" s="37"/>
      <c r="SZ168" s="37"/>
      <c r="TA168" s="37"/>
      <c r="TB168" s="37"/>
      <c r="TC168" s="37"/>
      <c r="TD168" s="37"/>
      <c r="TE168" s="37"/>
      <c r="TF168" s="37"/>
      <c r="TG168" s="37"/>
      <c r="TH168" s="37"/>
      <c r="TI168" s="37"/>
      <c r="TJ168" s="37"/>
    </row>
    <row r="169" spans="1:530" s="23" customFormat="1" ht="27" customHeight="1" x14ac:dyDescent="0.25">
      <c r="A169" s="52" t="s">
        <v>254</v>
      </c>
      <c r="B169" s="45" t="str">
        <f>'дод 3-1'!A107</f>
        <v>7610</v>
      </c>
      <c r="C169" s="45" t="str">
        <f>'дод 3-1'!B107</f>
        <v>0411</v>
      </c>
      <c r="D169" s="22" t="str">
        <f>'дод 3-1'!C107</f>
        <v>Сприяння розвитку малого та середнього підприємництва</v>
      </c>
      <c r="E169" s="69">
        <f t="shared" si="103"/>
        <v>1020000</v>
      </c>
      <c r="F169" s="69">
        <f>220000+182000</f>
        <v>402000</v>
      </c>
      <c r="G169" s="69"/>
      <c r="H169" s="69"/>
      <c r="I169" s="69">
        <f>1000000-200000-182000</f>
        <v>618000</v>
      </c>
      <c r="J169" s="69">
        <f t="shared" si="105"/>
        <v>0</v>
      </c>
      <c r="K169" s="69"/>
      <c r="L169" s="69"/>
      <c r="M169" s="69"/>
      <c r="N169" s="69"/>
      <c r="O169" s="69"/>
      <c r="P169" s="69">
        <f t="shared" si="104"/>
        <v>1020000</v>
      </c>
      <c r="Q169" s="140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</row>
    <row r="170" spans="1:530" s="23" customFormat="1" ht="37.5" customHeight="1" x14ac:dyDescent="0.25">
      <c r="A170" s="52" t="s">
        <v>309</v>
      </c>
      <c r="B170" s="45" t="str">
        <f>'дод 3-1'!A109</f>
        <v>7650</v>
      </c>
      <c r="C170" s="45" t="str">
        <f>'дод 3-1'!B109</f>
        <v>0490</v>
      </c>
      <c r="D170" s="22" t="str">
        <f>'дод 3-1'!C109</f>
        <v>Проведення експертної грошової оцінки земельної ділянки чи права на неї</v>
      </c>
      <c r="E170" s="69">
        <f t="shared" si="103"/>
        <v>0</v>
      </c>
      <c r="F170" s="69"/>
      <c r="G170" s="69"/>
      <c r="H170" s="69"/>
      <c r="I170" s="69"/>
      <c r="J170" s="69">
        <f t="shared" si="105"/>
        <v>30000</v>
      </c>
      <c r="K170" s="69">
        <v>30000</v>
      </c>
      <c r="L170" s="69"/>
      <c r="M170" s="69"/>
      <c r="N170" s="69"/>
      <c r="O170" s="69">
        <v>30000</v>
      </c>
      <c r="P170" s="69">
        <f t="shared" si="104"/>
        <v>30000</v>
      </c>
      <c r="Q170" s="140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3" customFormat="1" ht="51.75" customHeight="1" x14ac:dyDescent="0.25">
      <c r="A171" s="52" t="s">
        <v>311</v>
      </c>
      <c r="B171" s="45" t="str">
        <f>'дод 3-1'!A110</f>
        <v>7660</v>
      </c>
      <c r="C171" s="45" t="str">
        <f>'дод 3-1'!B110</f>
        <v>0490</v>
      </c>
      <c r="D171" s="22" t="str">
        <f>'дод 3-1'!C110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71" s="69">
        <f t="shared" si="103"/>
        <v>0</v>
      </c>
      <c r="F171" s="69"/>
      <c r="G171" s="69"/>
      <c r="H171" s="69"/>
      <c r="I171" s="69"/>
      <c r="J171" s="69">
        <f t="shared" si="105"/>
        <v>45000</v>
      </c>
      <c r="K171" s="69">
        <v>45000</v>
      </c>
      <c r="L171" s="69"/>
      <c r="M171" s="69"/>
      <c r="N171" s="69"/>
      <c r="O171" s="69">
        <v>45000</v>
      </c>
      <c r="P171" s="69">
        <f t="shared" si="104"/>
        <v>45000</v>
      </c>
      <c r="Q171" s="140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</row>
    <row r="172" spans="1:530" s="23" customFormat="1" ht="23.25" customHeight="1" x14ac:dyDescent="0.25">
      <c r="A172" s="52" t="s">
        <v>306</v>
      </c>
      <c r="B172" s="45" t="str">
        <f>'дод 3-1'!A114</f>
        <v>7693</v>
      </c>
      <c r="C172" s="45" t="str">
        <f>'дод 3-1'!B114</f>
        <v>0490</v>
      </c>
      <c r="D172" s="22" t="str">
        <f>'дод 3-1'!C114</f>
        <v>Інші заходи, пов'язані з економічною діяльністю</v>
      </c>
      <c r="E172" s="69">
        <f t="shared" si="103"/>
        <v>690000</v>
      </c>
      <c r="F172" s="69">
        <f>490000+200000</f>
        <v>690000</v>
      </c>
      <c r="G172" s="69"/>
      <c r="H172" s="69"/>
      <c r="I172" s="69"/>
      <c r="J172" s="69">
        <f t="shared" si="105"/>
        <v>0</v>
      </c>
      <c r="K172" s="69"/>
      <c r="L172" s="69"/>
      <c r="M172" s="69"/>
      <c r="N172" s="69"/>
      <c r="O172" s="69"/>
      <c r="P172" s="69">
        <f t="shared" si="104"/>
        <v>690000</v>
      </c>
      <c r="Q172" s="140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</row>
    <row r="173" spans="1:530" s="31" customFormat="1" ht="36" customHeight="1" x14ac:dyDescent="0.2">
      <c r="A173" s="76" t="s">
        <v>255</v>
      </c>
      <c r="B173" s="74"/>
      <c r="C173" s="74"/>
      <c r="D173" s="30" t="s">
        <v>54</v>
      </c>
      <c r="E173" s="66">
        <f>E174</f>
        <v>147359665</v>
      </c>
      <c r="F173" s="66">
        <f t="shared" ref="F173:J173" si="106">F174</f>
        <v>127319665</v>
      </c>
      <c r="G173" s="66">
        <f t="shared" si="106"/>
        <v>13922900</v>
      </c>
      <c r="H173" s="66">
        <f t="shared" si="106"/>
        <v>244400</v>
      </c>
      <c r="I173" s="66">
        <f t="shared" si="106"/>
        <v>0</v>
      </c>
      <c r="J173" s="66">
        <f t="shared" si="106"/>
        <v>45000</v>
      </c>
      <c r="K173" s="66">
        <f t="shared" ref="K173" si="107">K174</f>
        <v>0</v>
      </c>
      <c r="L173" s="66">
        <f t="shared" ref="L173" si="108">L174</f>
        <v>45000</v>
      </c>
      <c r="M173" s="66">
        <f t="shared" ref="M173" si="109">M174</f>
        <v>0</v>
      </c>
      <c r="N173" s="66">
        <f t="shared" ref="N173" si="110">N174</f>
        <v>0</v>
      </c>
      <c r="O173" s="66">
        <f t="shared" ref="O173:P173" si="111">O174</f>
        <v>0</v>
      </c>
      <c r="P173" s="66">
        <f t="shared" si="111"/>
        <v>147404665</v>
      </c>
      <c r="Q173" s="14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</row>
    <row r="174" spans="1:530" s="40" customFormat="1" ht="36" customHeight="1" x14ac:dyDescent="0.25">
      <c r="A174" s="77" t="s">
        <v>256</v>
      </c>
      <c r="B174" s="75"/>
      <c r="C174" s="75"/>
      <c r="D174" s="33" t="s">
        <v>54</v>
      </c>
      <c r="E174" s="68">
        <f>SUM(E175+E176+E177+E179+E180+E181+E182+E178)</f>
        <v>147359665</v>
      </c>
      <c r="F174" s="68">
        <f t="shared" ref="F174:P174" si="112">SUM(F175+F176+F177+F179+F180+F181+F182+F178)</f>
        <v>127319665</v>
      </c>
      <c r="G174" s="68">
        <f t="shared" si="112"/>
        <v>13922900</v>
      </c>
      <c r="H174" s="68">
        <f t="shared" si="112"/>
        <v>244400</v>
      </c>
      <c r="I174" s="68">
        <f t="shared" si="112"/>
        <v>0</v>
      </c>
      <c r="J174" s="68">
        <f t="shared" si="112"/>
        <v>45000</v>
      </c>
      <c r="K174" s="68">
        <f t="shared" si="112"/>
        <v>0</v>
      </c>
      <c r="L174" s="68">
        <f t="shared" si="112"/>
        <v>45000</v>
      </c>
      <c r="M174" s="68">
        <f t="shared" si="112"/>
        <v>0</v>
      </c>
      <c r="N174" s="68">
        <f t="shared" si="112"/>
        <v>0</v>
      </c>
      <c r="O174" s="68">
        <f t="shared" si="112"/>
        <v>0</v>
      </c>
      <c r="P174" s="68">
        <f t="shared" si="112"/>
        <v>147404665</v>
      </c>
      <c r="Q174" s="140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</row>
    <row r="175" spans="1:530" s="23" customFormat="1" ht="42" customHeight="1" x14ac:dyDescent="0.25">
      <c r="A175" s="43" t="s">
        <v>257</v>
      </c>
      <c r="B175" s="44" t="str">
        <f>'дод 3-1'!A13</f>
        <v>0160</v>
      </c>
      <c r="C175" s="44" t="str">
        <f>'дод 3-1'!B13</f>
        <v>0111</v>
      </c>
      <c r="D175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75" s="69">
        <f t="shared" ref="E175:E180" si="113">F175+I175</f>
        <v>17857800</v>
      </c>
      <c r="F175" s="69">
        <f>18669000+46200-857400</f>
        <v>17857800</v>
      </c>
      <c r="G175" s="69">
        <f>14625700-702800</f>
        <v>13922900</v>
      </c>
      <c r="H175" s="69">
        <v>244400</v>
      </c>
      <c r="I175" s="69"/>
      <c r="J175" s="69">
        <f>L175+O175</f>
        <v>0</v>
      </c>
      <c r="K175" s="69"/>
      <c r="L175" s="69"/>
      <c r="M175" s="69"/>
      <c r="N175" s="69"/>
      <c r="O175" s="69"/>
      <c r="P175" s="69">
        <f t="shared" ref="P175:P182" si="114">E175+J175</f>
        <v>17857800</v>
      </c>
      <c r="Q175" s="140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</row>
    <row r="176" spans="1:530" s="23" customFormat="1" ht="18.75" customHeight="1" x14ac:dyDescent="0.25">
      <c r="A176" s="43" t="s">
        <v>300</v>
      </c>
      <c r="B176" s="44" t="str">
        <f>'дод 3-1'!A108</f>
        <v>7640</v>
      </c>
      <c r="C176" s="44" t="str">
        <f>'дод 3-1'!B108</f>
        <v>0470</v>
      </c>
      <c r="D176" s="24" t="str">
        <f>'дод 3-1'!C108</f>
        <v>Заходи з енергозбереження</v>
      </c>
      <c r="E176" s="69">
        <f t="shared" si="113"/>
        <v>345000</v>
      </c>
      <c r="F176" s="69">
        <v>345000</v>
      </c>
      <c r="G176" s="69"/>
      <c r="H176" s="69"/>
      <c r="I176" s="69"/>
      <c r="J176" s="69">
        <f t="shared" ref="J176:J182" si="115">L176+O176</f>
        <v>0</v>
      </c>
      <c r="K176" s="69"/>
      <c r="L176" s="69"/>
      <c r="M176" s="69"/>
      <c r="N176" s="69"/>
      <c r="O176" s="69"/>
      <c r="P176" s="69">
        <f t="shared" si="114"/>
        <v>345000</v>
      </c>
      <c r="Q176" s="140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  <c r="TJ176" s="26"/>
    </row>
    <row r="177" spans="1:530" s="23" customFormat="1" ht="24" customHeight="1" x14ac:dyDescent="0.25">
      <c r="A177" s="43" t="s">
        <v>387</v>
      </c>
      <c r="B177" s="44" t="str">
        <f>'дод 3-1'!A114</f>
        <v>7693</v>
      </c>
      <c r="C177" s="44" t="str">
        <f>'дод 3-1'!B114</f>
        <v>0490</v>
      </c>
      <c r="D177" s="24" t="str">
        <f>'дод 3-1'!C114</f>
        <v>Інші заходи, пов'язані з економічною діяльністю</v>
      </c>
      <c r="E177" s="69">
        <f t="shared" si="113"/>
        <v>213200</v>
      </c>
      <c r="F177" s="69">
        <v>213200</v>
      </c>
      <c r="G177" s="69"/>
      <c r="H177" s="69"/>
      <c r="I177" s="69"/>
      <c r="J177" s="69">
        <f t="shared" si="115"/>
        <v>0</v>
      </c>
      <c r="K177" s="69"/>
      <c r="L177" s="69"/>
      <c r="M177" s="69"/>
      <c r="N177" s="69"/>
      <c r="O177" s="69"/>
      <c r="P177" s="69">
        <f t="shared" si="114"/>
        <v>213200</v>
      </c>
      <c r="Q177" s="140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</row>
    <row r="178" spans="1:530" s="23" customFormat="1" ht="33.75" customHeight="1" x14ac:dyDescent="0.25">
      <c r="A178" s="43">
        <v>3718330</v>
      </c>
      <c r="B178" s="44">
        <f>'дод 3-1'!A124</f>
        <v>8330</v>
      </c>
      <c r="C178" s="44">
        <f>'дод 3-1'!B124</f>
        <v>540</v>
      </c>
      <c r="D178" s="24" t="str">
        <f>'дод 3-1'!C124</f>
        <v xml:space="preserve">Інша діяльність у сфері екології та охорони природних ресурсів </v>
      </c>
      <c r="E178" s="69">
        <f t="shared" si="113"/>
        <v>75000</v>
      </c>
      <c r="F178" s="69">
        <v>75000</v>
      </c>
      <c r="G178" s="69"/>
      <c r="H178" s="69"/>
      <c r="I178" s="69"/>
      <c r="J178" s="69">
        <f t="shared" si="115"/>
        <v>0</v>
      </c>
      <c r="K178" s="69"/>
      <c r="L178" s="69"/>
      <c r="M178" s="69"/>
      <c r="N178" s="69"/>
      <c r="O178" s="69"/>
      <c r="P178" s="69">
        <f t="shared" si="114"/>
        <v>75000</v>
      </c>
      <c r="Q178" s="140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</row>
    <row r="179" spans="1:530" s="23" customFormat="1" ht="26.25" customHeight="1" x14ac:dyDescent="0.25">
      <c r="A179" s="43" t="s">
        <v>258</v>
      </c>
      <c r="B179" s="44" t="str">
        <f>'дод 3-1'!A125</f>
        <v>8340</v>
      </c>
      <c r="C179" s="43" t="str">
        <f>'дод 3-1'!B125</f>
        <v>0540</v>
      </c>
      <c r="D179" s="24" t="str">
        <f>'дод 3-1'!C125</f>
        <v>Природоохоронні заходи за рахунок цільових фондів</v>
      </c>
      <c r="E179" s="69">
        <f t="shared" si="113"/>
        <v>0</v>
      </c>
      <c r="F179" s="69"/>
      <c r="G179" s="69"/>
      <c r="H179" s="69"/>
      <c r="I179" s="69"/>
      <c r="J179" s="69">
        <f t="shared" si="115"/>
        <v>45000</v>
      </c>
      <c r="K179" s="69"/>
      <c r="L179" s="69">
        <v>45000</v>
      </c>
      <c r="M179" s="69"/>
      <c r="N179" s="69"/>
      <c r="O179" s="69"/>
      <c r="P179" s="69">
        <f t="shared" si="114"/>
        <v>45000</v>
      </c>
      <c r="Q179" s="140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27" customHeight="1" x14ac:dyDescent="0.25">
      <c r="A180" s="43" t="s">
        <v>259</v>
      </c>
      <c r="B180" s="44" t="str">
        <f>'дод 3-1'!A128</f>
        <v>8600</v>
      </c>
      <c r="C180" s="44" t="str">
        <f>'дод 3-1'!B128</f>
        <v>0170</v>
      </c>
      <c r="D180" s="24" t="str">
        <f>'дод 3-1'!C128</f>
        <v>Обслуговування місцевого боргу</v>
      </c>
      <c r="E180" s="69">
        <f t="shared" si="113"/>
        <v>712065</v>
      </c>
      <c r="F180" s="69">
        <f>28187+238378+445500</f>
        <v>712065</v>
      </c>
      <c r="G180" s="69"/>
      <c r="H180" s="69"/>
      <c r="I180" s="69"/>
      <c r="J180" s="69">
        <f t="shared" si="115"/>
        <v>0</v>
      </c>
      <c r="K180" s="69"/>
      <c r="L180" s="69"/>
      <c r="M180" s="69"/>
      <c r="N180" s="69"/>
      <c r="O180" s="69"/>
      <c r="P180" s="69">
        <f t="shared" si="114"/>
        <v>712065</v>
      </c>
      <c r="Q180" s="140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21" customHeight="1" x14ac:dyDescent="0.25">
      <c r="A181" s="43" t="s">
        <v>273</v>
      </c>
      <c r="B181" s="44" t="str">
        <f>'дод 3-1'!A129</f>
        <v>8700</v>
      </c>
      <c r="C181" s="44" t="str">
        <f>'дод 3-1'!B129</f>
        <v>0133</v>
      </c>
      <c r="D181" s="24" t="str">
        <f>'дод 3-1'!C129</f>
        <v>Резервний фонд</v>
      </c>
      <c r="E181" s="69">
        <f>20000000+40000</f>
        <v>20040000</v>
      </c>
      <c r="F181" s="69"/>
      <c r="G181" s="69"/>
      <c r="H181" s="69"/>
      <c r="I181" s="69"/>
      <c r="J181" s="69">
        <f t="shared" si="115"/>
        <v>0</v>
      </c>
      <c r="K181" s="69"/>
      <c r="L181" s="69"/>
      <c r="M181" s="69"/>
      <c r="N181" s="69"/>
      <c r="O181" s="69"/>
      <c r="P181" s="69">
        <f t="shared" si="114"/>
        <v>20040000</v>
      </c>
      <c r="Q181" s="140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2.5" customHeight="1" x14ac:dyDescent="0.25">
      <c r="A182" s="43" t="s">
        <v>274</v>
      </c>
      <c r="B182" s="44" t="str">
        <f>'дод 3-1'!A132</f>
        <v>9110</v>
      </c>
      <c r="C182" s="44" t="str">
        <f>'дод 3-1'!B132</f>
        <v>0180</v>
      </c>
      <c r="D182" s="24" t="str">
        <f>'дод 3-1'!C132</f>
        <v>Реверсна дотація</v>
      </c>
      <c r="E182" s="69">
        <f>F182+I182</f>
        <v>108116600</v>
      </c>
      <c r="F182" s="69">
        <v>108116600</v>
      </c>
      <c r="G182" s="69"/>
      <c r="H182" s="69"/>
      <c r="I182" s="69"/>
      <c r="J182" s="69">
        <f t="shared" si="115"/>
        <v>0</v>
      </c>
      <c r="K182" s="69"/>
      <c r="L182" s="69"/>
      <c r="M182" s="69"/>
      <c r="N182" s="69"/>
      <c r="O182" s="69"/>
      <c r="P182" s="69">
        <f t="shared" si="114"/>
        <v>108116600</v>
      </c>
      <c r="Q182" s="140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31" customFormat="1" ht="24.75" customHeight="1" x14ac:dyDescent="0.2">
      <c r="A183" s="91"/>
      <c r="B183" s="74"/>
      <c r="C183" s="80"/>
      <c r="D183" s="30" t="s">
        <v>27</v>
      </c>
      <c r="E183" s="66">
        <f>E13+E45+E68+E85+E107+E112+E122+E142+E145+E157+E162+E165+E173</f>
        <v>2039548814</v>
      </c>
      <c r="F183" s="66">
        <f t="shared" ref="F183:P183" si="116">F13+F45+F68+F85+F107+F112+F122+F142+F145+F157+F162+F165+F173</f>
        <v>1974511676</v>
      </c>
      <c r="G183" s="66">
        <f t="shared" si="116"/>
        <v>905515842</v>
      </c>
      <c r="H183" s="66">
        <f t="shared" si="116"/>
        <v>121640963</v>
      </c>
      <c r="I183" s="66">
        <f t="shared" si="116"/>
        <v>44997138</v>
      </c>
      <c r="J183" s="66">
        <f t="shared" si="116"/>
        <v>529490012</v>
      </c>
      <c r="K183" s="66">
        <f t="shared" si="116"/>
        <v>453038186</v>
      </c>
      <c r="L183" s="66">
        <f t="shared" si="116"/>
        <v>63430230</v>
      </c>
      <c r="M183" s="66">
        <f t="shared" si="116"/>
        <v>9012497</v>
      </c>
      <c r="N183" s="66">
        <f t="shared" si="116"/>
        <v>3810541</v>
      </c>
      <c r="O183" s="66">
        <f t="shared" si="116"/>
        <v>466059782</v>
      </c>
      <c r="P183" s="66">
        <f t="shared" si="116"/>
        <v>2569038826</v>
      </c>
      <c r="Q183" s="14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</row>
    <row r="184" spans="1:530" s="31" customFormat="1" ht="20.25" customHeight="1" x14ac:dyDescent="0.2">
      <c r="A184" s="91"/>
      <c r="B184" s="74"/>
      <c r="C184" s="80"/>
      <c r="D184" s="30" t="s">
        <v>308</v>
      </c>
      <c r="E184" s="66">
        <f>E47+E70</f>
        <v>417759465</v>
      </c>
      <c r="F184" s="66">
        <f t="shared" ref="F184:P184" si="117">F47+F70</f>
        <v>417759465</v>
      </c>
      <c r="G184" s="66">
        <f t="shared" si="117"/>
        <v>294458780</v>
      </c>
      <c r="H184" s="66">
        <f t="shared" si="117"/>
        <v>0</v>
      </c>
      <c r="I184" s="66">
        <f t="shared" si="117"/>
        <v>0</v>
      </c>
      <c r="J184" s="66">
        <f t="shared" si="117"/>
        <v>828008</v>
      </c>
      <c r="K184" s="66">
        <f t="shared" si="117"/>
        <v>828008</v>
      </c>
      <c r="L184" s="66">
        <f t="shared" si="117"/>
        <v>0</v>
      </c>
      <c r="M184" s="66">
        <f t="shared" si="117"/>
        <v>0</v>
      </c>
      <c r="N184" s="66">
        <f t="shared" si="117"/>
        <v>0</v>
      </c>
      <c r="O184" s="66">
        <f t="shared" si="117"/>
        <v>828008</v>
      </c>
      <c r="P184" s="66">
        <f t="shared" si="117"/>
        <v>418587473</v>
      </c>
      <c r="Q184" s="14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</row>
    <row r="185" spans="1:530" s="34" customFormat="1" x14ac:dyDescent="0.25">
      <c r="A185" s="92"/>
      <c r="B185" s="81"/>
      <c r="C185" s="81"/>
      <c r="D185" s="41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60"/>
      <c r="Q185" s="140"/>
    </row>
    <row r="186" spans="1:530" s="34" customFormat="1" x14ac:dyDescent="0.25">
      <c r="A186" s="92"/>
      <c r="B186" s="81"/>
      <c r="C186" s="81"/>
      <c r="D186" s="41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140"/>
    </row>
    <row r="187" spans="1:530" s="34" customFormat="1" x14ac:dyDescent="0.25">
      <c r="A187" s="92"/>
      <c r="B187" s="81"/>
      <c r="C187" s="81"/>
      <c r="D187" s="41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60"/>
      <c r="Q187" s="140"/>
    </row>
    <row r="188" spans="1:530" s="34" customFormat="1" x14ac:dyDescent="0.25">
      <c r="A188" s="92"/>
      <c r="B188" s="81"/>
      <c r="C188" s="81"/>
      <c r="D188" s="41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60"/>
      <c r="Q188" s="140"/>
    </row>
    <row r="189" spans="1:530" s="34" customFormat="1" x14ac:dyDescent="0.25">
      <c r="A189" s="92"/>
      <c r="B189" s="81"/>
      <c r="C189" s="81"/>
      <c r="D189" s="41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60"/>
      <c r="Q189" s="140"/>
    </row>
    <row r="190" spans="1:530" s="34" customFormat="1" x14ac:dyDescent="0.25">
      <c r="A190" s="92"/>
      <c r="B190" s="119"/>
      <c r="C190" s="119"/>
      <c r="D190" s="41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60"/>
      <c r="Q190" s="140"/>
    </row>
    <row r="191" spans="1:530" s="34" customFormat="1" ht="35.25" customHeight="1" x14ac:dyDescent="0.5">
      <c r="A191" s="94"/>
      <c r="B191" s="95"/>
      <c r="C191" s="95"/>
      <c r="D191" s="96"/>
      <c r="E191" s="97"/>
      <c r="F191" s="97"/>
      <c r="G191" s="97"/>
      <c r="H191" s="97"/>
      <c r="I191" s="97"/>
      <c r="J191" s="97"/>
      <c r="K191" s="98"/>
      <c r="L191" s="97"/>
      <c r="M191" s="105"/>
      <c r="N191" s="105"/>
      <c r="O191" s="105"/>
      <c r="P191" s="103"/>
      <c r="Q191" s="140"/>
      <c r="R191" s="103"/>
      <c r="S191" s="103"/>
      <c r="T191" s="103"/>
      <c r="U191" s="103"/>
      <c r="V191" s="103"/>
    </row>
    <row r="192" spans="1:530" s="131" customFormat="1" ht="35.25" x14ac:dyDescent="0.5">
      <c r="A192" s="129" t="s">
        <v>443</v>
      </c>
      <c r="B192" s="129"/>
      <c r="C192" s="129"/>
      <c r="D192" s="129"/>
      <c r="E192" s="129"/>
      <c r="F192" s="129"/>
      <c r="G192" s="129"/>
      <c r="H192" s="129"/>
      <c r="I192" s="130"/>
      <c r="J192" s="130"/>
      <c r="K192" s="130"/>
      <c r="N192" s="148" t="s">
        <v>444</v>
      </c>
      <c r="O192" s="148"/>
      <c r="P192" s="148"/>
      <c r="Q192" s="140"/>
      <c r="R192" s="132"/>
      <c r="S192" s="132"/>
      <c r="T192" s="132"/>
      <c r="U192" s="132"/>
      <c r="V192" s="132"/>
      <c r="W192" s="132"/>
      <c r="X192" s="133"/>
      <c r="Y192" s="134"/>
    </row>
    <row r="193" spans="1:25" s="34" customFormat="1" ht="31.5" x14ac:dyDescent="0.45">
      <c r="A193" s="99"/>
      <c r="B193" s="99"/>
      <c r="C193" s="99"/>
      <c r="D193" s="100"/>
      <c r="E193" s="101"/>
      <c r="F193" s="101"/>
      <c r="G193" s="101"/>
      <c r="H193" s="101"/>
      <c r="I193" s="101"/>
      <c r="J193" s="101"/>
      <c r="K193" s="102"/>
      <c r="L193" s="101"/>
      <c r="M193" s="101"/>
      <c r="Q193" s="140"/>
      <c r="R193" s="101"/>
      <c r="S193" s="101"/>
      <c r="T193" s="101"/>
      <c r="U193" s="101"/>
      <c r="V193" s="101"/>
      <c r="W193" s="101"/>
      <c r="X193" s="102"/>
      <c r="Y193" s="101"/>
    </row>
    <row r="194" spans="1:25" s="34" customFormat="1" x14ac:dyDescent="0.25">
      <c r="A194" s="92"/>
      <c r="B194" s="81"/>
      <c r="C194" s="81"/>
      <c r="D194" s="41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37"/>
    </row>
    <row r="195" spans="1:25" s="115" customFormat="1" ht="14.25" x14ac:dyDescent="0.2">
      <c r="A195" s="111"/>
      <c r="B195" s="112"/>
      <c r="C195" s="112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37"/>
    </row>
    <row r="196" spans="1:25" s="115" customFormat="1" ht="14.25" x14ac:dyDescent="0.2">
      <c r="A196" s="111"/>
      <c r="B196" s="112"/>
      <c r="C196" s="112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37"/>
    </row>
    <row r="197" spans="1:25" s="34" customFormat="1" x14ac:dyDescent="0.25">
      <c r="A197" s="92"/>
      <c r="B197" s="119"/>
      <c r="C197" s="119"/>
      <c r="D197" s="41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60"/>
      <c r="Q197" s="137"/>
    </row>
    <row r="198" spans="1:25" s="34" customFormat="1" x14ac:dyDescent="0.25">
      <c r="A198" s="92"/>
      <c r="B198" s="119"/>
      <c r="C198" s="119"/>
      <c r="D198" s="41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60"/>
      <c r="Q198" s="137"/>
    </row>
    <row r="199" spans="1:25" s="34" customFormat="1" x14ac:dyDescent="0.25">
      <c r="A199" s="92"/>
      <c r="B199" s="119"/>
      <c r="C199" s="119"/>
      <c r="D199" s="41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60"/>
      <c r="Q199" s="137"/>
    </row>
    <row r="200" spans="1:25" s="34" customFormat="1" x14ac:dyDescent="0.25">
      <c r="A200" s="92"/>
      <c r="B200" s="119"/>
      <c r="C200" s="119"/>
      <c r="D200" s="41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60"/>
      <c r="Q200" s="137"/>
    </row>
    <row r="201" spans="1:25" s="34" customFormat="1" x14ac:dyDescent="0.25">
      <c r="A201" s="92"/>
      <c r="B201" s="119"/>
      <c r="C201" s="119"/>
      <c r="D201" s="41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60"/>
      <c r="Q201" s="137"/>
    </row>
    <row r="202" spans="1:25" s="34" customFormat="1" x14ac:dyDescent="0.25">
      <c r="A202" s="92"/>
      <c r="B202" s="81"/>
      <c r="C202" s="81"/>
      <c r="D202" s="41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60"/>
      <c r="Q202" s="137"/>
    </row>
    <row r="203" spans="1:25" s="34" customFormat="1" x14ac:dyDescent="0.25">
      <c r="A203" s="92"/>
      <c r="B203" s="81"/>
      <c r="C203" s="81"/>
      <c r="D203" s="41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60"/>
      <c r="Q203" s="137"/>
    </row>
    <row r="204" spans="1:25" s="34" customFormat="1" x14ac:dyDescent="0.25">
      <c r="A204" s="92"/>
      <c r="B204" s="81"/>
      <c r="C204" s="81"/>
      <c r="D204" s="41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60"/>
      <c r="Q204" s="137"/>
    </row>
    <row r="205" spans="1:25" s="34" customFormat="1" x14ac:dyDescent="0.25">
      <c r="A205" s="92"/>
      <c r="B205" s="81"/>
      <c r="C205" s="81"/>
      <c r="D205" s="41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137"/>
    </row>
    <row r="206" spans="1:25" s="34" customFormat="1" x14ac:dyDescent="0.25">
      <c r="A206" s="92"/>
      <c r="B206" s="81"/>
      <c r="C206" s="81"/>
      <c r="D206" s="4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60"/>
      <c r="Q206" s="137"/>
    </row>
    <row r="207" spans="1:25" s="34" customFormat="1" x14ac:dyDescent="0.25">
      <c r="A207" s="92"/>
      <c r="B207" s="81"/>
      <c r="C207" s="81"/>
      <c r="D207" s="41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137"/>
    </row>
    <row r="208" spans="1:25" s="34" customFormat="1" x14ac:dyDescent="0.25">
      <c r="A208" s="92"/>
      <c r="B208" s="81"/>
      <c r="C208" s="81"/>
      <c r="D208" s="4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60"/>
      <c r="Q208" s="137"/>
    </row>
    <row r="209" spans="1:17" s="34" customFormat="1" x14ac:dyDescent="0.25">
      <c r="A209" s="92"/>
      <c r="B209" s="81"/>
      <c r="C209" s="81"/>
      <c r="D209" s="41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60"/>
      <c r="Q209" s="137"/>
    </row>
    <row r="210" spans="1:17" s="34" customFormat="1" x14ac:dyDescent="0.25">
      <c r="A210" s="92"/>
      <c r="B210" s="81"/>
      <c r="C210" s="81"/>
      <c r="D210" s="4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60"/>
      <c r="Q210" s="137"/>
    </row>
    <row r="211" spans="1:17" s="34" customFormat="1" x14ac:dyDescent="0.25">
      <c r="A211" s="92"/>
      <c r="B211" s="81"/>
      <c r="C211" s="81"/>
      <c r="D211" s="4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137"/>
    </row>
    <row r="212" spans="1:17" s="34" customFormat="1" x14ac:dyDescent="0.25">
      <c r="A212" s="92"/>
      <c r="B212" s="81"/>
      <c r="C212" s="81"/>
      <c r="D212" s="4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  <c r="Q212" s="137"/>
    </row>
    <row r="213" spans="1:17" s="34" customFormat="1" x14ac:dyDescent="0.25">
      <c r="A213" s="92"/>
      <c r="B213" s="81"/>
      <c r="C213" s="81"/>
      <c r="D213" s="4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137"/>
    </row>
    <row r="214" spans="1:17" s="34" customFormat="1" x14ac:dyDescent="0.25">
      <c r="A214" s="92"/>
      <c r="B214" s="81"/>
      <c r="C214" s="81"/>
      <c r="D214" s="4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  <c r="Q214" s="137"/>
    </row>
    <row r="215" spans="1:17" s="34" customFormat="1" x14ac:dyDescent="0.25">
      <c r="A215" s="92"/>
      <c r="B215" s="81"/>
      <c r="C215" s="81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  <c r="Q215" s="137"/>
    </row>
    <row r="216" spans="1:17" s="34" customFormat="1" x14ac:dyDescent="0.25">
      <c r="A216" s="92"/>
      <c r="B216" s="81"/>
      <c r="C216" s="81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  <c r="Q216" s="137"/>
    </row>
    <row r="217" spans="1:17" s="34" customFormat="1" x14ac:dyDescent="0.25">
      <c r="A217" s="92"/>
      <c r="B217" s="81"/>
      <c r="C217" s="81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  <c r="Q217" s="138"/>
    </row>
    <row r="218" spans="1:17" s="34" customFormat="1" x14ac:dyDescent="0.25">
      <c r="A218" s="92"/>
      <c r="B218" s="81"/>
      <c r="C218" s="81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138"/>
    </row>
    <row r="219" spans="1:17" s="34" customFormat="1" x14ac:dyDescent="0.25">
      <c r="A219" s="92"/>
      <c r="B219" s="81"/>
      <c r="C219" s="81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138"/>
    </row>
    <row r="220" spans="1:17" s="34" customFormat="1" x14ac:dyDescent="0.25">
      <c r="A220" s="92"/>
      <c r="B220" s="81"/>
      <c r="C220" s="81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138"/>
    </row>
    <row r="221" spans="1:17" s="34" customFormat="1" x14ac:dyDescent="0.25">
      <c r="A221" s="92"/>
      <c r="B221" s="81"/>
      <c r="C221" s="81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  <c r="Q221" s="138"/>
    </row>
    <row r="222" spans="1:17" s="34" customFormat="1" x14ac:dyDescent="0.25">
      <c r="A222" s="92"/>
      <c r="B222" s="81"/>
      <c r="C222" s="81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  <c r="Q222" s="138"/>
    </row>
    <row r="223" spans="1:17" s="34" customFormat="1" x14ac:dyDescent="0.25">
      <c r="A223" s="92"/>
      <c r="B223" s="81"/>
      <c r="C223" s="81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  <c r="Q223" s="138"/>
    </row>
    <row r="224" spans="1:17" s="34" customFormat="1" x14ac:dyDescent="0.25">
      <c r="A224" s="92"/>
      <c r="B224" s="81"/>
      <c r="C224" s="81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  <c r="Q224" s="138"/>
    </row>
    <row r="225" spans="1:17" s="34" customFormat="1" x14ac:dyDescent="0.25">
      <c r="A225" s="92"/>
      <c r="B225" s="81"/>
      <c r="C225" s="81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138"/>
    </row>
    <row r="226" spans="1:17" s="34" customFormat="1" x14ac:dyDescent="0.25">
      <c r="A226" s="92"/>
      <c r="B226" s="81"/>
      <c r="C226" s="81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  <c r="Q226" s="138"/>
    </row>
    <row r="227" spans="1:17" s="34" customFormat="1" x14ac:dyDescent="0.25">
      <c r="A227" s="92"/>
      <c r="B227" s="81"/>
      <c r="C227" s="81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  <c r="Q227" s="138"/>
    </row>
    <row r="228" spans="1:17" s="34" customFormat="1" x14ac:dyDescent="0.25">
      <c r="A228" s="92"/>
      <c r="B228" s="81"/>
      <c r="C228" s="81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  <c r="Q228" s="138"/>
    </row>
    <row r="229" spans="1:17" s="34" customFormat="1" x14ac:dyDescent="0.25">
      <c r="A229" s="92"/>
      <c r="B229" s="81"/>
      <c r="C229" s="81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  <c r="Q229" s="138"/>
    </row>
    <row r="230" spans="1:17" s="34" customFormat="1" x14ac:dyDescent="0.25">
      <c r="A230" s="92"/>
      <c r="B230" s="81"/>
      <c r="C230" s="81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  <c r="Q230" s="138"/>
    </row>
    <row r="231" spans="1:17" s="34" customFormat="1" x14ac:dyDescent="0.25">
      <c r="A231" s="92"/>
      <c r="B231" s="81"/>
      <c r="C231" s="81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  <c r="Q231" s="138"/>
    </row>
    <row r="232" spans="1:17" s="34" customFormat="1" x14ac:dyDescent="0.25">
      <c r="A232" s="92"/>
      <c r="B232" s="81"/>
      <c r="C232" s="81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  <c r="Q232" s="138"/>
    </row>
    <row r="233" spans="1:17" s="34" customFormat="1" x14ac:dyDescent="0.25">
      <c r="A233" s="92"/>
      <c r="B233" s="81"/>
      <c r="C233" s="81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138"/>
    </row>
    <row r="234" spans="1:17" s="34" customFormat="1" x14ac:dyDescent="0.25">
      <c r="A234" s="92"/>
      <c r="B234" s="81"/>
      <c r="C234" s="81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  <c r="Q234" s="138"/>
    </row>
    <row r="235" spans="1:17" s="34" customFormat="1" x14ac:dyDescent="0.25">
      <c r="A235" s="92"/>
      <c r="B235" s="81"/>
      <c r="C235" s="81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  <c r="Q235" s="138"/>
    </row>
    <row r="236" spans="1:17" s="34" customFormat="1" x14ac:dyDescent="0.25">
      <c r="A236" s="92"/>
      <c r="B236" s="81"/>
      <c r="C236" s="81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  <c r="Q236" s="138"/>
    </row>
    <row r="237" spans="1:17" s="34" customFormat="1" x14ac:dyDescent="0.25">
      <c r="A237" s="92"/>
      <c r="B237" s="81"/>
      <c r="C237" s="81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138"/>
    </row>
    <row r="238" spans="1:17" s="34" customFormat="1" x14ac:dyDescent="0.25">
      <c r="A238" s="92"/>
      <c r="B238" s="81"/>
      <c r="C238" s="81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  <c r="Q238" s="138"/>
    </row>
    <row r="239" spans="1:17" s="34" customFormat="1" x14ac:dyDescent="0.25">
      <c r="A239" s="92"/>
      <c r="B239" s="81"/>
      <c r="C239" s="81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138"/>
    </row>
    <row r="240" spans="1:17" s="34" customFormat="1" x14ac:dyDescent="0.25">
      <c r="A240" s="92"/>
      <c r="B240" s="81"/>
      <c r="C240" s="81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  <c r="Q240" s="138"/>
    </row>
    <row r="241" spans="1:17" s="34" customFormat="1" x14ac:dyDescent="0.25">
      <c r="A241" s="92"/>
      <c r="B241" s="81"/>
      <c r="C241" s="81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  <c r="Q241" s="138"/>
    </row>
    <row r="242" spans="1:17" s="34" customFormat="1" x14ac:dyDescent="0.25">
      <c r="A242" s="92"/>
      <c r="B242" s="81"/>
      <c r="C242" s="81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  <c r="Q242" s="138"/>
    </row>
    <row r="243" spans="1:17" s="34" customFormat="1" x14ac:dyDescent="0.25">
      <c r="A243" s="92"/>
      <c r="B243" s="81"/>
      <c r="C243" s="81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  <c r="Q243" s="138"/>
    </row>
    <row r="244" spans="1:17" s="34" customFormat="1" x14ac:dyDescent="0.25">
      <c r="A244" s="92"/>
      <c r="B244" s="81"/>
      <c r="C244" s="81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  <c r="Q244" s="138"/>
    </row>
    <row r="245" spans="1:17" s="34" customFormat="1" x14ac:dyDescent="0.25">
      <c r="A245" s="92"/>
      <c r="B245" s="81"/>
      <c r="C245" s="81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138"/>
    </row>
    <row r="246" spans="1:17" s="34" customFormat="1" x14ac:dyDescent="0.25">
      <c r="A246" s="92"/>
      <c r="B246" s="81"/>
      <c r="C246" s="81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  <c r="Q246" s="138"/>
    </row>
    <row r="247" spans="1:17" s="34" customFormat="1" x14ac:dyDescent="0.25">
      <c r="A247" s="92"/>
      <c r="B247" s="81"/>
      <c r="C247" s="81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  <c r="Q247" s="138"/>
    </row>
    <row r="248" spans="1:17" s="34" customFormat="1" x14ac:dyDescent="0.25">
      <c r="A248" s="92"/>
      <c r="B248" s="81"/>
      <c r="C248" s="81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  <c r="Q248" s="138"/>
    </row>
    <row r="249" spans="1:17" s="34" customFormat="1" x14ac:dyDescent="0.25">
      <c r="A249" s="92"/>
      <c r="B249" s="81"/>
      <c r="C249" s="81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  <c r="Q249" s="138"/>
    </row>
    <row r="250" spans="1:17" s="34" customFormat="1" x14ac:dyDescent="0.25">
      <c r="A250" s="92"/>
      <c r="B250" s="81"/>
      <c r="C250" s="81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138"/>
    </row>
    <row r="251" spans="1:17" s="34" customFormat="1" x14ac:dyDescent="0.25">
      <c r="A251" s="92"/>
      <c r="B251" s="81"/>
      <c r="C251" s="81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  <c r="Q251" s="138"/>
    </row>
    <row r="252" spans="1:17" s="34" customFormat="1" x14ac:dyDescent="0.25">
      <c r="A252" s="92"/>
      <c r="B252" s="81"/>
      <c r="C252" s="81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  <c r="Q252" s="138"/>
    </row>
    <row r="253" spans="1:17" s="34" customFormat="1" x14ac:dyDescent="0.25">
      <c r="A253" s="92"/>
      <c r="B253" s="81"/>
      <c r="C253" s="81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  <c r="Q253" s="138"/>
    </row>
    <row r="254" spans="1:17" s="34" customFormat="1" x14ac:dyDescent="0.25">
      <c r="A254" s="92"/>
      <c r="B254" s="81"/>
      <c r="C254" s="81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  <c r="Q254" s="138"/>
    </row>
    <row r="255" spans="1:17" s="34" customFormat="1" x14ac:dyDescent="0.25">
      <c r="A255" s="92"/>
      <c r="B255" s="81"/>
      <c r="C255" s="81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  <c r="Q255" s="138"/>
    </row>
    <row r="256" spans="1:17" s="34" customFormat="1" x14ac:dyDescent="0.25">
      <c r="A256" s="92"/>
      <c r="B256" s="81"/>
      <c r="C256" s="81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  <c r="Q256" s="138"/>
    </row>
    <row r="257" spans="1:17" s="34" customFormat="1" x14ac:dyDescent="0.25">
      <c r="A257" s="92"/>
      <c r="B257" s="81"/>
      <c r="C257" s="81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  <c r="Q257" s="138"/>
    </row>
    <row r="258" spans="1:17" s="34" customFormat="1" x14ac:dyDescent="0.25">
      <c r="A258" s="92"/>
      <c r="B258" s="81"/>
      <c r="C258" s="81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  <c r="Q258" s="138"/>
    </row>
    <row r="259" spans="1:17" s="34" customFormat="1" x14ac:dyDescent="0.25">
      <c r="A259" s="92"/>
      <c r="B259" s="81"/>
      <c r="C259" s="81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138"/>
    </row>
    <row r="260" spans="1:17" s="34" customFormat="1" x14ac:dyDescent="0.25">
      <c r="A260" s="92"/>
      <c r="B260" s="81"/>
      <c r="C260" s="81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  <c r="Q260" s="138"/>
    </row>
    <row r="261" spans="1:17" s="34" customFormat="1" x14ac:dyDescent="0.25">
      <c r="A261" s="92"/>
      <c r="B261" s="81"/>
      <c r="C261" s="81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  <c r="Q261" s="138"/>
    </row>
    <row r="262" spans="1:17" s="34" customFormat="1" x14ac:dyDescent="0.25">
      <c r="A262" s="92"/>
      <c r="B262" s="81"/>
      <c r="C262" s="81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  <c r="Q262" s="138"/>
    </row>
    <row r="263" spans="1:17" s="34" customFormat="1" x14ac:dyDescent="0.25">
      <c r="A263" s="92"/>
      <c r="B263" s="81"/>
      <c r="C263" s="81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  <c r="Q263" s="138"/>
    </row>
    <row r="264" spans="1:17" s="34" customFormat="1" x14ac:dyDescent="0.25">
      <c r="A264" s="92"/>
      <c r="B264" s="81"/>
      <c r="C264" s="81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  <c r="Q264" s="138"/>
    </row>
    <row r="265" spans="1:17" s="34" customFormat="1" x14ac:dyDescent="0.25">
      <c r="A265" s="92"/>
      <c r="B265" s="81"/>
      <c r="C265" s="81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  <c r="Q265" s="138"/>
    </row>
    <row r="266" spans="1:17" s="34" customFormat="1" x14ac:dyDescent="0.25">
      <c r="A266" s="92"/>
      <c r="B266" s="81"/>
      <c r="C266" s="81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  <c r="Q266" s="138"/>
    </row>
    <row r="267" spans="1:17" s="34" customFormat="1" x14ac:dyDescent="0.25">
      <c r="A267" s="92"/>
      <c r="B267" s="81"/>
      <c r="C267" s="81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  <c r="Q267" s="138"/>
    </row>
    <row r="268" spans="1:17" s="34" customFormat="1" x14ac:dyDescent="0.25">
      <c r="A268" s="92"/>
      <c r="B268" s="81"/>
      <c r="C268" s="81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  <c r="Q268" s="138"/>
    </row>
    <row r="269" spans="1:17" s="34" customFormat="1" x14ac:dyDescent="0.25">
      <c r="A269" s="92"/>
      <c r="B269" s="81"/>
      <c r="C269" s="81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  <c r="Q269" s="138"/>
    </row>
    <row r="270" spans="1:17" s="34" customFormat="1" x14ac:dyDescent="0.25">
      <c r="A270" s="92"/>
      <c r="B270" s="81"/>
      <c r="C270" s="81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  <c r="Q270" s="138"/>
    </row>
    <row r="271" spans="1:17" s="34" customFormat="1" x14ac:dyDescent="0.25">
      <c r="A271" s="92"/>
      <c r="B271" s="81"/>
      <c r="C271" s="81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  <c r="Q271" s="138"/>
    </row>
    <row r="272" spans="1:17" s="34" customFormat="1" x14ac:dyDescent="0.25">
      <c r="A272" s="92"/>
      <c r="B272" s="81"/>
      <c r="C272" s="81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138"/>
    </row>
    <row r="273" spans="1:17" s="34" customFormat="1" x14ac:dyDescent="0.25">
      <c r="A273" s="92"/>
      <c r="B273" s="81"/>
      <c r="C273" s="81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  <c r="Q273" s="138"/>
    </row>
    <row r="274" spans="1:17" s="34" customFormat="1" x14ac:dyDescent="0.25">
      <c r="A274" s="92"/>
      <c r="B274" s="81"/>
      <c r="C274" s="81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  <c r="Q274" s="138"/>
    </row>
    <row r="275" spans="1:17" s="34" customFormat="1" x14ac:dyDescent="0.25">
      <c r="A275" s="92"/>
      <c r="B275" s="81"/>
      <c r="C275" s="81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  <c r="Q275" s="138"/>
    </row>
    <row r="276" spans="1:17" s="34" customFormat="1" x14ac:dyDescent="0.25">
      <c r="A276" s="92"/>
      <c r="B276" s="81"/>
      <c r="C276" s="81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  <c r="Q276" s="138"/>
    </row>
    <row r="277" spans="1:17" s="34" customFormat="1" x14ac:dyDescent="0.25">
      <c r="A277" s="92"/>
      <c r="B277" s="81"/>
      <c r="C277" s="81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  <c r="Q277" s="138"/>
    </row>
    <row r="278" spans="1:17" s="34" customFormat="1" x14ac:dyDescent="0.25">
      <c r="A278" s="92"/>
      <c r="B278" s="81"/>
      <c r="C278" s="81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  <c r="Q278" s="138"/>
    </row>
    <row r="279" spans="1:17" s="34" customFormat="1" x14ac:dyDescent="0.25">
      <c r="A279" s="92"/>
      <c r="B279" s="81"/>
      <c r="C279" s="81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  <c r="Q279" s="138"/>
    </row>
    <row r="280" spans="1:17" s="34" customFormat="1" x14ac:dyDescent="0.25">
      <c r="A280" s="92"/>
      <c r="B280" s="81"/>
      <c r="C280" s="81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  <c r="Q280" s="138"/>
    </row>
    <row r="281" spans="1:17" s="34" customFormat="1" x14ac:dyDescent="0.25">
      <c r="A281" s="92"/>
      <c r="B281" s="81"/>
      <c r="C281" s="81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138"/>
    </row>
    <row r="282" spans="1:17" s="34" customFormat="1" x14ac:dyDescent="0.25">
      <c r="A282" s="92"/>
      <c r="B282" s="81"/>
      <c r="C282" s="81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  <c r="Q282" s="138"/>
    </row>
    <row r="283" spans="1:17" s="34" customFormat="1" x14ac:dyDescent="0.25">
      <c r="A283" s="92"/>
      <c r="B283" s="81"/>
      <c r="C283" s="81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  <c r="Q283" s="138"/>
    </row>
    <row r="284" spans="1:17" s="34" customFormat="1" x14ac:dyDescent="0.25">
      <c r="A284" s="92"/>
      <c r="B284" s="81"/>
      <c r="C284" s="81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  <c r="Q284" s="138"/>
    </row>
    <row r="285" spans="1:17" s="34" customFormat="1" x14ac:dyDescent="0.25">
      <c r="A285" s="92"/>
      <c r="B285" s="81"/>
      <c r="C285" s="81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138"/>
    </row>
    <row r="286" spans="1:17" s="34" customFormat="1" x14ac:dyDescent="0.25">
      <c r="A286" s="92"/>
      <c r="B286" s="81"/>
      <c r="C286" s="81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138"/>
    </row>
    <row r="287" spans="1:17" s="34" customFormat="1" x14ac:dyDescent="0.25">
      <c r="A287" s="92"/>
      <c r="B287" s="81"/>
      <c r="C287" s="81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138"/>
    </row>
    <row r="288" spans="1:17" s="34" customFormat="1" x14ac:dyDescent="0.25">
      <c r="A288" s="92"/>
      <c r="B288" s="81"/>
      <c r="C288" s="81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  <c r="Q288" s="138"/>
    </row>
    <row r="289" spans="1:17" s="34" customFormat="1" x14ac:dyDescent="0.25">
      <c r="A289" s="92"/>
      <c r="B289" s="81"/>
      <c r="C289" s="81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  <c r="Q289" s="138"/>
    </row>
    <row r="290" spans="1:17" s="34" customFormat="1" x14ac:dyDescent="0.25">
      <c r="A290" s="92"/>
      <c r="B290" s="81"/>
      <c r="C290" s="81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  <c r="Q290" s="138"/>
    </row>
    <row r="291" spans="1:17" s="34" customFormat="1" x14ac:dyDescent="0.25">
      <c r="A291" s="92"/>
      <c r="B291" s="81"/>
      <c r="C291" s="81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  <c r="Q291" s="138"/>
    </row>
    <row r="292" spans="1:17" s="34" customFormat="1" x14ac:dyDescent="0.25">
      <c r="A292" s="92"/>
      <c r="B292" s="81"/>
      <c r="C292" s="81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  <c r="Q292" s="138"/>
    </row>
    <row r="293" spans="1:17" s="34" customFormat="1" x14ac:dyDescent="0.25">
      <c r="A293" s="92"/>
      <c r="B293" s="81"/>
      <c r="C293" s="81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138"/>
    </row>
    <row r="294" spans="1:17" s="34" customFormat="1" x14ac:dyDescent="0.25">
      <c r="A294" s="92"/>
      <c r="B294" s="81"/>
      <c r="C294" s="81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  <c r="Q294" s="138"/>
    </row>
    <row r="295" spans="1:17" s="34" customFormat="1" x14ac:dyDescent="0.25">
      <c r="A295" s="92"/>
      <c r="B295" s="81"/>
      <c r="C295" s="81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  <c r="Q295" s="138"/>
    </row>
    <row r="296" spans="1:17" s="34" customFormat="1" x14ac:dyDescent="0.25">
      <c r="A296" s="92"/>
      <c r="B296" s="81"/>
      <c r="C296" s="81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  <c r="Q296" s="138"/>
    </row>
    <row r="297" spans="1:17" s="34" customFormat="1" x14ac:dyDescent="0.25">
      <c r="A297" s="92"/>
      <c r="B297" s="81"/>
      <c r="C297" s="81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  <c r="Q297" s="138"/>
    </row>
    <row r="298" spans="1:17" s="34" customFormat="1" x14ac:dyDescent="0.25">
      <c r="A298" s="92"/>
      <c r="B298" s="81"/>
      <c r="C298" s="81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  <c r="Q298" s="138"/>
    </row>
    <row r="299" spans="1:17" s="34" customFormat="1" x14ac:dyDescent="0.25">
      <c r="A299" s="92"/>
      <c r="B299" s="81"/>
      <c r="C299" s="81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  <c r="Q299" s="138"/>
    </row>
    <row r="300" spans="1:17" s="34" customFormat="1" x14ac:dyDescent="0.25">
      <c r="A300" s="92"/>
      <c r="B300" s="81"/>
      <c r="C300" s="81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  <c r="Q300" s="138"/>
    </row>
    <row r="301" spans="1:17" s="34" customFormat="1" x14ac:dyDescent="0.25">
      <c r="A301" s="92"/>
      <c r="B301" s="81"/>
      <c r="C301" s="81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  <c r="Q301" s="138"/>
    </row>
    <row r="302" spans="1:17" s="34" customFormat="1" x14ac:dyDescent="0.25">
      <c r="A302" s="92"/>
      <c r="B302" s="81"/>
      <c r="C302" s="81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138"/>
    </row>
    <row r="303" spans="1:17" s="34" customFormat="1" x14ac:dyDescent="0.25">
      <c r="A303" s="92"/>
      <c r="B303" s="81"/>
      <c r="C303" s="81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  <c r="Q303" s="138"/>
    </row>
    <row r="304" spans="1:17" s="34" customFormat="1" x14ac:dyDescent="0.25">
      <c r="A304" s="92"/>
      <c r="B304" s="81"/>
      <c r="C304" s="81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  <c r="Q304" s="138"/>
    </row>
    <row r="305" spans="1:17" s="34" customFormat="1" x14ac:dyDescent="0.25">
      <c r="A305" s="92"/>
      <c r="B305" s="81"/>
      <c r="C305" s="81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  <c r="Q305" s="138"/>
    </row>
    <row r="306" spans="1:17" s="34" customFormat="1" x14ac:dyDescent="0.25">
      <c r="A306" s="92"/>
      <c r="B306" s="81"/>
      <c r="C306" s="81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  <c r="Q306" s="138"/>
    </row>
    <row r="307" spans="1:17" s="34" customFormat="1" x14ac:dyDescent="0.25">
      <c r="A307" s="92"/>
      <c r="B307" s="81"/>
      <c r="C307" s="81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  <c r="Q307" s="138"/>
    </row>
    <row r="308" spans="1:17" s="34" customFormat="1" x14ac:dyDescent="0.25">
      <c r="A308" s="92"/>
      <c r="B308" s="81"/>
      <c r="C308" s="81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138"/>
    </row>
    <row r="309" spans="1:17" s="34" customFormat="1" x14ac:dyDescent="0.25">
      <c r="A309" s="92"/>
      <c r="B309" s="81"/>
      <c r="C309" s="81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  <c r="Q309" s="138"/>
    </row>
    <row r="310" spans="1:17" s="34" customFormat="1" x14ac:dyDescent="0.25">
      <c r="A310" s="92"/>
      <c r="B310" s="81"/>
      <c r="C310" s="81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  <c r="Q310" s="138"/>
    </row>
    <row r="311" spans="1:17" s="34" customFormat="1" x14ac:dyDescent="0.25">
      <c r="A311" s="92"/>
      <c r="B311" s="81"/>
      <c r="C311" s="81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  <c r="Q311" s="138"/>
    </row>
    <row r="312" spans="1:17" s="34" customFormat="1" x14ac:dyDescent="0.25">
      <c r="A312" s="92"/>
      <c r="B312" s="81"/>
      <c r="C312" s="81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  <c r="Q312" s="138"/>
    </row>
    <row r="313" spans="1:17" s="34" customFormat="1" x14ac:dyDescent="0.25">
      <c r="A313" s="92"/>
      <c r="B313" s="81"/>
      <c r="C313" s="81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  <c r="Q313" s="138"/>
    </row>
    <row r="314" spans="1:17" s="34" customFormat="1" x14ac:dyDescent="0.25">
      <c r="A314" s="92"/>
      <c r="B314" s="81"/>
      <c r="C314" s="81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  <c r="Q314" s="138"/>
    </row>
    <row r="315" spans="1:17" s="34" customFormat="1" x14ac:dyDescent="0.25">
      <c r="A315" s="92"/>
      <c r="B315" s="81"/>
      <c r="C315" s="81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  <c r="Q315" s="138"/>
    </row>
    <row r="316" spans="1:17" s="34" customFormat="1" x14ac:dyDescent="0.25">
      <c r="A316" s="92"/>
      <c r="B316" s="81"/>
      <c r="C316" s="81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  <c r="Q316" s="138"/>
    </row>
    <row r="317" spans="1:17" s="34" customFormat="1" x14ac:dyDescent="0.25">
      <c r="A317" s="92"/>
      <c r="B317" s="81"/>
      <c r="C317" s="81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  <c r="Q317" s="138"/>
    </row>
    <row r="318" spans="1:17" s="34" customFormat="1" x14ac:dyDescent="0.25">
      <c r="A318" s="92"/>
      <c r="B318" s="81"/>
      <c r="C318" s="81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  <c r="Q318" s="138"/>
    </row>
    <row r="319" spans="1:17" s="34" customFormat="1" x14ac:dyDescent="0.25">
      <c r="A319" s="92"/>
      <c r="B319" s="81"/>
      <c r="C319" s="81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  <c r="Q319" s="138"/>
    </row>
    <row r="320" spans="1:17" s="34" customFormat="1" x14ac:dyDescent="0.25">
      <c r="A320" s="92"/>
      <c r="B320" s="81"/>
      <c r="C320" s="81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  <c r="Q320" s="138"/>
    </row>
    <row r="321" spans="1:17" s="34" customFormat="1" x14ac:dyDescent="0.25">
      <c r="A321" s="92"/>
      <c r="B321" s="81"/>
      <c r="C321" s="81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  <c r="Q321" s="138"/>
    </row>
    <row r="322" spans="1:17" s="34" customFormat="1" x14ac:dyDescent="0.25">
      <c r="A322" s="92"/>
      <c r="B322" s="81"/>
      <c r="C322" s="81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  <c r="Q322" s="138"/>
    </row>
    <row r="323" spans="1:17" s="34" customFormat="1" x14ac:dyDescent="0.25">
      <c r="A323" s="92"/>
      <c r="B323" s="81"/>
      <c r="C323" s="81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  <c r="Q323" s="138"/>
    </row>
    <row r="324" spans="1:17" s="34" customFormat="1" x14ac:dyDescent="0.25">
      <c r="A324" s="92"/>
      <c r="B324" s="81"/>
      <c r="C324" s="81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  <c r="Q324" s="138"/>
    </row>
    <row r="325" spans="1:17" s="34" customFormat="1" x14ac:dyDescent="0.25">
      <c r="A325" s="92"/>
      <c r="B325" s="81"/>
      <c r="C325" s="81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  <c r="Q325" s="138"/>
    </row>
    <row r="326" spans="1:17" s="34" customFormat="1" x14ac:dyDescent="0.25">
      <c r="A326" s="92"/>
      <c r="B326" s="81"/>
      <c r="C326" s="81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  <c r="Q326" s="138"/>
    </row>
    <row r="327" spans="1:17" s="34" customFormat="1" x14ac:dyDescent="0.25">
      <c r="A327" s="92"/>
      <c r="B327" s="81"/>
      <c r="C327" s="81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  <c r="Q327" s="138"/>
    </row>
    <row r="328" spans="1:17" s="34" customFormat="1" x14ac:dyDescent="0.25">
      <c r="A328" s="92"/>
      <c r="B328" s="81"/>
      <c r="C328" s="81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  <c r="Q328" s="138"/>
    </row>
    <row r="329" spans="1:17" s="34" customFormat="1" x14ac:dyDescent="0.25">
      <c r="A329" s="92"/>
      <c r="B329" s="81"/>
      <c r="C329" s="81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  <c r="Q329" s="138"/>
    </row>
    <row r="330" spans="1:17" s="34" customFormat="1" x14ac:dyDescent="0.25">
      <c r="A330" s="92"/>
      <c r="B330" s="81"/>
      <c r="C330" s="81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  <c r="Q330" s="138"/>
    </row>
    <row r="331" spans="1:17" s="34" customFormat="1" x14ac:dyDescent="0.25">
      <c r="A331" s="92"/>
      <c r="B331" s="81"/>
      <c r="C331" s="81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  <c r="Q331" s="138"/>
    </row>
    <row r="332" spans="1:17" s="34" customFormat="1" x14ac:dyDescent="0.25">
      <c r="A332" s="92"/>
      <c r="B332" s="81"/>
      <c r="C332" s="81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  <c r="Q332" s="138"/>
    </row>
    <row r="333" spans="1:17" s="34" customFormat="1" x14ac:dyDescent="0.25">
      <c r="A333" s="92"/>
      <c r="B333" s="81"/>
      <c r="C333" s="81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  <c r="Q333" s="138"/>
    </row>
    <row r="334" spans="1:17" s="34" customFormat="1" x14ac:dyDescent="0.25">
      <c r="A334" s="92"/>
      <c r="B334" s="81"/>
      <c r="C334" s="81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  <c r="Q334" s="138"/>
    </row>
    <row r="335" spans="1:17" s="34" customFormat="1" x14ac:dyDescent="0.25">
      <c r="A335" s="92"/>
      <c r="B335" s="81"/>
      <c r="C335" s="81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  <c r="Q335" s="138"/>
    </row>
    <row r="336" spans="1:17" s="34" customFormat="1" x14ac:dyDescent="0.25">
      <c r="A336" s="92"/>
      <c r="B336" s="81"/>
      <c r="C336" s="81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  <c r="Q336" s="138"/>
    </row>
    <row r="337" spans="1:17" s="34" customFormat="1" x14ac:dyDescent="0.25">
      <c r="A337" s="92"/>
      <c r="B337" s="81"/>
      <c r="C337" s="81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  <c r="Q337" s="138"/>
    </row>
    <row r="338" spans="1:17" s="34" customFormat="1" x14ac:dyDescent="0.25">
      <c r="A338" s="92"/>
      <c r="B338" s="81"/>
      <c r="C338" s="81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  <c r="Q338" s="138"/>
    </row>
    <row r="339" spans="1:17" s="34" customFormat="1" x14ac:dyDescent="0.25">
      <c r="A339" s="92"/>
      <c r="B339" s="81"/>
      <c r="C339" s="81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  <c r="Q339" s="138"/>
    </row>
    <row r="340" spans="1:17" s="34" customFormat="1" x14ac:dyDescent="0.25">
      <c r="A340" s="92"/>
      <c r="B340" s="81"/>
      <c r="C340" s="81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  <c r="Q340" s="138"/>
    </row>
    <row r="341" spans="1:17" s="34" customFormat="1" x14ac:dyDescent="0.25">
      <c r="A341" s="92"/>
      <c r="B341" s="81"/>
      <c r="C341" s="81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  <c r="Q341" s="138"/>
    </row>
    <row r="342" spans="1:17" s="34" customFormat="1" x14ac:dyDescent="0.25">
      <c r="A342" s="92"/>
      <c r="B342" s="81"/>
      <c r="C342" s="81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  <c r="Q342" s="138"/>
    </row>
    <row r="343" spans="1:17" s="34" customFormat="1" x14ac:dyDescent="0.25">
      <c r="A343" s="92"/>
      <c r="B343" s="81"/>
      <c r="C343" s="81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  <c r="Q343" s="138"/>
    </row>
    <row r="344" spans="1:17" s="34" customFormat="1" x14ac:dyDescent="0.25">
      <c r="A344" s="92"/>
      <c r="B344" s="81"/>
      <c r="C344" s="81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  <c r="Q344" s="138"/>
    </row>
    <row r="345" spans="1:17" s="34" customFormat="1" x14ac:dyDescent="0.25">
      <c r="A345" s="92"/>
      <c r="B345" s="81"/>
      <c r="C345" s="81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  <c r="Q345" s="138"/>
    </row>
    <row r="346" spans="1:17" s="34" customFormat="1" x14ac:dyDescent="0.25">
      <c r="A346" s="92"/>
      <c r="B346" s="81"/>
      <c r="C346" s="81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  <c r="Q346" s="138"/>
    </row>
    <row r="347" spans="1:17" s="34" customFormat="1" x14ac:dyDescent="0.25">
      <c r="A347" s="92"/>
      <c r="B347" s="81"/>
      <c r="C347" s="81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  <c r="Q347" s="138"/>
    </row>
    <row r="348" spans="1:17" s="34" customFormat="1" x14ac:dyDescent="0.25">
      <c r="A348" s="92"/>
      <c r="B348" s="81"/>
      <c r="C348" s="81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  <c r="Q348" s="138"/>
    </row>
    <row r="349" spans="1:17" s="34" customFormat="1" x14ac:dyDescent="0.25">
      <c r="A349" s="92"/>
      <c r="B349" s="81"/>
      <c r="C349" s="81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  <c r="Q349" s="138"/>
    </row>
    <row r="350" spans="1:17" s="34" customFormat="1" x14ac:dyDescent="0.25">
      <c r="A350" s="92"/>
      <c r="B350" s="81"/>
      <c r="C350" s="81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  <c r="Q350" s="138"/>
    </row>
    <row r="351" spans="1:17" s="34" customFormat="1" x14ac:dyDescent="0.25">
      <c r="A351" s="92"/>
      <c r="B351" s="81"/>
      <c r="C351" s="81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138"/>
    </row>
    <row r="352" spans="1:17" s="34" customFormat="1" x14ac:dyDescent="0.25">
      <c r="A352" s="92"/>
      <c r="B352" s="81"/>
      <c r="C352" s="81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138"/>
    </row>
    <row r="353" spans="1:17" s="34" customFormat="1" x14ac:dyDescent="0.25">
      <c r="A353" s="92"/>
      <c r="B353" s="81"/>
      <c r="C353" s="81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138"/>
    </row>
    <row r="354" spans="1:17" s="34" customFormat="1" x14ac:dyDescent="0.25">
      <c r="A354" s="92"/>
      <c r="B354" s="81"/>
      <c r="C354" s="81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138"/>
    </row>
    <row r="355" spans="1:17" s="34" customFormat="1" x14ac:dyDescent="0.25">
      <c r="A355" s="92"/>
      <c r="B355" s="81"/>
      <c r="C355" s="81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138"/>
    </row>
    <row r="356" spans="1:17" s="34" customFormat="1" x14ac:dyDescent="0.25">
      <c r="A356" s="92"/>
      <c r="B356" s="81"/>
      <c r="C356" s="81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138"/>
    </row>
    <row r="357" spans="1:17" s="34" customFormat="1" x14ac:dyDescent="0.25">
      <c r="A357" s="92"/>
      <c r="B357" s="81"/>
      <c r="C357" s="81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138"/>
    </row>
    <row r="358" spans="1:17" s="34" customFormat="1" x14ac:dyDescent="0.25">
      <c r="A358" s="92"/>
      <c r="B358" s="81"/>
      <c r="C358" s="81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138"/>
    </row>
    <row r="359" spans="1:17" s="34" customFormat="1" x14ac:dyDescent="0.25">
      <c r="A359" s="92"/>
      <c r="B359" s="81"/>
      <c r="C359" s="81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138"/>
    </row>
    <row r="360" spans="1:17" s="34" customFormat="1" x14ac:dyDescent="0.25">
      <c r="A360" s="92"/>
      <c r="B360" s="81"/>
      <c r="C360" s="81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138"/>
    </row>
    <row r="361" spans="1:17" s="34" customFormat="1" x14ac:dyDescent="0.25">
      <c r="A361" s="92"/>
      <c r="B361" s="81"/>
      <c r="C361" s="81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138"/>
    </row>
    <row r="362" spans="1:17" s="34" customFormat="1" x14ac:dyDescent="0.25">
      <c r="A362" s="92"/>
      <c r="B362" s="81"/>
      <c r="C362" s="81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138"/>
    </row>
    <row r="363" spans="1:17" s="34" customFormat="1" x14ac:dyDescent="0.25">
      <c r="A363" s="92"/>
      <c r="B363" s="81"/>
      <c r="C363" s="81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138"/>
    </row>
    <row r="364" spans="1:17" s="34" customFormat="1" x14ac:dyDescent="0.25">
      <c r="A364" s="92"/>
      <c r="B364" s="81"/>
      <c r="C364" s="81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138"/>
    </row>
    <row r="365" spans="1:17" s="34" customFormat="1" x14ac:dyDescent="0.25">
      <c r="A365" s="92"/>
      <c r="B365" s="81"/>
      <c r="C365" s="81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138"/>
    </row>
    <row r="366" spans="1:17" s="34" customFormat="1" x14ac:dyDescent="0.25">
      <c r="A366" s="92"/>
      <c r="B366" s="81"/>
      <c r="C366" s="81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138"/>
    </row>
    <row r="367" spans="1:17" s="34" customFormat="1" x14ac:dyDescent="0.25">
      <c r="A367" s="92"/>
      <c r="B367" s="81"/>
      <c r="C367" s="81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138"/>
    </row>
    <row r="368" spans="1:17" s="34" customFormat="1" x14ac:dyDescent="0.25">
      <c r="A368" s="92"/>
      <c r="B368" s="81"/>
      <c r="C368" s="81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138"/>
    </row>
    <row r="369" spans="1:17" s="34" customFormat="1" x14ac:dyDescent="0.25">
      <c r="A369" s="92"/>
      <c r="B369" s="81"/>
      <c r="C369" s="81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138"/>
    </row>
    <row r="370" spans="1:17" s="34" customFormat="1" x14ac:dyDescent="0.25">
      <c r="A370" s="92"/>
      <c r="B370" s="81"/>
      <c r="C370" s="81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138"/>
    </row>
    <row r="371" spans="1:17" s="34" customFormat="1" x14ac:dyDescent="0.25">
      <c r="A371" s="92"/>
      <c r="B371" s="81"/>
      <c r="C371" s="81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138"/>
    </row>
    <row r="372" spans="1:17" s="34" customFormat="1" x14ac:dyDescent="0.25">
      <c r="A372" s="92"/>
      <c r="B372" s="81"/>
      <c r="C372" s="81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138"/>
    </row>
    <row r="373" spans="1:17" s="34" customFormat="1" x14ac:dyDescent="0.25">
      <c r="A373" s="92"/>
      <c r="B373" s="81"/>
      <c r="C373" s="81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138"/>
    </row>
    <row r="374" spans="1:17" s="34" customFormat="1" x14ac:dyDescent="0.25">
      <c r="A374" s="92"/>
      <c r="B374" s="81"/>
      <c r="C374" s="81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138"/>
    </row>
    <row r="375" spans="1:17" s="34" customFormat="1" x14ac:dyDescent="0.25">
      <c r="A375" s="92"/>
      <c r="B375" s="81"/>
      <c r="C375" s="81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138"/>
    </row>
    <row r="376" spans="1:17" s="34" customFormat="1" x14ac:dyDescent="0.25">
      <c r="A376" s="92"/>
      <c r="B376" s="81"/>
      <c r="C376" s="81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138"/>
    </row>
    <row r="377" spans="1:17" s="34" customFormat="1" x14ac:dyDescent="0.25">
      <c r="A377" s="92"/>
      <c r="B377" s="81"/>
      <c r="C377" s="81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  <c r="Q377" s="138"/>
    </row>
    <row r="378" spans="1:17" s="34" customFormat="1" x14ac:dyDescent="0.25">
      <c r="A378" s="92"/>
      <c r="B378" s="81"/>
      <c r="C378" s="81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  <c r="Q378" s="138"/>
    </row>
    <row r="379" spans="1:17" s="34" customFormat="1" x14ac:dyDescent="0.25">
      <c r="A379" s="92"/>
      <c r="B379" s="81"/>
      <c r="C379" s="81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  <c r="Q379" s="138"/>
    </row>
    <row r="380" spans="1:17" s="34" customFormat="1" x14ac:dyDescent="0.25">
      <c r="A380" s="92"/>
      <c r="B380" s="81"/>
      <c r="C380" s="81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  <c r="Q380" s="138"/>
    </row>
    <row r="381" spans="1:17" s="34" customFormat="1" x14ac:dyDescent="0.25">
      <c r="A381" s="92"/>
      <c r="B381" s="81"/>
      <c r="C381" s="81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  <c r="Q381" s="138"/>
    </row>
    <row r="382" spans="1:17" s="34" customFormat="1" x14ac:dyDescent="0.25">
      <c r="A382" s="92"/>
      <c r="B382" s="81"/>
      <c r="C382" s="81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  <c r="Q382" s="138"/>
    </row>
    <row r="383" spans="1:17" s="34" customFormat="1" x14ac:dyDescent="0.25">
      <c r="A383" s="92"/>
      <c r="B383" s="81"/>
      <c r="C383" s="81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  <c r="Q383" s="138"/>
    </row>
    <row r="384" spans="1:17" s="34" customFormat="1" x14ac:dyDescent="0.25">
      <c r="A384" s="92"/>
      <c r="B384" s="81"/>
      <c r="C384" s="81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  <c r="Q384" s="138"/>
    </row>
    <row r="385" spans="1:17" s="34" customFormat="1" x14ac:dyDescent="0.25">
      <c r="A385" s="92"/>
      <c r="B385" s="81"/>
      <c r="C385" s="81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  <c r="Q385" s="138"/>
    </row>
    <row r="386" spans="1:17" s="34" customFormat="1" x14ac:dyDescent="0.25">
      <c r="A386" s="92"/>
      <c r="B386" s="81"/>
      <c r="C386" s="81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  <c r="Q386" s="138"/>
    </row>
    <row r="387" spans="1:17" s="34" customFormat="1" x14ac:dyDescent="0.25">
      <c r="A387" s="92"/>
      <c r="B387" s="81"/>
      <c r="C387" s="81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  <c r="Q387" s="138"/>
    </row>
    <row r="388" spans="1:17" s="34" customFormat="1" x14ac:dyDescent="0.25">
      <c r="A388" s="92"/>
      <c r="B388" s="81"/>
      <c r="C388" s="81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  <c r="Q388" s="138"/>
    </row>
    <row r="389" spans="1:17" s="34" customFormat="1" x14ac:dyDescent="0.25">
      <c r="A389" s="92"/>
      <c r="B389" s="81"/>
      <c r="C389" s="81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  <c r="Q389" s="138"/>
    </row>
    <row r="390" spans="1:17" s="34" customFormat="1" x14ac:dyDescent="0.25">
      <c r="A390" s="92"/>
      <c r="B390" s="81"/>
      <c r="C390" s="81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  <c r="Q390" s="138"/>
    </row>
    <row r="391" spans="1:17" s="34" customFormat="1" x14ac:dyDescent="0.25">
      <c r="A391" s="92"/>
      <c r="B391" s="81"/>
      <c r="C391" s="81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  <c r="Q391" s="138"/>
    </row>
    <row r="392" spans="1:17" s="34" customFormat="1" x14ac:dyDescent="0.25">
      <c r="A392" s="92"/>
      <c r="B392" s="81"/>
      <c r="C392" s="81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  <c r="Q392" s="138"/>
    </row>
    <row r="393" spans="1:17" s="34" customFormat="1" x14ac:dyDescent="0.25">
      <c r="A393" s="92"/>
      <c r="B393" s="81"/>
      <c r="C393" s="81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  <c r="Q393" s="138"/>
    </row>
    <row r="394" spans="1:17" s="34" customFormat="1" x14ac:dyDescent="0.25">
      <c r="A394" s="92"/>
      <c r="B394" s="81"/>
      <c r="C394" s="81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  <c r="Q394" s="138"/>
    </row>
    <row r="395" spans="1:17" s="34" customFormat="1" x14ac:dyDescent="0.25">
      <c r="A395" s="92"/>
      <c r="B395" s="81"/>
      <c r="C395" s="81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  <c r="Q395" s="138"/>
    </row>
    <row r="396" spans="1:17" s="34" customFormat="1" x14ac:dyDescent="0.25">
      <c r="A396" s="92"/>
      <c r="B396" s="81"/>
      <c r="C396" s="81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  <c r="Q396" s="138"/>
    </row>
    <row r="397" spans="1:17" s="34" customFormat="1" x14ac:dyDescent="0.25">
      <c r="A397" s="92"/>
      <c r="B397" s="81"/>
      <c r="C397" s="81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  <c r="Q397" s="138"/>
    </row>
    <row r="398" spans="1:17" s="34" customFormat="1" x14ac:dyDescent="0.25">
      <c r="A398" s="92"/>
      <c r="B398" s="81"/>
      <c r="C398" s="81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  <c r="Q398" s="138"/>
    </row>
    <row r="399" spans="1:17" s="34" customFormat="1" x14ac:dyDescent="0.25">
      <c r="A399" s="92"/>
      <c r="B399" s="81"/>
      <c r="C399" s="81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  <c r="Q399" s="138"/>
    </row>
    <row r="400" spans="1:17" s="34" customFormat="1" x14ac:dyDescent="0.25">
      <c r="A400" s="92"/>
      <c r="B400" s="81"/>
      <c r="C400" s="81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  <c r="Q400" s="138"/>
    </row>
    <row r="401" spans="1:17" s="34" customFormat="1" x14ac:dyDescent="0.25">
      <c r="A401" s="92"/>
      <c r="B401" s="81"/>
      <c r="C401" s="81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  <c r="Q401" s="138"/>
    </row>
    <row r="402" spans="1:17" s="34" customFormat="1" x14ac:dyDescent="0.25">
      <c r="A402" s="92"/>
      <c r="B402" s="81"/>
      <c r="C402" s="81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  <c r="Q402" s="138"/>
    </row>
    <row r="403" spans="1:17" s="34" customFormat="1" x14ac:dyDescent="0.25">
      <c r="A403" s="92"/>
      <c r="B403" s="81"/>
      <c r="C403" s="81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  <c r="Q403" s="138"/>
    </row>
    <row r="404" spans="1:17" s="34" customFormat="1" x14ac:dyDescent="0.25">
      <c r="A404" s="92"/>
      <c r="B404" s="81"/>
      <c r="C404" s="81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  <c r="Q404" s="138"/>
    </row>
    <row r="405" spans="1:17" s="34" customFormat="1" x14ac:dyDescent="0.25">
      <c r="A405" s="92"/>
      <c r="B405" s="81"/>
      <c r="C405" s="81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  <c r="Q405" s="138"/>
    </row>
    <row r="406" spans="1:17" s="34" customFormat="1" x14ac:dyDescent="0.25">
      <c r="A406" s="92"/>
      <c r="B406" s="81"/>
      <c r="C406" s="81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  <c r="Q406" s="138"/>
    </row>
    <row r="407" spans="1:17" s="34" customFormat="1" x14ac:dyDescent="0.25">
      <c r="A407" s="92"/>
      <c r="B407" s="81"/>
      <c r="C407" s="81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  <c r="Q407" s="138"/>
    </row>
    <row r="408" spans="1:17" s="34" customFormat="1" x14ac:dyDescent="0.25">
      <c r="A408" s="92"/>
      <c r="B408" s="81"/>
      <c r="C408" s="81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  <c r="Q408" s="138"/>
    </row>
    <row r="409" spans="1:17" s="34" customFormat="1" x14ac:dyDescent="0.25">
      <c r="A409" s="92"/>
      <c r="B409" s="81"/>
      <c r="C409" s="81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  <c r="Q409" s="138"/>
    </row>
    <row r="410" spans="1:17" s="34" customFormat="1" x14ac:dyDescent="0.25">
      <c r="A410" s="92"/>
      <c r="B410" s="81"/>
      <c r="C410" s="81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  <c r="Q410" s="138"/>
    </row>
    <row r="411" spans="1:17" s="34" customFormat="1" x14ac:dyDescent="0.25">
      <c r="A411" s="92"/>
      <c r="B411" s="81"/>
      <c r="C411" s="81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  <c r="Q411" s="138"/>
    </row>
    <row r="412" spans="1:17" s="34" customFormat="1" x14ac:dyDescent="0.25">
      <c r="A412" s="92"/>
      <c r="B412" s="81"/>
      <c r="C412" s="81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  <c r="Q412" s="138"/>
    </row>
    <row r="413" spans="1:17" s="34" customFormat="1" x14ac:dyDescent="0.25">
      <c r="A413" s="92"/>
      <c r="B413" s="81"/>
      <c r="C413" s="81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  <c r="Q413" s="138"/>
    </row>
    <row r="414" spans="1:17" s="34" customFormat="1" x14ac:dyDescent="0.25">
      <c r="A414" s="92"/>
      <c r="B414" s="81"/>
      <c r="C414" s="81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  <c r="Q414" s="138"/>
    </row>
    <row r="415" spans="1:17" s="34" customFormat="1" x14ac:dyDescent="0.25">
      <c r="A415" s="92"/>
      <c r="B415" s="81"/>
      <c r="C415" s="81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  <c r="Q415" s="138"/>
    </row>
    <row r="416" spans="1:17" s="34" customFormat="1" x14ac:dyDescent="0.25">
      <c r="A416" s="92"/>
      <c r="B416" s="81"/>
      <c r="C416" s="81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  <c r="Q416" s="138"/>
    </row>
    <row r="417" spans="1:17" s="34" customFormat="1" x14ac:dyDescent="0.25">
      <c r="A417" s="92"/>
      <c r="B417" s="81"/>
      <c r="C417" s="81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  <c r="Q417" s="138"/>
    </row>
    <row r="418" spans="1:17" s="34" customFormat="1" x14ac:dyDescent="0.25">
      <c r="A418" s="92"/>
      <c r="B418" s="81"/>
      <c r="C418" s="81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  <c r="Q418" s="138"/>
    </row>
    <row r="419" spans="1:17" s="34" customFormat="1" x14ac:dyDescent="0.25">
      <c r="A419" s="92"/>
      <c r="B419" s="81"/>
      <c r="C419" s="81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  <c r="Q419" s="138"/>
    </row>
    <row r="420" spans="1:17" s="34" customFormat="1" x14ac:dyDescent="0.25">
      <c r="A420" s="92"/>
      <c r="B420" s="81"/>
      <c r="C420" s="81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  <c r="Q420" s="138"/>
    </row>
    <row r="421" spans="1:17" s="34" customFormat="1" x14ac:dyDescent="0.25">
      <c r="A421" s="92"/>
      <c r="B421" s="81"/>
      <c r="C421" s="81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  <c r="Q421" s="138"/>
    </row>
    <row r="422" spans="1:17" s="34" customFormat="1" x14ac:dyDescent="0.25">
      <c r="A422" s="92"/>
      <c r="B422" s="81"/>
      <c r="C422" s="81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  <c r="Q422" s="138"/>
    </row>
    <row r="423" spans="1:17" s="34" customFormat="1" x14ac:dyDescent="0.25">
      <c r="A423" s="92"/>
      <c r="B423" s="81"/>
      <c r="C423" s="81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  <c r="Q423" s="138"/>
    </row>
    <row r="424" spans="1:17" s="34" customFormat="1" x14ac:dyDescent="0.25">
      <c r="A424" s="92"/>
      <c r="B424" s="81"/>
      <c r="C424" s="81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  <c r="Q424" s="138"/>
    </row>
    <row r="425" spans="1:17" s="34" customFormat="1" x14ac:dyDescent="0.25">
      <c r="A425" s="92"/>
      <c r="B425" s="81"/>
      <c r="C425" s="81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  <c r="Q425" s="138"/>
    </row>
    <row r="426" spans="1:17" s="34" customFormat="1" x14ac:dyDescent="0.25">
      <c r="A426" s="92"/>
      <c r="B426" s="81"/>
      <c r="C426" s="81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  <c r="Q426" s="138"/>
    </row>
    <row r="427" spans="1:17" s="34" customFormat="1" x14ac:dyDescent="0.25">
      <c r="A427" s="92"/>
      <c r="B427" s="81"/>
      <c r="C427" s="81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  <c r="Q427" s="138"/>
    </row>
    <row r="428" spans="1:17" s="34" customFormat="1" x14ac:dyDescent="0.25">
      <c r="A428" s="92"/>
      <c r="B428" s="81"/>
      <c r="C428" s="81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  <c r="Q428" s="138"/>
    </row>
    <row r="429" spans="1:17" s="34" customFormat="1" x14ac:dyDescent="0.25">
      <c r="A429" s="92"/>
      <c r="B429" s="81"/>
      <c r="C429" s="81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  <c r="Q429" s="138"/>
    </row>
    <row r="430" spans="1:17" s="34" customFormat="1" x14ac:dyDescent="0.25">
      <c r="A430" s="92"/>
      <c r="B430" s="81"/>
      <c r="C430" s="81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  <c r="Q430" s="138"/>
    </row>
    <row r="431" spans="1:17" s="34" customFormat="1" x14ac:dyDescent="0.25">
      <c r="A431" s="92"/>
      <c r="B431" s="81"/>
      <c r="C431" s="81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  <c r="Q431" s="138"/>
    </row>
    <row r="432" spans="1:17" s="34" customFormat="1" x14ac:dyDescent="0.25">
      <c r="A432" s="92"/>
      <c r="B432" s="81"/>
      <c r="C432" s="81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  <c r="Q432" s="138"/>
    </row>
    <row r="433" spans="1:17" s="34" customFormat="1" x14ac:dyDescent="0.25">
      <c r="A433" s="92"/>
      <c r="B433" s="81"/>
      <c r="C433" s="81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  <c r="Q433" s="138"/>
    </row>
    <row r="434" spans="1:17" s="34" customFormat="1" x14ac:dyDescent="0.25">
      <c r="A434" s="92"/>
      <c r="B434" s="81"/>
      <c r="C434" s="81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  <c r="Q434" s="138"/>
    </row>
    <row r="435" spans="1:17" s="34" customFormat="1" x14ac:dyDescent="0.25">
      <c r="A435" s="92"/>
      <c r="B435" s="81"/>
      <c r="C435" s="81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  <c r="Q435" s="138"/>
    </row>
    <row r="436" spans="1:17" s="34" customFormat="1" x14ac:dyDescent="0.25">
      <c r="A436" s="92"/>
      <c r="B436" s="81"/>
      <c r="C436" s="81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  <c r="Q436" s="138"/>
    </row>
    <row r="437" spans="1:17" s="34" customFormat="1" x14ac:dyDescent="0.25">
      <c r="A437" s="92"/>
      <c r="B437" s="81"/>
      <c r="C437" s="81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  <c r="Q437" s="138"/>
    </row>
    <row r="438" spans="1:17" s="34" customFormat="1" x14ac:dyDescent="0.25">
      <c r="A438" s="92"/>
      <c r="B438" s="81"/>
      <c r="C438" s="81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  <c r="Q438" s="138"/>
    </row>
    <row r="439" spans="1:17" s="34" customFormat="1" x14ac:dyDescent="0.25">
      <c r="A439" s="92"/>
      <c r="B439" s="81"/>
      <c r="C439" s="81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  <c r="Q439" s="138"/>
    </row>
    <row r="440" spans="1:17" s="34" customFormat="1" x14ac:dyDescent="0.25">
      <c r="A440" s="92"/>
      <c r="B440" s="81"/>
      <c r="C440" s="81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  <c r="Q440" s="138"/>
    </row>
    <row r="441" spans="1:17" s="34" customFormat="1" x14ac:dyDescent="0.25">
      <c r="A441" s="92"/>
      <c r="B441" s="81"/>
      <c r="C441" s="81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  <c r="Q441" s="138"/>
    </row>
    <row r="442" spans="1:17" s="34" customFormat="1" x14ac:dyDescent="0.25">
      <c r="A442" s="92"/>
      <c r="B442" s="81"/>
      <c r="C442" s="81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  <c r="Q442" s="138"/>
    </row>
    <row r="443" spans="1:17" s="34" customFormat="1" x14ac:dyDescent="0.25">
      <c r="A443" s="92"/>
      <c r="B443" s="81"/>
      <c r="C443" s="81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  <c r="Q443" s="138"/>
    </row>
    <row r="444" spans="1:17" s="34" customFormat="1" x14ac:dyDescent="0.25">
      <c r="A444" s="92"/>
      <c r="B444" s="81"/>
      <c r="C444" s="81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  <c r="Q444" s="138"/>
    </row>
    <row r="445" spans="1:17" s="34" customFormat="1" x14ac:dyDescent="0.25">
      <c r="A445" s="92"/>
      <c r="B445" s="81"/>
      <c r="C445" s="81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  <c r="Q445" s="138"/>
    </row>
    <row r="446" spans="1:17" s="34" customFormat="1" x14ac:dyDescent="0.25">
      <c r="A446" s="92"/>
      <c r="B446" s="81"/>
      <c r="C446" s="81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  <c r="Q446" s="138"/>
    </row>
    <row r="447" spans="1:17" s="34" customFormat="1" x14ac:dyDescent="0.25">
      <c r="A447" s="92"/>
      <c r="B447" s="81"/>
      <c r="C447" s="81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  <c r="Q447" s="138"/>
    </row>
    <row r="448" spans="1:17" s="34" customFormat="1" x14ac:dyDescent="0.25">
      <c r="A448" s="92"/>
      <c r="B448" s="81"/>
      <c r="C448" s="81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  <c r="Q448" s="138"/>
    </row>
    <row r="449" spans="1:17" s="34" customFormat="1" x14ac:dyDescent="0.25">
      <c r="A449" s="92"/>
      <c r="B449" s="81"/>
      <c r="C449" s="81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  <c r="Q449" s="138"/>
    </row>
    <row r="450" spans="1:17" s="34" customFormat="1" x14ac:dyDescent="0.25">
      <c r="A450" s="92"/>
      <c r="B450" s="81"/>
      <c r="C450" s="81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  <c r="Q450" s="138"/>
    </row>
    <row r="451" spans="1:17" s="34" customFormat="1" x14ac:dyDescent="0.25">
      <c r="A451" s="92"/>
      <c r="B451" s="81"/>
      <c r="C451" s="81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  <c r="Q451" s="138"/>
    </row>
    <row r="452" spans="1:17" s="34" customFormat="1" x14ac:dyDescent="0.25">
      <c r="A452" s="92"/>
      <c r="B452" s="81"/>
      <c r="C452" s="81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  <c r="Q452" s="138"/>
    </row>
    <row r="453" spans="1:17" s="34" customFormat="1" x14ac:dyDescent="0.25">
      <c r="A453" s="92"/>
      <c r="B453" s="81"/>
      <c r="C453" s="81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  <c r="Q453" s="138"/>
    </row>
    <row r="454" spans="1:17" s="34" customFormat="1" x14ac:dyDescent="0.25">
      <c r="A454" s="92"/>
      <c r="B454" s="81"/>
      <c r="C454" s="81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  <c r="Q454" s="138"/>
    </row>
    <row r="455" spans="1:17" s="34" customFormat="1" x14ac:dyDescent="0.25">
      <c r="A455" s="92"/>
      <c r="B455" s="81"/>
      <c r="C455" s="81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  <c r="Q455" s="138"/>
    </row>
    <row r="456" spans="1:17" s="34" customFormat="1" x14ac:dyDescent="0.25">
      <c r="A456" s="92"/>
      <c r="B456" s="81"/>
      <c r="C456" s="81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  <c r="Q456" s="138"/>
    </row>
    <row r="457" spans="1:17" s="34" customFormat="1" x14ac:dyDescent="0.25">
      <c r="A457" s="92"/>
      <c r="B457" s="81"/>
      <c r="C457" s="81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  <c r="Q457" s="138"/>
    </row>
    <row r="458" spans="1:17" s="34" customFormat="1" x14ac:dyDescent="0.25">
      <c r="A458" s="92"/>
      <c r="B458" s="81"/>
      <c r="C458" s="81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  <c r="Q458" s="138"/>
    </row>
    <row r="459" spans="1:17" s="34" customFormat="1" x14ac:dyDescent="0.25">
      <c r="A459" s="92"/>
      <c r="B459" s="81"/>
      <c r="C459" s="81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  <c r="Q459" s="138"/>
    </row>
    <row r="460" spans="1:17" s="34" customFormat="1" x14ac:dyDescent="0.25">
      <c r="A460" s="92"/>
      <c r="B460" s="81"/>
      <c r="C460" s="81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  <c r="Q460" s="138"/>
    </row>
    <row r="461" spans="1:17" s="34" customFormat="1" x14ac:dyDescent="0.25">
      <c r="A461" s="92"/>
      <c r="B461" s="81"/>
      <c r="C461" s="81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  <c r="Q461" s="138"/>
    </row>
    <row r="462" spans="1:17" s="34" customFormat="1" x14ac:dyDescent="0.25">
      <c r="A462" s="92"/>
      <c r="B462" s="81"/>
      <c r="C462" s="81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  <c r="Q462" s="138"/>
    </row>
    <row r="463" spans="1:17" s="34" customFormat="1" x14ac:dyDescent="0.25">
      <c r="A463" s="92"/>
      <c r="B463" s="81"/>
      <c r="C463" s="81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  <c r="Q463" s="138"/>
    </row>
    <row r="464" spans="1:17" s="34" customFormat="1" x14ac:dyDescent="0.25">
      <c r="A464" s="92"/>
      <c r="B464" s="81"/>
      <c r="C464" s="81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  <c r="Q464" s="138"/>
    </row>
    <row r="465" spans="1:17" s="34" customFormat="1" x14ac:dyDescent="0.25">
      <c r="A465" s="92"/>
      <c r="B465" s="81"/>
      <c r="C465" s="81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  <c r="Q465" s="138"/>
    </row>
    <row r="466" spans="1:17" s="34" customFormat="1" x14ac:dyDescent="0.25">
      <c r="A466" s="92"/>
      <c r="B466" s="81"/>
      <c r="C466" s="81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  <c r="Q466" s="138"/>
    </row>
    <row r="467" spans="1:17" s="34" customFormat="1" x14ac:dyDescent="0.25">
      <c r="A467" s="92"/>
      <c r="B467" s="81"/>
      <c r="C467" s="81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  <c r="Q467" s="138"/>
    </row>
    <row r="468" spans="1:17" s="34" customFormat="1" x14ac:dyDescent="0.25">
      <c r="A468" s="92"/>
      <c r="B468" s="81"/>
      <c r="C468" s="81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  <c r="Q468" s="138"/>
    </row>
    <row r="469" spans="1:17" s="34" customFormat="1" x14ac:dyDescent="0.25">
      <c r="A469" s="92"/>
      <c r="B469" s="81"/>
      <c r="C469" s="81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  <c r="Q469" s="138"/>
    </row>
    <row r="470" spans="1:17" s="34" customFormat="1" x14ac:dyDescent="0.25">
      <c r="A470" s="92"/>
      <c r="B470" s="81"/>
      <c r="C470" s="81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  <c r="Q470" s="138"/>
    </row>
    <row r="471" spans="1:17" s="34" customFormat="1" x14ac:dyDescent="0.25">
      <c r="A471" s="92"/>
      <c r="B471" s="81"/>
      <c r="C471" s="81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  <c r="Q471" s="138"/>
    </row>
    <row r="472" spans="1:17" s="34" customFormat="1" x14ac:dyDescent="0.25">
      <c r="A472" s="92"/>
      <c r="B472" s="81"/>
      <c r="C472" s="81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  <c r="Q472" s="138"/>
    </row>
    <row r="473" spans="1:17" s="34" customFormat="1" x14ac:dyDescent="0.25">
      <c r="A473" s="92"/>
      <c r="B473" s="81"/>
      <c r="C473" s="81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  <c r="Q473" s="138"/>
    </row>
    <row r="474" spans="1:17" s="34" customFormat="1" x14ac:dyDescent="0.25">
      <c r="A474" s="92"/>
      <c r="B474" s="81"/>
      <c r="C474" s="81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  <c r="Q474" s="138"/>
    </row>
    <row r="475" spans="1:17" s="34" customFormat="1" x14ac:dyDescent="0.25">
      <c r="A475" s="92"/>
      <c r="B475" s="81"/>
      <c r="C475" s="81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  <c r="Q475" s="138"/>
    </row>
    <row r="476" spans="1:17" s="34" customFormat="1" x14ac:dyDescent="0.25">
      <c r="A476" s="92"/>
      <c r="B476" s="81"/>
      <c r="C476" s="81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  <c r="Q476" s="138"/>
    </row>
    <row r="477" spans="1:17" s="34" customFormat="1" x14ac:dyDescent="0.25">
      <c r="A477" s="92"/>
      <c r="B477" s="81"/>
      <c r="C477" s="81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  <c r="Q477" s="138"/>
    </row>
    <row r="478" spans="1:17" s="34" customFormat="1" x14ac:dyDescent="0.25">
      <c r="A478" s="92"/>
      <c r="B478" s="81"/>
      <c r="C478" s="81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  <c r="Q478" s="138"/>
    </row>
    <row r="479" spans="1:17" s="34" customFormat="1" x14ac:dyDescent="0.25">
      <c r="A479" s="92"/>
      <c r="B479" s="81"/>
      <c r="C479" s="81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  <c r="Q479" s="138"/>
    </row>
    <row r="480" spans="1:17" s="34" customFormat="1" x14ac:dyDescent="0.25">
      <c r="A480" s="92"/>
      <c r="B480" s="81"/>
      <c r="C480" s="81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  <c r="Q480" s="138"/>
    </row>
    <row r="481" spans="1:17" s="34" customFormat="1" x14ac:dyDescent="0.25">
      <c r="A481" s="92"/>
      <c r="B481" s="81"/>
      <c r="C481" s="81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  <c r="Q481" s="138"/>
    </row>
    <row r="482" spans="1:17" s="34" customFormat="1" x14ac:dyDescent="0.25">
      <c r="A482" s="92"/>
      <c r="B482" s="81"/>
      <c r="C482" s="81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  <c r="Q482" s="138"/>
    </row>
    <row r="483" spans="1:17" s="34" customFormat="1" x14ac:dyDescent="0.25">
      <c r="A483" s="92"/>
      <c r="B483" s="81"/>
      <c r="C483" s="81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  <c r="Q483" s="138"/>
    </row>
    <row r="484" spans="1:17" s="34" customFormat="1" x14ac:dyDescent="0.25">
      <c r="A484" s="92"/>
      <c r="B484" s="81"/>
      <c r="C484" s="81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  <c r="Q484" s="138"/>
    </row>
    <row r="485" spans="1:17" s="34" customFormat="1" x14ac:dyDescent="0.25">
      <c r="A485" s="92"/>
      <c r="B485" s="81"/>
      <c r="C485" s="81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  <c r="Q485" s="138"/>
    </row>
    <row r="486" spans="1:17" s="34" customFormat="1" x14ac:dyDescent="0.25">
      <c r="A486" s="92"/>
      <c r="B486" s="81"/>
      <c r="C486" s="81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  <c r="Q486" s="138"/>
    </row>
    <row r="487" spans="1:17" s="34" customFormat="1" x14ac:dyDescent="0.25">
      <c r="A487" s="92"/>
      <c r="B487" s="81"/>
      <c r="C487" s="81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  <c r="Q487" s="138"/>
    </row>
    <row r="488" spans="1:17" s="34" customFormat="1" x14ac:dyDescent="0.25">
      <c r="A488" s="92"/>
      <c r="B488" s="81"/>
      <c r="C488" s="81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  <c r="Q488" s="138"/>
    </row>
    <row r="489" spans="1:17" s="34" customFormat="1" x14ac:dyDescent="0.25">
      <c r="A489" s="92"/>
      <c r="B489" s="81"/>
      <c r="C489" s="81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  <c r="Q489" s="138"/>
    </row>
    <row r="490" spans="1:17" s="34" customFormat="1" x14ac:dyDescent="0.25">
      <c r="A490" s="92"/>
      <c r="B490" s="81"/>
      <c r="C490" s="81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  <c r="Q490" s="138"/>
    </row>
    <row r="491" spans="1:17" s="34" customFormat="1" x14ac:dyDescent="0.25">
      <c r="A491" s="92"/>
      <c r="B491" s="81"/>
      <c r="C491" s="81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  <c r="Q491" s="138"/>
    </row>
    <row r="492" spans="1:17" s="34" customFormat="1" x14ac:dyDescent="0.25">
      <c r="A492" s="92"/>
      <c r="B492" s="81"/>
      <c r="C492" s="81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  <c r="Q492" s="138"/>
    </row>
    <row r="493" spans="1:17" s="34" customFormat="1" x14ac:dyDescent="0.25">
      <c r="A493" s="92"/>
      <c r="B493" s="81"/>
      <c r="C493" s="81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  <c r="Q493" s="138"/>
    </row>
    <row r="494" spans="1:17" s="34" customFormat="1" x14ac:dyDescent="0.25">
      <c r="A494" s="92"/>
      <c r="B494" s="81"/>
      <c r="C494" s="81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  <c r="Q494" s="138"/>
    </row>
    <row r="495" spans="1:17" s="34" customFormat="1" x14ac:dyDescent="0.25">
      <c r="A495" s="92"/>
      <c r="B495" s="81"/>
      <c r="C495" s="81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  <c r="Q495" s="138"/>
    </row>
    <row r="496" spans="1:17" s="34" customFormat="1" x14ac:dyDescent="0.25">
      <c r="A496" s="92"/>
      <c r="B496" s="81"/>
      <c r="C496" s="81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  <c r="Q496" s="138"/>
    </row>
    <row r="497" spans="1:17" s="34" customFormat="1" x14ac:dyDescent="0.25">
      <c r="A497" s="92"/>
      <c r="B497" s="81"/>
      <c r="C497" s="81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  <c r="Q497" s="138"/>
    </row>
    <row r="498" spans="1:17" s="34" customFormat="1" x14ac:dyDescent="0.25">
      <c r="A498" s="92"/>
      <c r="B498" s="81"/>
      <c r="C498" s="81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  <c r="Q498" s="138"/>
    </row>
    <row r="499" spans="1:17" s="34" customFormat="1" x14ac:dyDescent="0.25">
      <c r="A499" s="92"/>
      <c r="B499" s="81"/>
      <c r="C499" s="81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  <c r="Q499" s="138"/>
    </row>
    <row r="500" spans="1:17" s="34" customFormat="1" x14ac:dyDescent="0.25">
      <c r="A500" s="92"/>
      <c r="B500" s="81"/>
      <c r="C500" s="81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  <c r="Q500" s="138"/>
    </row>
    <row r="501" spans="1:17" s="34" customFormat="1" x14ac:dyDescent="0.25">
      <c r="A501" s="92"/>
      <c r="B501" s="81"/>
      <c r="C501" s="81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  <c r="Q501" s="138"/>
    </row>
    <row r="502" spans="1:17" s="34" customFormat="1" x14ac:dyDescent="0.25">
      <c r="A502" s="92"/>
      <c r="B502" s="81"/>
      <c r="C502" s="81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  <c r="Q502" s="138"/>
    </row>
    <row r="503" spans="1:17" s="34" customFormat="1" x14ac:dyDescent="0.25">
      <c r="A503" s="92"/>
      <c r="B503" s="81"/>
      <c r="C503" s="81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  <c r="Q503" s="138"/>
    </row>
    <row r="504" spans="1:17" s="34" customFormat="1" x14ac:dyDescent="0.25">
      <c r="A504" s="92"/>
      <c r="B504" s="81"/>
      <c r="C504" s="81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  <c r="Q504" s="138"/>
    </row>
    <row r="505" spans="1:17" s="34" customFormat="1" x14ac:dyDescent="0.25">
      <c r="A505" s="92"/>
      <c r="B505" s="81"/>
      <c r="C505" s="81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  <c r="Q505" s="138"/>
    </row>
    <row r="506" spans="1:17" s="34" customFormat="1" x14ac:dyDescent="0.25">
      <c r="A506" s="92"/>
      <c r="B506" s="81"/>
      <c r="C506" s="81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  <c r="Q506" s="138"/>
    </row>
    <row r="507" spans="1:17" s="34" customFormat="1" x14ac:dyDescent="0.25">
      <c r="A507" s="92"/>
      <c r="B507" s="81"/>
      <c r="C507" s="81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  <c r="Q507" s="138"/>
    </row>
    <row r="508" spans="1:17" s="34" customFormat="1" x14ac:dyDescent="0.25">
      <c r="A508" s="92"/>
      <c r="B508" s="81"/>
      <c r="C508" s="81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  <c r="Q508" s="138"/>
    </row>
    <row r="509" spans="1:17" s="34" customFormat="1" x14ac:dyDescent="0.25">
      <c r="A509" s="92"/>
      <c r="B509" s="81"/>
      <c r="C509" s="81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  <c r="Q509" s="138"/>
    </row>
    <row r="510" spans="1:17" s="34" customFormat="1" x14ac:dyDescent="0.25">
      <c r="A510" s="92"/>
      <c r="B510" s="81"/>
      <c r="C510" s="81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  <c r="Q510" s="138"/>
    </row>
    <row r="511" spans="1:17" s="34" customFormat="1" x14ac:dyDescent="0.25">
      <c r="A511" s="92"/>
      <c r="B511" s="81"/>
      <c r="C511" s="81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  <c r="Q511" s="138"/>
    </row>
    <row r="512" spans="1:17" s="34" customFormat="1" x14ac:dyDescent="0.25">
      <c r="A512" s="92"/>
      <c r="B512" s="81"/>
      <c r="C512" s="81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  <c r="Q512" s="138"/>
    </row>
    <row r="513" spans="1:17" s="34" customFormat="1" x14ac:dyDescent="0.25">
      <c r="A513" s="92"/>
      <c r="B513" s="81"/>
      <c r="C513" s="81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  <c r="Q513" s="138"/>
    </row>
    <row r="514" spans="1:17" s="34" customFormat="1" x14ac:dyDescent="0.25">
      <c r="A514" s="92"/>
      <c r="B514" s="81"/>
      <c r="C514" s="81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  <c r="Q514" s="138"/>
    </row>
    <row r="515" spans="1:17" s="34" customFormat="1" x14ac:dyDescent="0.25">
      <c r="A515" s="92"/>
      <c r="B515" s="81"/>
      <c r="C515" s="81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  <c r="Q515" s="138"/>
    </row>
    <row r="516" spans="1:17" s="34" customFormat="1" x14ac:dyDescent="0.25">
      <c r="A516" s="92"/>
      <c r="B516" s="81"/>
      <c r="C516" s="81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  <c r="Q516" s="138"/>
    </row>
    <row r="517" spans="1:17" s="34" customFormat="1" x14ac:dyDescent="0.25">
      <c r="A517" s="92"/>
      <c r="B517" s="81"/>
      <c r="C517" s="81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  <c r="Q517" s="138"/>
    </row>
    <row r="518" spans="1:17" s="34" customFormat="1" x14ac:dyDescent="0.25">
      <c r="A518" s="92"/>
      <c r="B518" s="81"/>
      <c r="C518" s="81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  <c r="Q518" s="138"/>
    </row>
    <row r="519" spans="1:17" s="34" customFormat="1" x14ac:dyDescent="0.25">
      <c r="A519" s="92"/>
      <c r="B519" s="81"/>
      <c r="C519" s="81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  <c r="Q519" s="138"/>
    </row>
    <row r="520" spans="1:17" s="34" customFormat="1" x14ac:dyDescent="0.25">
      <c r="A520" s="92"/>
      <c r="B520" s="81"/>
      <c r="C520" s="81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  <c r="Q520" s="138"/>
    </row>
    <row r="521" spans="1:17" s="34" customFormat="1" x14ac:dyDescent="0.25">
      <c r="A521" s="92"/>
      <c r="B521" s="81"/>
      <c r="C521" s="81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  <c r="Q521" s="138"/>
    </row>
    <row r="522" spans="1:17" s="34" customFormat="1" x14ac:dyDescent="0.25">
      <c r="A522" s="92"/>
      <c r="B522" s="81"/>
      <c r="C522" s="81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  <c r="Q522" s="138"/>
    </row>
    <row r="523" spans="1:17" s="34" customFormat="1" x14ac:dyDescent="0.25">
      <c r="A523" s="92"/>
      <c r="B523" s="81"/>
      <c r="C523" s="81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  <c r="Q523" s="138"/>
    </row>
    <row r="524" spans="1:17" s="34" customFormat="1" x14ac:dyDescent="0.25">
      <c r="A524" s="92"/>
      <c r="B524" s="81"/>
      <c r="C524" s="81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  <c r="Q524" s="138"/>
    </row>
    <row r="525" spans="1:17" s="34" customFormat="1" x14ac:dyDescent="0.25">
      <c r="A525" s="92"/>
      <c r="B525" s="81"/>
      <c r="C525" s="81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  <c r="Q525" s="138"/>
    </row>
    <row r="526" spans="1:17" s="34" customFormat="1" x14ac:dyDescent="0.25">
      <c r="A526" s="92"/>
      <c r="B526" s="81"/>
      <c r="C526" s="81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  <c r="Q526" s="138"/>
    </row>
    <row r="527" spans="1:17" s="34" customFormat="1" x14ac:dyDescent="0.25">
      <c r="A527" s="92"/>
      <c r="B527" s="81"/>
      <c r="C527" s="81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  <c r="Q527" s="138"/>
    </row>
    <row r="528" spans="1:17" s="34" customFormat="1" x14ac:dyDescent="0.25">
      <c r="A528" s="92"/>
      <c r="B528" s="81"/>
      <c r="C528" s="81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  <c r="Q528" s="138"/>
    </row>
    <row r="529" spans="1:17" s="34" customFormat="1" x14ac:dyDescent="0.25">
      <c r="A529" s="92"/>
      <c r="B529" s="81"/>
      <c r="C529" s="81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  <c r="Q529" s="138"/>
    </row>
    <row r="530" spans="1:17" s="34" customFormat="1" x14ac:dyDescent="0.25">
      <c r="A530" s="92"/>
      <c r="B530" s="81"/>
      <c r="C530" s="81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  <c r="Q530" s="138"/>
    </row>
    <row r="531" spans="1:17" s="34" customFormat="1" x14ac:dyDescent="0.25">
      <c r="A531" s="92"/>
      <c r="B531" s="81"/>
      <c r="C531" s="81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  <c r="Q531" s="138"/>
    </row>
    <row r="532" spans="1:17" s="34" customFormat="1" x14ac:dyDescent="0.25">
      <c r="A532" s="92"/>
      <c r="B532" s="81"/>
      <c r="C532" s="81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  <c r="Q532" s="138"/>
    </row>
    <row r="533" spans="1:17" s="34" customFormat="1" x14ac:dyDescent="0.25">
      <c r="A533" s="92"/>
      <c r="B533" s="81"/>
      <c r="C533" s="81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  <c r="Q533" s="138"/>
    </row>
    <row r="534" spans="1:17" s="34" customFormat="1" x14ac:dyDescent="0.25">
      <c r="A534" s="92"/>
      <c r="B534" s="81"/>
      <c r="C534" s="81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  <c r="Q534" s="138"/>
    </row>
    <row r="535" spans="1:17" s="34" customFormat="1" x14ac:dyDescent="0.25">
      <c r="A535" s="92"/>
      <c r="B535" s="81"/>
      <c r="C535" s="81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  <c r="Q535" s="138"/>
    </row>
    <row r="536" spans="1:17" s="34" customFormat="1" x14ac:dyDescent="0.25">
      <c r="A536" s="92"/>
      <c r="B536" s="81"/>
      <c r="C536" s="81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  <c r="Q536" s="138"/>
    </row>
    <row r="537" spans="1:17" s="34" customFormat="1" x14ac:dyDescent="0.25">
      <c r="A537" s="92"/>
      <c r="B537" s="81"/>
      <c r="C537" s="81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  <c r="Q537" s="138"/>
    </row>
    <row r="538" spans="1:17" s="34" customFormat="1" x14ac:dyDescent="0.25">
      <c r="A538" s="92"/>
      <c r="B538" s="81"/>
      <c r="C538" s="81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  <c r="Q538" s="138"/>
    </row>
    <row r="539" spans="1:17" s="34" customFormat="1" x14ac:dyDescent="0.25">
      <c r="A539" s="92"/>
      <c r="B539" s="81"/>
      <c r="C539" s="81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  <c r="Q539" s="138"/>
    </row>
    <row r="540" spans="1:17" s="34" customFormat="1" x14ac:dyDescent="0.25">
      <c r="A540" s="92"/>
      <c r="B540" s="81"/>
      <c r="C540" s="81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  <c r="Q540" s="138"/>
    </row>
    <row r="541" spans="1:17" s="34" customFormat="1" x14ac:dyDescent="0.25">
      <c r="A541" s="92"/>
      <c r="B541" s="81"/>
      <c r="C541" s="81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  <c r="Q541" s="138"/>
    </row>
    <row r="542" spans="1:17" s="34" customFormat="1" x14ac:dyDescent="0.25">
      <c r="A542" s="92"/>
      <c r="B542" s="81"/>
      <c r="C542" s="81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  <c r="Q542" s="138"/>
    </row>
    <row r="543" spans="1:17" s="34" customFormat="1" x14ac:dyDescent="0.25">
      <c r="A543" s="92"/>
      <c r="B543" s="81"/>
      <c r="C543" s="81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  <c r="Q543" s="138"/>
    </row>
    <row r="544" spans="1:17" s="34" customFormat="1" x14ac:dyDescent="0.25">
      <c r="A544" s="92"/>
      <c r="B544" s="81"/>
      <c r="C544" s="81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  <c r="Q544" s="138"/>
    </row>
    <row r="545" spans="1:17" s="34" customFormat="1" x14ac:dyDescent="0.25">
      <c r="A545" s="92"/>
      <c r="B545" s="81"/>
      <c r="C545" s="81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  <c r="Q545" s="138"/>
    </row>
    <row r="546" spans="1:17" s="34" customFormat="1" x14ac:dyDescent="0.25">
      <c r="A546" s="92"/>
      <c r="B546" s="81"/>
      <c r="C546" s="81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  <c r="Q546" s="138"/>
    </row>
    <row r="547" spans="1:17" s="34" customFormat="1" x14ac:dyDescent="0.25">
      <c r="A547" s="92"/>
      <c r="B547" s="81"/>
      <c r="C547" s="81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  <c r="Q547" s="138"/>
    </row>
    <row r="548" spans="1:17" s="34" customFormat="1" x14ac:dyDescent="0.25">
      <c r="A548" s="92"/>
      <c r="B548" s="81"/>
      <c r="C548" s="81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  <c r="Q548" s="138"/>
    </row>
    <row r="549" spans="1:17" s="34" customFormat="1" x14ac:dyDescent="0.25">
      <c r="A549" s="92"/>
      <c r="B549" s="81"/>
      <c r="C549" s="81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  <c r="Q549" s="138"/>
    </row>
    <row r="550" spans="1:17" s="34" customFormat="1" x14ac:dyDescent="0.25">
      <c r="A550" s="92"/>
      <c r="B550" s="81"/>
      <c r="C550" s="81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  <c r="Q550" s="138"/>
    </row>
    <row r="551" spans="1:17" s="34" customFormat="1" x14ac:dyDescent="0.25">
      <c r="A551" s="92"/>
      <c r="B551" s="81"/>
      <c r="C551" s="81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  <c r="Q551" s="138"/>
    </row>
    <row r="552" spans="1:17" s="34" customFormat="1" x14ac:dyDescent="0.25">
      <c r="A552" s="92"/>
      <c r="B552" s="81"/>
      <c r="C552" s="81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  <c r="Q552" s="138"/>
    </row>
    <row r="553" spans="1:17" s="34" customFormat="1" x14ac:dyDescent="0.25">
      <c r="A553" s="92"/>
      <c r="B553" s="81"/>
      <c r="C553" s="81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  <c r="Q553" s="138"/>
    </row>
    <row r="554" spans="1:17" s="34" customFormat="1" x14ac:dyDescent="0.25">
      <c r="A554" s="92"/>
      <c r="B554" s="81"/>
      <c r="C554" s="81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  <c r="Q554" s="138"/>
    </row>
    <row r="555" spans="1:17" s="34" customFormat="1" x14ac:dyDescent="0.25">
      <c r="A555" s="92"/>
      <c r="B555" s="81"/>
      <c r="C555" s="81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  <c r="Q555" s="138"/>
    </row>
    <row r="556" spans="1:17" s="34" customFormat="1" x14ac:dyDescent="0.25">
      <c r="A556" s="92"/>
      <c r="B556" s="81"/>
      <c r="C556" s="81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  <c r="Q556" s="138"/>
    </row>
    <row r="557" spans="1:17" s="34" customFormat="1" x14ac:dyDescent="0.25">
      <c r="A557" s="92"/>
      <c r="B557" s="81"/>
      <c r="C557" s="81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  <c r="Q557" s="138"/>
    </row>
    <row r="558" spans="1:17" s="34" customFormat="1" x14ac:dyDescent="0.25">
      <c r="A558" s="92"/>
      <c r="B558" s="81"/>
      <c r="C558" s="81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  <c r="Q558" s="138"/>
    </row>
    <row r="559" spans="1:17" s="34" customFormat="1" x14ac:dyDescent="0.25">
      <c r="A559" s="92"/>
      <c r="B559" s="81"/>
      <c r="C559" s="81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  <c r="Q559" s="138"/>
    </row>
    <row r="560" spans="1:17" s="34" customFormat="1" x14ac:dyDescent="0.25">
      <c r="A560" s="92"/>
      <c r="B560" s="81"/>
      <c r="C560" s="81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  <c r="Q560" s="138"/>
    </row>
    <row r="561" spans="1:17" s="34" customFormat="1" x14ac:dyDescent="0.25">
      <c r="A561" s="92"/>
      <c r="B561" s="81"/>
      <c r="C561" s="81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  <c r="Q561" s="138"/>
    </row>
    <row r="562" spans="1:17" s="34" customFormat="1" x14ac:dyDescent="0.25">
      <c r="A562" s="92"/>
      <c r="B562" s="81"/>
      <c r="C562" s="81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  <c r="Q562" s="138"/>
    </row>
    <row r="563" spans="1:17" s="34" customFormat="1" x14ac:dyDescent="0.25">
      <c r="A563" s="92"/>
      <c r="B563" s="81"/>
      <c r="C563" s="81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  <c r="Q563" s="138"/>
    </row>
    <row r="564" spans="1:17" s="34" customFormat="1" x14ac:dyDescent="0.25">
      <c r="A564" s="92"/>
      <c r="B564" s="81"/>
      <c r="C564" s="81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  <c r="Q564" s="138"/>
    </row>
    <row r="565" spans="1:17" s="34" customFormat="1" x14ac:dyDescent="0.25">
      <c r="A565" s="92"/>
      <c r="B565" s="81"/>
      <c r="C565" s="81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  <c r="Q565" s="138"/>
    </row>
    <row r="566" spans="1:17" s="34" customFormat="1" x14ac:dyDescent="0.25">
      <c r="A566" s="92"/>
      <c r="B566" s="81"/>
      <c r="C566" s="81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  <c r="Q566" s="138"/>
    </row>
    <row r="567" spans="1:17" s="34" customFormat="1" x14ac:dyDescent="0.25">
      <c r="A567" s="92"/>
      <c r="B567" s="81"/>
      <c r="C567" s="81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  <c r="Q567" s="138"/>
    </row>
    <row r="568" spans="1:17" s="34" customFormat="1" x14ac:dyDescent="0.25">
      <c r="A568" s="92"/>
      <c r="B568" s="81"/>
      <c r="C568" s="81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  <c r="Q568" s="138"/>
    </row>
    <row r="569" spans="1:17" s="34" customFormat="1" x14ac:dyDescent="0.25">
      <c r="A569" s="92"/>
      <c r="B569" s="81"/>
      <c r="C569" s="81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  <c r="Q569" s="138"/>
    </row>
    <row r="570" spans="1:17" s="34" customFormat="1" x14ac:dyDescent="0.25">
      <c r="A570" s="92"/>
      <c r="B570" s="81"/>
      <c r="C570" s="81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  <c r="Q570" s="138"/>
    </row>
    <row r="571" spans="1:17" s="34" customFormat="1" x14ac:dyDescent="0.25">
      <c r="A571" s="92"/>
      <c r="B571" s="81"/>
      <c r="C571" s="81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  <c r="Q571" s="138"/>
    </row>
    <row r="572" spans="1:17" s="34" customFormat="1" x14ac:dyDescent="0.25">
      <c r="A572" s="92"/>
      <c r="B572" s="81"/>
      <c r="C572" s="81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  <c r="Q572" s="138"/>
    </row>
    <row r="573" spans="1:17" s="34" customFormat="1" x14ac:dyDescent="0.25">
      <c r="A573" s="92"/>
      <c r="B573" s="81"/>
      <c r="C573" s="81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  <c r="Q573" s="138"/>
    </row>
    <row r="574" spans="1:17" s="34" customFormat="1" x14ac:dyDescent="0.25">
      <c r="A574" s="92"/>
      <c r="B574" s="81"/>
      <c r="C574" s="81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  <c r="Q574" s="138"/>
    </row>
    <row r="575" spans="1:17" s="34" customFormat="1" x14ac:dyDescent="0.25">
      <c r="A575" s="92"/>
      <c r="B575" s="81"/>
      <c r="C575" s="81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  <c r="Q575" s="138"/>
    </row>
    <row r="576" spans="1:17" s="34" customFormat="1" x14ac:dyDescent="0.25">
      <c r="A576" s="92"/>
      <c r="B576" s="81"/>
      <c r="C576" s="81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  <c r="Q576" s="138"/>
    </row>
    <row r="577" spans="1:17" s="34" customFormat="1" x14ac:dyDescent="0.25">
      <c r="A577" s="92"/>
      <c r="B577" s="81"/>
      <c r="C577" s="81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  <c r="Q577" s="138"/>
    </row>
    <row r="578" spans="1:17" s="34" customFormat="1" x14ac:dyDescent="0.25">
      <c r="A578" s="92"/>
      <c r="B578" s="81"/>
      <c r="C578" s="81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  <c r="Q578" s="138"/>
    </row>
    <row r="579" spans="1:17" s="34" customFormat="1" x14ac:dyDescent="0.25">
      <c r="A579" s="92"/>
      <c r="B579" s="81"/>
      <c r="C579" s="81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  <c r="Q579" s="138"/>
    </row>
    <row r="580" spans="1:17" s="34" customFormat="1" x14ac:dyDescent="0.25">
      <c r="A580" s="92"/>
      <c r="B580" s="81"/>
      <c r="C580" s="81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  <c r="Q580" s="138"/>
    </row>
    <row r="581" spans="1:17" s="34" customFormat="1" x14ac:dyDescent="0.25">
      <c r="A581" s="92"/>
      <c r="B581" s="81"/>
      <c r="C581" s="81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  <c r="Q581" s="138"/>
    </row>
    <row r="582" spans="1:17" s="34" customFormat="1" x14ac:dyDescent="0.25">
      <c r="A582" s="92"/>
      <c r="B582" s="81"/>
      <c r="C582" s="81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  <c r="Q582" s="138"/>
    </row>
    <row r="583" spans="1:17" s="34" customFormat="1" x14ac:dyDescent="0.25">
      <c r="A583" s="92"/>
      <c r="B583" s="81"/>
      <c r="C583" s="81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  <c r="Q583" s="138"/>
    </row>
    <row r="584" spans="1:17" s="34" customFormat="1" x14ac:dyDescent="0.25">
      <c r="A584" s="92"/>
      <c r="B584" s="81"/>
      <c r="C584" s="81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  <c r="Q584" s="138"/>
    </row>
    <row r="585" spans="1:17" s="34" customFormat="1" x14ac:dyDescent="0.25">
      <c r="A585" s="92"/>
      <c r="B585" s="81"/>
      <c r="C585" s="81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  <c r="Q585" s="138"/>
    </row>
    <row r="586" spans="1:17" s="34" customFormat="1" x14ac:dyDescent="0.25">
      <c r="A586" s="92"/>
      <c r="B586" s="81"/>
      <c r="C586" s="81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  <c r="Q586" s="138"/>
    </row>
    <row r="587" spans="1:17" s="34" customFormat="1" x14ac:dyDescent="0.25">
      <c r="A587" s="92"/>
      <c r="B587" s="81"/>
      <c r="C587" s="81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  <c r="Q587" s="138"/>
    </row>
    <row r="588" spans="1:17" s="34" customFormat="1" x14ac:dyDescent="0.25">
      <c r="A588" s="92"/>
      <c r="B588" s="81"/>
      <c r="C588" s="81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  <c r="Q588" s="138"/>
    </row>
    <row r="589" spans="1:17" s="34" customFormat="1" x14ac:dyDescent="0.25">
      <c r="A589" s="92"/>
      <c r="B589" s="81"/>
      <c r="C589" s="81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  <c r="Q589" s="138"/>
    </row>
    <row r="590" spans="1:17" s="34" customFormat="1" x14ac:dyDescent="0.25">
      <c r="A590" s="92"/>
      <c r="B590" s="81"/>
      <c r="C590" s="81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  <c r="Q590" s="138"/>
    </row>
    <row r="591" spans="1:17" s="34" customFormat="1" x14ac:dyDescent="0.25">
      <c r="A591" s="92"/>
      <c r="B591" s="81"/>
      <c r="C591" s="81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  <c r="Q591" s="138"/>
    </row>
    <row r="592" spans="1:17" s="34" customFormat="1" x14ac:dyDescent="0.25">
      <c r="A592" s="92"/>
      <c r="B592" s="81"/>
      <c r="C592" s="81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  <c r="Q592" s="138"/>
    </row>
    <row r="593" spans="1:17" s="34" customFormat="1" x14ac:dyDescent="0.25">
      <c r="A593" s="92"/>
      <c r="B593" s="81"/>
      <c r="C593" s="81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  <c r="Q593" s="138"/>
    </row>
    <row r="594" spans="1:17" s="34" customFormat="1" x14ac:dyDescent="0.25">
      <c r="A594" s="92"/>
      <c r="B594" s="81"/>
      <c r="C594" s="81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  <c r="Q594" s="138"/>
    </row>
    <row r="595" spans="1:17" s="34" customFormat="1" x14ac:dyDescent="0.25">
      <c r="A595" s="92"/>
      <c r="B595" s="81"/>
      <c r="C595" s="81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  <c r="Q595" s="138"/>
    </row>
    <row r="596" spans="1:17" s="34" customFormat="1" x14ac:dyDescent="0.25">
      <c r="A596" s="92"/>
      <c r="B596" s="81"/>
      <c r="C596" s="81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  <c r="Q596" s="138"/>
    </row>
    <row r="597" spans="1:17" s="34" customFormat="1" x14ac:dyDescent="0.25">
      <c r="A597" s="92"/>
      <c r="B597" s="81"/>
      <c r="C597" s="81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  <c r="Q597" s="138"/>
    </row>
    <row r="598" spans="1:17" s="34" customFormat="1" x14ac:dyDescent="0.25">
      <c r="A598" s="92"/>
      <c r="B598" s="81"/>
      <c r="C598" s="81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  <c r="Q598" s="138"/>
    </row>
    <row r="599" spans="1:17" s="34" customFormat="1" x14ac:dyDescent="0.25">
      <c r="A599" s="92"/>
      <c r="B599" s="81"/>
      <c r="C599" s="81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  <c r="Q599" s="138"/>
    </row>
    <row r="600" spans="1:17" s="34" customFormat="1" x14ac:dyDescent="0.25">
      <c r="A600" s="92"/>
      <c r="B600" s="81"/>
      <c r="C600" s="81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  <c r="Q600" s="138"/>
    </row>
    <row r="601" spans="1:17" s="34" customFormat="1" x14ac:dyDescent="0.25">
      <c r="A601" s="92"/>
      <c r="B601" s="81"/>
      <c r="C601" s="81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  <c r="Q601" s="138"/>
    </row>
    <row r="602" spans="1:17" s="34" customFormat="1" x14ac:dyDescent="0.25">
      <c r="A602" s="92"/>
      <c r="B602" s="81"/>
      <c r="C602" s="81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  <c r="Q602" s="138"/>
    </row>
    <row r="603" spans="1:17" s="34" customFormat="1" x14ac:dyDescent="0.25">
      <c r="A603" s="92"/>
      <c r="B603" s="81"/>
      <c r="C603" s="81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  <c r="Q603" s="138"/>
    </row>
    <row r="604" spans="1:17" s="34" customFormat="1" x14ac:dyDescent="0.25">
      <c r="A604" s="92"/>
      <c r="B604" s="81"/>
      <c r="C604" s="81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  <c r="Q604" s="138"/>
    </row>
    <row r="605" spans="1:17" s="34" customFormat="1" x14ac:dyDescent="0.25">
      <c r="A605" s="92"/>
      <c r="B605" s="81"/>
      <c r="C605" s="81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  <c r="Q605" s="138"/>
    </row>
    <row r="606" spans="1:17" s="34" customFormat="1" x14ac:dyDescent="0.25">
      <c r="A606" s="92"/>
      <c r="B606" s="81"/>
      <c r="C606" s="81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  <c r="Q606" s="138"/>
    </row>
    <row r="607" spans="1:17" s="34" customFormat="1" x14ac:dyDescent="0.25">
      <c r="A607" s="92"/>
      <c r="B607" s="81"/>
      <c r="C607" s="81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  <c r="Q607" s="138"/>
    </row>
    <row r="608" spans="1:17" s="34" customFormat="1" x14ac:dyDescent="0.25">
      <c r="A608" s="92"/>
      <c r="B608" s="81"/>
      <c r="C608" s="81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  <c r="Q608" s="138"/>
    </row>
    <row r="609" spans="1:17" s="34" customFormat="1" x14ac:dyDescent="0.25">
      <c r="A609" s="92"/>
      <c r="B609" s="81"/>
      <c r="C609" s="81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  <c r="Q609" s="138"/>
    </row>
    <row r="610" spans="1:17" s="34" customFormat="1" x14ac:dyDescent="0.25">
      <c r="A610" s="92"/>
      <c r="B610" s="81"/>
      <c r="C610" s="81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  <c r="Q610" s="138"/>
    </row>
    <row r="611" spans="1:17" s="34" customFormat="1" x14ac:dyDescent="0.25">
      <c r="A611" s="92"/>
      <c r="B611" s="81"/>
      <c r="C611" s="81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  <c r="Q611" s="138"/>
    </row>
    <row r="612" spans="1:17" s="34" customFormat="1" x14ac:dyDescent="0.25">
      <c r="A612" s="92"/>
      <c r="B612" s="81"/>
      <c r="C612" s="81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  <c r="Q612" s="138"/>
    </row>
    <row r="613" spans="1:17" s="34" customFormat="1" x14ac:dyDescent="0.25">
      <c r="A613" s="92"/>
      <c r="B613" s="81"/>
      <c r="C613" s="81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  <c r="Q613" s="138"/>
    </row>
    <row r="614" spans="1:17" s="34" customFormat="1" x14ac:dyDescent="0.25">
      <c r="A614" s="92"/>
      <c r="B614" s="81"/>
      <c r="C614" s="81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138"/>
    </row>
    <row r="615" spans="1:17" s="34" customFormat="1" x14ac:dyDescent="0.25">
      <c r="A615" s="92"/>
      <c r="B615" s="81"/>
      <c r="C615" s="81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  <c r="Q615" s="138"/>
    </row>
    <row r="616" spans="1:17" s="34" customFormat="1" x14ac:dyDescent="0.25">
      <c r="A616" s="92"/>
      <c r="B616" s="81"/>
      <c r="C616" s="81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  <c r="Q616" s="138"/>
    </row>
    <row r="617" spans="1:17" s="34" customFormat="1" x14ac:dyDescent="0.25">
      <c r="A617" s="92"/>
      <c r="B617" s="81"/>
      <c r="C617" s="81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  <c r="Q617" s="138"/>
    </row>
    <row r="618" spans="1:17" s="34" customFormat="1" x14ac:dyDescent="0.25">
      <c r="A618" s="92"/>
      <c r="B618" s="81"/>
      <c r="C618" s="81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  <c r="Q618" s="138"/>
    </row>
    <row r="619" spans="1:17" s="34" customFormat="1" x14ac:dyDescent="0.25">
      <c r="A619" s="92"/>
      <c r="B619" s="81"/>
      <c r="C619" s="81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  <c r="Q619" s="138"/>
    </row>
    <row r="620" spans="1:17" s="34" customFormat="1" x14ac:dyDescent="0.25">
      <c r="A620" s="92"/>
      <c r="B620" s="81"/>
      <c r="C620" s="81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  <c r="Q620" s="138"/>
    </row>
    <row r="621" spans="1:17" s="34" customFormat="1" x14ac:dyDescent="0.25">
      <c r="A621" s="92"/>
      <c r="B621" s="81"/>
      <c r="C621" s="81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  <c r="Q621" s="138"/>
    </row>
    <row r="622" spans="1:17" s="34" customFormat="1" x14ac:dyDescent="0.25">
      <c r="A622" s="92"/>
      <c r="B622" s="81"/>
      <c r="C622" s="81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  <c r="Q622" s="138"/>
    </row>
    <row r="623" spans="1:17" s="34" customFormat="1" x14ac:dyDescent="0.25">
      <c r="A623" s="92"/>
      <c r="B623" s="81"/>
      <c r="C623" s="81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  <c r="Q623" s="138"/>
    </row>
    <row r="624" spans="1:17" s="34" customFormat="1" x14ac:dyDescent="0.25">
      <c r="A624" s="92"/>
      <c r="B624" s="81"/>
      <c r="C624" s="81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  <c r="Q624" s="138"/>
    </row>
    <row r="625" spans="1:17" s="34" customFormat="1" x14ac:dyDescent="0.25">
      <c r="A625" s="92"/>
      <c r="B625" s="81"/>
      <c r="C625" s="81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  <c r="Q625" s="138"/>
    </row>
    <row r="626" spans="1:17" s="34" customFormat="1" x14ac:dyDescent="0.25">
      <c r="A626" s="92"/>
      <c r="B626" s="81"/>
      <c r="C626" s="81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  <c r="Q626" s="138"/>
    </row>
    <row r="627" spans="1:17" s="34" customFormat="1" x14ac:dyDescent="0.25">
      <c r="A627" s="92"/>
      <c r="B627" s="81"/>
      <c r="C627" s="81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  <c r="Q627" s="138"/>
    </row>
    <row r="628" spans="1:17" s="34" customFormat="1" x14ac:dyDescent="0.25">
      <c r="A628" s="92"/>
      <c r="B628" s="81"/>
      <c r="C628" s="81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  <c r="Q628" s="138"/>
    </row>
    <row r="629" spans="1:17" s="34" customFormat="1" x14ac:dyDescent="0.25">
      <c r="A629" s="92"/>
      <c r="B629" s="81"/>
      <c r="C629" s="81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  <c r="Q629" s="138"/>
    </row>
    <row r="630" spans="1:17" s="34" customFormat="1" x14ac:dyDescent="0.25">
      <c r="A630" s="92"/>
      <c r="B630" s="81"/>
      <c r="C630" s="81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  <c r="Q630" s="138"/>
    </row>
    <row r="631" spans="1:17" s="34" customFormat="1" x14ac:dyDescent="0.25">
      <c r="A631" s="92"/>
      <c r="B631" s="81"/>
      <c r="C631" s="81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  <c r="Q631" s="138"/>
    </row>
    <row r="632" spans="1:17" s="34" customFormat="1" x14ac:dyDescent="0.25">
      <c r="A632" s="92"/>
      <c r="B632" s="81"/>
      <c r="C632" s="81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  <c r="Q632" s="138"/>
    </row>
    <row r="633" spans="1:17" s="34" customFormat="1" x14ac:dyDescent="0.25">
      <c r="A633" s="92"/>
      <c r="B633" s="81"/>
      <c r="C633" s="81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  <c r="Q633" s="138"/>
    </row>
    <row r="634" spans="1:17" s="34" customFormat="1" x14ac:dyDescent="0.25">
      <c r="A634" s="92"/>
      <c r="B634" s="81"/>
      <c r="C634" s="81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  <c r="Q634" s="138"/>
    </row>
    <row r="635" spans="1:17" s="34" customFormat="1" x14ac:dyDescent="0.25">
      <c r="A635" s="92"/>
      <c r="B635" s="81"/>
      <c r="C635" s="81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  <c r="Q635" s="138"/>
    </row>
    <row r="636" spans="1:17" s="34" customFormat="1" x14ac:dyDescent="0.25">
      <c r="A636" s="92"/>
      <c r="B636" s="81"/>
      <c r="C636" s="81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  <c r="Q636" s="138"/>
    </row>
    <row r="637" spans="1:17" s="34" customFormat="1" x14ac:dyDescent="0.25">
      <c r="A637" s="92"/>
      <c r="B637" s="81"/>
      <c r="C637" s="81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  <c r="Q637" s="138"/>
    </row>
    <row r="638" spans="1:17" s="34" customFormat="1" x14ac:dyDescent="0.25">
      <c r="A638" s="92"/>
      <c r="B638" s="81"/>
      <c r="C638" s="81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  <c r="Q638" s="138"/>
    </row>
    <row r="639" spans="1:17" s="34" customFormat="1" x14ac:dyDescent="0.25">
      <c r="A639" s="92"/>
      <c r="B639" s="81"/>
      <c r="C639" s="81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  <c r="Q639" s="138"/>
    </row>
    <row r="640" spans="1:17" s="34" customFormat="1" x14ac:dyDescent="0.25">
      <c r="A640" s="92"/>
      <c r="B640" s="81"/>
      <c r="C640" s="81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  <c r="Q640" s="138"/>
    </row>
    <row r="641" spans="1:17" s="34" customFormat="1" x14ac:dyDescent="0.25">
      <c r="A641" s="92"/>
      <c r="B641" s="81"/>
      <c r="C641" s="81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  <c r="Q641" s="138"/>
    </row>
    <row r="642" spans="1:17" s="34" customFormat="1" x14ac:dyDescent="0.25">
      <c r="A642" s="92"/>
      <c r="B642" s="81"/>
      <c r="C642" s="81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  <c r="Q642" s="138"/>
    </row>
    <row r="643" spans="1:17" s="34" customFormat="1" x14ac:dyDescent="0.25">
      <c r="A643" s="92"/>
      <c r="B643" s="81"/>
      <c r="C643" s="81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  <c r="Q643" s="138"/>
    </row>
    <row r="644" spans="1:17" s="34" customFormat="1" x14ac:dyDescent="0.25">
      <c r="A644" s="92"/>
      <c r="B644" s="81"/>
      <c r="C644" s="81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  <c r="Q644" s="138"/>
    </row>
    <row r="645" spans="1:17" s="34" customFormat="1" x14ac:dyDescent="0.25">
      <c r="A645" s="92"/>
      <c r="B645" s="81"/>
      <c r="C645" s="81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  <c r="Q645" s="138"/>
    </row>
    <row r="646" spans="1:17" s="34" customFormat="1" x14ac:dyDescent="0.25">
      <c r="A646" s="92"/>
      <c r="B646" s="81"/>
      <c r="C646" s="81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  <c r="Q646" s="138"/>
    </row>
    <row r="647" spans="1:17" s="34" customFormat="1" x14ac:dyDescent="0.25">
      <c r="A647" s="92"/>
      <c r="B647" s="81"/>
      <c r="C647" s="81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  <c r="Q647" s="138"/>
    </row>
    <row r="648" spans="1:17" s="34" customFormat="1" x14ac:dyDescent="0.25">
      <c r="A648" s="92"/>
      <c r="B648" s="81"/>
      <c r="C648" s="81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  <c r="Q648" s="138"/>
    </row>
    <row r="649" spans="1:17" s="34" customFormat="1" x14ac:dyDescent="0.25">
      <c r="A649" s="92"/>
      <c r="B649" s="81"/>
      <c r="C649" s="81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  <c r="Q649" s="138"/>
    </row>
    <row r="650" spans="1:17" s="34" customFormat="1" x14ac:dyDescent="0.25">
      <c r="A650" s="92"/>
      <c r="B650" s="81"/>
      <c r="C650" s="81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  <c r="Q650" s="138"/>
    </row>
    <row r="651" spans="1:17" s="34" customFormat="1" x14ac:dyDescent="0.25">
      <c r="A651" s="92"/>
      <c r="B651" s="81"/>
      <c r="C651" s="81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  <c r="Q651" s="138"/>
    </row>
    <row r="652" spans="1:17" s="34" customFormat="1" x14ac:dyDescent="0.25">
      <c r="A652" s="92"/>
      <c r="B652" s="81"/>
      <c r="C652" s="81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  <c r="Q652" s="138"/>
    </row>
    <row r="653" spans="1:17" s="34" customFormat="1" x14ac:dyDescent="0.25">
      <c r="A653" s="92"/>
      <c r="B653" s="81"/>
      <c r="C653" s="81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  <c r="Q653" s="138"/>
    </row>
    <row r="654" spans="1:17" s="34" customFormat="1" x14ac:dyDescent="0.25">
      <c r="A654" s="92"/>
      <c r="B654" s="81"/>
      <c r="C654" s="81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  <c r="Q654" s="138"/>
    </row>
    <row r="655" spans="1:17" s="34" customFormat="1" x14ac:dyDescent="0.25">
      <c r="A655" s="92"/>
      <c r="B655" s="81"/>
      <c r="C655" s="81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  <c r="Q655" s="138"/>
    </row>
    <row r="656" spans="1:17" s="34" customFormat="1" x14ac:dyDescent="0.25">
      <c r="A656" s="92"/>
      <c r="B656" s="81"/>
      <c r="C656" s="81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  <c r="Q656" s="138"/>
    </row>
    <row r="657" spans="1:17" s="34" customFormat="1" x14ac:dyDescent="0.25">
      <c r="A657" s="92"/>
      <c r="B657" s="81"/>
      <c r="C657" s="81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  <c r="Q657" s="138"/>
    </row>
    <row r="658" spans="1:17" s="34" customFormat="1" x14ac:dyDescent="0.25">
      <c r="A658" s="92"/>
      <c r="B658" s="81"/>
      <c r="C658" s="81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  <c r="Q658" s="138"/>
    </row>
    <row r="659" spans="1:17" s="34" customFormat="1" x14ac:dyDescent="0.25">
      <c r="A659" s="92"/>
      <c r="B659" s="81"/>
      <c r="C659" s="81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  <c r="Q659" s="138"/>
    </row>
    <row r="660" spans="1:17" s="34" customFormat="1" x14ac:dyDescent="0.25">
      <c r="A660" s="92"/>
      <c r="B660" s="81"/>
      <c r="C660" s="81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  <c r="Q660" s="138"/>
    </row>
    <row r="661" spans="1:17" s="34" customFormat="1" x14ac:dyDescent="0.25">
      <c r="A661" s="92"/>
      <c r="B661" s="81"/>
      <c r="C661" s="81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  <c r="Q661" s="138"/>
    </row>
    <row r="662" spans="1:17" s="34" customFormat="1" x14ac:dyDescent="0.25">
      <c r="A662" s="92"/>
      <c r="B662" s="81"/>
      <c r="C662" s="81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  <c r="Q662" s="138"/>
    </row>
    <row r="663" spans="1:17" s="34" customFormat="1" x14ac:dyDescent="0.25">
      <c r="A663" s="92"/>
      <c r="B663" s="81"/>
      <c r="C663" s="81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  <c r="Q663" s="138"/>
    </row>
    <row r="664" spans="1:17" s="34" customFormat="1" x14ac:dyDescent="0.25">
      <c r="A664" s="92"/>
      <c r="B664" s="81"/>
      <c r="C664" s="81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  <c r="Q664" s="138"/>
    </row>
    <row r="665" spans="1:17" s="34" customFormat="1" x14ac:dyDescent="0.25">
      <c r="A665" s="92"/>
      <c r="B665" s="81"/>
      <c r="C665" s="81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  <c r="Q665" s="138"/>
    </row>
    <row r="666" spans="1:17" s="34" customFormat="1" x14ac:dyDescent="0.25">
      <c r="A666" s="92"/>
      <c r="B666" s="81"/>
      <c r="C666" s="81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  <c r="Q666" s="138"/>
    </row>
    <row r="667" spans="1:17" s="34" customFormat="1" x14ac:dyDescent="0.25">
      <c r="A667" s="92"/>
      <c r="B667" s="81"/>
      <c r="C667" s="81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  <c r="Q667" s="138"/>
    </row>
    <row r="668" spans="1:17" s="34" customFormat="1" x14ac:dyDescent="0.25">
      <c r="A668" s="92"/>
      <c r="B668" s="81"/>
      <c r="C668" s="81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  <c r="Q668" s="138"/>
    </row>
    <row r="669" spans="1:17" s="34" customFormat="1" x14ac:dyDescent="0.25">
      <c r="A669" s="92"/>
      <c r="B669" s="81"/>
      <c r="C669" s="81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  <c r="Q669" s="138"/>
    </row>
    <row r="670" spans="1:17" s="34" customFormat="1" x14ac:dyDescent="0.25">
      <c r="A670" s="92"/>
      <c r="B670" s="81"/>
      <c r="C670" s="81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  <c r="Q670" s="138"/>
    </row>
    <row r="671" spans="1:17" s="34" customFormat="1" x14ac:dyDescent="0.25">
      <c r="A671" s="92"/>
      <c r="B671" s="81"/>
      <c r="C671" s="81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  <c r="Q671" s="138"/>
    </row>
    <row r="672" spans="1:17" s="34" customFormat="1" x14ac:dyDescent="0.25">
      <c r="A672" s="92"/>
      <c r="B672" s="81"/>
      <c r="C672" s="81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  <c r="Q672" s="138"/>
    </row>
    <row r="673" spans="1:17" s="34" customFormat="1" x14ac:dyDescent="0.25">
      <c r="A673" s="92"/>
      <c r="B673" s="81"/>
      <c r="C673" s="81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  <c r="Q673" s="138"/>
    </row>
    <row r="674" spans="1:17" s="34" customFormat="1" x14ac:dyDescent="0.25">
      <c r="A674" s="92"/>
      <c r="B674" s="81"/>
      <c r="C674" s="81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  <c r="Q674" s="138"/>
    </row>
    <row r="675" spans="1:17" s="34" customFormat="1" x14ac:dyDescent="0.25">
      <c r="A675" s="92"/>
      <c r="B675" s="81"/>
      <c r="C675" s="81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  <c r="Q675" s="138"/>
    </row>
    <row r="676" spans="1:17" s="34" customFormat="1" x14ac:dyDescent="0.25">
      <c r="A676" s="92"/>
      <c r="B676" s="81"/>
      <c r="C676" s="81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  <c r="Q676" s="138"/>
    </row>
    <row r="677" spans="1:17" s="34" customFormat="1" x14ac:dyDescent="0.25">
      <c r="A677" s="92"/>
      <c r="B677" s="81"/>
      <c r="C677" s="81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  <c r="Q677" s="138"/>
    </row>
    <row r="678" spans="1:17" s="34" customFormat="1" x14ac:dyDescent="0.25">
      <c r="A678" s="92"/>
      <c r="B678" s="81"/>
      <c r="C678" s="81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  <c r="Q678" s="138"/>
    </row>
    <row r="679" spans="1:17" s="34" customFormat="1" x14ac:dyDescent="0.25">
      <c r="A679" s="92"/>
      <c r="B679" s="81"/>
      <c r="C679" s="81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  <c r="Q679" s="138"/>
    </row>
    <row r="680" spans="1:17" s="34" customFormat="1" x14ac:dyDescent="0.25">
      <c r="A680" s="92"/>
      <c r="B680" s="81"/>
      <c r="C680" s="81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  <c r="Q680" s="138"/>
    </row>
    <row r="681" spans="1:17" s="34" customFormat="1" x14ac:dyDescent="0.25">
      <c r="A681" s="92"/>
      <c r="B681" s="81"/>
      <c r="C681" s="81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  <c r="Q681" s="138"/>
    </row>
    <row r="682" spans="1:17" s="34" customFormat="1" x14ac:dyDescent="0.25">
      <c r="A682" s="92"/>
      <c r="B682" s="81"/>
      <c r="C682" s="81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  <c r="Q682" s="138"/>
    </row>
    <row r="683" spans="1:17" s="34" customFormat="1" x14ac:dyDescent="0.25">
      <c r="A683" s="92"/>
      <c r="B683" s="81"/>
      <c r="C683" s="81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  <c r="Q683" s="138"/>
    </row>
    <row r="684" spans="1:17" s="34" customFormat="1" x14ac:dyDescent="0.25">
      <c r="A684" s="92"/>
      <c r="B684" s="81"/>
      <c r="C684" s="81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  <c r="Q684" s="138"/>
    </row>
    <row r="685" spans="1:17" s="34" customFormat="1" x14ac:dyDescent="0.25">
      <c r="A685" s="92"/>
      <c r="B685" s="81"/>
      <c r="C685" s="81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  <c r="Q685" s="138"/>
    </row>
  </sheetData>
  <mergeCells count="27">
    <mergeCell ref="N192:P192"/>
    <mergeCell ref="L11:L12"/>
    <mergeCell ref="M11:N11"/>
    <mergeCell ref="O11:O12"/>
    <mergeCell ref="D10:D12"/>
    <mergeCell ref="G11:H11"/>
    <mergeCell ref="J10:O10"/>
    <mergeCell ref="I11:I12"/>
    <mergeCell ref="P10:P12"/>
    <mergeCell ref="J11:J12"/>
    <mergeCell ref="K11:K12"/>
    <mergeCell ref="L3:O3"/>
    <mergeCell ref="Q165:Q193"/>
    <mergeCell ref="Q1:Q36"/>
    <mergeCell ref="Q37:Q73"/>
    <mergeCell ref="Q74:Q101"/>
    <mergeCell ref="Q102:Q134"/>
    <mergeCell ref="Q135:Q164"/>
    <mergeCell ref="A6:P6"/>
    <mergeCell ref="A8:B8"/>
    <mergeCell ref="A7:B7"/>
    <mergeCell ref="A10:A12"/>
    <mergeCell ref="C10:C12"/>
    <mergeCell ref="B10:B12"/>
    <mergeCell ref="E11:E12"/>
    <mergeCell ref="F11:F12"/>
    <mergeCell ref="E10:I10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3" fitToHeight="100" orientation="landscape" useFirstPageNumber="1" r:id="rId1"/>
  <headerFooter differentFirst="1" scaleWithDoc="0" alignWithMargins="0">
    <oddHeader>&amp;RПродовження додатку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showGridLines="0" showZeros="0" view="pageBreakPreview" topLeftCell="D125" zoomScale="73" zoomScaleNormal="70" zoomScaleSheetLayoutView="73" workbookViewId="0">
      <selection activeCell="Q140" sqref="Q140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" style="4" customWidth="1"/>
    <col min="5" max="5" width="23.6640625" style="4" customWidth="1"/>
    <col min="6" max="6" width="22.1640625" style="4" customWidth="1"/>
    <col min="7" max="7" width="21.6640625" style="4" customWidth="1"/>
    <col min="8" max="8" width="20" style="4" customWidth="1"/>
    <col min="9" max="9" width="20.6640625" style="4" customWidth="1"/>
    <col min="10" max="10" width="22" style="4" customWidth="1"/>
    <col min="11" max="11" width="19.6640625" style="4" customWidth="1"/>
    <col min="12" max="12" width="18.83203125" style="4" customWidth="1"/>
    <col min="13" max="13" width="19" style="4" customWidth="1"/>
    <col min="14" max="14" width="21" style="4" customWidth="1"/>
    <col min="15" max="15" width="21.5" style="4" customWidth="1"/>
    <col min="16" max="16" width="7.33203125" style="138" customWidth="1"/>
    <col min="17" max="16384" width="9.1640625" style="4"/>
  </cols>
  <sheetData>
    <row r="1" spans="1:17" ht="26.25" x14ac:dyDescent="0.25">
      <c r="K1" s="127" t="s">
        <v>442</v>
      </c>
      <c r="L1" s="127"/>
      <c r="M1" s="127"/>
      <c r="N1" s="127"/>
      <c r="O1" s="127"/>
      <c r="P1" s="141">
        <v>21</v>
      </c>
    </row>
    <row r="2" spans="1:17" ht="26.25" x14ac:dyDescent="0.25">
      <c r="K2" s="127" t="s">
        <v>440</v>
      </c>
      <c r="L2" s="127"/>
      <c r="M2" s="127"/>
      <c r="N2" s="127"/>
      <c r="O2" s="104"/>
      <c r="P2" s="141"/>
      <c r="Q2" s="34"/>
    </row>
    <row r="3" spans="1:17" ht="26.25" customHeight="1" x14ac:dyDescent="0.25">
      <c r="K3" s="139" t="s">
        <v>446</v>
      </c>
      <c r="L3" s="139"/>
      <c r="M3" s="139"/>
      <c r="N3" s="139"/>
      <c r="O3" s="128"/>
      <c r="P3" s="141"/>
      <c r="Q3" s="128"/>
    </row>
    <row r="4" spans="1:17" ht="26.25" customHeight="1" x14ac:dyDescent="0.25">
      <c r="K4" s="128"/>
      <c r="L4" s="128"/>
      <c r="M4" s="128"/>
      <c r="N4" s="128"/>
      <c r="O4" s="128"/>
      <c r="P4" s="141"/>
      <c r="Q4" s="128"/>
    </row>
    <row r="5" spans="1:17" ht="65.25" customHeight="1" x14ac:dyDescent="0.25">
      <c r="A5" s="151" t="s">
        <v>437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41"/>
    </row>
    <row r="6" spans="1:17" ht="31.5" customHeight="1" x14ac:dyDescent="0.25">
      <c r="A6" s="145" t="s">
        <v>424</v>
      </c>
      <c r="B6" s="14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41"/>
    </row>
    <row r="7" spans="1:17" ht="12" customHeight="1" x14ac:dyDescent="0.25">
      <c r="A7" s="144" t="s">
        <v>425</v>
      </c>
      <c r="B7" s="144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41"/>
    </row>
    <row r="8" spans="1:17" s="17" customFormat="1" ht="24" customHeight="1" x14ac:dyDescent="0.3">
      <c r="A8" s="14"/>
      <c r="B8" s="15"/>
      <c r="C8" s="16"/>
      <c r="O8" s="118" t="s">
        <v>420</v>
      </c>
      <c r="P8" s="141"/>
    </row>
    <row r="9" spans="1:17" s="83" customFormat="1" ht="21.75" customHeight="1" x14ac:dyDescent="0.25">
      <c r="A9" s="152" t="s">
        <v>398</v>
      </c>
      <c r="B9" s="152" t="s">
        <v>384</v>
      </c>
      <c r="C9" s="152" t="s">
        <v>400</v>
      </c>
      <c r="D9" s="147" t="s">
        <v>265</v>
      </c>
      <c r="E9" s="147"/>
      <c r="F9" s="147"/>
      <c r="G9" s="147"/>
      <c r="H9" s="147"/>
      <c r="I9" s="147" t="s">
        <v>266</v>
      </c>
      <c r="J9" s="147"/>
      <c r="K9" s="147"/>
      <c r="L9" s="147"/>
      <c r="M9" s="147"/>
      <c r="N9" s="147"/>
      <c r="O9" s="147" t="s">
        <v>267</v>
      </c>
      <c r="P9" s="141"/>
    </row>
    <row r="10" spans="1:17" s="83" customFormat="1" ht="29.25" customHeight="1" x14ac:dyDescent="0.25">
      <c r="A10" s="152"/>
      <c r="B10" s="152"/>
      <c r="C10" s="152"/>
      <c r="D10" s="147" t="s">
        <v>385</v>
      </c>
      <c r="E10" s="147" t="s">
        <v>268</v>
      </c>
      <c r="F10" s="147"/>
      <c r="G10" s="147"/>
      <c r="H10" s="147" t="s">
        <v>270</v>
      </c>
      <c r="I10" s="147" t="s">
        <v>385</v>
      </c>
      <c r="J10" s="147" t="s">
        <v>386</v>
      </c>
      <c r="K10" s="147" t="s">
        <v>268</v>
      </c>
      <c r="L10" s="147" t="s">
        <v>269</v>
      </c>
      <c r="M10" s="147"/>
      <c r="N10" s="147" t="s">
        <v>270</v>
      </c>
      <c r="O10" s="147"/>
      <c r="P10" s="141"/>
    </row>
    <row r="11" spans="1:17" s="83" customFormat="1" ht="75.75" customHeight="1" x14ac:dyDescent="0.25">
      <c r="A11" s="152"/>
      <c r="B11" s="152"/>
      <c r="C11" s="152"/>
      <c r="D11" s="147"/>
      <c r="E11" s="147"/>
      <c r="F11" s="80" t="s">
        <v>271</v>
      </c>
      <c r="G11" s="80" t="s">
        <v>272</v>
      </c>
      <c r="H11" s="147"/>
      <c r="I11" s="147"/>
      <c r="J11" s="147"/>
      <c r="K11" s="147"/>
      <c r="L11" s="80" t="s">
        <v>271</v>
      </c>
      <c r="M11" s="80" t="s">
        <v>272</v>
      </c>
      <c r="N11" s="147"/>
      <c r="O11" s="147"/>
      <c r="P11" s="141"/>
    </row>
    <row r="12" spans="1:17" s="83" customFormat="1" ht="27.75" customHeight="1" x14ac:dyDescent="0.25">
      <c r="A12" s="7" t="s">
        <v>57</v>
      </c>
      <c r="B12" s="8"/>
      <c r="C12" s="9" t="s">
        <v>58</v>
      </c>
      <c r="D12" s="61">
        <f t="shared" ref="D12:O12" si="0">D13+D14</f>
        <v>237664200</v>
      </c>
      <c r="E12" s="61">
        <f t="shared" si="0"/>
        <v>237664200</v>
      </c>
      <c r="F12" s="61">
        <f t="shared" si="0"/>
        <v>179821400</v>
      </c>
      <c r="G12" s="61">
        <f t="shared" si="0"/>
        <v>4717900</v>
      </c>
      <c r="H12" s="61">
        <f t="shared" si="0"/>
        <v>0</v>
      </c>
      <c r="I12" s="61">
        <f t="shared" si="0"/>
        <v>4615200</v>
      </c>
      <c r="J12" s="61">
        <f t="shared" si="0"/>
        <v>1415200</v>
      </c>
      <c r="K12" s="61">
        <f t="shared" si="0"/>
        <v>3200000</v>
      </c>
      <c r="L12" s="61">
        <f t="shared" si="0"/>
        <v>2348000</v>
      </c>
      <c r="M12" s="61">
        <f t="shared" si="0"/>
        <v>90600</v>
      </c>
      <c r="N12" s="61">
        <f t="shared" si="0"/>
        <v>1415200</v>
      </c>
      <c r="O12" s="61">
        <f t="shared" si="0"/>
        <v>242279400</v>
      </c>
      <c r="P12" s="141"/>
    </row>
    <row r="13" spans="1:17" ht="57.75" customHeight="1" x14ac:dyDescent="0.25">
      <c r="A13" s="46" t="s">
        <v>140</v>
      </c>
      <c r="B13" s="46" t="s">
        <v>60</v>
      </c>
      <c r="C13" s="6" t="s">
        <v>141</v>
      </c>
      <c r="D13" s="62">
        <f>'дод 3 '!E15+'дод 3 '!E48+'дод 3 '!E71+'дод 3 '!E87+'дод 3 '!E109+'дод 3 '!E114+'дод 3 '!E124+'дод 3 '!E144+'дод 3 '!E147+'дод 3 '!E159+'дод 3 '!E164+'дод 3 '!E167+'дод 3 '!E175</f>
        <v>237354200</v>
      </c>
      <c r="E13" s="62">
        <f>'дод 3 '!F15+'дод 3 '!F48+'дод 3 '!F71+'дод 3 '!F87+'дод 3 '!F109+'дод 3 '!F114+'дод 3 '!F124+'дод 3 '!F144+'дод 3 '!F147+'дод 3 '!F159+'дод 3 '!F164+'дод 3 '!F167+'дод 3 '!F175</f>
        <v>237354200</v>
      </c>
      <c r="F13" s="62">
        <f>'дод 3 '!G15+'дод 3 '!G48+'дод 3 '!G71+'дод 3 '!G87+'дод 3 '!G109+'дод 3 '!G114+'дод 3 '!G124+'дод 3 '!G144+'дод 3 '!G147+'дод 3 '!G159+'дод 3 '!G164+'дод 3 '!G167+'дод 3 '!G175</f>
        <v>179821400</v>
      </c>
      <c r="G13" s="62">
        <f>'дод 3 '!H15+'дод 3 '!H48+'дод 3 '!H71+'дод 3 '!H87+'дод 3 '!H109+'дод 3 '!H114+'дод 3 '!H124+'дод 3 '!H144+'дод 3 '!H147+'дод 3 '!H159+'дод 3 '!H164+'дод 3 '!H167+'дод 3 '!H175</f>
        <v>4717900</v>
      </c>
      <c r="H13" s="62">
        <f>'дод 3 '!I15+'дод 3 '!I48+'дод 3 '!I71+'дод 3 '!I87+'дод 3 '!I109+'дод 3 '!I114+'дод 3 '!I124+'дод 3 '!I144+'дод 3 '!I147+'дод 3 '!I159+'дод 3 '!I164+'дод 3 '!I167+'дод 3 '!I175</f>
        <v>0</v>
      </c>
      <c r="I13" s="62">
        <f>'дод 3 '!J15+'дод 3 '!J48+'дод 3 '!J71+'дод 3 '!J87+'дод 3 '!J109+'дод 3 '!J114+'дод 3 '!J124+'дод 3 '!J144+'дод 3 '!J147+'дод 3 '!J159+'дод 3 '!J164+'дод 3 '!J167+'дод 3 '!J175</f>
        <v>4615200</v>
      </c>
      <c r="J13" s="62">
        <f>'дод 3 '!K15+'дод 3 '!K48+'дод 3 '!K71+'дод 3 '!K87+'дод 3 '!K109+'дод 3 '!K114+'дод 3 '!K124+'дод 3 '!K144+'дод 3 '!K147+'дод 3 '!K159+'дод 3 '!K164+'дод 3 '!K167+'дод 3 '!K175</f>
        <v>1415200</v>
      </c>
      <c r="K13" s="62">
        <f>'дод 3 '!L15+'дод 3 '!L48+'дод 3 '!L71+'дод 3 '!L87+'дод 3 '!L109+'дод 3 '!L114+'дод 3 '!L124+'дод 3 '!L144+'дод 3 '!L147+'дод 3 '!L159+'дод 3 '!L164+'дод 3 '!L167+'дод 3 '!L175</f>
        <v>3200000</v>
      </c>
      <c r="L13" s="62">
        <f>'дод 3 '!M15+'дод 3 '!M48+'дод 3 '!M71+'дод 3 '!M87+'дод 3 '!M109+'дод 3 '!M114+'дод 3 '!M124+'дод 3 '!M144+'дод 3 '!M147+'дод 3 '!M159+'дод 3 '!M164+'дод 3 '!M167+'дод 3 '!M175</f>
        <v>2348000</v>
      </c>
      <c r="M13" s="62">
        <f>'дод 3 '!N15+'дод 3 '!N48+'дод 3 '!N71+'дод 3 '!N87+'дод 3 '!N109+'дод 3 '!N114+'дод 3 '!N124+'дод 3 '!N144+'дод 3 '!N147+'дод 3 '!N159+'дод 3 '!N164+'дод 3 '!N167+'дод 3 '!N175</f>
        <v>90600</v>
      </c>
      <c r="N13" s="62">
        <f>'дод 3 '!O15+'дод 3 '!O48+'дод 3 '!O71+'дод 3 '!O87+'дод 3 '!O109+'дод 3 '!O114+'дод 3 '!O124+'дод 3 '!O144+'дод 3 '!O147+'дод 3 '!O159+'дод 3 '!O164+'дод 3 '!O167+'дод 3 '!O175</f>
        <v>1415200</v>
      </c>
      <c r="O13" s="62">
        <f>'дод 3 '!P15+'дод 3 '!P48+'дод 3 '!P71+'дод 3 '!P87+'дод 3 '!P109+'дод 3 '!P114+'дод 3 '!P124+'дод 3 '!P144+'дод 3 '!P147+'дод 3 '!P159+'дод 3 '!P164+'дод 3 '!P167+'дод 3 '!P175</f>
        <v>241969400</v>
      </c>
      <c r="P13" s="141"/>
    </row>
    <row r="14" spans="1:17" ht="27" customHeight="1" x14ac:dyDescent="0.25">
      <c r="A14" s="46" t="s">
        <v>59</v>
      </c>
      <c r="B14" s="46" t="s">
        <v>113</v>
      </c>
      <c r="C14" s="6" t="s">
        <v>284</v>
      </c>
      <c r="D14" s="62">
        <f>'дод 3 '!E16</f>
        <v>310000</v>
      </c>
      <c r="E14" s="62">
        <f>'дод 3 '!F16</f>
        <v>310000</v>
      </c>
      <c r="F14" s="62">
        <f>'дод 3 '!G16</f>
        <v>0</v>
      </c>
      <c r="G14" s="62">
        <f>'дод 3 '!H16</f>
        <v>0</v>
      </c>
      <c r="H14" s="62">
        <f>'дод 3 '!I16</f>
        <v>0</v>
      </c>
      <c r="I14" s="62">
        <f>'дод 3 '!J16</f>
        <v>0</v>
      </c>
      <c r="J14" s="62">
        <f>'дод 3 '!K16</f>
        <v>0</v>
      </c>
      <c r="K14" s="62">
        <f>'дод 3 '!L16</f>
        <v>0</v>
      </c>
      <c r="L14" s="62">
        <f>'дод 3 '!M16</f>
        <v>0</v>
      </c>
      <c r="M14" s="62">
        <f>'дод 3 '!N16</f>
        <v>0</v>
      </c>
      <c r="N14" s="62">
        <f>'дод 3 '!O16</f>
        <v>0</v>
      </c>
      <c r="O14" s="62">
        <f>'дод 3 '!P16</f>
        <v>310000</v>
      </c>
      <c r="P14" s="141"/>
    </row>
    <row r="15" spans="1:17" s="83" customFormat="1" ht="24" customHeight="1" x14ac:dyDescent="0.25">
      <c r="A15" s="47" t="s">
        <v>61</v>
      </c>
      <c r="B15" s="48"/>
      <c r="C15" s="9" t="s">
        <v>62</v>
      </c>
      <c r="D15" s="61">
        <f>D17+D19+D21+D23+D24+D25+D27+D28+D29+D30</f>
        <v>987186364</v>
      </c>
      <c r="E15" s="61">
        <f t="shared" ref="E15:O15" si="1">E17+E19+E21+E23+E24+E25+E27+E28+E29+E30</f>
        <v>987186364</v>
      </c>
      <c r="F15" s="61">
        <f t="shared" si="1"/>
        <v>671153037</v>
      </c>
      <c r="G15" s="61">
        <f t="shared" si="1"/>
        <v>84066007</v>
      </c>
      <c r="H15" s="61">
        <f t="shared" si="1"/>
        <v>0</v>
      </c>
      <c r="I15" s="61">
        <f t="shared" si="1"/>
        <v>79523453</v>
      </c>
      <c r="J15" s="61">
        <f t="shared" si="1"/>
        <v>23427305</v>
      </c>
      <c r="K15" s="61">
        <f t="shared" si="1"/>
        <v>55986428</v>
      </c>
      <c r="L15" s="61">
        <f t="shared" si="1"/>
        <v>6476192</v>
      </c>
      <c r="M15" s="61">
        <f t="shared" si="1"/>
        <v>3124191</v>
      </c>
      <c r="N15" s="61">
        <f t="shared" si="1"/>
        <v>23537025</v>
      </c>
      <c r="O15" s="61">
        <f t="shared" si="1"/>
        <v>1066709817</v>
      </c>
      <c r="P15" s="141"/>
    </row>
    <row r="16" spans="1:17" s="84" customFormat="1" ht="24" customHeight="1" x14ac:dyDescent="0.25">
      <c r="A16" s="47"/>
      <c r="B16" s="48"/>
      <c r="C16" s="2" t="s">
        <v>308</v>
      </c>
      <c r="D16" s="61">
        <f>+D20+D22+D26+D18+D31</f>
        <v>360751654</v>
      </c>
      <c r="E16" s="61">
        <f t="shared" ref="E16:O16" si="2">+E20+E22+E26+E18+E31</f>
        <v>360751654</v>
      </c>
      <c r="F16" s="61">
        <f t="shared" si="2"/>
        <v>294458780</v>
      </c>
      <c r="G16" s="61">
        <f t="shared" si="2"/>
        <v>0</v>
      </c>
      <c r="H16" s="61">
        <f t="shared" si="2"/>
        <v>0</v>
      </c>
      <c r="I16" s="61">
        <f t="shared" si="2"/>
        <v>828008</v>
      </c>
      <c r="J16" s="61">
        <f t="shared" si="2"/>
        <v>828008</v>
      </c>
      <c r="K16" s="61">
        <f t="shared" si="2"/>
        <v>0</v>
      </c>
      <c r="L16" s="61">
        <f t="shared" si="2"/>
        <v>0</v>
      </c>
      <c r="M16" s="61">
        <f t="shared" si="2"/>
        <v>0</v>
      </c>
      <c r="N16" s="61">
        <f t="shared" si="2"/>
        <v>828008</v>
      </c>
      <c r="O16" s="61">
        <f t="shared" si="2"/>
        <v>361579662</v>
      </c>
      <c r="P16" s="141"/>
    </row>
    <row r="17" spans="1:16" ht="27" customHeight="1" x14ac:dyDescent="0.25">
      <c r="A17" s="46" t="s">
        <v>63</v>
      </c>
      <c r="B17" s="46" t="s">
        <v>64</v>
      </c>
      <c r="C17" s="6" t="s">
        <v>171</v>
      </c>
      <c r="D17" s="62">
        <f>'дод 3 '!E49</f>
        <v>244515426</v>
      </c>
      <c r="E17" s="62">
        <f>'дод 3 '!F49</f>
        <v>244515426</v>
      </c>
      <c r="F17" s="62">
        <f>'дод 3 '!G49</f>
        <v>159494540</v>
      </c>
      <c r="G17" s="62">
        <f>'дод 3 '!H49</f>
        <v>26923940</v>
      </c>
      <c r="H17" s="62">
        <f>'дод 3 '!I49</f>
        <v>0</v>
      </c>
      <c r="I17" s="62">
        <f>'дод 3 '!J49</f>
        <v>21113792</v>
      </c>
      <c r="J17" s="62">
        <f>'дод 3 '!K49</f>
        <v>4788136</v>
      </c>
      <c r="K17" s="62">
        <f>'дод 3 '!L49</f>
        <v>16325656</v>
      </c>
      <c r="L17" s="62">
        <f>'дод 3 '!M49</f>
        <v>0</v>
      </c>
      <c r="M17" s="62">
        <f>'дод 3 '!N49</f>
        <v>0</v>
      </c>
      <c r="N17" s="62">
        <f>'дод 3 '!O49</f>
        <v>4788136</v>
      </c>
      <c r="O17" s="62">
        <f>'дод 3 '!P49</f>
        <v>265629218</v>
      </c>
      <c r="P17" s="141"/>
    </row>
    <row r="18" spans="1:16" ht="27" customHeight="1" x14ac:dyDescent="0.25">
      <c r="A18" s="46"/>
      <c r="B18" s="46"/>
      <c r="C18" s="3" t="s">
        <v>308</v>
      </c>
      <c r="D18" s="62">
        <f>'дод 3 '!E50</f>
        <v>176336</v>
      </c>
      <c r="E18" s="62">
        <f>'дод 3 '!F50</f>
        <v>176336</v>
      </c>
      <c r="F18" s="62">
        <f>'дод 3 '!G50</f>
        <v>144540</v>
      </c>
      <c r="G18" s="62">
        <f>'дод 3 '!H50</f>
        <v>0</v>
      </c>
      <c r="H18" s="62">
        <f>'дод 3 '!I50</f>
        <v>0</v>
      </c>
      <c r="I18" s="62">
        <f>'дод 3 '!J50</f>
        <v>88136</v>
      </c>
      <c r="J18" s="62">
        <f>'дод 3 '!K50</f>
        <v>88136</v>
      </c>
      <c r="K18" s="62">
        <f>'дод 3 '!L50</f>
        <v>0</v>
      </c>
      <c r="L18" s="62">
        <f>'дод 3 '!M50</f>
        <v>0</v>
      </c>
      <c r="M18" s="62">
        <f>'дод 3 '!N50</f>
        <v>0</v>
      </c>
      <c r="N18" s="62">
        <f>'дод 3 '!O50</f>
        <v>88136</v>
      </c>
      <c r="O18" s="62">
        <f>'дод 3 '!P50</f>
        <v>264472</v>
      </c>
      <c r="P18" s="141"/>
    </row>
    <row r="19" spans="1:16" ht="55.5" customHeight="1" x14ac:dyDescent="0.25">
      <c r="A19" s="46" t="s">
        <v>65</v>
      </c>
      <c r="B19" s="46" t="s">
        <v>66</v>
      </c>
      <c r="C19" s="6" t="s">
        <v>430</v>
      </c>
      <c r="D19" s="62">
        <f>'дод 3 '!E51</f>
        <v>536779478</v>
      </c>
      <c r="E19" s="62">
        <f>'дод 3 '!F51</f>
        <v>536779478</v>
      </c>
      <c r="F19" s="62">
        <f>'дод 3 '!G51</f>
        <v>374591627</v>
      </c>
      <c r="G19" s="62">
        <f>'дод 3 '!H51</f>
        <v>40458440</v>
      </c>
      <c r="H19" s="62">
        <f>'дод 3 '!I51</f>
        <v>0</v>
      </c>
      <c r="I19" s="62">
        <f>'дод 3 '!J51</f>
        <v>46500916</v>
      </c>
      <c r="J19" s="62">
        <f>'дод 3 '!K51</f>
        <v>17589169</v>
      </c>
      <c r="K19" s="62">
        <f>'дод 3 '!L51</f>
        <v>28911747</v>
      </c>
      <c r="L19" s="62">
        <f>'дод 3 '!M51</f>
        <v>1713303</v>
      </c>
      <c r="M19" s="62">
        <f>'дод 3 '!N51</f>
        <v>147329</v>
      </c>
      <c r="N19" s="62">
        <f>'дод 3 '!O51</f>
        <v>17589169</v>
      </c>
      <c r="O19" s="62">
        <f>'дод 3 '!P51</f>
        <v>583280394</v>
      </c>
      <c r="P19" s="141"/>
    </row>
    <row r="20" spans="1:16" ht="28.5" customHeight="1" x14ac:dyDescent="0.25">
      <c r="A20" s="46"/>
      <c r="B20" s="46"/>
      <c r="C20" s="3" t="s">
        <v>308</v>
      </c>
      <c r="D20" s="62">
        <f>'дод 3 '!E52</f>
        <v>335299648</v>
      </c>
      <c r="E20" s="62">
        <f>'дод 3 '!F52</f>
        <v>335299648</v>
      </c>
      <c r="F20" s="62">
        <f>'дод 3 '!G52</f>
        <v>273588170</v>
      </c>
      <c r="G20" s="62">
        <f>'дод 3 '!H52</f>
        <v>0</v>
      </c>
      <c r="H20" s="62">
        <f>'дод 3 '!I52</f>
        <v>0</v>
      </c>
      <c r="I20" s="62">
        <f>'дод 3 '!J52</f>
        <v>739872</v>
      </c>
      <c r="J20" s="62">
        <f>'дод 3 '!K52</f>
        <v>739872</v>
      </c>
      <c r="K20" s="62">
        <f>'дод 3 '!L52</f>
        <v>0</v>
      </c>
      <c r="L20" s="62">
        <f>'дод 3 '!M52</f>
        <v>0</v>
      </c>
      <c r="M20" s="62">
        <f>'дод 3 '!N52</f>
        <v>0</v>
      </c>
      <c r="N20" s="62">
        <f>'дод 3 '!O52</f>
        <v>739872</v>
      </c>
      <c r="O20" s="62">
        <f>'дод 3 '!P52</f>
        <v>336039520</v>
      </c>
      <c r="P20" s="141"/>
    </row>
    <row r="21" spans="1:16" ht="75" customHeight="1" x14ac:dyDescent="0.25">
      <c r="A21" s="46">
        <v>1030</v>
      </c>
      <c r="B21" s="46" t="s">
        <v>70</v>
      </c>
      <c r="C21" s="6" t="s">
        <v>431</v>
      </c>
      <c r="D21" s="62">
        <f>'дод 3 '!E53</f>
        <v>9202880</v>
      </c>
      <c r="E21" s="62">
        <f>'дод 3 '!F53</f>
        <v>9202880</v>
      </c>
      <c r="F21" s="62">
        <f>'дод 3 '!G53</f>
        <v>6532300</v>
      </c>
      <c r="G21" s="62">
        <f>'дод 3 '!H53</f>
        <v>709270</v>
      </c>
      <c r="H21" s="62">
        <f>'дод 3 '!I53</f>
        <v>0</v>
      </c>
      <c r="I21" s="62">
        <f>'дод 3 '!J53</f>
        <v>150000</v>
      </c>
      <c r="J21" s="62">
        <f>'дод 3 '!K53</f>
        <v>150000</v>
      </c>
      <c r="K21" s="62">
        <f>'дод 3 '!L53</f>
        <v>0</v>
      </c>
      <c r="L21" s="62">
        <f>'дод 3 '!M53</f>
        <v>0</v>
      </c>
      <c r="M21" s="62">
        <f>'дод 3 '!N53</f>
        <v>0</v>
      </c>
      <c r="N21" s="62">
        <f>'дод 3 '!O53</f>
        <v>150000</v>
      </c>
      <c r="O21" s="62">
        <f>'дод 3 '!P53</f>
        <v>9352880</v>
      </c>
      <c r="P21" s="141"/>
    </row>
    <row r="22" spans="1:16" ht="21.75" customHeight="1" x14ac:dyDescent="0.25">
      <c r="A22" s="46"/>
      <c r="B22" s="46"/>
      <c r="C22" s="3" t="s">
        <v>308</v>
      </c>
      <c r="D22" s="62">
        <f>'дод 3 '!E54</f>
        <v>6214300</v>
      </c>
      <c r="E22" s="62">
        <f>'дод 3 '!F54</f>
        <v>6214300</v>
      </c>
      <c r="F22" s="62">
        <f>'дод 3 '!G54</f>
        <v>5102000</v>
      </c>
      <c r="G22" s="62">
        <f>'дод 3 '!H54</f>
        <v>0</v>
      </c>
      <c r="H22" s="62">
        <f>'дод 3 '!I54</f>
        <v>0</v>
      </c>
      <c r="I22" s="62">
        <f>'дод 3 '!J54</f>
        <v>0</v>
      </c>
      <c r="J22" s="62">
        <f>'дод 3 '!K54</f>
        <v>0</v>
      </c>
      <c r="K22" s="62">
        <f>'дод 3 '!L54</f>
        <v>0</v>
      </c>
      <c r="L22" s="62">
        <f>'дод 3 '!M54</f>
        <v>0</v>
      </c>
      <c r="M22" s="62">
        <f>'дод 3 '!N54</f>
        <v>0</v>
      </c>
      <c r="N22" s="62">
        <f>'дод 3 '!O54</f>
        <v>0</v>
      </c>
      <c r="O22" s="62">
        <f>'дод 3 '!P54</f>
        <v>6214300</v>
      </c>
      <c r="P22" s="141"/>
    </row>
    <row r="23" spans="1:16" ht="40.5" customHeight="1" x14ac:dyDescent="0.25">
      <c r="A23" s="46" t="s">
        <v>71</v>
      </c>
      <c r="B23" s="46" t="s">
        <v>72</v>
      </c>
      <c r="C23" s="6" t="s">
        <v>433</v>
      </c>
      <c r="D23" s="62">
        <f>'дод 3 '!E55</f>
        <v>27792840</v>
      </c>
      <c r="E23" s="62">
        <f>'дод 3 '!F55</f>
        <v>27792840</v>
      </c>
      <c r="F23" s="62">
        <f>'дод 3 '!G55</f>
        <v>19715700</v>
      </c>
      <c r="G23" s="62">
        <f>'дод 3 '!H55</f>
        <v>3358190</v>
      </c>
      <c r="H23" s="62">
        <f>'дод 3 '!I55</f>
        <v>0</v>
      </c>
      <c r="I23" s="62">
        <f>'дод 3 '!J55</f>
        <v>300000</v>
      </c>
      <c r="J23" s="62">
        <f>'дод 3 '!K55</f>
        <v>300000</v>
      </c>
      <c r="K23" s="62">
        <f>'дод 3 '!L55</f>
        <v>0</v>
      </c>
      <c r="L23" s="62">
        <f>'дод 3 '!M55</f>
        <v>0</v>
      </c>
      <c r="M23" s="62">
        <f>'дод 3 '!N55</f>
        <v>0</v>
      </c>
      <c r="N23" s="62">
        <f>'дод 3 '!O55</f>
        <v>300000</v>
      </c>
      <c r="O23" s="62">
        <f>'дод 3 '!P55</f>
        <v>28092840</v>
      </c>
      <c r="P23" s="141"/>
    </row>
    <row r="24" spans="1:16" ht="30.75" customHeight="1" x14ac:dyDescent="0.25">
      <c r="A24" s="46" t="s">
        <v>73</v>
      </c>
      <c r="B24" s="46" t="s">
        <v>72</v>
      </c>
      <c r="C24" s="6" t="s">
        <v>434</v>
      </c>
      <c r="D24" s="62">
        <f>'дод 3 '!E115</f>
        <v>38963600</v>
      </c>
      <c r="E24" s="62">
        <f>'дод 3 '!F115</f>
        <v>38963600</v>
      </c>
      <c r="F24" s="62">
        <f>'дод 3 '!G115</f>
        <v>30830000</v>
      </c>
      <c r="G24" s="62">
        <f>'дод 3 '!H115</f>
        <v>793600</v>
      </c>
      <c r="H24" s="62">
        <f>'дод 3 '!I115</f>
        <v>0</v>
      </c>
      <c r="I24" s="62">
        <f>'дод 3 '!J115</f>
        <v>3279640</v>
      </c>
      <c r="J24" s="62">
        <f>'дод 3 '!K115</f>
        <v>500000</v>
      </c>
      <c r="K24" s="62">
        <f>'дод 3 '!L115</f>
        <v>2774920</v>
      </c>
      <c r="L24" s="62">
        <f>'дод 3 '!M115</f>
        <v>2267316</v>
      </c>
      <c r="M24" s="62">
        <f>'дод 3 '!N115</f>
        <v>0</v>
      </c>
      <c r="N24" s="62">
        <f>'дод 3 '!O115</f>
        <v>504720</v>
      </c>
      <c r="O24" s="62">
        <f>'дод 3 '!P115</f>
        <v>42243240</v>
      </c>
      <c r="P24" s="141"/>
    </row>
    <row r="25" spans="1:16" ht="39.75" customHeight="1" x14ac:dyDescent="0.25">
      <c r="A25" s="46" t="s">
        <v>261</v>
      </c>
      <c r="B25" s="46" t="s">
        <v>74</v>
      </c>
      <c r="C25" s="6" t="s">
        <v>435</v>
      </c>
      <c r="D25" s="62">
        <f>'дод 3 '!E56</f>
        <v>115969900</v>
      </c>
      <c r="E25" s="62">
        <f>'дод 3 '!F56</f>
        <v>115969900</v>
      </c>
      <c r="F25" s="62">
        <f>'дод 3 '!G56</f>
        <v>69744500</v>
      </c>
      <c r="G25" s="62">
        <f>'дод 3 '!H56</f>
        <v>11007217</v>
      </c>
      <c r="H25" s="62">
        <f>'дод 3 '!I56</f>
        <v>0</v>
      </c>
      <c r="I25" s="62">
        <f>'дод 3 '!J56</f>
        <v>8079105</v>
      </c>
      <c r="J25" s="62">
        <f>'дод 3 '!K56</f>
        <v>0</v>
      </c>
      <c r="K25" s="62">
        <f>'дод 3 '!L56</f>
        <v>7974105</v>
      </c>
      <c r="L25" s="62">
        <f>'дод 3 '!M56</f>
        <v>2495573</v>
      </c>
      <c r="M25" s="62">
        <f>'дод 3 '!N56</f>
        <v>2976862</v>
      </c>
      <c r="N25" s="62">
        <f>'дод 3 '!O56</f>
        <v>105000</v>
      </c>
      <c r="O25" s="62">
        <f>'дод 3 '!P56</f>
        <v>124049005</v>
      </c>
      <c r="P25" s="141"/>
    </row>
    <row r="26" spans="1:16" ht="21" customHeight="1" x14ac:dyDescent="0.25">
      <c r="A26" s="46"/>
      <c r="B26" s="46"/>
      <c r="C26" s="3" t="s">
        <v>308</v>
      </c>
      <c r="D26" s="62">
        <f>'дод 3 '!E57</f>
        <v>17825000</v>
      </c>
      <c r="E26" s="62">
        <f>'дод 3 '!F57</f>
        <v>17825000</v>
      </c>
      <c r="F26" s="62">
        <f>'дод 3 '!G57</f>
        <v>14610650</v>
      </c>
      <c r="G26" s="62">
        <f>'дод 3 '!H57</f>
        <v>0</v>
      </c>
      <c r="H26" s="62">
        <f>'дод 3 '!I57</f>
        <v>0</v>
      </c>
      <c r="I26" s="62">
        <f>'дод 3 '!J57</f>
        <v>0</v>
      </c>
      <c r="J26" s="62">
        <f>'дод 3 '!K57</f>
        <v>0</v>
      </c>
      <c r="K26" s="62">
        <f>'дод 3 '!L57</f>
        <v>0</v>
      </c>
      <c r="L26" s="62">
        <f>'дод 3 '!M57</f>
        <v>0</v>
      </c>
      <c r="M26" s="62">
        <f>'дод 3 '!N57</f>
        <v>0</v>
      </c>
      <c r="N26" s="62">
        <f>'дод 3 '!O57</f>
        <v>0</v>
      </c>
      <c r="O26" s="62">
        <f>'дод 3 '!P57</f>
        <v>17825000</v>
      </c>
      <c r="P26" s="141"/>
    </row>
    <row r="27" spans="1:16" ht="33" customHeight="1" x14ac:dyDescent="0.25">
      <c r="A27" s="46" t="s">
        <v>142</v>
      </c>
      <c r="B27" s="46" t="s">
        <v>75</v>
      </c>
      <c r="C27" s="6" t="s">
        <v>436</v>
      </c>
      <c r="D27" s="62">
        <f>'дод 3 '!E58</f>
        <v>2893730</v>
      </c>
      <c r="E27" s="62">
        <f>'дод 3 '!F58</f>
        <v>2893730</v>
      </c>
      <c r="F27" s="62">
        <f>'дод 3 '!G58</f>
        <v>2237500</v>
      </c>
      <c r="G27" s="62">
        <f>'дод 3 '!H58</f>
        <v>120380</v>
      </c>
      <c r="H27" s="62">
        <f>'дод 3 '!I58</f>
        <v>0</v>
      </c>
      <c r="I27" s="62">
        <f>'дод 3 '!J58</f>
        <v>0</v>
      </c>
      <c r="J27" s="62">
        <f>'дод 3 '!K58</f>
        <v>0</v>
      </c>
      <c r="K27" s="62">
        <f>'дод 3 '!L58</f>
        <v>0</v>
      </c>
      <c r="L27" s="62">
        <f>'дод 3 '!M58</f>
        <v>0</v>
      </c>
      <c r="M27" s="62">
        <f>'дод 3 '!N58</f>
        <v>0</v>
      </c>
      <c r="N27" s="62">
        <f>'дод 3 '!O58</f>
        <v>0</v>
      </c>
      <c r="O27" s="62">
        <f>'дод 3 '!P58</f>
        <v>2893730</v>
      </c>
      <c r="P27" s="141"/>
    </row>
    <row r="28" spans="1:16" ht="36" customHeight="1" x14ac:dyDescent="0.25">
      <c r="A28" s="46" t="s">
        <v>327</v>
      </c>
      <c r="B28" s="46" t="s">
        <v>75</v>
      </c>
      <c r="C28" s="6" t="s">
        <v>329</v>
      </c>
      <c r="D28" s="62">
        <f>'дод 3 '!E59</f>
        <v>9333170</v>
      </c>
      <c r="E28" s="62">
        <f>'дод 3 '!F59</f>
        <v>9333170</v>
      </c>
      <c r="F28" s="62">
        <f>'дод 3 '!G59</f>
        <v>6782550</v>
      </c>
      <c r="G28" s="62">
        <f>'дод 3 '!H59</f>
        <v>613500</v>
      </c>
      <c r="H28" s="62">
        <f>'дод 3 '!I59</f>
        <v>0</v>
      </c>
      <c r="I28" s="62">
        <f>'дод 3 '!J59</f>
        <v>100000</v>
      </c>
      <c r="J28" s="62">
        <f>'дод 3 '!K59</f>
        <v>100000</v>
      </c>
      <c r="K28" s="62">
        <f>'дод 3 '!L59</f>
        <v>0</v>
      </c>
      <c r="L28" s="62">
        <f>'дод 3 '!M59</f>
        <v>0</v>
      </c>
      <c r="M28" s="62">
        <f>'дод 3 '!N59</f>
        <v>0</v>
      </c>
      <c r="N28" s="62">
        <f>'дод 3 '!O59</f>
        <v>100000</v>
      </c>
      <c r="O28" s="62">
        <f>'дод 3 '!P59</f>
        <v>9433170</v>
      </c>
      <c r="P28" s="141"/>
    </row>
    <row r="29" spans="1:16" ht="25.5" customHeight="1" x14ac:dyDescent="0.25">
      <c r="A29" s="46" t="s">
        <v>328</v>
      </c>
      <c r="B29" s="46" t="s">
        <v>75</v>
      </c>
      <c r="C29" s="6" t="s">
        <v>330</v>
      </c>
      <c r="D29" s="62">
        <f>'дод 3 '!E60</f>
        <v>107400</v>
      </c>
      <c r="E29" s="62">
        <f>'дод 3 '!F60</f>
        <v>107400</v>
      </c>
      <c r="F29" s="62">
        <f>'дод 3 '!G60</f>
        <v>0</v>
      </c>
      <c r="G29" s="62">
        <f>'дод 3 '!H60</f>
        <v>0</v>
      </c>
      <c r="H29" s="62">
        <f>'дод 3 '!I60</f>
        <v>0</v>
      </c>
      <c r="I29" s="62">
        <f>'дод 3 '!J60</f>
        <v>0</v>
      </c>
      <c r="J29" s="62">
        <f>'дод 3 '!K60</f>
        <v>0</v>
      </c>
      <c r="K29" s="62">
        <f>'дод 3 '!L60</f>
        <v>0</v>
      </c>
      <c r="L29" s="62">
        <f>'дод 3 '!M60</f>
        <v>0</v>
      </c>
      <c r="M29" s="62">
        <f>'дод 3 '!N60</f>
        <v>0</v>
      </c>
      <c r="N29" s="62">
        <f>'дод 3 '!O60</f>
        <v>0</v>
      </c>
      <c r="O29" s="62">
        <f>'дод 3 '!P60</f>
        <v>107400</v>
      </c>
      <c r="P29" s="141"/>
    </row>
    <row r="30" spans="1:16" ht="25.5" customHeight="1" x14ac:dyDescent="0.25">
      <c r="A30" s="46" t="s">
        <v>391</v>
      </c>
      <c r="B30" s="46" t="s">
        <v>75</v>
      </c>
      <c r="C30" s="42" t="s">
        <v>390</v>
      </c>
      <c r="D30" s="62">
        <f>SUM('дод 3 '!E61)</f>
        <v>1627940</v>
      </c>
      <c r="E30" s="62">
        <f>SUM('дод 3 '!F61)</f>
        <v>1627940</v>
      </c>
      <c r="F30" s="62">
        <f>SUM('дод 3 '!G61)</f>
        <v>1224320</v>
      </c>
      <c r="G30" s="62">
        <f>SUM('дод 3 '!H61)</f>
        <v>81470</v>
      </c>
      <c r="H30" s="62">
        <f>SUM('дод 3 '!I61)</f>
        <v>0</v>
      </c>
      <c r="I30" s="62">
        <f>SUM('дод 3 '!J61)</f>
        <v>0</v>
      </c>
      <c r="J30" s="62">
        <f>SUM('дод 3 '!K61)</f>
        <v>0</v>
      </c>
      <c r="K30" s="62">
        <f>SUM('дод 3 '!L61)</f>
        <v>0</v>
      </c>
      <c r="L30" s="62">
        <f>SUM('дод 3 '!M61)</f>
        <v>0</v>
      </c>
      <c r="M30" s="62">
        <f>SUM('дод 3 '!N61)</f>
        <v>0</v>
      </c>
      <c r="N30" s="62">
        <f>SUM('дод 3 '!O61)</f>
        <v>0</v>
      </c>
      <c r="O30" s="62">
        <f>SUM('дод 3 '!P61)</f>
        <v>1627940</v>
      </c>
      <c r="P30" s="141"/>
    </row>
    <row r="31" spans="1:16" ht="25.5" customHeight="1" x14ac:dyDescent="0.25">
      <c r="A31" s="46"/>
      <c r="B31" s="46"/>
      <c r="C31" s="3" t="s">
        <v>308</v>
      </c>
      <c r="D31" s="62">
        <f>'дод 3 '!E62</f>
        <v>1236370</v>
      </c>
      <c r="E31" s="62">
        <f>'дод 3 '!F62</f>
        <v>1236370</v>
      </c>
      <c r="F31" s="62">
        <f>'дод 3 '!G62</f>
        <v>1013420</v>
      </c>
      <c r="G31" s="62">
        <f>'дод 3 '!H62</f>
        <v>0</v>
      </c>
      <c r="H31" s="62">
        <f>'дод 3 '!I62</f>
        <v>0</v>
      </c>
      <c r="I31" s="62">
        <f>'дод 3 '!J62</f>
        <v>0</v>
      </c>
      <c r="J31" s="62">
        <f>'дод 3 '!K62</f>
        <v>0</v>
      </c>
      <c r="K31" s="62">
        <f>'дод 3 '!L62</f>
        <v>0</v>
      </c>
      <c r="L31" s="62">
        <f>'дод 3 '!M62</f>
        <v>0</v>
      </c>
      <c r="M31" s="62">
        <f>'дод 3 '!N62</f>
        <v>0</v>
      </c>
      <c r="N31" s="62">
        <f>'дод 3 '!O62</f>
        <v>0</v>
      </c>
      <c r="O31" s="62">
        <f>'дод 3 '!P62</f>
        <v>1236370</v>
      </c>
      <c r="P31" s="141"/>
    </row>
    <row r="32" spans="1:16" s="83" customFormat="1" ht="23.25" customHeight="1" x14ac:dyDescent="0.25">
      <c r="A32" s="47" t="s">
        <v>76</v>
      </c>
      <c r="B32" s="48"/>
      <c r="C32" s="9" t="s">
        <v>77</v>
      </c>
      <c r="D32" s="61">
        <f>D34+D36+D38+D40+D41+D43+D44</f>
        <v>165868211</v>
      </c>
      <c r="E32" s="61">
        <f t="shared" ref="E32:O32" si="3">E34+E36+E38+E40+E41+E43+E44</f>
        <v>165868211</v>
      </c>
      <c r="F32" s="61">
        <f t="shared" si="3"/>
        <v>0</v>
      </c>
      <c r="G32" s="61">
        <f t="shared" si="3"/>
        <v>0</v>
      </c>
      <c r="H32" s="61">
        <f t="shared" si="3"/>
        <v>0</v>
      </c>
      <c r="I32" s="61">
        <f t="shared" si="3"/>
        <v>43700600</v>
      </c>
      <c r="J32" s="61">
        <f t="shared" si="3"/>
        <v>43700600</v>
      </c>
      <c r="K32" s="61">
        <f t="shared" si="3"/>
        <v>0</v>
      </c>
      <c r="L32" s="61">
        <f t="shared" si="3"/>
        <v>0</v>
      </c>
      <c r="M32" s="61">
        <f t="shared" si="3"/>
        <v>0</v>
      </c>
      <c r="N32" s="61">
        <f t="shared" si="3"/>
        <v>43700600</v>
      </c>
      <c r="O32" s="61">
        <f t="shared" si="3"/>
        <v>209568811</v>
      </c>
      <c r="P32" s="141"/>
    </row>
    <row r="33" spans="1:16" s="83" customFormat="1" ht="23.25" customHeight="1" x14ac:dyDescent="0.25">
      <c r="A33" s="47"/>
      <c r="B33" s="48"/>
      <c r="C33" s="2" t="s">
        <v>308</v>
      </c>
      <c r="D33" s="61">
        <f>D35+D37+D39+D42</f>
        <v>57007811</v>
      </c>
      <c r="E33" s="61">
        <f t="shared" ref="E33:O33" si="4">E35+E37+E39+E42</f>
        <v>57007811</v>
      </c>
      <c r="F33" s="61">
        <f t="shared" si="4"/>
        <v>0</v>
      </c>
      <c r="G33" s="61">
        <f t="shared" si="4"/>
        <v>0</v>
      </c>
      <c r="H33" s="61">
        <f t="shared" si="4"/>
        <v>0</v>
      </c>
      <c r="I33" s="61">
        <f t="shared" si="4"/>
        <v>0</v>
      </c>
      <c r="J33" s="61">
        <f t="shared" si="4"/>
        <v>0</v>
      </c>
      <c r="K33" s="61">
        <f t="shared" si="4"/>
        <v>0</v>
      </c>
      <c r="L33" s="61">
        <f t="shared" si="4"/>
        <v>0</v>
      </c>
      <c r="M33" s="61">
        <f t="shared" si="4"/>
        <v>0</v>
      </c>
      <c r="N33" s="61">
        <f t="shared" si="4"/>
        <v>0</v>
      </c>
      <c r="O33" s="61">
        <f t="shared" si="4"/>
        <v>57007811</v>
      </c>
      <c r="P33" s="141"/>
    </row>
    <row r="34" spans="1:16" ht="31.5" x14ac:dyDescent="0.25">
      <c r="A34" s="46" t="s">
        <v>78</v>
      </c>
      <c r="B34" s="46" t="s">
        <v>79</v>
      </c>
      <c r="C34" s="6" t="s">
        <v>38</v>
      </c>
      <c r="D34" s="62">
        <f>'дод 3 '!E72</f>
        <v>118457491</v>
      </c>
      <c r="E34" s="62">
        <f>'дод 3 '!F72</f>
        <v>118457491</v>
      </c>
      <c r="F34" s="62">
        <f>'дод 3 '!G72</f>
        <v>0</v>
      </c>
      <c r="G34" s="62">
        <f>'дод 3 '!H72</f>
        <v>0</v>
      </c>
      <c r="H34" s="62">
        <f>'дод 3 '!I72</f>
        <v>0</v>
      </c>
      <c r="I34" s="62">
        <f>'дод 3 '!J72</f>
        <v>27530000</v>
      </c>
      <c r="J34" s="62">
        <f>'дод 3 '!K72</f>
        <v>27530000</v>
      </c>
      <c r="K34" s="62">
        <f>'дод 3 '!L72</f>
        <v>0</v>
      </c>
      <c r="L34" s="62">
        <f>'дод 3 '!M72</f>
        <v>0</v>
      </c>
      <c r="M34" s="62">
        <f>'дод 3 '!N72</f>
        <v>0</v>
      </c>
      <c r="N34" s="62">
        <f>'дод 3 '!O72</f>
        <v>27530000</v>
      </c>
      <c r="O34" s="62">
        <f>'дод 3 '!P72</f>
        <v>145987491</v>
      </c>
      <c r="P34" s="141"/>
    </row>
    <row r="35" spans="1:16" ht="15.75" customHeight="1" x14ac:dyDescent="0.25">
      <c r="A35" s="46"/>
      <c r="B35" s="46"/>
      <c r="C35" s="3" t="s">
        <v>308</v>
      </c>
      <c r="D35" s="62">
        <f>'дод 3 '!E73</f>
        <v>48037871</v>
      </c>
      <c r="E35" s="62">
        <f>'дод 3 '!F73</f>
        <v>48037871</v>
      </c>
      <c r="F35" s="62">
        <f>'дод 3 '!G73</f>
        <v>0</v>
      </c>
      <c r="G35" s="62">
        <f>'дод 3 '!H73</f>
        <v>0</v>
      </c>
      <c r="H35" s="62">
        <f>'дод 3 '!I73</f>
        <v>0</v>
      </c>
      <c r="I35" s="62">
        <f>'дод 3 '!J73</f>
        <v>0</v>
      </c>
      <c r="J35" s="62">
        <f>'дод 3 '!K73</f>
        <v>0</v>
      </c>
      <c r="K35" s="62">
        <f>'дод 3 '!L73</f>
        <v>0</v>
      </c>
      <c r="L35" s="62">
        <f>'дод 3 '!M73</f>
        <v>0</v>
      </c>
      <c r="M35" s="62">
        <f>'дод 3 '!N73</f>
        <v>0</v>
      </c>
      <c r="N35" s="62">
        <f>'дод 3 '!O73</f>
        <v>0</v>
      </c>
      <c r="O35" s="62">
        <f>'дод 3 '!P73</f>
        <v>48037871</v>
      </c>
      <c r="P35" s="141"/>
    </row>
    <row r="36" spans="1:16" ht="42.75" customHeight="1" x14ac:dyDescent="0.25">
      <c r="A36" s="46" t="s">
        <v>143</v>
      </c>
      <c r="B36" s="46" t="s">
        <v>80</v>
      </c>
      <c r="C36" s="6" t="s">
        <v>144</v>
      </c>
      <c r="D36" s="62">
        <f>'дод 3 '!E74</f>
        <v>15275473</v>
      </c>
      <c r="E36" s="62">
        <f>'дод 3 '!F74</f>
        <v>15275473</v>
      </c>
      <c r="F36" s="62">
        <f>'дод 3 '!G74</f>
        <v>0</v>
      </c>
      <c r="G36" s="62">
        <f>'дод 3 '!H74</f>
        <v>0</v>
      </c>
      <c r="H36" s="62">
        <f>'дод 3 '!I74</f>
        <v>0</v>
      </c>
      <c r="I36" s="62">
        <f>'дод 3 '!J74</f>
        <v>15040600</v>
      </c>
      <c r="J36" s="62">
        <f>'дод 3 '!K74</f>
        <v>15040600</v>
      </c>
      <c r="K36" s="62">
        <f>'дод 3 '!L74</f>
        <v>0</v>
      </c>
      <c r="L36" s="62">
        <f>'дод 3 '!M74</f>
        <v>0</v>
      </c>
      <c r="M36" s="62">
        <f>'дод 3 '!N74</f>
        <v>0</v>
      </c>
      <c r="N36" s="62">
        <f>'дод 3 '!O74</f>
        <v>15040600</v>
      </c>
      <c r="O36" s="62">
        <f>'дод 3 '!P74</f>
        <v>30316073</v>
      </c>
      <c r="P36" s="141"/>
    </row>
    <row r="37" spans="1:16" ht="24" customHeight="1" x14ac:dyDescent="0.25">
      <c r="A37" s="46"/>
      <c r="B37" s="46"/>
      <c r="C37" s="3" t="s">
        <v>308</v>
      </c>
      <c r="D37" s="62">
        <f>'дод 3 '!E75</f>
        <v>6347600</v>
      </c>
      <c r="E37" s="62">
        <f>'дод 3 '!F75</f>
        <v>6347600</v>
      </c>
      <c r="F37" s="62">
        <f>'дод 3 '!G75</f>
        <v>0</v>
      </c>
      <c r="G37" s="62">
        <f>'дод 3 '!H75</f>
        <v>0</v>
      </c>
      <c r="H37" s="62">
        <f>'дод 3 '!I75</f>
        <v>0</v>
      </c>
      <c r="I37" s="62">
        <f>'дод 3 '!J75</f>
        <v>0</v>
      </c>
      <c r="J37" s="62">
        <f>'дод 3 '!K75</f>
        <v>0</v>
      </c>
      <c r="K37" s="62">
        <f>'дод 3 '!L75</f>
        <v>0</v>
      </c>
      <c r="L37" s="62">
        <f>'дод 3 '!M75</f>
        <v>0</v>
      </c>
      <c r="M37" s="62">
        <f>'дод 3 '!N75</f>
        <v>0</v>
      </c>
      <c r="N37" s="62">
        <f>'дод 3 '!O75</f>
        <v>0</v>
      </c>
      <c r="O37" s="62">
        <f>'дод 3 '!P75</f>
        <v>6347600</v>
      </c>
      <c r="P37" s="142">
        <v>22</v>
      </c>
    </row>
    <row r="38" spans="1:16" ht="25.5" customHeight="1" x14ac:dyDescent="0.25">
      <c r="A38" s="46" t="s">
        <v>145</v>
      </c>
      <c r="B38" s="46" t="s">
        <v>81</v>
      </c>
      <c r="C38" s="6" t="s">
        <v>146</v>
      </c>
      <c r="D38" s="62">
        <f>'дод 3 '!E76</f>
        <v>6663426</v>
      </c>
      <c r="E38" s="62">
        <f>'дод 3 '!F76</f>
        <v>6663426</v>
      </c>
      <c r="F38" s="62">
        <f>'дод 3 '!G76</f>
        <v>0</v>
      </c>
      <c r="G38" s="62">
        <f>'дод 3 '!H76</f>
        <v>0</v>
      </c>
      <c r="H38" s="62">
        <f>'дод 3 '!I76</f>
        <v>0</v>
      </c>
      <c r="I38" s="62">
        <f>'дод 3 '!J76</f>
        <v>1130000</v>
      </c>
      <c r="J38" s="62">
        <f>'дод 3 '!K76</f>
        <v>1130000</v>
      </c>
      <c r="K38" s="62">
        <f>'дод 3 '!L76</f>
        <v>0</v>
      </c>
      <c r="L38" s="62">
        <f>'дод 3 '!M76</f>
        <v>0</v>
      </c>
      <c r="M38" s="62">
        <f>'дод 3 '!N76</f>
        <v>0</v>
      </c>
      <c r="N38" s="62">
        <f>'дод 3 '!O76</f>
        <v>1130000</v>
      </c>
      <c r="O38" s="62">
        <f>'дод 3 '!P76</f>
        <v>7793426</v>
      </c>
      <c r="P38" s="142"/>
    </row>
    <row r="39" spans="1:16" ht="25.5" customHeight="1" x14ac:dyDescent="0.25">
      <c r="A39" s="46"/>
      <c r="B39" s="46"/>
      <c r="C39" s="3" t="s">
        <v>308</v>
      </c>
      <c r="D39" s="62">
        <f>'дод 3 '!E77</f>
        <v>1132200</v>
      </c>
      <c r="E39" s="62">
        <f>'дод 3 '!F77</f>
        <v>1132200</v>
      </c>
      <c r="F39" s="62">
        <f>'дод 3 '!G77</f>
        <v>0</v>
      </c>
      <c r="G39" s="62">
        <f>'дод 3 '!H77</f>
        <v>0</v>
      </c>
      <c r="H39" s="62">
        <f>'дод 3 '!I77</f>
        <v>0</v>
      </c>
      <c r="I39" s="62">
        <f>'дод 3 '!J77</f>
        <v>0</v>
      </c>
      <c r="J39" s="62">
        <f>'дод 3 '!K77</f>
        <v>0</v>
      </c>
      <c r="K39" s="62">
        <f>'дод 3 '!L77</f>
        <v>0</v>
      </c>
      <c r="L39" s="62">
        <f>'дод 3 '!M77</f>
        <v>0</v>
      </c>
      <c r="M39" s="62">
        <f>'дод 3 '!N77</f>
        <v>0</v>
      </c>
      <c r="N39" s="62">
        <f>'дод 3 '!O77</f>
        <v>0</v>
      </c>
      <c r="O39" s="62">
        <f>'дод 3 '!P77</f>
        <v>1132200</v>
      </c>
      <c r="P39" s="142"/>
    </row>
    <row r="40" spans="1:16" ht="54" customHeight="1" x14ac:dyDescent="0.25">
      <c r="A40" s="46" t="s">
        <v>147</v>
      </c>
      <c r="B40" s="46" t="s">
        <v>365</v>
      </c>
      <c r="C40" s="6" t="s">
        <v>148</v>
      </c>
      <c r="D40" s="62">
        <f>'дод 3 '!E78</f>
        <v>1672468</v>
      </c>
      <c r="E40" s="62">
        <f>'дод 3 '!F78</f>
        <v>1672468</v>
      </c>
      <c r="F40" s="62">
        <f>'дод 3 '!G78</f>
        <v>0</v>
      </c>
      <c r="G40" s="62">
        <f>'дод 3 '!H78</f>
        <v>0</v>
      </c>
      <c r="H40" s="62">
        <f>'дод 3 '!I78</f>
        <v>0</v>
      </c>
      <c r="I40" s="62">
        <f>'дод 3 '!J78</f>
        <v>0</v>
      </c>
      <c r="J40" s="62">
        <f>'дод 3 '!K78</f>
        <v>0</v>
      </c>
      <c r="K40" s="62">
        <f>'дод 3 '!L78</f>
        <v>0</v>
      </c>
      <c r="L40" s="62">
        <f>'дод 3 '!M78</f>
        <v>0</v>
      </c>
      <c r="M40" s="62">
        <f>'дод 3 '!N78</f>
        <v>0</v>
      </c>
      <c r="N40" s="62">
        <f>'дод 3 '!O78</f>
        <v>0</v>
      </c>
      <c r="O40" s="62">
        <f>'дод 3 '!P78</f>
        <v>1672468</v>
      </c>
      <c r="P40" s="142"/>
    </row>
    <row r="41" spans="1:16" ht="36.75" customHeight="1" x14ac:dyDescent="0.25">
      <c r="A41" s="49">
        <v>2144</v>
      </c>
      <c r="B41" s="46" t="s">
        <v>82</v>
      </c>
      <c r="C41" s="6" t="s">
        <v>149</v>
      </c>
      <c r="D41" s="62">
        <f>'дод 3 '!E79</f>
        <v>2090140</v>
      </c>
      <c r="E41" s="62">
        <f>'дод 3 '!F79</f>
        <v>2090140</v>
      </c>
      <c r="F41" s="62">
        <f>'дод 3 '!G79</f>
        <v>0</v>
      </c>
      <c r="G41" s="62">
        <f>'дод 3 '!H79</f>
        <v>0</v>
      </c>
      <c r="H41" s="62">
        <f>'дод 3 '!I79</f>
        <v>0</v>
      </c>
      <c r="I41" s="62">
        <f>'дод 3 '!J79</f>
        <v>0</v>
      </c>
      <c r="J41" s="62">
        <f>'дод 3 '!K79</f>
        <v>0</v>
      </c>
      <c r="K41" s="62">
        <f>'дод 3 '!L79</f>
        <v>0</v>
      </c>
      <c r="L41" s="62">
        <f>'дод 3 '!M79</f>
        <v>0</v>
      </c>
      <c r="M41" s="62">
        <f>'дод 3 '!N79</f>
        <v>0</v>
      </c>
      <c r="N41" s="62">
        <f>'дод 3 '!O79</f>
        <v>0</v>
      </c>
      <c r="O41" s="62">
        <f>'дод 3 '!P79</f>
        <v>2090140</v>
      </c>
      <c r="P41" s="142"/>
    </row>
    <row r="42" spans="1:16" ht="24.75" customHeight="1" x14ac:dyDescent="0.25">
      <c r="A42" s="49"/>
      <c r="B42" s="46"/>
      <c r="C42" s="3" t="s">
        <v>308</v>
      </c>
      <c r="D42" s="62">
        <f>'дод 3 '!E80</f>
        <v>1490140</v>
      </c>
      <c r="E42" s="62">
        <f>'дод 3 '!F80</f>
        <v>1490140</v>
      </c>
      <c r="F42" s="62">
        <f>'дод 3 '!G80</f>
        <v>0</v>
      </c>
      <c r="G42" s="62">
        <f>'дод 3 '!H80</f>
        <v>0</v>
      </c>
      <c r="H42" s="62">
        <f>'дод 3 '!I80</f>
        <v>0</v>
      </c>
      <c r="I42" s="62">
        <f>'дод 3 '!J80</f>
        <v>0</v>
      </c>
      <c r="J42" s="62">
        <f>'дод 3 '!K80</f>
        <v>0</v>
      </c>
      <c r="K42" s="62">
        <f>'дод 3 '!L80</f>
        <v>0</v>
      </c>
      <c r="L42" s="62">
        <f>'дод 3 '!M80</f>
        <v>0</v>
      </c>
      <c r="M42" s="62">
        <f>'дод 3 '!N80</f>
        <v>0</v>
      </c>
      <c r="N42" s="62">
        <f>'дод 3 '!O80</f>
        <v>0</v>
      </c>
      <c r="O42" s="62">
        <f>'дод 3 '!P80</f>
        <v>1490140</v>
      </c>
      <c r="P42" s="142"/>
    </row>
    <row r="43" spans="1:16" ht="37.5" customHeight="1" x14ac:dyDescent="0.25">
      <c r="A43" s="46" t="s">
        <v>331</v>
      </c>
      <c r="B43" s="46" t="s">
        <v>82</v>
      </c>
      <c r="C43" s="3" t="s">
        <v>333</v>
      </c>
      <c r="D43" s="62">
        <f>'дод 3 '!E81</f>
        <v>2894213</v>
      </c>
      <c r="E43" s="62">
        <f>'дод 3 '!F81</f>
        <v>2894213</v>
      </c>
      <c r="F43" s="62">
        <f>'дод 3 '!G81</f>
        <v>0</v>
      </c>
      <c r="G43" s="62">
        <f>'дод 3 '!H81</f>
        <v>0</v>
      </c>
      <c r="H43" s="62">
        <f>'дод 3 '!I81</f>
        <v>0</v>
      </c>
      <c r="I43" s="62">
        <f>'дод 3 '!J81</f>
        <v>0</v>
      </c>
      <c r="J43" s="62">
        <f>'дод 3 '!K81</f>
        <v>0</v>
      </c>
      <c r="K43" s="62">
        <f>'дод 3 '!L81</f>
        <v>0</v>
      </c>
      <c r="L43" s="62">
        <f>'дод 3 '!M81</f>
        <v>0</v>
      </c>
      <c r="M43" s="62">
        <f>'дод 3 '!N81</f>
        <v>0</v>
      </c>
      <c r="N43" s="62">
        <f>'дод 3 '!O81</f>
        <v>0</v>
      </c>
      <c r="O43" s="62">
        <f>'дод 3 '!P81</f>
        <v>2894213</v>
      </c>
      <c r="P43" s="142"/>
    </row>
    <row r="44" spans="1:16" ht="21.75" customHeight="1" x14ac:dyDescent="0.25">
      <c r="A44" s="46" t="s">
        <v>332</v>
      </c>
      <c r="B44" s="46" t="s">
        <v>82</v>
      </c>
      <c r="C44" s="3" t="s">
        <v>334</v>
      </c>
      <c r="D44" s="62">
        <f>'дод 3 '!E82</f>
        <v>18815000</v>
      </c>
      <c r="E44" s="62">
        <f>'дод 3 '!F82</f>
        <v>18815000</v>
      </c>
      <c r="F44" s="62">
        <f>'дод 3 '!G82</f>
        <v>0</v>
      </c>
      <c r="G44" s="62">
        <f>'дод 3 '!H82</f>
        <v>0</v>
      </c>
      <c r="H44" s="62">
        <f>'дод 3 '!I82</f>
        <v>0</v>
      </c>
      <c r="I44" s="62">
        <f>'дод 3 '!J82</f>
        <v>0</v>
      </c>
      <c r="J44" s="62">
        <f>'дод 3 '!K82</f>
        <v>0</v>
      </c>
      <c r="K44" s="62">
        <f>'дод 3 '!L82</f>
        <v>0</v>
      </c>
      <c r="L44" s="62">
        <f>'дод 3 '!M82</f>
        <v>0</v>
      </c>
      <c r="M44" s="62">
        <f>'дод 3 '!N82</f>
        <v>0</v>
      </c>
      <c r="N44" s="62">
        <f>'дод 3 '!O82</f>
        <v>0</v>
      </c>
      <c r="O44" s="62">
        <f>'дод 3 '!P82</f>
        <v>18815000</v>
      </c>
      <c r="P44" s="142"/>
    </row>
    <row r="45" spans="1:16" s="83" customFormat="1" ht="34.5" customHeight="1" x14ac:dyDescent="0.25">
      <c r="A45" s="47" t="s">
        <v>83</v>
      </c>
      <c r="B45" s="50"/>
      <c r="C45" s="2" t="s">
        <v>84</v>
      </c>
      <c r="D45" s="61">
        <f>SUM(D46+D47+D48+D49+D50+D51+D52+D53+D54+D55+D56+D57+D58+D59+D60+D61+D62+D63+D64+D65+D66+D67+D68)</f>
        <v>140316813</v>
      </c>
      <c r="E45" s="61">
        <f t="shared" ref="E45:O45" si="5">SUM(E46+E47+E48+E49+E50+E51+E52+E53+E54+E55+E56+E57+E58+E59+E60+E61+E62+E63+E64+E65+E66+E67+E68)</f>
        <v>140316813</v>
      </c>
      <c r="F45" s="61">
        <f t="shared" si="5"/>
        <v>16632985</v>
      </c>
      <c r="G45" s="61">
        <f t="shared" si="5"/>
        <v>938160</v>
      </c>
      <c r="H45" s="61">
        <f t="shared" si="5"/>
        <v>0</v>
      </c>
      <c r="I45" s="61">
        <f t="shared" si="5"/>
        <v>863740</v>
      </c>
      <c r="J45" s="61">
        <f t="shared" si="5"/>
        <v>755640</v>
      </c>
      <c r="K45" s="61">
        <f t="shared" si="5"/>
        <v>108100</v>
      </c>
      <c r="L45" s="61">
        <f t="shared" si="5"/>
        <v>85100</v>
      </c>
      <c r="M45" s="61">
        <f t="shared" si="5"/>
        <v>0</v>
      </c>
      <c r="N45" s="61">
        <f t="shared" si="5"/>
        <v>755640</v>
      </c>
      <c r="O45" s="61">
        <f t="shared" si="5"/>
        <v>141180553</v>
      </c>
      <c r="P45" s="142"/>
    </row>
    <row r="46" spans="1:16" ht="45" customHeight="1" x14ac:dyDescent="0.25">
      <c r="A46" s="46" t="s">
        <v>118</v>
      </c>
      <c r="B46" s="46" t="s">
        <v>67</v>
      </c>
      <c r="C46" s="3" t="s">
        <v>150</v>
      </c>
      <c r="D46" s="62">
        <f>'дод 3 '!E88</f>
        <v>582400</v>
      </c>
      <c r="E46" s="62">
        <f>'дод 3 '!F88</f>
        <v>582400</v>
      </c>
      <c r="F46" s="62">
        <f>'дод 3 '!G88</f>
        <v>0</v>
      </c>
      <c r="G46" s="62">
        <f>'дод 3 '!H88</f>
        <v>0</v>
      </c>
      <c r="H46" s="62">
        <f>'дод 3 '!I88</f>
        <v>0</v>
      </c>
      <c r="I46" s="62">
        <f>'дод 3 '!J88</f>
        <v>0</v>
      </c>
      <c r="J46" s="62">
        <f>'дод 3 '!K88</f>
        <v>0</v>
      </c>
      <c r="K46" s="62">
        <f>'дод 3 '!L88</f>
        <v>0</v>
      </c>
      <c r="L46" s="62">
        <f>'дод 3 '!M88</f>
        <v>0</v>
      </c>
      <c r="M46" s="62">
        <f>'дод 3 '!N88</f>
        <v>0</v>
      </c>
      <c r="N46" s="62">
        <f>'дод 3 '!O88</f>
        <v>0</v>
      </c>
      <c r="O46" s="62">
        <f>'дод 3 '!P88</f>
        <v>582400</v>
      </c>
      <c r="P46" s="142"/>
    </row>
    <row r="47" spans="1:16" ht="41.25" customHeight="1" x14ac:dyDescent="0.25">
      <c r="A47" s="46" t="s">
        <v>151</v>
      </c>
      <c r="B47" s="46" t="s">
        <v>69</v>
      </c>
      <c r="C47" s="3" t="s">
        <v>423</v>
      </c>
      <c r="D47" s="62">
        <f>'дод 3 '!E89</f>
        <v>1300000</v>
      </c>
      <c r="E47" s="62">
        <f>'дод 3 '!F89</f>
        <v>1300000</v>
      </c>
      <c r="F47" s="62">
        <f>'дод 3 '!G89</f>
        <v>0</v>
      </c>
      <c r="G47" s="62">
        <f>'дод 3 '!H89</f>
        <v>0</v>
      </c>
      <c r="H47" s="62">
        <f>'дод 3 '!I89</f>
        <v>0</v>
      </c>
      <c r="I47" s="62">
        <f>'дод 3 '!J89</f>
        <v>0</v>
      </c>
      <c r="J47" s="62">
        <f>'дод 3 '!K89</f>
        <v>0</v>
      </c>
      <c r="K47" s="62">
        <f>'дод 3 '!L89</f>
        <v>0</v>
      </c>
      <c r="L47" s="62">
        <f>'дод 3 '!M89</f>
        <v>0</v>
      </c>
      <c r="M47" s="62">
        <f>'дод 3 '!N89</f>
        <v>0</v>
      </c>
      <c r="N47" s="62">
        <f>'дод 3 '!O89</f>
        <v>0</v>
      </c>
      <c r="O47" s="62">
        <f>'дод 3 '!P89</f>
        <v>1300000</v>
      </c>
      <c r="P47" s="142"/>
    </row>
    <row r="48" spans="1:16" ht="54.75" customHeight="1" x14ac:dyDescent="0.25">
      <c r="A48" s="46" t="s">
        <v>119</v>
      </c>
      <c r="B48" s="46" t="s">
        <v>69</v>
      </c>
      <c r="C48" s="3" t="s">
        <v>55</v>
      </c>
      <c r="D48" s="62">
        <f>'дод 3 '!E90+'дод 3 '!E17</f>
        <v>24721300</v>
      </c>
      <c r="E48" s="62">
        <f>'дод 3 '!F90+'дод 3 '!F17</f>
        <v>24721300</v>
      </c>
      <c r="F48" s="62">
        <f>'дод 3 '!G90+'дод 3 '!G17</f>
        <v>0</v>
      </c>
      <c r="G48" s="62">
        <f>'дод 3 '!H90+'дод 3 '!H17</f>
        <v>0</v>
      </c>
      <c r="H48" s="62">
        <f>'дод 3 '!I90+'дод 3 '!I17</f>
        <v>0</v>
      </c>
      <c r="I48" s="62">
        <f>'дод 3 '!J90+'дод 3 '!J17</f>
        <v>0</v>
      </c>
      <c r="J48" s="62">
        <f>'дод 3 '!K90+'дод 3 '!K17</f>
        <v>0</v>
      </c>
      <c r="K48" s="62">
        <f>'дод 3 '!L90+'дод 3 '!L17</f>
        <v>0</v>
      </c>
      <c r="L48" s="62">
        <f>'дод 3 '!M90+'дод 3 '!M17</f>
        <v>0</v>
      </c>
      <c r="M48" s="62">
        <f>'дод 3 '!N90+'дод 3 '!N17</f>
        <v>0</v>
      </c>
      <c r="N48" s="62">
        <f>'дод 3 '!O90+'дод 3 '!O17</f>
        <v>0</v>
      </c>
      <c r="O48" s="62">
        <f>'дод 3 '!P90+'дод 3 '!P17</f>
        <v>24721300</v>
      </c>
      <c r="P48" s="142"/>
    </row>
    <row r="49" spans="1:16" ht="46.5" customHeight="1" x14ac:dyDescent="0.25">
      <c r="A49" s="46" t="s">
        <v>380</v>
      </c>
      <c r="B49" s="46" t="s">
        <v>69</v>
      </c>
      <c r="C49" s="3" t="s">
        <v>379</v>
      </c>
      <c r="D49" s="62">
        <f>'дод 3 '!E91</f>
        <v>1000000</v>
      </c>
      <c r="E49" s="62">
        <f>'дод 3 '!F91</f>
        <v>1000000</v>
      </c>
      <c r="F49" s="62">
        <f>'дод 3 '!G91</f>
        <v>0</v>
      </c>
      <c r="G49" s="62">
        <f>'дод 3 '!H91</f>
        <v>0</v>
      </c>
      <c r="H49" s="62">
        <f>'дод 3 '!I91</f>
        <v>0</v>
      </c>
      <c r="I49" s="62">
        <f>'дод 3 '!J91</f>
        <v>0</v>
      </c>
      <c r="J49" s="62">
        <f>'дод 3 '!K91</f>
        <v>0</v>
      </c>
      <c r="K49" s="62">
        <f>'дод 3 '!L91</f>
        <v>0</v>
      </c>
      <c r="L49" s="62">
        <f>'дод 3 '!M91</f>
        <v>0</v>
      </c>
      <c r="M49" s="62">
        <f>'дод 3 '!N91</f>
        <v>0</v>
      </c>
      <c r="N49" s="62">
        <f>'дод 3 '!O91</f>
        <v>0</v>
      </c>
      <c r="O49" s="62">
        <f>'дод 3 '!P91</f>
        <v>1000000</v>
      </c>
      <c r="P49" s="142"/>
    </row>
    <row r="50" spans="1:16" ht="45" customHeight="1" x14ac:dyDescent="0.25">
      <c r="A50" s="46" t="s">
        <v>152</v>
      </c>
      <c r="B50" s="46" t="s">
        <v>69</v>
      </c>
      <c r="C50" s="3" t="s">
        <v>25</v>
      </c>
      <c r="D50" s="62">
        <f>'дод 3 '!E92+'дод 3 '!E18</f>
        <v>40740825</v>
      </c>
      <c r="E50" s="62">
        <f>'дод 3 '!F92+'дод 3 '!F18</f>
        <v>40740825</v>
      </c>
      <c r="F50" s="62">
        <f>'дод 3 '!G92+'дод 3 '!G18</f>
        <v>0</v>
      </c>
      <c r="G50" s="62">
        <f>'дод 3 '!H92+'дод 3 '!H18</f>
        <v>0</v>
      </c>
      <c r="H50" s="62">
        <f>'дод 3 '!I92+'дод 3 '!I18</f>
        <v>0</v>
      </c>
      <c r="I50" s="62">
        <f>'дод 3 '!J92+'дод 3 '!J18</f>
        <v>0</v>
      </c>
      <c r="J50" s="62">
        <f>'дод 3 '!K92+'дод 3 '!K18</f>
        <v>0</v>
      </c>
      <c r="K50" s="62">
        <f>'дод 3 '!L92+'дод 3 '!L18</f>
        <v>0</v>
      </c>
      <c r="L50" s="62">
        <f>'дод 3 '!M92+'дод 3 '!M18</f>
        <v>0</v>
      </c>
      <c r="M50" s="62">
        <f>'дод 3 '!N92+'дод 3 '!N18</f>
        <v>0</v>
      </c>
      <c r="N50" s="62">
        <f>'дод 3 '!O92+'дод 3 '!O18</f>
        <v>0</v>
      </c>
      <c r="O50" s="62">
        <f>'дод 3 '!P92+'дод 3 '!P18</f>
        <v>40740825</v>
      </c>
      <c r="P50" s="142"/>
    </row>
    <row r="51" spans="1:16" ht="40.5" customHeight="1" x14ac:dyDescent="0.25">
      <c r="A51" s="46" t="s">
        <v>121</v>
      </c>
      <c r="B51" s="46" t="s">
        <v>69</v>
      </c>
      <c r="C51" s="3" t="s">
        <v>41</v>
      </c>
      <c r="D51" s="62">
        <f>'дод 3 '!E93</f>
        <v>853000</v>
      </c>
      <c r="E51" s="62">
        <f>'дод 3 '!F93</f>
        <v>853000</v>
      </c>
      <c r="F51" s="62">
        <f>'дод 3 '!G93</f>
        <v>0</v>
      </c>
      <c r="G51" s="62">
        <f>'дод 3 '!H93</f>
        <v>0</v>
      </c>
      <c r="H51" s="62">
        <f>'дод 3 '!I93</f>
        <v>0</v>
      </c>
      <c r="I51" s="62">
        <f>'дод 3 '!J93</f>
        <v>0</v>
      </c>
      <c r="J51" s="62">
        <f>'дод 3 '!K93</f>
        <v>0</v>
      </c>
      <c r="K51" s="62">
        <f>'дод 3 '!L93</f>
        <v>0</v>
      </c>
      <c r="L51" s="62">
        <f>'дод 3 '!M93</f>
        <v>0</v>
      </c>
      <c r="M51" s="62">
        <f>'дод 3 '!N93</f>
        <v>0</v>
      </c>
      <c r="N51" s="62">
        <f>'дод 3 '!O93</f>
        <v>0</v>
      </c>
      <c r="O51" s="62">
        <f>'дод 3 '!P93</f>
        <v>853000</v>
      </c>
      <c r="P51" s="142"/>
    </row>
    <row r="52" spans="1:16" ht="40.5" customHeight="1" x14ac:dyDescent="0.25">
      <c r="A52" s="46" t="s">
        <v>368</v>
      </c>
      <c r="B52" s="46" t="s">
        <v>67</v>
      </c>
      <c r="C52" s="3" t="s">
        <v>369</v>
      </c>
      <c r="D52" s="62">
        <f>'дод 3 '!E94</f>
        <v>228400</v>
      </c>
      <c r="E52" s="62">
        <f>'дод 3 '!F94</f>
        <v>228400</v>
      </c>
      <c r="F52" s="62">
        <f>'дод 3 '!G94</f>
        <v>0</v>
      </c>
      <c r="G52" s="62">
        <f>'дод 3 '!H94</f>
        <v>0</v>
      </c>
      <c r="H52" s="62">
        <f>'дод 3 '!I94</f>
        <v>0</v>
      </c>
      <c r="I52" s="62">
        <f>'дод 3 '!J94</f>
        <v>0</v>
      </c>
      <c r="J52" s="62">
        <f>'дод 3 '!K94</f>
        <v>0</v>
      </c>
      <c r="K52" s="62">
        <f>'дод 3 '!L94</f>
        <v>0</v>
      </c>
      <c r="L52" s="62">
        <f>'дод 3 '!M94</f>
        <v>0</v>
      </c>
      <c r="M52" s="62">
        <f>'дод 3 '!N94</f>
        <v>0</v>
      </c>
      <c r="N52" s="62">
        <f>'дод 3 '!O94</f>
        <v>0</v>
      </c>
      <c r="O52" s="62">
        <f>'дод 3 '!P94</f>
        <v>228400</v>
      </c>
      <c r="P52" s="142"/>
    </row>
    <row r="53" spans="1:16" ht="74.25" customHeight="1" x14ac:dyDescent="0.25">
      <c r="A53" s="46" t="s">
        <v>122</v>
      </c>
      <c r="B53" s="46" t="s">
        <v>65</v>
      </c>
      <c r="C53" s="3" t="s">
        <v>42</v>
      </c>
      <c r="D53" s="62">
        <f>'дод 3 '!E95</f>
        <v>13527630</v>
      </c>
      <c r="E53" s="62">
        <f>'дод 3 '!F95</f>
        <v>13527630</v>
      </c>
      <c r="F53" s="62">
        <f>'дод 3 '!G95</f>
        <v>10389550</v>
      </c>
      <c r="G53" s="62">
        <f>'дод 3 '!H95</f>
        <v>230060</v>
      </c>
      <c r="H53" s="62">
        <f>'дод 3 '!I95</f>
        <v>0</v>
      </c>
      <c r="I53" s="62">
        <f>'дод 3 '!J95</f>
        <v>108100</v>
      </c>
      <c r="J53" s="62">
        <f>'дод 3 '!K95</f>
        <v>0</v>
      </c>
      <c r="K53" s="62">
        <f>'дод 3 '!L95</f>
        <v>108100</v>
      </c>
      <c r="L53" s="62">
        <f>'дод 3 '!M95</f>
        <v>85100</v>
      </c>
      <c r="M53" s="62">
        <f>'дод 3 '!N95</f>
        <v>0</v>
      </c>
      <c r="N53" s="62">
        <f>'дод 3 '!O95</f>
        <v>0</v>
      </c>
      <c r="O53" s="62">
        <f>'дод 3 '!P95</f>
        <v>13635730</v>
      </c>
      <c r="P53" s="142"/>
    </row>
    <row r="54" spans="1:16" ht="69.75" customHeight="1" x14ac:dyDescent="0.25">
      <c r="A54" s="46" t="s">
        <v>392</v>
      </c>
      <c r="B54" s="46" t="s">
        <v>120</v>
      </c>
      <c r="C54" s="42" t="s">
        <v>393</v>
      </c>
      <c r="D54" s="62">
        <f>SUM('дод 3 '!E110)</f>
        <v>0</v>
      </c>
      <c r="E54" s="62">
        <f>SUM('дод 3 '!F110)</f>
        <v>0</v>
      </c>
      <c r="F54" s="62">
        <f>SUM('дод 3 '!G110)</f>
        <v>0</v>
      </c>
      <c r="G54" s="62">
        <f>SUM('дод 3 '!H110)</f>
        <v>0</v>
      </c>
      <c r="H54" s="62">
        <f>SUM('дод 3 '!I110)</f>
        <v>0</v>
      </c>
      <c r="I54" s="62">
        <f>SUM('дод 3 '!J110)</f>
        <v>20000</v>
      </c>
      <c r="J54" s="62">
        <f>SUM('дод 3 '!K110)</f>
        <v>20000</v>
      </c>
      <c r="K54" s="62">
        <f>SUM('дод 3 '!L110)</f>
        <v>0</v>
      </c>
      <c r="L54" s="62">
        <f>SUM('дод 3 '!M110)</f>
        <v>0</v>
      </c>
      <c r="M54" s="62">
        <f>SUM('дод 3 '!N110)</f>
        <v>0</v>
      </c>
      <c r="N54" s="62">
        <f>SUM('дод 3 '!O110)</f>
        <v>20000</v>
      </c>
      <c r="O54" s="62">
        <f>SUM('дод 3 '!P110)</f>
        <v>20000</v>
      </c>
      <c r="P54" s="142"/>
    </row>
    <row r="55" spans="1:16" s="85" customFormat="1" ht="43.5" customHeight="1" x14ac:dyDescent="0.25">
      <c r="A55" s="46" t="s">
        <v>123</v>
      </c>
      <c r="B55" s="46" t="s">
        <v>120</v>
      </c>
      <c r="C55" s="3" t="s">
        <v>43</v>
      </c>
      <c r="D55" s="62">
        <f>'дод 3 '!E111</f>
        <v>90500</v>
      </c>
      <c r="E55" s="62">
        <f>'дод 3 '!F111</f>
        <v>90500</v>
      </c>
      <c r="F55" s="62">
        <f>'дод 3 '!G111</f>
        <v>0</v>
      </c>
      <c r="G55" s="62">
        <f>'дод 3 '!H111</f>
        <v>0</v>
      </c>
      <c r="H55" s="62">
        <f>'дод 3 '!I111</f>
        <v>0</v>
      </c>
      <c r="I55" s="62">
        <f>'дод 3 '!J111</f>
        <v>0</v>
      </c>
      <c r="J55" s="62">
        <f>'дод 3 '!K111</f>
        <v>0</v>
      </c>
      <c r="K55" s="62">
        <f>'дод 3 '!L111</f>
        <v>0</v>
      </c>
      <c r="L55" s="62">
        <f>'дод 3 '!M111</f>
        <v>0</v>
      </c>
      <c r="M55" s="62">
        <f>'дод 3 '!N111</f>
        <v>0</v>
      </c>
      <c r="N55" s="62">
        <f>'дод 3 '!O111</f>
        <v>0</v>
      </c>
      <c r="O55" s="62">
        <f>'дод 3 '!P111</f>
        <v>90500</v>
      </c>
      <c r="P55" s="142"/>
    </row>
    <row r="56" spans="1:16" s="85" customFormat="1" ht="42.75" customHeight="1" x14ac:dyDescent="0.25">
      <c r="A56" s="46" t="s">
        <v>153</v>
      </c>
      <c r="B56" s="46" t="s">
        <v>120</v>
      </c>
      <c r="C56" s="3" t="s">
        <v>154</v>
      </c>
      <c r="D56" s="62">
        <f>'дод 3 '!E19</f>
        <v>2487735</v>
      </c>
      <c r="E56" s="62">
        <f>'дод 3 '!F19</f>
        <v>2487735</v>
      </c>
      <c r="F56" s="62">
        <f>'дод 3 '!G19</f>
        <v>1883250</v>
      </c>
      <c r="G56" s="62">
        <f>'дод 3 '!H19</f>
        <v>50170</v>
      </c>
      <c r="H56" s="62">
        <f>'дод 3 '!I19</f>
        <v>0</v>
      </c>
      <c r="I56" s="62">
        <f>'дод 3 '!J19</f>
        <v>0</v>
      </c>
      <c r="J56" s="62">
        <f>'дод 3 '!K19</f>
        <v>0</v>
      </c>
      <c r="K56" s="62">
        <f>'дод 3 '!L19</f>
        <v>0</v>
      </c>
      <c r="L56" s="62">
        <f>'дод 3 '!M19</f>
        <v>0</v>
      </c>
      <c r="M56" s="62">
        <f>'дод 3 '!N19</f>
        <v>0</v>
      </c>
      <c r="N56" s="62">
        <f>'дод 3 '!O19</f>
        <v>0</v>
      </c>
      <c r="O56" s="62">
        <f>'дод 3 '!P19</f>
        <v>2487735</v>
      </c>
      <c r="P56" s="142"/>
    </row>
    <row r="57" spans="1:16" s="85" customFormat="1" ht="57" customHeight="1" x14ac:dyDescent="0.25">
      <c r="A57" s="49" t="s">
        <v>127</v>
      </c>
      <c r="B57" s="49" t="s">
        <v>120</v>
      </c>
      <c r="C57" s="3" t="s">
        <v>401</v>
      </c>
      <c r="D57" s="62">
        <f>'дод 3 '!E20</f>
        <v>850000</v>
      </c>
      <c r="E57" s="62">
        <f>'дод 3 '!F20</f>
        <v>850000</v>
      </c>
      <c r="F57" s="62">
        <f>'дод 3 '!G20</f>
        <v>0</v>
      </c>
      <c r="G57" s="62">
        <f>'дод 3 '!H20</f>
        <v>0</v>
      </c>
      <c r="H57" s="62">
        <f>'дод 3 '!I20</f>
        <v>0</v>
      </c>
      <c r="I57" s="62">
        <f>'дод 3 '!J20</f>
        <v>0</v>
      </c>
      <c r="J57" s="62">
        <f>'дод 3 '!K20</f>
        <v>0</v>
      </c>
      <c r="K57" s="62">
        <f>'дод 3 '!L20</f>
        <v>0</v>
      </c>
      <c r="L57" s="62">
        <f>'дод 3 '!M20</f>
        <v>0</v>
      </c>
      <c r="M57" s="62">
        <f>'дод 3 '!N20</f>
        <v>0</v>
      </c>
      <c r="N57" s="62">
        <f>'дод 3 '!O20</f>
        <v>0</v>
      </c>
      <c r="O57" s="62">
        <f>'дод 3 '!P20</f>
        <v>850000</v>
      </c>
      <c r="P57" s="142"/>
    </row>
    <row r="58" spans="1:16" ht="75" customHeight="1" x14ac:dyDescent="0.25">
      <c r="A58" s="46" t="s">
        <v>128</v>
      </c>
      <c r="B58" s="46" t="s">
        <v>120</v>
      </c>
      <c r="C58" s="6" t="s">
        <v>28</v>
      </c>
      <c r="D58" s="62">
        <f>'дод 3 '!E63+'дод 3 '!E21</f>
        <v>7560000</v>
      </c>
      <c r="E58" s="62">
        <f>'дод 3 '!F63+'дод 3 '!F21</f>
        <v>7560000</v>
      </c>
      <c r="F58" s="62">
        <f>'дод 3 '!G63+'дод 3 '!G21</f>
        <v>0</v>
      </c>
      <c r="G58" s="62">
        <f>'дод 3 '!H63+'дод 3 '!H21</f>
        <v>0</v>
      </c>
      <c r="H58" s="62">
        <f>'дод 3 '!I63+'дод 3 '!I21</f>
        <v>0</v>
      </c>
      <c r="I58" s="62">
        <f>'дод 3 '!J63+'дод 3 '!J21</f>
        <v>0</v>
      </c>
      <c r="J58" s="62">
        <f>'дод 3 '!K63+'дод 3 '!K21</f>
        <v>0</v>
      </c>
      <c r="K58" s="62">
        <f>'дод 3 '!L63+'дод 3 '!L21</f>
        <v>0</v>
      </c>
      <c r="L58" s="62">
        <f>'дод 3 '!M63+'дод 3 '!M21</f>
        <v>0</v>
      </c>
      <c r="M58" s="62">
        <f>'дод 3 '!N63+'дод 3 '!N21</f>
        <v>0</v>
      </c>
      <c r="N58" s="62">
        <f>'дод 3 '!O63+'дод 3 '!O21</f>
        <v>0</v>
      </c>
      <c r="O58" s="62">
        <f>'дод 3 '!P63+'дод 3 '!P21</f>
        <v>7560000</v>
      </c>
      <c r="P58" s="142"/>
    </row>
    <row r="59" spans="1:16" ht="92.25" customHeight="1" x14ac:dyDescent="0.25">
      <c r="A59" s="46" t="s">
        <v>129</v>
      </c>
      <c r="B59" s="46">
        <v>1010</v>
      </c>
      <c r="C59" s="3" t="s">
        <v>335</v>
      </c>
      <c r="D59" s="62">
        <f>'дод 3 '!E96</f>
        <v>1911000</v>
      </c>
      <c r="E59" s="62">
        <f>'дод 3 '!F96</f>
        <v>1911000</v>
      </c>
      <c r="F59" s="62">
        <f>'дод 3 '!G96</f>
        <v>0</v>
      </c>
      <c r="G59" s="62">
        <f>'дод 3 '!H96</f>
        <v>0</v>
      </c>
      <c r="H59" s="62">
        <f>'дод 3 '!I96</f>
        <v>0</v>
      </c>
      <c r="I59" s="62">
        <f>'дод 3 '!J96</f>
        <v>0</v>
      </c>
      <c r="J59" s="62">
        <f>'дод 3 '!K96</f>
        <v>0</v>
      </c>
      <c r="K59" s="62">
        <f>'дод 3 '!L96</f>
        <v>0</v>
      </c>
      <c r="L59" s="62">
        <f>'дод 3 '!M96</f>
        <v>0</v>
      </c>
      <c r="M59" s="62">
        <f>'дод 3 '!N96</f>
        <v>0</v>
      </c>
      <c r="N59" s="62">
        <f>'дод 3 '!O96</f>
        <v>0</v>
      </c>
      <c r="O59" s="62">
        <f>'дод 3 '!P96</f>
        <v>1911000</v>
      </c>
      <c r="P59" s="142"/>
    </row>
    <row r="60" spans="1:16" s="85" customFormat="1" ht="53.25" customHeight="1" x14ac:dyDescent="0.25">
      <c r="A60" s="46" t="s">
        <v>370</v>
      </c>
      <c r="B60" s="46">
        <v>1010</v>
      </c>
      <c r="C60" s="3" t="s">
        <v>372</v>
      </c>
      <c r="D60" s="62">
        <f>'дод 3 '!E97</f>
        <v>228095</v>
      </c>
      <c r="E60" s="62">
        <f>'дод 3 '!F97</f>
        <v>228095</v>
      </c>
      <c r="F60" s="62">
        <f>'дод 3 '!G97</f>
        <v>0</v>
      </c>
      <c r="G60" s="62">
        <f>'дод 3 '!H97</f>
        <v>0</v>
      </c>
      <c r="H60" s="62">
        <f>'дод 3 '!I97</f>
        <v>0</v>
      </c>
      <c r="I60" s="62">
        <f>'дод 3 '!J97</f>
        <v>0</v>
      </c>
      <c r="J60" s="62">
        <f>'дод 3 '!K97</f>
        <v>0</v>
      </c>
      <c r="K60" s="62">
        <f>'дод 3 '!L97</f>
        <v>0</v>
      </c>
      <c r="L60" s="62">
        <f>'дод 3 '!M97</f>
        <v>0</v>
      </c>
      <c r="M60" s="62">
        <f>'дод 3 '!N97</f>
        <v>0</v>
      </c>
      <c r="N60" s="62">
        <f>'дод 3 '!O97</f>
        <v>0</v>
      </c>
      <c r="O60" s="62">
        <f>'дод 3 '!P97</f>
        <v>228095</v>
      </c>
      <c r="P60" s="142">
        <v>23</v>
      </c>
    </row>
    <row r="61" spans="1:16" s="85" customFormat="1" ht="38.25" customHeight="1" x14ac:dyDescent="0.25">
      <c r="A61" s="46" t="s">
        <v>371</v>
      </c>
      <c r="B61" s="46">
        <v>1010</v>
      </c>
      <c r="C61" s="3" t="s">
        <v>373</v>
      </c>
      <c r="D61" s="62">
        <f>'дод 3 '!E98</f>
        <v>90</v>
      </c>
      <c r="E61" s="62">
        <f>'дод 3 '!F98</f>
        <v>90</v>
      </c>
      <c r="F61" s="62">
        <f>'дод 3 '!G98</f>
        <v>0</v>
      </c>
      <c r="G61" s="62">
        <f>'дод 3 '!H98</f>
        <v>0</v>
      </c>
      <c r="H61" s="62">
        <f>'дод 3 '!I98</f>
        <v>0</v>
      </c>
      <c r="I61" s="62">
        <f>'дод 3 '!J98</f>
        <v>0</v>
      </c>
      <c r="J61" s="62">
        <f>'дод 3 '!K98</f>
        <v>0</v>
      </c>
      <c r="K61" s="62">
        <f>'дод 3 '!L98</f>
        <v>0</v>
      </c>
      <c r="L61" s="62">
        <f>'дод 3 '!M98</f>
        <v>0</v>
      </c>
      <c r="M61" s="62">
        <f>'дод 3 '!N98</f>
        <v>0</v>
      </c>
      <c r="N61" s="62">
        <f>'дод 3 '!O98</f>
        <v>0</v>
      </c>
      <c r="O61" s="62">
        <f>'дод 3 '!P98</f>
        <v>90</v>
      </c>
      <c r="P61" s="142"/>
    </row>
    <row r="62" spans="1:16" ht="77.25" customHeight="1" x14ac:dyDescent="0.25">
      <c r="A62" s="46" t="s">
        <v>124</v>
      </c>
      <c r="B62" s="46" t="s">
        <v>68</v>
      </c>
      <c r="C62" s="3" t="s">
        <v>402</v>
      </c>
      <c r="D62" s="62">
        <f>'дод 3 '!E99</f>
        <v>2075000</v>
      </c>
      <c r="E62" s="62">
        <f>'дод 3 '!F99</f>
        <v>2075000</v>
      </c>
      <c r="F62" s="62">
        <f>'дод 3 '!G99</f>
        <v>0</v>
      </c>
      <c r="G62" s="62">
        <f>'дод 3 '!H99</f>
        <v>0</v>
      </c>
      <c r="H62" s="62">
        <f>'дод 3 '!I99</f>
        <v>0</v>
      </c>
      <c r="I62" s="62">
        <f>'дод 3 '!J99</f>
        <v>0</v>
      </c>
      <c r="J62" s="62">
        <f>'дод 3 '!K99</f>
        <v>0</v>
      </c>
      <c r="K62" s="62">
        <f>'дод 3 '!L99</f>
        <v>0</v>
      </c>
      <c r="L62" s="62">
        <f>'дод 3 '!M99</f>
        <v>0</v>
      </c>
      <c r="M62" s="62">
        <f>'дод 3 '!N99</f>
        <v>0</v>
      </c>
      <c r="N62" s="62">
        <f>'дод 3 '!O99</f>
        <v>0</v>
      </c>
      <c r="O62" s="62">
        <f>'дод 3 '!P99</f>
        <v>2075000</v>
      </c>
      <c r="P62" s="142"/>
    </row>
    <row r="63" spans="1:16" s="85" customFormat="1" ht="36.75" customHeight="1" x14ac:dyDescent="0.25">
      <c r="A63" s="46" t="s">
        <v>336</v>
      </c>
      <c r="B63" s="46" t="s">
        <v>67</v>
      </c>
      <c r="C63" s="3" t="s">
        <v>24</v>
      </c>
      <c r="D63" s="62">
        <f>'дод 3 '!E100</f>
        <v>2178000</v>
      </c>
      <c r="E63" s="62">
        <f>'дод 3 '!F100</f>
        <v>2178000</v>
      </c>
      <c r="F63" s="62">
        <f>'дод 3 '!G100</f>
        <v>0</v>
      </c>
      <c r="G63" s="62">
        <f>'дод 3 '!H100</f>
        <v>0</v>
      </c>
      <c r="H63" s="62">
        <f>'дод 3 '!I100</f>
        <v>0</v>
      </c>
      <c r="I63" s="62">
        <f>'дод 3 '!J100</f>
        <v>0</v>
      </c>
      <c r="J63" s="62">
        <f>'дод 3 '!K100</f>
        <v>0</v>
      </c>
      <c r="K63" s="62">
        <f>'дод 3 '!L100</f>
        <v>0</v>
      </c>
      <c r="L63" s="62">
        <f>'дод 3 '!M100</f>
        <v>0</v>
      </c>
      <c r="M63" s="62">
        <f>'дод 3 '!N100</f>
        <v>0</v>
      </c>
      <c r="N63" s="62">
        <f>'дод 3 '!O100</f>
        <v>0</v>
      </c>
      <c r="O63" s="62">
        <f>'дод 3 '!P100</f>
        <v>2178000</v>
      </c>
      <c r="P63" s="142"/>
    </row>
    <row r="64" spans="1:16" s="85" customFormat="1" ht="55.5" customHeight="1" x14ac:dyDescent="0.25">
      <c r="A64" s="46" t="s">
        <v>337</v>
      </c>
      <c r="B64" s="46" t="s">
        <v>67</v>
      </c>
      <c r="C64" s="3" t="s">
        <v>366</v>
      </c>
      <c r="D64" s="62">
        <f>'дод 3 '!E101</f>
        <v>1892237</v>
      </c>
      <c r="E64" s="62">
        <f>'дод 3 '!F101</f>
        <v>1892237</v>
      </c>
      <c r="F64" s="62">
        <f>'дод 3 '!G101</f>
        <v>0</v>
      </c>
      <c r="G64" s="62">
        <f>'дод 3 '!H101</f>
        <v>0</v>
      </c>
      <c r="H64" s="62">
        <f>'дод 3 '!I101</f>
        <v>0</v>
      </c>
      <c r="I64" s="62">
        <f>'дод 3 '!J101</f>
        <v>0</v>
      </c>
      <c r="J64" s="62">
        <f>'дод 3 '!K101</f>
        <v>0</v>
      </c>
      <c r="K64" s="62">
        <f>'дод 3 '!L101</f>
        <v>0</v>
      </c>
      <c r="L64" s="62">
        <f>'дод 3 '!M101</f>
        <v>0</v>
      </c>
      <c r="M64" s="62">
        <f>'дод 3 '!N101</f>
        <v>0</v>
      </c>
      <c r="N64" s="62">
        <f>'дод 3 '!O101</f>
        <v>0</v>
      </c>
      <c r="O64" s="62">
        <f>'дод 3 '!P101</f>
        <v>1892237</v>
      </c>
      <c r="P64" s="142"/>
    </row>
    <row r="65" spans="1:16" ht="43.5" customHeight="1" x14ac:dyDescent="0.25">
      <c r="A65" s="46" t="s">
        <v>125</v>
      </c>
      <c r="B65" s="46" t="s">
        <v>71</v>
      </c>
      <c r="C65" s="3" t="s">
        <v>403</v>
      </c>
      <c r="D65" s="62">
        <f>'дод 3 '!E102</f>
        <v>86500</v>
      </c>
      <c r="E65" s="62">
        <f>'дод 3 '!F102</f>
        <v>86500</v>
      </c>
      <c r="F65" s="62">
        <f>'дод 3 '!G102</f>
        <v>0</v>
      </c>
      <c r="G65" s="62">
        <f>'дод 3 '!H102</f>
        <v>0</v>
      </c>
      <c r="H65" s="62">
        <f>'дод 3 '!I102</f>
        <v>0</v>
      </c>
      <c r="I65" s="62">
        <f>'дод 3 '!J102</f>
        <v>0</v>
      </c>
      <c r="J65" s="62">
        <f>'дод 3 '!K102</f>
        <v>0</v>
      </c>
      <c r="K65" s="62">
        <f>'дод 3 '!L102</f>
        <v>0</v>
      </c>
      <c r="L65" s="62">
        <f>'дод 3 '!M102</f>
        <v>0</v>
      </c>
      <c r="M65" s="62">
        <f>'дод 3 '!N102</f>
        <v>0</v>
      </c>
      <c r="N65" s="62">
        <f>'дод 3 '!O102</f>
        <v>0</v>
      </c>
      <c r="O65" s="62">
        <f>'дод 3 '!P102</f>
        <v>86500</v>
      </c>
      <c r="P65" s="142"/>
    </row>
    <row r="66" spans="1:16" ht="27.75" customHeight="1" x14ac:dyDescent="0.25">
      <c r="A66" s="46" t="s">
        <v>338</v>
      </c>
      <c r="B66" s="46" t="s">
        <v>126</v>
      </c>
      <c r="C66" s="3" t="s">
        <v>50</v>
      </c>
      <c r="D66" s="62">
        <f>'дод 3 '!E103+'дод 3 '!E125</f>
        <v>600000</v>
      </c>
      <c r="E66" s="62">
        <f>'дод 3 '!F103+'дод 3 '!F125</f>
        <v>600000</v>
      </c>
      <c r="F66" s="62">
        <f>'дод 3 '!G103+'дод 3 '!G125</f>
        <v>163935</v>
      </c>
      <c r="G66" s="62">
        <f>'дод 3 '!H103+'дод 3 '!H125</f>
        <v>0</v>
      </c>
      <c r="H66" s="62">
        <f>'дод 3 '!I103+'дод 3 '!I125</f>
        <v>0</v>
      </c>
      <c r="I66" s="62">
        <f>'дод 3 '!J103+'дод 3 '!J125</f>
        <v>0</v>
      </c>
      <c r="J66" s="62">
        <f>'дод 3 '!K103+'дод 3 '!K125</f>
        <v>0</v>
      </c>
      <c r="K66" s="62">
        <f>'дод 3 '!L103+'дод 3 '!L125</f>
        <v>0</v>
      </c>
      <c r="L66" s="62">
        <f>'дод 3 '!M103+'дод 3 '!M125</f>
        <v>0</v>
      </c>
      <c r="M66" s="62">
        <f>'дод 3 '!N103+'дод 3 '!N125</f>
        <v>0</v>
      </c>
      <c r="N66" s="62">
        <f>'дод 3 '!O103+'дод 3 '!O125</f>
        <v>0</v>
      </c>
      <c r="O66" s="62">
        <f>'дод 3 '!P103+'дод 3 '!P125</f>
        <v>600000</v>
      </c>
      <c r="P66" s="142"/>
    </row>
    <row r="67" spans="1:16" s="85" customFormat="1" ht="32.25" customHeight="1" x14ac:dyDescent="0.25">
      <c r="A67" s="46" t="s">
        <v>339</v>
      </c>
      <c r="B67" s="46" t="s">
        <v>71</v>
      </c>
      <c r="C67" s="3" t="s">
        <v>341</v>
      </c>
      <c r="D67" s="62">
        <f>'дод 3 '!E104+'дод 3 '!E22</f>
        <v>6644225</v>
      </c>
      <c r="E67" s="62">
        <f>'дод 3 '!F104+'дод 3 '!F22</f>
        <v>6644225</v>
      </c>
      <c r="F67" s="62">
        <f>'дод 3 '!G104+'дод 3 '!G22</f>
        <v>4196250</v>
      </c>
      <c r="G67" s="62">
        <f>'дод 3 '!H104+'дод 3 '!H22</f>
        <v>657930</v>
      </c>
      <c r="H67" s="62">
        <f>'дод 3 '!I104+'дод 3 '!I22</f>
        <v>0</v>
      </c>
      <c r="I67" s="62">
        <f>'дод 3 '!J104+'дод 3 '!J22</f>
        <v>700000</v>
      </c>
      <c r="J67" s="62">
        <f>'дод 3 '!K104+'дод 3 '!K22</f>
        <v>700000</v>
      </c>
      <c r="K67" s="62">
        <f>'дод 3 '!L104+'дод 3 '!L22</f>
        <v>0</v>
      </c>
      <c r="L67" s="62">
        <f>'дод 3 '!M104+'дод 3 '!M22</f>
        <v>0</v>
      </c>
      <c r="M67" s="62">
        <f>'дод 3 '!N104+'дод 3 '!N22</f>
        <v>0</v>
      </c>
      <c r="N67" s="62">
        <f>'дод 3 '!O104+'дод 3 '!O22</f>
        <v>700000</v>
      </c>
      <c r="O67" s="62">
        <f>'дод 3 '!P104+'дод 3 '!P22</f>
        <v>7344225</v>
      </c>
      <c r="P67" s="142"/>
    </row>
    <row r="68" spans="1:16" s="85" customFormat="1" ht="31.5" customHeight="1" x14ac:dyDescent="0.25">
      <c r="A68" s="46" t="s">
        <v>340</v>
      </c>
      <c r="B68" s="46" t="s">
        <v>71</v>
      </c>
      <c r="C68" s="3" t="s">
        <v>342</v>
      </c>
      <c r="D68" s="62">
        <f>'дод 3 '!E64+'дод 3 '!E105+'дод 3 '!E23</f>
        <v>30759876</v>
      </c>
      <c r="E68" s="62">
        <f>'дод 3 '!F64+'дод 3 '!F105+'дод 3 '!F23</f>
        <v>30759876</v>
      </c>
      <c r="F68" s="62">
        <f>'дод 3 '!G64+'дод 3 '!G105+'дод 3 '!G23</f>
        <v>0</v>
      </c>
      <c r="G68" s="62">
        <f>'дод 3 '!H64+'дод 3 '!H105+'дод 3 '!H23</f>
        <v>0</v>
      </c>
      <c r="H68" s="62">
        <f>'дод 3 '!I64+'дод 3 '!I105+'дод 3 '!I23</f>
        <v>0</v>
      </c>
      <c r="I68" s="62">
        <f>'дод 3 '!J64+'дод 3 '!J105+'дод 3 '!J23</f>
        <v>35640</v>
      </c>
      <c r="J68" s="62">
        <f>'дод 3 '!K64+'дод 3 '!K105+'дод 3 '!K23</f>
        <v>35640</v>
      </c>
      <c r="K68" s="62">
        <f>'дод 3 '!L64+'дод 3 '!L105+'дод 3 '!L23</f>
        <v>0</v>
      </c>
      <c r="L68" s="62">
        <f>'дод 3 '!M64+'дод 3 '!M105+'дод 3 '!M23</f>
        <v>0</v>
      </c>
      <c r="M68" s="62">
        <f>'дод 3 '!N64+'дод 3 '!N105+'дод 3 '!N23</f>
        <v>0</v>
      </c>
      <c r="N68" s="62">
        <f>'дод 3 '!O64+'дод 3 '!O105+'дод 3 '!O23</f>
        <v>35640</v>
      </c>
      <c r="O68" s="62">
        <f>'дод 3 '!P64+'дод 3 '!P105+'дод 3 '!P23</f>
        <v>30795516</v>
      </c>
      <c r="P68" s="142"/>
    </row>
    <row r="69" spans="1:16" s="83" customFormat="1" ht="19.5" customHeight="1" x14ac:dyDescent="0.25">
      <c r="A69" s="47" t="s">
        <v>90</v>
      </c>
      <c r="B69" s="50"/>
      <c r="C69" s="2" t="s">
        <v>91</v>
      </c>
      <c r="D69" s="61">
        <f t="shared" ref="D69:O69" si="6">D70+D71+D72+D73</f>
        <v>31894480</v>
      </c>
      <c r="E69" s="61">
        <f t="shared" si="6"/>
        <v>31894480</v>
      </c>
      <c r="F69" s="61">
        <f t="shared" si="6"/>
        <v>19079400</v>
      </c>
      <c r="G69" s="61">
        <f t="shared" si="6"/>
        <v>2209260</v>
      </c>
      <c r="H69" s="61">
        <f t="shared" si="6"/>
        <v>0</v>
      </c>
      <c r="I69" s="61">
        <f t="shared" si="6"/>
        <v>385500</v>
      </c>
      <c r="J69" s="61">
        <f t="shared" si="6"/>
        <v>349500</v>
      </c>
      <c r="K69" s="61">
        <f t="shared" si="6"/>
        <v>36000</v>
      </c>
      <c r="L69" s="61">
        <f t="shared" si="6"/>
        <v>12100</v>
      </c>
      <c r="M69" s="61">
        <f t="shared" si="6"/>
        <v>3300</v>
      </c>
      <c r="N69" s="61">
        <f t="shared" si="6"/>
        <v>349500</v>
      </c>
      <c r="O69" s="61">
        <f t="shared" si="6"/>
        <v>32279980</v>
      </c>
      <c r="P69" s="142"/>
    </row>
    <row r="70" spans="1:16" ht="22.5" customHeight="1" x14ac:dyDescent="0.25">
      <c r="A70" s="46" t="s">
        <v>92</v>
      </c>
      <c r="B70" s="46" t="s">
        <v>93</v>
      </c>
      <c r="C70" s="3" t="s">
        <v>21</v>
      </c>
      <c r="D70" s="62">
        <f>'дод 3 '!E116</f>
        <v>19118200</v>
      </c>
      <c r="E70" s="62">
        <f>'дод 3 '!F116</f>
        <v>19118200</v>
      </c>
      <c r="F70" s="62">
        <f>'дод 3 '!G116</f>
        <v>13804000</v>
      </c>
      <c r="G70" s="62">
        <f>'дод 3 '!H116</f>
        <v>1346200</v>
      </c>
      <c r="H70" s="62">
        <f>'дод 3 '!I116</f>
        <v>0</v>
      </c>
      <c r="I70" s="62">
        <f>'дод 3 '!J116</f>
        <v>130000</v>
      </c>
      <c r="J70" s="62">
        <f>'дод 3 '!K116</f>
        <v>100000</v>
      </c>
      <c r="K70" s="62">
        <f>'дод 3 '!L116</f>
        <v>30000</v>
      </c>
      <c r="L70" s="62">
        <f>'дод 3 '!M116</f>
        <v>12100</v>
      </c>
      <c r="M70" s="62">
        <f>'дод 3 '!N116</f>
        <v>0</v>
      </c>
      <c r="N70" s="62">
        <f>'дод 3 '!O116</f>
        <v>100000</v>
      </c>
      <c r="O70" s="62">
        <f>'дод 3 '!P116</f>
        <v>19248200</v>
      </c>
      <c r="P70" s="142"/>
    </row>
    <row r="71" spans="1:16" ht="33.75" customHeight="1" x14ac:dyDescent="0.25">
      <c r="A71" s="46" t="s">
        <v>376</v>
      </c>
      <c r="B71" s="46" t="s">
        <v>377</v>
      </c>
      <c r="C71" s="3" t="s">
        <v>378</v>
      </c>
      <c r="D71" s="62">
        <f>'дод 3 '!E24+'дод 3 '!E117</f>
        <v>5291680</v>
      </c>
      <c r="E71" s="62">
        <f>'дод 3 '!F24+'дод 3 '!F117</f>
        <v>5291680</v>
      </c>
      <c r="F71" s="62">
        <f>'дод 3 '!G24+'дод 3 '!G117</f>
        <v>2522400</v>
      </c>
      <c r="G71" s="62">
        <f>'дод 3 '!H24+'дод 3 '!H117</f>
        <v>738960</v>
      </c>
      <c r="H71" s="62">
        <f>'дод 3 '!I24+'дод 3 '!I117</f>
        <v>0</v>
      </c>
      <c r="I71" s="62">
        <f>'дод 3 '!J24+'дод 3 '!J117</f>
        <v>31500</v>
      </c>
      <c r="J71" s="62">
        <f>'дод 3 '!K24+'дод 3 '!K117</f>
        <v>25500</v>
      </c>
      <c r="K71" s="62">
        <f>'дод 3 '!L24+'дод 3 '!L117</f>
        <v>6000</v>
      </c>
      <c r="L71" s="62">
        <f>'дод 3 '!M24+'дод 3 '!M117</f>
        <v>0</v>
      </c>
      <c r="M71" s="62">
        <f>'дод 3 '!N24+'дод 3 '!N117</f>
        <v>3300</v>
      </c>
      <c r="N71" s="62">
        <f>'дод 3 '!O24+'дод 3 '!O117</f>
        <v>25500</v>
      </c>
      <c r="O71" s="62">
        <f>'дод 3 '!P24+'дод 3 '!P117</f>
        <v>5323180</v>
      </c>
      <c r="P71" s="142"/>
    </row>
    <row r="72" spans="1:16" s="85" customFormat="1" ht="39.75" customHeight="1" x14ac:dyDescent="0.25">
      <c r="A72" s="46" t="s">
        <v>343</v>
      </c>
      <c r="B72" s="46" t="s">
        <v>94</v>
      </c>
      <c r="C72" s="3" t="s">
        <v>404</v>
      </c>
      <c r="D72" s="62">
        <f>'дод 3 '!E25+'дод 3 '!E118</f>
        <v>4753900</v>
      </c>
      <c r="E72" s="62">
        <f>'дод 3 '!F25+'дод 3 '!F118</f>
        <v>4753900</v>
      </c>
      <c r="F72" s="62">
        <f>'дод 3 '!G25+'дод 3 '!G118</f>
        <v>2753000</v>
      </c>
      <c r="G72" s="62">
        <f>'дод 3 '!H25+'дод 3 '!H118</f>
        <v>124100</v>
      </c>
      <c r="H72" s="62">
        <f>'дод 3 '!I25+'дод 3 '!I118</f>
        <v>0</v>
      </c>
      <c r="I72" s="62">
        <f>'дод 3 '!J25+'дод 3 '!J118</f>
        <v>224000</v>
      </c>
      <c r="J72" s="62">
        <f>'дод 3 '!K25+'дод 3 '!K118</f>
        <v>224000</v>
      </c>
      <c r="K72" s="62">
        <f>'дод 3 '!L25+'дод 3 '!L118</f>
        <v>0</v>
      </c>
      <c r="L72" s="62">
        <f>'дод 3 '!M25+'дод 3 '!M118</f>
        <v>0</v>
      </c>
      <c r="M72" s="62">
        <f>'дод 3 '!N25+'дод 3 '!N118</f>
        <v>0</v>
      </c>
      <c r="N72" s="62">
        <f>'дод 3 '!O25+'дод 3 '!O118</f>
        <v>224000</v>
      </c>
      <c r="O72" s="62">
        <f>'дод 3 '!P25+'дод 3 '!P118</f>
        <v>4977900</v>
      </c>
      <c r="P72" s="142"/>
    </row>
    <row r="73" spans="1:16" s="85" customFormat="1" ht="30" customHeight="1" x14ac:dyDescent="0.25">
      <c r="A73" s="46" t="s">
        <v>344</v>
      </c>
      <c r="B73" s="46" t="s">
        <v>94</v>
      </c>
      <c r="C73" s="3" t="s">
        <v>345</v>
      </c>
      <c r="D73" s="62">
        <f>'дод 3 '!E26+'дод 3 '!E119</f>
        <v>2730700</v>
      </c>
      <c r="E73" s="62">
        <f>'дод 3 '!F26+'дод 3 '!F119</f>
        <v>2730700</v>
      </c>
      <c r="F73" s="62">
        <f>'дод 3 '!G26+'дод 3 '!G119</f>
        <v>0</v>
      </c>
      <c r="G73" s="62">
        <f>'дод 3 '!H26+'дод 3 '!H119</f>
        <v>0</v>
      </c>
      <c r="H73" s="62">
        <f>'дод 3 '!I26+'дод 3 '!I119</f>
        <v>0</v>
      </c>
      <c r="I73" s="62">
        <f>'дод 3 '!J26+'дод 3 '!J119</f>
        <v>0</v>
      </c>
      <c r="J73" s="62">
        <f>'дод 3 '!K26+'дод 3 '!K119</f>
        <v>0</v>
      </c>
      <c r="K73" s="62">
        <f>'дод 3 '!L26+'дод 3 '!L119</f>
        <v>0</v>
      </c>
      <c r="L73" s="62">
        <f>'дод 3 '!M26+'дод 3 '!M119</f>
        <v>0</v>
      </c>
      <c r="M73" s="62">
        <f>'дод 3 '!N26+'дод 3 '!N119</f>
        <v>0</v>
      </c>
      <c r="N73" s="62">
        <f>'дод 3 '!O26+'дод 3 '!O119</f>
        <v>0</v>
      </c>
      <c r="O73" s="62">
        <f>'дод 3 '!P26+'дод 3 '!P119</f>
        <v>2730700</v>
      </c>
      <c r="P73" s="142"/>
    </row>
    <row r="74" spans="1:16" s="83" customFormat="1" ht="21.75" customHeight="1" x14ac:dyDescent="0.25">
      <c r="A74" s="47" t="s">
        <v>97</v>
      </c>
      <c r="B74" s="50"/>
      <c r="C74" s="2" t="s">
        <v>98</v>
      </c>
      <c r="D74" s="61">
        <f t="shared" ref="D74:O74" si="7">D75+D76+D77+D78+D79+D80</f>
        <v>44277470</v>
      </c>
      <c r="E74" s="61">
        <f t="shared" si="7"/>
        <v>44277470</v>
      </c>
      <c r="F74" s="61">
        <f t="shared" si="7"/>
        <v>17286800</v>
      </c>
      <c r="G74" s="61">
        <f t="shared" si="7"/>
        <v>1430790</v>
      </c>
      <c r="H74" s="61">
        <f t="shared" si="7"/>
        <v>0</v>
      </c>
      <c r="I74" s="61">
        <f t="shared" si="7"/>
        <v>2129120</v>
      </c>
      <c r="J74" s="61">
        <f t="shared" si="7"/>
        <v>1950000</v>
      </c>
      <c r="K74" s="61">
        <f t="shared" si="7"/>
        <v>179120</v>
      </c>
      <c r="L74" s="61">
        <f t="shared" si="7"/>
        <v>91105</v>
      </c>
      <c r="M74" s="61">
        <f t="shared" si="7"/>
        <v>51050</v>
      </c>
      <c r="N74" s="61">
        <f t="shared" si="7"/>
        <v>1950000</v>
      </c>
      <c r="O74" s="61">
        <f t="shared" si="7"/>
        <v>46406590</v>
      </c>
      <c r="P74" s="142"/>
    </row>
    <row r="75" spans="1:16" s="85" customFormat="1" ht="43.5" customHeight="1" x14ac:dyDescent="0.25">
      <c r="A75" s="46" t="s">
        <v>99</v>
      </c>
      <c r="B75" s="46" t="s">
        <v>100</v>
      </c>
      <c r="C75" s="3" t="s">
        <v>29</v>
      </c>
      <c r="D75" s="62">
        <f>'дод 3 '!E27</f>
        <v>750000</v>
      </c>
      <c r="E75" s="62">
        <f>'дод 3 '!F27</f>
        <v>750000</v>
      </c>
      <c r="F75" s="62">
        <f>'дод 3 '!G27</f>
        <v>0</v>
      </c>
      <c r="G75" s="62">
        <f>'дод 3 '!H27</f>
        <v>0</v>
      </c>
      <c r="H75" s="62">
        <f>'дод 3 '!I27</f>
        <v>0</v>
      </c>
      <c r="I75" s="62">
        <f>'дод 3 '!J27</f>
        <v>0</v>
      </c>
      <c r="J75" s="62">
        <f>'дод 3 '!K27</f>
        <v>0</v>
      </c>
      <c r="K75" s="62">
        <f>'дод 3 '!L27</f>
        <v>0</v>
      </c>
      <c r="L75" s="62">
        <f>'дод 3 '!M27</f>
        <v>0</v>
      </c>
      <c r="M75" s="62">
        <f>'дод 3 '!N27</f>
        <v>0</v>
      </c>
      <c r="N75" s="62">
        <f>'дод 3 '!O27</f>
        <v>0</v>
      </c>
      <c r="O75" s="62">
        <f>'дод 3 '!P27</f>
        <v>750000</v>
      </c>
      <c r="P75" s="142"/>
    </row>
    <row r="76" spans="1:16" s="85" customFormat="1" ht="39.75" customHeight="1" x14ac:dyDescent="0.25">
      <c r="A76" s="46" t="s">
        <v>101</v>
      </c>
      <c r="B76" s="46" t="s">
        <v>100</v>
      </c>
      <c r="C76" s="3" t="s">
        <v>22</v>
      </c>
      <c r="D76" s="62">
        <f>'дод 3 '!E28</f>
        <v>2050000</v>
      </c>
      <c r="E76" s="62">
        <f>'дод 3 '!F28</f>
        <v>2050000</v>
      </c>
      <c r="F76" s="62">
        <f>'дод 3 '!G28</f>
        <v>0</v>
      </c>
      <c r="G76" s="62">
        <f>'дод 3 '!H28</f>
        <v>0</v>
      </c>
      <c r="H76" s="62">
        <f>'дод 3 '!I28</f>
        <v>0</v>
      </c>
      <c r="I76" s="62">
        <f>'дод 3 '!J28</f>
        <v>0</v>
      </c>
      <c r="J76" s="62">
        <f>'дод 3 '!K28</f>
        <v>0</v>
      </c>
      <c r="K76" s="62">
        <f>'дод 3 '!L28</f>
        <v>0</v>
      </c>
      <c r="L76" s="62">
        <f>'дод 3 '!M28</f>
        <v>0</v>
      </c>
      <c r="M76" s="62">
        <f>'дод 3 '!N28</f>
        <v>0</v>
      </c>
      <c r="N76" s="62">
        <f>'дод 3 '!O28</f>
        <v>0</v>
      </c>
      <c r="O76" s="62">
        <f>'дод 3 '!P28</f>
        <v>2050000</v>
      </c>
      <c r="P76" s="142"/>
    </row>
    <row r="77" spans="1:16" s="85" customFormat="1" ht="36.75" customHeight="1" x14ac:dyDescent="0.25">
      <c r="A77" s="46" t="s">
        <v>137</v>
      </c>
      <c r="B77" s="46" t="s">
        <v>100</v>
      </c>
      <c r="C77" s="3" t="s">
        <v>30</v>
      </c>
      <c r="D77" s="62">
        <f>'дод 3 '!E65+'дод 3 '!E29</f>
        <v>19832330</v>
      </c>
      <c r="E77" s="62">
        <f>'дод 3 '!F65+'дод 3 '!F29</f>
        <v>19832330</v>
      </c>
      <c r="F77" s="62">
        <f>'дод 3 '!G65+'дод 3 '!G29</f>
        <v>14839900</v>
      </c>
      <c r="G77" s="62">
        <f>'дод 3 '!H65+'дод 3 '!H29</f>
        <v>1060690</v>
      </c>
      <c r="H77" s="62">
        <f>'дод 3 '!I65+'дод 3 '!I29</f>
        <v>0</v>
      </c>
      <c r="I77" s="62">
        <f>'дод 3 '!J65+'дод 3 '!J29</f>
        <v>1050000</v>
      </c>
      <c r="J77" s="62">
        <f>'дод 3 '!K65+'дод 3 '!K29</f>
        <v>1050000</v>
      </c>
      <c r="K77" s="62">
        <f>'дод 3 '!L65+'дод 3 '!L29</f>
        <v>0</v>
      </c>
      <c r="L77" s="62">
        <f>'дод 3 '!M65+'дод 3 '!M29</f>
        <v>0</v>
      </c>
      <c r="M77" s="62">
        <f>'дод 3 '!N65+'дод 3 '!N29</f>
        <v>0</v>
      </c>
      <c r="N77" s="62">
        <f>'дод 3 '!O65+'дод 3 '!O29</f>
        <v>1050000</v>
      </c>
      <c r="O77" s="62">
        <f>'дод 3 '!P65+'дод 3 '!P29</f>
        <v>20882330</v>
      </c>
      <c r="P77" s="142"/>
    </row>
    <row r="78" spans="1:16" s="85" customFormat="1" ht="31.5" customHeight="1" x14ac:dyDescent="0.25">
      <c r="A78" s="46" t="s">
        <v>138</v>
      </c>
      <c r="B78" s="46" t="s">
        <v>100</v>
      </c>
      <c r="C78" s="3" t="s">
        <v>31</v>
      </c>
      <c r="D78" s="62">
        <f>'дод 3 '!E30</f>
        <v>11143630</v>
      </c>
      <c r="E78" s="62">
        <f>'дод 3 '!F30</f>
        <v>11143630</v>
      </c>
      <c r="F78" s="62">
        <f>'дод 3 '!G30</f>
        <v>0</v>
      </c>
      <c r="G78" s="62">
        <f>'дод 3 '!H30</f>
        <v>0</v>
      </c>
      <c r="H78" s="62">
        <f>'дод 3 '!I30</f>
        <v>0</v>
      </c>
      <c r="I78" s="62">
        <f>'дод 3 '!J30</f>
        <v>0</v>
      </c>
      <c r="J78" s="62">
        <f>'дод 3 '!K30</f>
        <v>0</v>
      </c>
      <c r="K78" s="62">
        <f>'дод 3 '!L30</f>
        <v>0</v>
      </c>
      <c r="L78" s="62">
        <f>'дод 3 '!M30</f>
        <v>0</v>
      </c>
      <c r="M78" s="62">
        <f>'дод 3 '!N30</f>
        <v>0</v>
      </c>
      <c r="N78" s="62">
        <f>'дод 3 '!O30</f>
        <v>0</v>
      </c>
      <c r="O78" s="62">
        <f>'дод 3 '!P30</f>
        <v>11143630</v>
      </c>
      <c r="P78" s="142"/>
    </row>
    <row r="79" spans="1:16" s="85" customFormat="1" ht="60" customHeight="1" x14ac:dyDescent="0.25">
      <c r="A79" s="46" t="s">
        <v>133</v>
      </c>
      <c r="B79" s="46" t="s">
        <v>100</v>
      </c>
      <c r="C79" s="3" t="s">
        <v>134</v>
      </c>
      <c r="D79" s="62">
        <f>'дод 3 '!E31</f>
        <v>3893120</v>
      </c>
      <c r="E79" s="62">
        <f>'дод 3 '!F31</f>
        <v>3893120</v>
      </c>
      <c r="F79" s="62">
        <f>'дод 3 '!G31</f>
        <v>2446900</v>
      </c>
      <c r="G79" s="62">
        <f>'дод 3 '!H31</f>
        <v>370100</v>
      </c>
      <c r="H79" s="62">
        <f>'дод 3 '!I31</f>
        <v>0</v>
      </c>
      <c r="I79" s="62">
        <f>'дод 3 '!J31</f>
        <v>1079120</v>
      </c>
      <c r="J79" s="62">
        <f>'дод 3 '!K31</f>
        <v>900000</v>
      </c>
      <c r="K79" s="62">
        <f>'дод 3 '!L31</f>
        <v>179120</v>
      </c>
      <c r="L79" s="62">
        <f>'дод 3 '!M31</f>
        <v>91105</v>
      </c>
      <c r="M79" s="62">
        <f>'дод 3 '!N31</f>
        <v>51050</v>
      </c>
      <c r="N79" s="62">
        <f>'дод 3 '!O31</f>
        <v>900000</v>
      </c>
      <c r="O79" s="62">
        <f>'дод 3 '!P31</f>
        <v>4972240</v>
      </c>
      <c r="P79" s="142"/>
    </row>
    <row r="80" spans="1:16" s="85" customFormat="1" ht="42" customHeight="1" x14ac:dyDescent="0.25">
      <c r="A80" s="46" t="s">
        <v>136</v>
      </c>
      <c r="B80" s="46" t="s">
        <v>100</v>
      </c>
      <c r="C80" s="3" t="s">
        <v>135</v>
      </c>
      <c r="D80" s="62">
        <f>'дод 3 '!E32</f>
        <v>6608390</v>
      </c>
      <c r="E80" s="62">
        <f>'дод 3 '!F32</f>
        <v>6608390</v>
      </c>
      <c r="F80" s="62">
        <f>'дод 3 '!G32</f>
        <v>0</v>
      </c>
      <c r="G80" s="62">
        <f>'дод 3 '!H32</f>
        <v>0</v>
      </c>
      <c r="H80" s="62">
        <f>'дод 3 '!I32</f>
        <v>0</v>
      </c>
      <c r="I80" s="62">
        <f>'дод 3 '!J32</f>
        <v>0</v>
      </c>
      <c r="J80" s="62">
        <f>'дод 3 '!K32</f>
        <v>0</v>
      </c>
      <c r="K80" s="62">
        <f>'дод 3 '!L32</f>
        <v>0</v>
      </c>
      <c r="L80" s="62">
        <f>'дод 3 '!M32</f>
        <v>0</v>
      </c>
      <c r="M80" s="62">
        <f>'дод 3 '!N32</f>
        <v>0</v>
      </c>
      <c r="N80" s="62">
        <f>'дод 3 '!O32</f>
        <v>0</v>
      </c>
      <c r="O80" s="62">
        <f>'дод 3 '!P32</f>
        <v>6608390</v>
      </c>
      <c r="P80" s="142"/>
    </row>
    <row r="81" spans="1:16" s="83" customFormat="1" ht="27" customHeight="1" x14ac:dyDescent="0.25">
      <c r="A81" s="47" t="s">
        <v>85</v>
      </c>
      <c r="B81" s="50"/>
      <c r="C81" s="2" t="s">
        <v>86</v>
      </c>
      <c r="D81" s="61">
        <f>D82+D83+D84+D85+D86+D87+D88+D89</f>
        <v>266372804</v>
      </c>
      <c r="E81" s="61">
        <f t="shared" ref="E81:O81" si="8">E82+E83+E84+E85+E86+E87+E88+E89</f>
        <v>233192666</v>
      </c>
      <c r="F81" s="61">
        <f t="shared" si="8"/>
        <v>0</v>
      </c>
      <c r="G81" s="61">
        <f t="shared" si="8"/>
        <v>27913306</v>
      </c>
      <c r="H81" s="61">
        <f t="shared" si="8"/>
        <v>33180138</v>
      </c>
      <c r="I81" s="61">
        <f t="shared" si="8"/>
        <v>134262256.47</v>
      </c>
      <c r="J81" s="61">
        <f t="shared" si="8"/>
        <v>134135532.47</v>
      </c>
      <c r="K81" s="61">
        <f t="shared" si="8"/>
        <v>0</v>
      </c>
      <c r="L81" s="61">
        <f t="shared" si="8"/>
        <v>0</v>
      </c>
      <c r="M81" s="61">
        <f t="shared" si="8"/>
        <v>0</v>
      </c>
      <c r="N81" s="61">
        <f t="shared" si="8"/>
        <v>134262256.47</v>
      </c>
      <c r="O81" s="61">
        <f t="shared" si="8"/>
        <v>400635060.47000003</v>
      </c>
      <c r="P81" s="142"/>
    </row>
    <row r="82" spans="1:16" s="85" customFormat="1" ht="33.75" customHeight="1" x14ac:dyDescent="0.25">
      <c r="A82" s="46" t="s">
        <v>155</v>
      </c>
      <c r="B82" s="46" t="s">
        <v>87</v>
      </c>
      <c r="C82" s="3" t="s">
        <v>156</v>
      </c>
      <c r="D82" s="62">
        <f>'дод 3 '!E126</f>
        <v>0</v>
      </c>
      <c r="E82" s="62">
        <f>'дод 3 '!F126</f>
        <v>0</v>
      </c>
      <c r="F82" s="62">
        <f>'дод 3 '!G126</f>
        <v>0</v>
      </c>
      <c r="G82" s="62">
        <f>'дод 3 '!H126</f>
        <v>0</v>
      </c>
      <c r="H82" s="62">
        <f>'дод 3 '!I126</f>
        <v>0</v>
      </c>
      <c r="I82" s="62">
        <f>'дод 3 '!J126</f>
        <v>9341784.2400000002</v>
      </c>
      <c r="J82" s="62">
        <f>'дод 3 '!K126</f>
        <v>9311784.2400000002</v>
      </c>
      <c r="K82" s="62">
        <f>'дод 3 '!L126</f>
        <v>0</v>
      </c>
      <c r="L82" s="62">
        <f>'дод 3 '!M126</f>
        <v>0</v>
      </c>
      <c r="M82" s="62">
        <f>'дод 3 '!N126</f>
        <v>0</v>
      </c>
      <c r="N82" s="62">
        <f>'дод 3 '!O126</f>
        <v>9341784.2400000002</v>
      </c>
      <c r="O82" s="62">
        <f>'дод 3 '!P126</f>
        <v>9341784.2400000002</v>
      </c>
      <c r="P82" s="142"/>
    </row>
    <row r="83" spans="1:16" s="85" customFormat="1" ht="36.75" customHeight="1" x14ac:dyDescent="0.25">
      <c r="A83" s="46" t="s">
        <v>157</v>
      </c>
      <c r="B83" s="46" t="s">
        <v>89</v>
      </c>
      <c r="C83" s="3" t="s">
        <v>178</v>
      </c>
      <c r="D83" s="62">
        <f>'дод 3 '!E127</f>
        <v>30925000</v>
      </c>
      <c r="E83" s="62">
        <f>'дод 3 '!F127</f>
        <v>425000</v>
      </c>
      <c r="F83" s="62">
        <f>'дод 3 '!G127</f>
        <v>0</v>
      </c>
      <c r="G83" s="62">
        <f>'дод 3 '!H127</f>
        <v>0</v>
      </c>
      <c r="H83" s="62">
        <f>'дод 3 '!I127</f>
        <v>30500000</v>
      </c>
      <c r="I83" s="62">
        <f>'дод 3 '!J127</f>
        <v>1721000</v>
      </c>
      <c r="J83" s="62">
        <f>'дод 3 '!K127</f>
        <v>1721000</v>
      </c>
      <c r="K83" s="62">
        <f>'дод 3 '!L127</f>
        <v>0</v>
      </c>
      <c r="L83" s="62">
        <f>'дод 3 '!M127</f>
        <v>0</v>
      </c>
      <c r="M83" s="62">
        <f>'дод 3 '!N127</f>
        <v>0</v>
      </c>
      <c r="N83" s="62">
        <f>'дод 3 '!O127</f>
        <v>1721000</v>
      </c>
      <c r="O83" s="62">
        <f>'дод 3 '!P127</f>
        <v>32646000</v>
      </c>
      <c r="P83" s="142"/>
    </row>
    <row r="84" spans="1:16" s="85" customFormat="1" ht="36.75" customHeight="1" x14ac:dyDescent="0.25">
      <c r="A84" s="49" t="s">
        <v>302</v>
      </c>
      <c r="B84" s="49" t="s">
        <v>89</v>
      </c>
      <c r="C84" s="3" t="s">
        <v>303</v>
      </c>
      <c r="D84" s="62">
        <f>'дод 3 '!E128</f>
        <v>200000</v>
      </c>
      <c r="E84" s="62">
        <f>'дод 3 '!F128</f>
        <v>200000</v>
      </c>
      <c r="F84" s="62">
        <f>'дод 3 '!G128</f>
        <v>0</v>
      </c>
      <c r="G84" s="62">
        <f>'дод 3 '!H128</f>
        <v>0</v>
      </c>
      <c r="H84" s="62">
        <f>'дод 3 '!I128</f>
        <v>0</v>
      </c>
      <c r="I84" s="62">
        <f>'дод 3 '!J128</f>
        <v>13144448.83</v>
      </c>
      <c r="J84" s="62">
        <f>'дод 3 '!K128</f>
        <v>13094448.83</v>
      </c>
      <c r="K84" s="62">
        <f>'дод 3 '!L128</f>
        <v>0</v>
      </c>
      <c r="L84" s="62">
        <f>'дод 3 '!M128</f>
        <v>0</v>
      </c>
      <c r="M84" s="62">
        <f>'дод 3 '!N128</f>
        <v>0</v>
      </c>
      <c r="N84" s="62">
        <f>'дод 3 '!O128</f>
        <v>13144448.83</v>
      </c>
      <c r="O84" s="62">
        <f>'дод 3 '!P128</f>
        <v>13344448.83</v>
      </c>
      <c r="P84" s="142"/>
    </row>
    <row r="85" spans="1:16" s="85" customFormat="1" ht="33" customHeight="1" x14ac:dyDescent="0.25">
      <c r="A85" s="46" t="s">
        <v>305</v>
      </c>
      <c r="B85" s="46" t="s">
        <v>89</v>
      </c>
      <c r="C85" s="3" t="s">
        <v>405</v>
      </c>
      <c r="D85" s="62">
        <f>'дод 3 '!E129</f>
        <v>100000</v>
      </c>
      <c r="E85" s="62">
        <f>'дод 3 '!F129</f>
        <v>100000</v>
      </c>
      <c r="F85" s="62">
        <f>'дод 3 '!G129</f>
        <v>0</v>
      </c>
      <c r="G85" s="62">
        <f>'дод 3 '!H129</f>
        <v>0</v>
      </c>
      <c r="H85" s="62">
        <f>'дод 3 '!I129</f>
        <v>0</v>
      </c>
      <c r="I85" s="62">
        <f>'дод 3 '!J129</f>
        <v>0</v>
      </c>
      <c r="J85" s="62">
        <f>'дод 3 '!K129</f>
        <v>0</v>
      </c>
      <c r="K85" s="62">
        <f>'дод 3 '!L129</f>
        <v>0</v>
      </c>
      <c r="L85" s="62">
        <f>'дод 3 '!M129</f>
        <v>0</v>
      </c>
      <c r="M85" s="62">
        <f>'дод 3 '!N129</f>
        <v>0</v>
      </c>
      <c r="N85" s="62">
        <f>'дод 3 '!O129</f>
        <v>0</v>
      </c>
      <c r="O85" s="62">
        <f>'дод 3 '!P129</f>
        <v>100000</v>
      </c>
      <c r="P85" s="142"/>
    </row>
    <row r="86" spans="1:16" s="85" customFormat="1" ht="52.5" customHeight="1" x14ac:dyDescent="0.25">
      <c r="A86" s="46" t="s">
        <v>88</v>
      </c>
      <c r="B86" s="46" t="s">
        <v>89</v>
      </c>
      <c r="C86" s="3" t="s">
        <v>160</v>
      </c>
      <c r="D86" s="62">
        <f>'дод 3 '!E130</f>
        <v>2595232</v>
      </c>
      <c r="E86" s="62">
        <f>'дод 3 '!F130</f>
        <v>0</v>
      </c>
      <c r="F86" s="62">
        <f>'дод 3 '!G130</f>
        <v>0</v>
      </c>
      <c r="G86" s="62">
        <f>'дод 3 '!H130</f>
        <v>0</v>
      </c>
      <c r="H86" s="62">
        <f>'дод 3 '!I130</f>
        <v>2595232</v>
      </c>
      <c r="I86" s="62">
        <f>'дод 3 '!J130</f>
        <v>0</v>
      </c>
      <c r="J86" s="62">
        <f>'дод 3 '!K130</f>
        <v>0</v>
      </c>
      <c r="K86" s="62">
        <f>'дод 3 '!L130</f>
        <v>0</v>
      </c>
      <c r="L86" s="62">
        <f>'дод 3 '!M130</f>
        <v>0</v>
      </c>
      <c r="M86" s="62">
        <f>'дод 3 '!N130</f>
        <v>0</v>
      </c>
      <c r="N86" s="62">
        <f>'дод 3 '!O130</f>
        <v>0</v>
      </c>
      <c r="O86" s="62">
        <f>'дод 3 '!P130</f>
        <v>2595232</v>
      </c>
      <c r="P86" s="142"/>
    </row>
    <row r="87" spans="1:16" ht="30" customHeight="1" x14ac:dyDescent="0.25">
      <c r="A87" s="46" t="s">
        <v>158</v>
      </c>
      <c r="B87" s="46" t="s">
        <v>89</v>
      </c>
      <c r="C87" s="3" t="s">
        <v>159</v>
      </c>
      <c r="D87" s="62">
        <f>'дод 3 '!E131+'дод 3 '!E148</f>
        <v>187703836</v>
      </c>
      <c r="E87" s="62">
        <f>'дод 3 '!F131+'дод 3 '!F148</f>
        <v>187703836</v>
      </c>
      <c r="F87" s="62">
        <f>'дод 3 '!G131+'дод 3 '!G148</f>
        <v>0</v>
      </c>
      <c r="G87" s="62">
        <f>'дод 3 '!H131+'дод 3 '!H148</f>
        <v>27870906</v>
      </c>
      <c r="H87" s="62">
        <f>'дод 3 '!I131+'дод 3 '!I148</f>
        <v>0</v>
      </c>
      <c r="I87" s="62">
        <f>'дод 3 '!J131+'дод 3 '!J148</f>
        <v>100048935.11000001</v>
      </c>
      <c r="J87" s="62">
        <f>'дод 3 '!K131+'дод 3 '!K148</f>
        <v>100048935.11000001</v>
      </c>
      <c r="K87" s="62">
        <f>'дод 3 '!L131+'дод 3 '!L148</f>
        <v>0</v>
      </c>
      <c r="L87" s="62">
        <f>'дод 3 '!M131+'дод 3 '!M148</f>
        <v>0</v>
      </c>
      <c r="M87" s="62">
        <f>'дод 3 '!N131+'дод 3 '!N148</f>
        <v>0</v>
      </c>
      <c r="N87" s="62">
        <f>'дод 3 '!O131+'дод 3 '!O148</f>
        <v>100048935.11000001</v>
      </c>
      <c r="O87" s="62">
        <f>'дод 3 '!P131+'дод 3 '!P148</f>
        <v>287752771.11000001</v>
      </c>
      <c r="P87" s="142">
        <v>24</v>
      </c>
    </row>
    <row r="88" spans="1:16" s="85" customFormat="1" ht="57" customHeight="1" x14ac:dyDescent="0.25">
      <c r="A88" s="46" t="s">
        <v>162</v>
      </c>
      <c r="B88" s="51" t="s">
        <v>87</v>
      </c>
      <c r="C88" s="3" t="s">
        <v>163</v>
      </c>
      <c r="D88" s="62">
        <f>'дод 3 '!E149</f>
        <v>84906</v>
      </c>
      <c r="E88" s="62">
        <f>'дод 3 '!F149</f>
        <v>0</v>
      </c>
      <c r="F88" s="62">
        <f>'дод 3 '!G149</f>
        <v>0</v>
      </c>
      <c r="G88" s="62">
        <f>'дод 3 '!H149</f>
        <v>0</v>
      </c>
      <c r="H88" s="62">
        <f>'дод 3 '!I149</f>
        <v>84906</v>
      </c>
      <c r="I88" s="62">
        <f>'дод 3 '!J149</f>
        <v>46724</v>
      </c>
      <c r="J88" s="62">
        <f>'дод 3 '!K149</f>
        <v>0</v>
      </c>
      <c r="K88" s="62">
        <f>'дод 3 '!L149</f>
        <v>0</v>
      </c>
      <c r="L88" s="62">
        <f>'дод 3 '!M149</f>
        <v>0</v>
      </c>
      <c r="M88" s="62">
        <f>'дод 3 '!N149</f>
        <v>0</v>
      </c>
      <c r="N88" s="62">
        <f>'дод 3 '!O149</f>
        <v>46724</v>
      </c>
      <c r="O88" s="62">
        <f>'дод 3 '!P149</f>
        <v>131630</v>
      </c>
      <c r="P88" s="142"/>
    </row>
    <row r="89" spans="1:16" ht="39.75" customHeight="1" x14ac:dyDescent="0.25">
      <c r="A89" s="46" t="s">
        <v>172</v>
      </c>
      <c r="B89" s="51" t="s">
        <v>364</v>
      </c>
      <c r="C89" s="3" t="s">
        <v>173</v>
      </c>
      <c r="D89" s="62">
        <f>'дод 3 '!E132+'дод 3 '!E160</f>
        <v>44763830</v>
      </c>
      <c r="E89" s="62">
        <f>'дод 3 '!F132+'дод 3 '!F160</f>
        <v>44763830</v>
      </c>
      <c r="F89" s="62">
        <f>'дод 3 '!G132+'дод 3 '!G160</f>
        <v>0</v>
      </c>
      <c r="G89" s="62">
        <f>'дод 3 '!H132+'дод 3 '!H160</f>
        <v>42400</v>
      </c>
      <c r="H89" s="62">
        <f>'дод 3 '!I132+'дод 3 '!I160</f>
        <v>0</v>
      </c>
      <c r="I89" s="62">
        <f>'дод 3 '!J132+'дод 3 '!J160</f>
        <v>9959364.2899999991</v>
      </c>
      <c r="J89" s="62">
        <f>'дод 3 '!K132+'дод 3 '!K160</f>
        <v>9959364.2899999991</v>
      </c>
      <c r="K89" s="62">
        <f>'дод 3 '!L132+'дод 3 '!L160</f>
        <v>0</v>
      </c>
      <c r="L89" s="62">
        <f>'дод 3 '!M132+'дод 3 '!M160</f>
        <v>0</v>
      </c>
      <c r="M89" s="62">
        <f>'дод 3 '!N132+'дод 3 '!N160</f>
        <v>0</v>
      </c>
      <c r="N89" s="62">
        <f>'дод 3 '!O132+'дод 3 '!O160</f>
        <v>9959364.2899999991</v>
      </c>
      <c r="O89" s="62">
        <f>'дод 3 '!P132+'дод 3 '!P160</f>
        <v>54723194.289999999</v>
      </c>
      <c r="P89" s="142"/>
    </row>
    <row r="90" spans="1:16" s="83" customFormat="1" ht="29.25" customHeight="1" x14ac:dyDescent="0.25">
      <c r="A90" s="47" t="s">
        <v>164</v>
      </c>
      <c r="B90" s="50"/>
      <c r="C90" s="2" t="s">
        <v>165</v>
      </c>
      <c r="D90" s="61">
        <f>D91+D93+D102+D104+D106+D115</f>
        <v>32496667</v>
      </c>
      <c r="E90" s="61">
        <f t="shared" ref="E90:O90" si="9">E91+E93+E102+E104+E106+E115</f>
        <v>20679667</v>
      </c>
      <c r="F90" s="61">
        <f t="shared" si="9"/>
        <v>0</v>
      </c>
      <c r="G90" s="61">
        <f t="shared" si="9"/>
        <v>0</v>
      </c>
      <c r="H90" s="61">
        <f t="shared" si="9"/>
        <v>11817000</v>
      </c>
      <c r="I90" s="61">
        <f>I91+I93+I102+I104+I106+I115</f>
        <v>249694542.53</v>
      </c>
      <c r="J90" s="61">
        <f t="shared" si="9"/>
        <v>237512808.53</v>
      </c>
      <c r="K90" s="61">
        <f t="shared" si="9"/>
        <v>1427082</v>
      </c>
      <c r="L90" s="61">
        <f t="shared" si="9"/>
        <v>0</v>
      </c>
      <c r="M90" s="61">
        <f t="shared" si="9"/>
        <v>0</v>
      </c>
      <c r="N90" s="61">
        <f t="shared" si="9"/>
        <v>248267460.53</v>
      </c>
      <c r="O90" s="61">
        <f t="shared" si="9"/>
        <v>282191209.52999997</v>
      </c>
      <c r="P90" s="142"/>
    </row>
    <row r="91" spans="1:16" s="83" customFormat="1" x14ac:dyDescent="0.25">
      <c r="A91" s="47" t="s">
        <v>174</v>
      </c>
      <c r="B91" s="50"/>
      <c r="C91" s="2" t="s">
        <v>175</v>
      </c>
      <c r="D91" s="61">
        <f t="shared" ref="D91:O91" si="10">D92</f>
        <v>700000</v>
      </c>
      <c r="E91" s="61">
        <f t="shared" si="10"/>
        <v>700000</v>
      </c>
      <c r="F91" s="61">
        <f t="shared" si="10"/>
        <v>0</v>
      </c>
      <c r="G91" s="61">
        <f t="shared" si="10"/>
        <v>0</v>
      </c>
      <c r="H91" s="61">
        <f t="shared" si="10"/>
        <v>0</v>
      </c>
      <c r="I91" s="61">
        <f t="shared" si="10"/>
        <v>0</v>
      </c>
      <c r="J91" s="61">
        <f t="shared" si="10"/>
        <v>0</v>
      </c>
      <c r="K91" s="61">
        <f t="shared" si="10"/>
        <v>0</v>
      </c>
      <c r="L91" s="61">
        <f t="shared" si="10"/>
        <v>0</v>
      </c>
      <c r="M91" s="61">
        <f t="shared" si="10"/>
        <v>0</v>
      </c>
      <c r="N91" s="61">
        <f t="shared" si="10"/>
        <v>0</v>
      </c>
      <c r="O91" s="61">
        <f t="shared" si="10"/>
        <v>700000</v>
      </c>
      <c r="P91" s="142"/>
    </row>
    <row r="92" spans="1:16" ht="24" customHeight="1" x14ac:dyDescent="0.25">
      <c r="A92" s="46" t="s">
        <v>166</v>
      </c>
      <c r="B92" s="46" t="s">
        <v>103</v>
      </c>
      <c r="C92" s="3" t="s">
        <v>406</v>
      </c>
      <c r="D92" s="62">
        <f>'дод 3 '!E168</f>
        <v>700000</v>
      </c>
      <c r="E92" s="62">
        <f>'дод 3 '!F168</f>
        <v>700000</v>
      </c>
      <c r="F92" s="62">
        <f>'дод 3 '!G168</f>
        <v>0</v>
      </c>
      <c r="G92" s="62">
        <f>'дод 3 '!H168</f>
        <v>0</v>
      </c>
      <c r="H92" s="62">
        <f>'дод 3 '!I168</f>
        <v>0</v>
      </c>
      <c r="I92" s="62">
        <f>'дод 3 '!J168</f>
        <v>0</v>
      </c>
      <c r="J92" s="62">
        <f>'дод 3 '!K168</f>
        <v>0</v>
      </c>
      <c r="K92" s="62">
        <f>'дод 3 '!L168</f>
        <v>0</v>
      </c>
      <c r="L92" s="62">
        <f>'дод 3 '!M168</f>
        <v>0</v>
      </c>
      <c r="M92" s="62">
        <f>'дод 3 '!N168</f>
        <v>0</v>
      </c>
      <c r="N92" s="62">
        <f>'дод 3 '!O168</f>
        <v>0</v>
      </c>
      <c r="O92" s="62">
        <f>'дод 3 '!P168</f>
        <v>700000</v>
      </c>
      <c r="P92" s="142"/>
    </row>
    <row r="93" spans="1:16" s="83" customFormat="1" ht="21" customHeight="1" x14ac:dyDescent="0.25">
      <c r="A93" s="47" t="s">
        <v>117</v>
      </c>
      <c r="B93" s="47"/>
      <c r="C93" s="13" t="s">
        <v>167</v>
      </c>
      <c r="D93" s="61">
        <f>D94+D95+D96+D98+D99+D100+D97+D101</f>
        <v>0</v>
      </c>
      <c r="E93" s="61">
        <f t="shared" ref="E93:O93" si="11">E94+E95+E96+E98+E99+E100+E97+E101</f>
        <v>0</v>
      </c>
      <c r="F93" s="61">
        <f t="shared" si="11"/>
        <v>0</v>
      </c>
      <c r="G93" s="61">
        <f t="shared" si="11"/>
        <v>0</v>
      </c>
      <c r="H93" s="61">
        <f t="shared" si="11"/>
        <v>0</v>
      </c>
      <c r="I93" s="61">
        <f>I94+I95+I96+I98+I99+I100+I97+I101</f>
        <v>87057426.530000001</v>
      </c>
      <c r="J93" s="61">
        <f>J94+J95+J96+J98+J99+J100+J97+J101</f>
        <v>87057426.530000001</v>
      </c>
      <c r="K93" s="61">
        <f t="shared" si="11"/>
        <v>0</v>
      </c>
      <c r="L93" s="61">
        <f t="shared" si="11"/>
        <v>0</v>
      </c>
      <c r="M93" s="61">
        <f t="shared" si="11"/>
        <v>0</v>
      </c>
      <c r="N93" s="61">
        <f t="shared" si="11"/>
        <v>87057426.530000001</v>
      </c>
      <c r="O93" s="61">
        <f t="shared" si="11"/>
        <v>87057426.530000001</v>
      </c>
      <c r="P93" s="142"/>
    </row>
    <row r="94" spans="1:16" ht="36" customHeight="1" x14ac:dyDescent="0.25">
      <c r="A94" s="49" t="s">
        <v>315</v>
      </c>
      <c r="B94" s="49" t="s">
        <v>132</v>
      </c>
      <c r="C94" s="3" t="s">
        <v>324</v>
      </c>
      <c r="D94" s="62">
        <f>'дод 3 '!E150+'дод 3 '!E133</f>
        <v>0</v>
      </c>
      <c r="E94" s="62">
        <f>'дод 3 '!F150+'дод 3 '!F133</f>
        <v>0</v>
      </c>
      <c r="F94" s="62">
        <f>'дод 3 '!G150+'дод 3 '!G133</f>
        <v>0</v>
      </c>
      <c r="G94" s="62">
        <f>'дод 3 '!H150+'дод 3 '!H133</f>
        <v>0</v>
      </c>
      <c r="H94" s="62">
        <f>'дод 3 '!I150+'дод 3 '!I133</f>
        <v>0</v>
      </c>
      <c r="I94" s="62">
        <f>'дод 3 '!J150+'дод 3 '!J133</f>
        <v>14790827.759999998</v>
      </c>
      <c r="J94" s="62">
        <f>'дод 3 '!K150+'дод 3 '!K133</f>
        <v>14790827.759999998</v>
      </c>
      <c r="K94" s="62">
        <f>'дод 3 '!L150+'дод 3 '!L133</f>
        <v>0</v>
      </c>
      <c r="L94" s="62">
        <f>'дод 3 '!M150+'дод 3 '!M133</f>
        <v>0</v>
      </c>
      <c r="M94" s="62">
        <f>'дод 3 '!N150+'дод 3 '!N133</f>
        <v>0</v>
      </c>
      <c r="N94" s="62">
        <f>'дод 3 '!O150+'дод 3 '!O133</f>
        <v>14790827.759999998</v>
      </c>
      <c r="O94" s="62">
        <f>'дод 3 '!P150+'дод 3 '!P133</f>
        <v>14790827.759999998</v>
      </c>
      <c r="P94" s="142"/>
    </row>
    <row r="95" spans="1:16" s="85" customFormat="1" ht="32.25" customHeight="1" x14ac:dyDescent="0.25">
      <c r="A95" s="49" t="s">
        <v>320</v>
      </c>
      <c r="B95" s="49" t="s">
        <v>132</v>
      </c>
      <c r="C95" s="3" t="s">
        <v>325</v>
      </c>
      <c r="D95" s="62">
        <f>'дод 3 '!E151</f>
        <v>0</v>
      </c>
      <c r="E95" s="62">
        <f>'дод 3 '!F151</f>
        <v>0</v>
      </c>
      <c r="F95" s="62">
        <f>'дод 3 '!G151</f>
        <v>0</v>
      </c>
      <c r="G95" s="62">
        <f>'дод 3 '!H151</f>
        <v>0</v>
      </c>
      <c r="H95" s="62">
        <f>'дод 3 '!I151</f>
        <v>0</v>
      </c>
      <c r="I95" s="62">
        <f>'дод 3 '!J151</f>
        <v>9000000</v>
      </c>
      <c r="J95" s="62">
        <f>'дод 3 '!K151</f>
        <v>9000000</v>
      </c>
      <c r="K95" s="62">
        <f>'дод 3 '!L151</f>
        <v>0</v>
      </c>
      <c r="L95" s="62">
        <f>'дод 3 '!M151</f>
        <v>0</v>
      </c>
      <c r="M95" s="62">
        <f>'дод 3 '!N151</f>
        <v>0</v>
      </c>
      <c r="N95" s="62">
        <f>'дод 3 '!O151</f>
        <v>9000000</v>
      </c>
      <c r="O95" s="62">
        <f>'дод 3 '!P151</f>
        <v>9000000</v>
      </c>
      <c r="P95" s="142"/>
    </row>
    <row r="96" spans="1:16" s="85" customFormat="1" ht="32.25" customHeight="1" x14ac:dyDescent="0.25">
      <c r="A96" s="49" t="s">
        <v>322</v>
      </c>
      <c r="B96" s="49" t="s">
        <v>132</v>
      </c>
      <c r="C96" s="3" t="s">
        <v>326</v>
      </c>
      <c r="D96" s="62">
        <f>'дод 3 '!E152</f>
        <v>0</v>
      </c>
      <c r="E96" s="62">
        <f>'дод 3 '!F152</f>
        <v>0</v>
      </c>
      <c r="F96" s="62">
        <f>'дод 3 '!G152</f>
        <v>0</v>
      </c>
      <c r="G96" s="62">
        <f>'дод 3 '!H152</f>
        <v>0</v>
      </c>
      <c r="H96" s="62">
        <f>'дод 3 '!I152</f>
        <v>0</v>
      </c>
      <c r="I96" s="62">
        <f>'дод 3 '!J152</f>
        <v>4454849</v>
      </c>
      <c r="J96" s="62">
        <f>'дод 3 '!K152</f>
        <v>4454849</v>
      </c>
      <c r="K96" s="62">
        <f>'дод 3 '!L152</f>
        <v>0</v>
      </c>
      <c r="L96" s="62">
        <f>'дод 3 '!M152</f>
        <v>0</v>
      </c>
      <c r="M96" s="62">
        <f>'дод 3 '!N152</f>
        <v>0</v>
      </c>
      <c r="N96" s="62">
        <f>'дод 3 '!O152</f>
        <v>4454849</v>
      </c>
      <c r="O96" s="62">
        <f>'дод 3 '!P152</f>
        <v>4454849</v>
      </c>
      <c r="P96" s="142"/>
    </row>
    <row r="97" spans="1:16" s="85" customFormat="1" ht="32.25" hidden="1" customHeight="1" x14ac:dyDescent="0.25">
      <c r="A97" s="49">
        <v>7325</v>
      </c>
      <c r="B97" s="49">
        <v>443</v>
      </c>
      <c r="C97" s="3" t="s">
        <v>422</v>
      </c>
      <c r="D97" s="62">
        <f>'дод 3 '!E153</f>
        <v>0</v>
      </c>
      <c r="E97" s="62">
        <f>'дод 3 '!F153</f>
        <v>0</v>
      </c>
      <c r="F97" s="62">
        <f>'дод 3 '!G153</f>
        <v>0</v>
      </c>
      <c r="G97" s="62">
        <f>'дод 3 '!H153</f>
        <v>0</v>
      </c>
      <c r="H97" s="62">
        <f>'дод 3 '!I153</f>
        <v>0</v>
      </c>
      <c r="I97" s="62">
        <f>'дод 3 '!J153</f>
        <v>0</v>
      </c>
      <c r="J97" s="62">
        <f>'дод 3 '!K153</f>
        <v>0</v>
      </c>
      <c r="K97" s="62">
        <f>'дод 3 '!L153</f>
        <v>0</v>
      </c>
      <c r="L97" s="62">
        <f>'дод 3 '!M153</f>
        <v>0</v>
      </c>
      <c r="M97" s="62">
        <f>'дод 3 '!N153</f>
        <v>0</v>
      </c>
      <c r="N97" s="62">
        <f>'дод 3 '!O153</f>
        <v>0</v>
      </c>
      <c r="O97" s="62">
        <f>'дод 3 '!P153</f>
        <v>0</v>
      </c>
      <c r="P97" s="142"/>
    </row>
    <row r="98" spans="1:16" ht="32.25" customHeight="1" x14ac:dyDescent="0.25">
      <c r="A98" s="49" t="s">
        <v>317</v>
      </c>
      <c r="B98" s="49" t="s">
        <v>132</v>
      </c>
      <c r="C98" s="3" t="s">
        <v>389</v>
      </c>
      <c r="D98" s="62">
        <f>'дод 3 '!E154+'дод 3 '!E134</f>
        <v>0</v>
      </c>
      <c r="E98" s="62">
        <f>'дод 3 '!F154+'дод 3 '!F134</f>
        <v>0</v>
      </c>
      <c r="F98" s="62">
        <f>'дод 3 '!G154+'дод 3 '!G134</f>
        <v>0</v>
      </c>
      <c r="G98" s="62">
        <f>'дод 3 '!H154+'дод 3 '!H134</f>
        <v>0</v>
      </c>
      <c r="H98" s="62">
        <f>'дод 3 '!I154+'дод 3 '!I134</f>
        <v>0</v>
      </c>
      <c r="I98" s="62">
        <f>'дод 3 '!J154+'дод 3 '!J134</f>
        <v>55641149.769999996</v>
      </c>
      <c r="J98" s="62">
        <f>'дод 3 '!K154+'дод 3 '!K134</f>
        <v>55641149.769999996</v>
      </c>
      <c r="K98" s="62">
        <f>'дод 3 '!L154+'дод 3 '!L134</f>
        <v>0</v>
      </c>
      <c r="L98" s="62">
        <f>'дод 3 '!M154+'дод 3 '!M134</f>
        <v>0</v>
      </c>
      <c r="M98" s="62">
        <f>'дод 3 '!N154+'дод 3 '!N134</f>
        <v>0</v>
      </c>
      <c r="N98" s="62">
        <f>'дод 3 '!O154+'дод 3 '!O134</f>
        <v>55641149.769999996</v>
      </c>
      <c r="O98" s="62">
        <f>'дод 3 '!P154+'дод 3 '!P134</f>
        <v>55641149.769999996</v>
      </c>
      <c r="P98" s="142"/>
    </row>
    <row r="99" spans="1:16" ht="35.25" customHeight="1" x14ac:dyDescent="0.25">
      <c r="A99" s="46" t="s">
        <v>168</v>
      </c>
      <c r="B99" s="46" t="s">
        <v>132</v>
      </c>
      <c r="C99" s="3" t="s">
        <v>1</v>
      </c>
      <c r="D99" s="62">
        <f>'дод 3 '!E135</f>
        <v>0</v>
      </c>
      <c r="E99" s="62">
        <f>'дод 3 '!F135</f>
        <v>0</v>
      </c>
      <c r="F99" s="62">
        <f>'дод 3 '!G135</f>
        <v>0</v>
      </c>
      <c r="G99" s="62">
        <f>'дод 3 '!H135</f>
        <v>0</v>
      </c>
      <c r="H99" s="62">
        <f>'дод 3 '!I135</f>
        <v>0</v>
      </c>
      <c r="I99" s="62">
        <f>'дод 3 '!J135</f>
        <v>3000000</v>
      </c>
      <c r="J99" s="62">
        <f>'дод 3 '!K135</f>
        <v>3000000</v>
      </c>
      <c r="K99" s="62">
        <f>'дод 3 '!L135</f>
        <v>0</v>
      </c>
      <c r="L99" s="62">
        <f>'дод 3 '!M135</f>
        <v>0</v>
      </c>
      <c r="M99" s="62">
        <f>'дод 3 '!N135</f>
        <v>0</v>
      </c>
      <c r="N99" s="62">
        <f>'дод 3 '!O135</f>
        <v>3000000</v>
      </c>
      <c r="O99" s="62">
        <f>'дод 3 '!P135</f>
        <v>3000000</v>
      </c>
      <c r="P99" s="142"/>
    </row>
    <row r="100" spans="1:16" s="85" customFormat="1" ht="46.5" customHeight="1" x14ac:dyDescent="0.25">
      <c r="A100" s="46">
        <v>7362</v>
      </c>
      <c r="B100" s="46" t="s">
        <v>102</v>
      </c>
      <c r="C100" s="3" t="s">
        <v>429</v>
      </c>
      <c r="D100" s="62">
        <f>'дод 3 '!E136</f>
        <v>0</v>
      </c>
      <c r="E100" s="62">
        <f>'дод 3 '!F136</f>
        <v>0</v>
      </c>
      <c r="F100" s="62">
        <f>'дод 3 '!G136</f>
        <v>0</v>
      </c>
      <c r="G100" s="62">
        <f>'дод 3 '!H136</f>
        <v>0</v>
      </c>
      <c r="H100" s="62">
        <f>'дод 3 '!I136</f>
        <v>0</v>
      </c>
      <c r="I100" s="62">
        <f>'дод 3 '!J136</f>
        <v>75600</v>
      </c>
      <c r="J100" s="62">
        <f>'дод 3 '!K136</f>
        <v>75600</v>
      </c>
      <c r="K100" s="62">
        <f>'дод 3 '!L136</f>
        <v>0</v>
      </c>
      <c r="L100" s="62">
        <f>'дод 3 '!M136</f>
        <v>0</v>
      </c>
      <c r="M100" s="62">
        <f>'дод 3 '!N136</f>
        <v>0</v>
      </c>
      <c r="N100" s="62">
        <f>'дод 3 '!O136</f>
        <v>75600</v>
      </c>
      <c r="O100" s="62">
        <f>'дод 3 '!P136</f>
        <v>75600</v>
      </c>
      <c r="P100" s="142"/>
    </row>
    <row r="101" spans="1:16" s="85" customFormat="1" ht="46.5" customHeight="1" x14ac:dyDescent="0.25">
      <c r="A101" s="46">
        <v>7363</v>
      </c>
      <c r="B101" s="116" t="s">
        <v>102</v>
      </c>
      <c r="C101" s="117" t="s">
        <v>439</v>
      </c>
      <c r="D101" s="62">
        <f>'дод 3 '!E155</f>
        <v>0</v>
      </c>
      <c r="E101" s="62">
        <f>'дод 3 '!F155</f>
        <v>0</v>
      </c>
      <c r="F101" s="62">
        <f>'дод 3 '!G155</f>
        <v>0</v>
      </c>
      <c r="G101" s="62">
        <f>'дод 3 '!H155</f>
        <v>0</v>
      </c>
      <c r="H101" s="62">
        <f>'дод 3 '!I155</f>
        <v>0</v>
      </c>
      <c r="I101" s="62">
        <f>'дод 3 '!J155</f>
        <v>95000</v>
      </c>
      <c r="J101" s="62">
        <f>'дод 3 '!K155</f>
        <v>95000</v>
      </c>
      <c r="K101" s="62">
        <f>'дод 3 '!L155</f>
        <v>0</v>
      </c>
      <c r="L101" s="62">
        <f>'дод 3 '!M155</f>
        <v>0</v>
      </c>
      <c r="M101" s="62">
        <f>'дод 3 '!N155</f>
        <v>0</v>
      </c>
      <c r="N101" s="62">
        <f>'дод 3 '!O155</f>
        <v>95000</v>
      </c>
      <c r="O101" s="62">
        <f>'дод 3 '!P155</f>
        <v>95000</v>
      </c>
      <c r="P101" s="142"/>
    </row>
    <row r="102" spans="1:16" s="83" customFormat="1" ht="39.75" customHeight="1" x14ac:dyDescent="0.25">
      <c r="A102" s="47" t="s">
        <v>105</v>
      </c>
      <c r="B102" s="50"/>
      <c r="C102" s="2" t="s">
        <v>2</v>
      </c>
      <c r="D102" s="61">
        <f>D103</f>
        <v>10000000</v>
      </c>
      <c r="E102" s="61">
        <f t="shared" ref="E102:O102" si="12">E103</f>
        <v>0</v>
      </c>
      <c r="F102" s="61">
        <f t="shared" si="12"/>
        <v>0</v>
      </c>
      <c r="G102" s="61">
        <f t="shared" si="12"/>
        <v>0</v>
      </c>
      <c r="H102" s="61">
        <f t="shared" si="12"/>
        <v>10000000</v>
      </c>
      <c r="I102" s="61">
        <f t="shared" si="12"/>
        <v>0</v>
      </c>
      <c r="J102" s="61">
        <f t="shared" si="12"/>
        <v>0</v>
      </c>
      <c r="K102" s="61">
        <f t="shared" si="12"/>
        <v>0</v>
      </c>
      <c r="L102" s="61">
        <f t="shared" si="12"/>
        <v>0</v>
      </c>
      <c r="M102" s="61">
        <f t="shared" si="12"/>
        <v>0</v>
      </c>
      <c r="N102" s="61">
        <f t="shared" si="12"/>
        <v>0</v>
      </c>
      <c r="O102" s="61">
        <f t="shared" si="12"/>
        <v>10000000</v>
      </c>
      <c r="P102" s="142"/>
    </row>
    <row r="103" spans="1:16" s="85" customFormat="1" ht="30" customHeight="1" x14ac:dyDescent="0.25">
      <c r="A103" s="46" t="s">
        <v>4</v>
      </c>
      <c r="B103" s="46" t="s">
        <v>104</v>
      </c>
      <c r="C103" s="3" t="s">
        <v>49</v>
      </c>
      <c r="D103" s="62">
        <f>'дод 3 '!E33</f>
        <v>10000000</v>
      </c>
      <c r="E103" s="62">
        <f>'дод 3 '!F33</f>
        <v>0</v>
      </c>
      <c r="F103" s="62">
        <f>'дод 3 '!G33</f>
        <v>0</v>
      </c>
      <c r="G103" s="62">
        <f>'дод 3 '!H33</f>
        <v>0</v>
      </c>
      <c r="H103" s="62">
        <f>'дод 3 '!I33</f>
        <v>10000000</v>
      </c>
      <c r="I103" s="62">
        <f>'дод 3 '!J33</f>
        <v>0</v>
      </c>
      <c r="J103" s="62">
        <f>'дод 3 '!K33</f>
        <v>0</v>
      </c>
      <c r="K103" s="62">
        <f>'дод 3 '!L33</f>
        <v>0</v>
      </c>
      <c r="L103" s="62">
        <f>'дод 3 '!M33</f>
        <v>0</v>
      </c>
      <c r="M103" s="62">
        <f>'дод 3 '!N33</f>
        <v>0</v>
      </c>
      <c r="N103" s="62">
        <f>'дод 3 '!O33</f>
        <v>0</v>
      </c>
      <c r="O103" s="62">
        <f>'дод 3 '!P33</f>
        <v>10000000</v>
      </c>
      <c r="P103" s="142"/>
    </row>
    <row r="104" spans="1:16" s="83" customFormat="1" ht="28.5" customHeight="1" x14ac:dyDescent="0.25">
      <c r="A104" s="48" t="s">
        <v>279</v>
      </c>
      <c r="B104" s="50"/>
      <c r="C104" s="2" t="s">
        <v>280</v>
      </c>
      <c r="D104" s="61">
        <f t="shared" ref="D104:O104" si="13">D105</f>
        <v>13450000</v>
      </c>
      <c r="E104" s="61">
        <f t="shared" si="13"/>
        <v>13450000</v>
      </c>
      <c r="F104" s="61">
        <f t="shared" si="13"/>
        <v>0</v>
      </c>
      <c r="G104" s="61">
        <f t="shared" si="13"/>
        <v>0</v>
      </c>
      <c r="H104" s="61">
        <f t="shared" si="13"/>
        <v>0</v>
      </c>
      <c r="I104" s="61">
        <f t="shared" si="13"/>
        <v>6050000</v>
      </c>
      <c r="J104" s="61">
        <f t="shared" si="13"/>
        <v>6050000</v>
      </c>
      <c r="K104" s="61">
        <f t="shared" si="13"/>
        <v>0</v>
      </c>
      <c r="L104" s="61">
        <f t="shared" si="13"/>
        <v>0</v>
      </c>
      <c r="M104" s="61">
        <f t="shared" si="13"/>
        <v>0</v>
      </c>
      <c r="N104" s="61">
        <f t="shared" si="13"/>
        <v>6050000</v>
      </c>
      <c r="O104" s="61">
        <f t="shared" si="13"/>
        <v>19500000</v>
      </c>
      <c r="P104" s="142"/>
    </row>
    <row r="105" spans="1:16" ht="37.5" customHeight="1" x14ac:dyDescent="0.25">
      <c r="A105" s="49" t="s">
        <v>277</v>
      </c>
      <c r="B105" s="49" t="s">
        <v>278</v>
      </c>
      <c r="C105" s="11" t="s">
        <v>276</v>
      </c>
      <c r="D105" s="62">
        <f>'дод 3 '!E34</f>
        <v>13450000</v>
      </c>
      <c r="E105" s="62">
        <f>'дод 3 '!F34</f>
        <v>13450000</v>
      </c>
      <c r="F105" s="62">
        <f>'дод 3 '!G34</f>
        <v>0</v>
      </c>
      <c r="G105" s="62">
        <f>'дод 3 '!H34</f>
        <v>0</v>
      </c>
      <c r="H105" s="62">
        <f>'дод 3 '!I34</f>
        <v>0</v>
      </c>
      <c r="I105" s="62">
        <f>'дод 3 '!J34</f>
        <v>6050000</v>
      </c>
      <c r="J105" s="62">
        <f>'дод 3 '!K34</f>
        <v>6050000</v>
      </c>
      <c r="K105" s="62">
        <f>'дод 3 '!L34</f>
        <v>0</v>
      </c>
      <c r="L105" s="62">
        <f>'дод 3 '!M34</f>
        <v>0</v>
      </c>
      <c r="M105" s="62">
        <f>'дод 3 '!N34</f>
        <v>0</v>
      </c>
      <c r="N105" s="62">
        <f>'дод 3 '!O34</f>
        <v>6050000</v>
      </c>
      <c r="O105" s="62">
        <f>'дод 3 '!P34</f>
        <v>19500000</v>
      </c>
      <c r="P105" s="142"/>
    </row>
    <row r="106" spans="1:16" s="83" customFormat="1" ht="38.25" customHeight="1" x14ac:dyDescent="0.25">
      <c r="A106" s="47" t="s">
        <v>108</v>
      </c>
      <c r="B106" s="50"/>
      <c r="C106" s="2" t="s">
        <v>5</v>
      </c>
      <c r="D106" s="61">
        <f t="shared" ref="D106:O106" si="14">D107+D108+D109+D110+D111+D112+D113+D114</f>
        <v>8346667</v>
      </c>
      <c r="E106" s="61">
        <f t="shared" si="14"/>
        <v>6529667</v>
      </c>
      <c r="F106" s="61">
        <f t="shared" si="14"/>
        <v>0</v>
      </c>
      <c r="G106" s="61">
        <f t="shared" si="14"/>
        <v>0</v>
      </c>
      <c r="H106" s="61">
        <f t="shared" si="14"/>
        <v>1817000</v>
      </c>
      <c r="I106" s="61">
        <f t="shared" si="14"/>
        <v>155702116</v>
      </c>
      <c r="J106" s="61">
        <f t="shared" si="14"/>
        <v>144405382</v>
      </c>
      <c r="K106" s="61">
        <f t="shared" si="14"/>
        <v>1427082</v>
      </c>
      <c r="L106" s="61">
        <f t="shared" si="14"/>
        <v>0</v>
      </c>
      <c r="M106" s="61">
        <f t="shared" si="14"/>
        <v>0</v>
      </c>
      <c r="N106" s="61">
        <f t="shared" si="14"/>
        <v>154275034</v>
      </c>
      <c r="O106" s="61">
        <f t="shared" si="14"/>
        <v>164048783</v>
      </c>
      <c r="P106" s="142"/>
    </row>
    <row r="107" spans="1:16" ht="30.75" customHeight="1" x14ac:dyDescent="0.25">
      <c r="A107" s="46" t="s">
        <v>6</v>
      </c>
      <c r="B107" s="46" t="s">
        <v>107</v>
      </c>
      <c r="C107" s="3" t="s">
        <v>32</v>
      </c>
      <c r="D107" s="62">
        <f>'дод 3 '!E35+'дод 3 '!E169</f>
        <v>1235000</v>
      </c>
      <c r="E107" s="62">
        <f>'дод 3 '!F35+'дод 3 '!F169</f>
        <v>617000</v>
      </c>
      <c r="F107" s="62">
        <f>'дод 3 '!G35+'дод 3 '!G169</f>
        <v>0</v>
      </c>
      <c r="G107" s="62">
        <f>'дод 3 '!H35+'дод 3 '!H169</f>
        <v>0</v>
      </c>
      <c r="H107" s="62">
        <f>'дод 3 '!I35+'дод 3 '!I169</f>
        <v>618000</v>
      </c>
      <c r="I107" s="62">
        <f>'дод 3 '!J35+'дод 3 '!J169</f>
        <v>0</v>
      </c>
      <c r="J107" s="62">
        <f>'дод 3 '!K35+'дод 3 '!K169</f>
        <v>0</v>
      </c>
      <c r="K107" s="62">
        <f>'дод 3 '!L35+'дод 3 '!L169</f>
        <v>0</v>
      </c>
      <c r="L107" s="62">
        <f>'дод 3 '!M35+'дод 3 '!M169</f>
        <v>0</v>
      </c>
      <c r="M107" s="62">
        <f>'дод 3 '!N35+'дод 3 '!N169</f>
        <v>0</v>
      </c>
      <c r="N107" s="62">
        <f>'дод 3 '!O35+'дод 3 '!O169</f>
        <v>0</v>
      </c>
      <c r="O107" s="62">
        <f>'дод 3 '!P35+'дод 3 '!P169</f>
        <v>1235000</v>
      </c>
      <c r="P107" s="142"/>
    </row>
    <row r="108" spans="1:16" ht="24.75" customHeight="1" x14ac:dyDescent="0.25">
      <c r="A108" s="46" t="s">
        <v>3</v>
      </c>
      <c r="B108" s="46" t="s">
        <v>106</v>
      </c>
      <c r="C108" s="3" t="s">
        <v>45</v>
      </c>
      <c r="D108" s="62">
        <f>'дод 3 '!E66+'дод 3 '!E83+'дод 3 '!E120+'дод 3 '!E137+'дод 3 '!E156+'дод 3 '!E176</f>
        <v>4350811</v>
      </c>
      <c r="E108" s="62">
        <f>'дод 3 '!F66+'дод 3 '!F83+'дод 3 '!F120+'дод 3 '!F137+'дод 3 '!F156+'дод 3 '!F176</f>
        <v>3151811</v>
      </c>
      <c r="F108" s="62">
        <f>'дод 3 '!G66+'дод 3 '!G83+'дод 3 '!G120+'дод 3 '!G137+'дод 3 '!G156+'дод 3 '!G176</f>
        <v>0</v>
      </c>
      <c r="G108" s="62">
        <f>'дод 3 '!H66+'дод 3 '!H83+'дод 3 '!H120+'дод 3 '!H137+'дод 3 '!H156+'дод 3 '!H176</f>
        <v>0</v>
      </c>
      <c r="H108" s="62">
        <f>'дод 3 '!I66+'дод 3 '!I83+'дод 3 '!I120+'дод 3 '!I137+'дод 3 '!I156+'дод 3 '!I176</f>
        <v>1199000</v>
      </c>
      <c r="I108" s="62">
        <f>'дод 3 '!J66+'дод 3 '!J83+'дод 3 '!J120+'дод 3 '!J137+'дод 3 '!J156+'дод 3 '!J176</f>
        <v>114452504</v>
      </c>
      <c r="J108" s="62">
        <f>'дод 3 '!K66+'дод 3 '!K83+'дод 3 '!K120+'дод 3 '!K137+'дод 3 '!K156+'дод 3 '!K176</f>
        <v>104716052</v>
      </c>
      <c r="K108" s="62">
        <f>'дод 3 '!L66+'дод 3 '!L83+'дод 3 '!L120+'дод 3 '!L137+'дод 3 '!L156+'дод 3 '!L176</f>
        <v>0</v>
      </c>
      <c r="L108" s="62">
        <f>'дод 3 '!M66+'дод 3 '!M83+'дод 3 '!M120+'дод 3 '!M137+'дод 3 '!M156+'дод 3 '!M176</f>
        <v>0</v>
      </c>
      <c r="M108" s="62">
        <f>'дод 3 '!N66+'дод 3 '!N83+'дод 3 '!N120+'дод 3 '!N137+'дод 3 '!N156+'дод 3 '!N176</f>
        <v>0</v>
      </c>
      <c r="N108" s="62">
        <f>'дод 3 '!O66+'дод 3 '!O83+'дод 3 '!O120+'дод 3 '!O137+'дод 3 '!O156+'дод 3 '!O176</f>
        <v>114452504</v>
      </c>
      <c r="O108" s="62">
        <f>'дод 3 '!P66+'дод 3 '!P83+'дод 3 '!P120+'дод 3 '!P137+'дод 3 '!P156+'дод 3 '!P176</f>
        <v>118803315</v>
      </c>
      <c r="P108" s="142"/>
    </row>
    <row r="109" spans="1:16" ht="33.75" customHeight="1" x14ac:dyDescent="0.25">
      <c r="A109" s="46" t="s">
        <v>310</v>
      </c>
      <c r="B109" s="46" t="s">
        <v>102</v>
      </c>
      <c r="C109" s="3" t="s">
        <v>407</v>
      </c>
      <c r="D109" s="62">
        <f>'дод 3 '!E170</f>
        <v>0</v>
      </c>
      <c r="E109" s="62">
        <f>'дод 3 '!F170</f>
        <v>0</v>
      </c>
      <c r="F109" s="62">
        <f>'дод 3 '!G170</f>
        <v>0</v>
      </c>
      <c r="G109" s="62">
        <f>'дод 3 '!H170</f>
        <v>0</v>
      </c>
      <c r="H109" s="62">
        <f>'дод 3 '!I170</f>
        <v>0</v>
      </c>
      <c r="I109" s="62">
        <f>'дод 3 '!J170</f>
        <v>30000</v>
      </c>
      <c r="J109" s="62">
        <f>'дод 3 '!K170</f>
        <v>30000</v>
      </c>
      <c r="K109" s="62">
        <f>'дод 3 '!L170</f>
        <v>0</v>
      </c>
      <c r="L109" s="62">
        <f>'дод 3 '!M170</f>
        <v>0</v>
      </c>
      <c r="M109" s="62">
        <f>'дод 3 '!N170</f>
        <v>0</v>
      </c>
      <c r="N109" s="62">
        <f>'дод 3 '!O170</f>
        <v>30000</v>
      </c>
      <c r="O109" s="62">
        <f>'дод 3 '!P170</f>
        <v>30000</v>
      </c>
      <c r="P109" s="142"/>
    </row>
    <row r="110" spans="1:16" ht="59.25" customHeight="1" x14ac:dyDescent="0.25">
      <c r="A110" s="46" t="s">
        <v>312</v>
      </c>
      <c r="B110" s="46" t="s">
        <v>102</v>
      </c>
      <c r="C110" s="3" t="s">
        <v>313</v>
      </c>
      <c r="D110" s="62">
        <f>'дод 3 '!E171</f>
        <v>0</v>
      </c>
      <c r="E110" s="62">
        <f>'дод 3 '!F171</f>
        <v>0</v>
      </c>
      <c r="F110" s="62">
        <f>'дод 3 '!G171</f>
        <v>0</v>
      </c>
      <c r="G110" s="62">
        <f>'дод 3 '!H171</f>
        <v>0</v>
      </c>
      <c r="H110" s="62">
        <f>'дод 3 '!I171</f>
        <v>0</v>
      </c>
      <c r="I110" s="62">
        <f>'дод 3 '!J171</f>
        <v>45000</v>
      </c>
      <c r="J110" s="62">
        <f>'дод 3 '!K171</f>
        <v>45000</v>
      </c>
      <c r="K110" s="62">
        <f>'дод 3 '!L171</f>
        <v>0</v>
      </c>
      <c r="L110" s="62">
        <f>'дод 3 '!M171</f>
        <v>0</v>
      </c>
      <c r="M110" s="62">
        <f>'дод 3 '!N171</f>
        <v>0</v>
      </c>
      <c r="N110" s="62">
        <f>'дод 3 '!O171</f>
        <v>45000</v>
      </c>
      <c r="O110" s="62">
        <f>'дод 3 '!P171</f>
        <v>45000</v>
      </c>
      <c r="P110" s="142"/>
    </row>
    <row r="111" spans="1:16" ht="30.75" customHeight="1" x14ac:dyDescent="0.25">
      <c r="A111" s="46" t="s">
        <v>7</v>
      </c>
      <c r="B111" s="46" t="s">
        <v>102</v>
      </c>
      <c r="C111" s="3" t="s">
        <v>33</v>
      </c>
      <c r="D111" s="62">
        <f>'дод 3 '!E36+'дод 3 '!E138</f>
        <v>0</v>
      </c>
      <c r="E111" s="62">
        <f>'дод 3 '!F36+'дод 3 '!F138</f>
        <v>0</v>
      </c>
      <c r="F111" s="62">
        <f>'дод 3 '!G36+'дод 3 '!G138</f>
        <v>0</v>
      </c>
      <c r="G111" s="62">
        <f>'дод 3 '!H36+'дод 3 '!H138</f>
        <v>0</v>
      </c>
      <c r="H111" s="62">
        <f>'дод 3 '!I36+'дод 3 '!I138</f>
        <v>0</v>
      </c>
      <c r="I111" s="62">
        <f>'дод 3 '!J36+'дод 3 '!J138</f>
        <v>39614330</v>
      </c>
      <c r="J111" s="62">
        <f>'дод 3 '!K36+'дод 3 '!K138</f>
        <v>39614330</v>
      </c>
      <c r="K111" s="62">
        <f>'дод 3 '!L36+'дод 3 '!L138</f>
        <v>0</v>
      </c>
      <c r="L111" s="62">
        <f>'дод 3 '!M36+'дод 3 '!M138</f>
        <v>0</v>
      </c>
      <c r="M111" s="62">
        <f>'дод 3 '!N36+'дод 3 '!N138</f>
        <v>0</v>
      </c>
      <c r="N111" s="62">
        <f>'дод 3 '!O36+'дод 3 '!O138</f>
        <v>39614330</v>
      </c>
      <c r="O111" s="62">
        <f>'дод 3 '!P36+'дод 3 '!P138</f>
        <v>39614330</v>
      </c>
      <c r="P111" s="142"/>
    </row>
    <row r="112" spans="1:16" ht="36.75" customHeight="1" x14ac:dyDescent="0.25">
      <c r="A112" s="46" t="s">
        <v>290</v>
      </c>
      <c r="B112" s="46" t="s">
        <v>102</v>
      </c>
      <c r="C112" s="3" t="s">
        <v>291</v>
      </c>
      <c r="D112" s="62">
        <f>'дод 3 '!E37</f>
        <v>240069</v>
      </c>
      <c r="E112" s="62">
        <f>'дод 3 '!F37</f>
        <v>240069</v>
      </c>
      <c r="F112" s="62">
        <f>'дод 3 '!G37</f>
        <v>0</v>
      </c>
      <c r="G112" s="62">
        <f>'дод 3 '!H37</f>
        <v>0</v>
      </c>
      <c r="H112" s="62">
        <f>'дод 3 '!I37</f>
        <v>0</v>
      </c>
      <c r="I112" s="62">
        <f>'дод 3 '!J37</f>
        <v>0</v>
      </c>
      <c r="J112" s="62">
        <f>'дод 3 '!K37</f>
        <v>0</v>
      </c>
      <c r="K112" s="62">
        <f>'дод 3 '!L37</f>
        <v>0</v>
      </c>
      <c r="L112" s="62">
        <f>'дод 3 '!M37</f>
        <v>0</v>
      </c>
      <c r="M112" s="62">
        <f>'дод 3 '!N37</f>
        <v>0</v>
      </c>
      <c r="N112" s="62">
        <f>'дод 3 '!O37</f>
        <v>0</v>
      </c>
      <c r="O112" s="62">
        <f>'дод 3 '!P37</f>
        <v>240069</v>
      </c>
      <c r="P112" s="142"/>
    </row>
    <row r="113" spans="1:16" s="85" customFormat="1" ht="108" customHeight="1" x14ac:dyDescent="0.25">
      <c r="A113" s="46" t="s">
        <v>346</v>
      </c>
      <c r="B113" s="46" t="s">
        <v>102</v>
      </c>
      <c r="C113" s="3" t="s">
        <v>367</v>
      </c>
      <c r="D113" s="62">
        <f>'дод 3 '!E38+'дод 3 '!E161+'дод 3 '!E139</f>
        <v>0</v>
      </c>
      <c r="E113" s="62">
        <f>'дод 3 '!F38+'дод 3 '!F161+'дод 3 '!F139</f>
        <v>0</v>
      </c>
      <c r="F113" s="62">
        <f>'дод 3 '!G38+'дод 3 '!G161+'дод 3 '!G139</f>
        <v>0</v>
      </c>
      <c r="G113" s="62">
        <f>'дод 3 '!H38+'дод 3 '!H161+'дод 3 '!H139</f>
        <v>0</v>
      </c>
      <c r="H113" s="62">
        <f>'дод 3 '!I38+'дод 3 '!I161+'дод 3 '!I139</f>
        <v>0</v>
      </c>
      <c r="I113" s="62">
        <f>'дод 3 '!J38+'дод 3 '!J161+'дод 3 '!J139</f>
        <v>1560282</v>
      </c>
      <c r="J113" s="62">
        <f>'дод 3 '!K38+'дод 3 '!K161+'дод 3 '!K139</f>
        <v>0</v>
      </c>
      <c r="K113" s="62">
        <f>'дод 3 '!L38+'дод 3 '!L161+'дод 3 '!L139</f>
        <v>1427082</v>
      </c>
      <c r="L113" s="62">
        <f>'дод 3 '!M38+'дод 3 '!M161+'дод 3 '!M139</f>
        <v>0</v>
      </c>
      <c r="M113" s="62">
        <f>'дод 3 '!N38+'дод 3 '!N161+'дод 3 '!N139</f>
        <v>0</v>
      </c>
      <c r="N113" s="62">
        <f>'дод 3 '!O38+'дод 3 '!O161+'дод 3 '!O139</f>
        <v>133200</v>
      </c>
      <c r="O113" s="62">
        <f>'дод 3 '!P38+'дод 3 '!P161+'дод 3 '!P139</f>
        <v>1560282</v>
      </c>
      <c r="P113" s="142"/>
    </row>
    <row r="114" spans="1:16" s="85" customFormat="1" ht="30.75" customHeight="1" x14ac:dyDescent="0.25">
      <c r="A114" s="46" t="s">
        <v>281</v>
      </c>
      <c r="B114" s="46" t="s">
        <v>102</v>
      </c>
      <c r="C114" s="3" t="s">
        <v>23</v>
      </c>
      <c r="D114" s="62">
        <f>'дод 3 '!E39+'дод 3 '!E172+'дод 3 '!E177</f>
        <v>2520787</v>
      </c>
      <c r="E114" s="62">
        <f>'дод 3 '!F39+'дод 3 '!F172+'дод 3 '!F177</f>
        <v>2520787</v>
      </c>
      <c r="F114" s="62">
        <f>'дод 3 '!G39+'дод 3 '!G172+'дод 3 '!G177</f>
        <v>0</v>
      </c>
      <c r="G114" s="62">
        <f>'дод 3 '!H39+'дод 3 '!H172+'дод 3 '!H177</f>
        <v>0</v>
      </c>
      <c r="H114" s="62">
        <f>'дод 3 '!I39+'дод 3 '!I172+'дод 3 '!I177</f>
        <v>0</v>
      </c>
      <c r="I114" s="62">
        <f>'дод 3 '!J39+'дод 3 '!J172+'дод 3 '!J177</f>
        <v>0</v>
      </c>
      <c r="J114" s="62">
        <f>'дод 3 '!K39+'дод 3 '!K172+'дод 3 '!K177</f>
        <v>0</v>
      </c>
      <c r="K114" s="62">
        <f>'дод 3 '!L39+'дод 3 '!L172+'дод 3 '!L177</f>
        <v>0</v>
      </c>
      <c r="L114" s="62">
        <f>'дод 3 '!M39+'дод 3 '!M172+'дод 3 '!M177</f>
        <v>0</v>
      </c>
      <c r="M114" s="62">
        <f>'дод 3 '!N39+'дод 3 '!N172+'дод 3 '!N177</f>
        <v>0</v>
      </c>
      <c r="N114" s="62">
        <f>'дод 3 '!O39+'дод 3 '!O172+'дод 3 '!O177</f>
        <v>0</v>
      </c>
      <c r="O114" s="62">
        <f>'дод 3 '!P39+'дод 3 '!P172+'дод 3 '!P177</f>
        <v>2520787</v>
      </c>
      <c r="P114" s="142"/>
    </row>
    <row r="115" spans="1:16" s="84" customFormat="1" ht="48.75" customHeight="1" x14ac:dyDescent="0.25">
      <c r="A115" s="47">
        <v>7700</v>
      </c>
      <c r="B115" s="47"/>
      <c r="C115" s="110" t="s">
        <v>427</v>
      </c>
      <c r="D115" s="61">
        <f>D116</f>
        <v>0</v>
      </c>
      <c r="E115" s="61">
        <f t="shared" ref="E115:O115" si="15">E116</f>
        <v>0</v>
      </c>
      <c r="F115" s="61">
        <f t="shared" si="15"/>
        <v>0</v>
      </c>
      <c r="G115" s="61">
        <f t="shared" si="15"/>
        <v>0</v>
      </c>
      <c r="H115" s="61">
        <f t="shared" si="15"/>
        <v>0</v>
      </c>
      <c r="I115" s="61">
        <f t="shared" si="15"/>
        <v>885000</v>
      </c>
      <c r="J115" s="61">
        <f t="shared" si="15"/>
        <v>0</v>
      </c>
      <c r="K115" s="61">
        <f t="shared" si="15"/>
        <v>0</v>
      </c>
      <c r="L115" s="61">
        <f t="shared" si="15"/>
        <v>0</v>
      </c>
      <c r="M115" s="61">
        <f t="shared" si="15"/>
        <v>0</v>
      </c>
      <c r="N115" s="61">
        <f t="shared" si="15"/>
        <v>885000</v>
      </c>
      <c r="O115" s="61">
        <f t="shared" si="15"/>
        <v>885000</v>
      </c>
      <c r="P115" s="142"/>
    </row>
    <row r="116" spans="1:16" s="85" customFormat="1" ht="46.5" customHeight="1" x14ac:dyDescent="0.25">
      <c r="A116" s="46">
        <v>7700</v>
      </c>
      <c r="B116" s="109" t="s">
        <v>113</v>
      </c>
      <c r="C116" s="24" t="s">
        <v>427</v>
      </c>
      <c r="D116" s="62">
        <f>'дод 3 '!E84</f>
        <v>0</v>
      </c>
      <c r="E116" s="62">
        <f>'дод 3 '!F84</f>
        <v>0</v>
      </c>
      <c r="F116" s="62">
        <f>'дод 3 '!G84</f>
        <v>0</v>
      </c>
      <c r="G116" s="62">
        <f>'дод 3 '!H84</f>
        <v>0</v>
      </c>
      <c r="H116" s="62">
        <f>'дод 3 '!I84</f>
        <v>0</v>
      </c>
      <c r="I116" s="62">
        <f>'дод 3 '!J84</f>
        <v>885000</v>
      </c>
      <c r="J116" s="62">
        <f>'дод 3 '!K84</f>
        <v>0</v>
      </c>
      <c r="K116" s="62">
        <f>'дод 3 '!L84</f>
        <v>0</v>
      </c>
      <c r="L116" s="62">
        <f>'дод 3 '!M84</f>
        <v>0</v>
      </c>
      <c r="M116" s="62">
        <f>'дод 3 '!N84</f>
        <v>0</v>
      </c>
      <c r="N116" s="62">
        <f>'дод 3 '!O84</f>
        <v>885000</v>
      </c>
      <c r="O116" s="62">
        <f>'дод 3 '!P84</f>
        <v>885000</v>
      </c>
      <c r="P116" s="153">
        <v>25</v>
      </c>
    </row>
    <row r="117" spans="1:16" s="83" customFormat="1" x14ac:dyDescent="0.25">
      <c r="A117" s="47" t="s">
        <v>114</v>
      </c>
      <c r="B117" s="48"/>
      <c r="C117" s="2" t="s">
        <v>9</v>
      </c>
      <c r="D117" s="61">
        <f t="shared" ref="D117:O117" si="16">D118+D121+D123+D126+D128+D129</f>
        <v>23917205</v>
      </c>
      <c r="E117" s="61">
        <f t="shared" si="16"/>
        <v>3877205</v>
      </c>
      <c r="F117" s="61">
        <f t="shared" si="16"/>
        <v>1542220</v>
      </c>
      <c r="G117" s="61">
        <f t="shared" si="16"/>
        <v>365540</v>
      </c>
      <c r="H117" s="61">
        <f t="shared" si="16"/>
        <v>0</v>
      </c>
      <c r="I117" s="61">
        <f t="shared" si="16"/>
        <v>6683600</v>
      </c>
      <c r="J117" s="61">
        <f t="shared" si="16"/>
        <v>2159600</v>
      </c>
      <c r="K117" s="61">
        <f t="shared" si="16"/>
        <v>2493500</v>
      </c>
      <c r="L117" s="61">
        <f t="shared" si="16"/>
        <v>0</v>
      </c>
      <c r="M117" s="61">
        <f t="shared" si="16"/>
        <v>541400</v>
      </c>
      <c r="N117" s="61">
        <f t="shared" si="16"/>
        <v>4190100</v>
      </c>
      <c r="O117" s="61">
        <f t="shared" si="16"/>
        <v>30600805</v>
      </c>
      <c r="P117" s="153"/>
    </row>
    <row r="118" spans="1:16" s="83" customFormat="1" ht="39.75" customHeight="1" x14ac:dyDescent="0.25">
      <c r="A118" s="47" t="s">
        <v>116</v>
      </c>
      <c r="B118" s="48"/>
      <c r="C118" s="2" t="s">
        <v>10</v>
      </c>
      <c r="D118" s="61">
        <f t="shared" ref="D118:O118" si="17">D119+D120</f>
        <v>2306780</v>
      </c>
      <c r="E118" s="61">
        <f t="shared" si="17"/>
        <v>2306780</v>
      </c>
      <c r="F118" s="61">
        <f t="shared" si="17"/>
        <v>1542220</v>
      </c>
      <c r="G118" s="61">
        <f t="shared" si="17"/>
        <v>87380</v>
      </c>
      <c r="H118" s="61">
        <f t="shared" si="17"/>
        <v>0</v>
      </c>
      <c r="I118" s="61">
        <f t="shared" si="17"/>
        <v>2165100</v>
      </c>
      <c r="J118" s="61">
        <f t="shared" si="17"/>
        <v>2159600</v>
      </c>
      <c r="K118" s="61">
        <f t="shared" si="17"/>
        <v>5500</v>
      </c>
      <c r="L118" s="61">
        <f t="shared" si="17"/>
        <v>0</v>
      </c>
      <c r="M118" s="61">
        <f t="shared" si="17"/>
        <v>1400</v>
      </c>
      <c r="N118" s="61">
        <f t="shared" si="17"/>
        <v>2159600</v>
      </c>
      <c r="O118" s="61">
        <f t="shared" si="17"/>
        <v>4471880</v>
      </c>
      <c r="P118" s="153"/>
    </row>
    <row r="119" spans="1:16" s="83" customFormat="1" ht="36.75" customHeight="1" x14ac:dyDescent="0.25">
      <c r="A119" s="49" t="s">
        <v>11</v>
      </c>
      <c r="B119" s="49" t="s">
        <v>109</v>
      </c>
      <c r="C119" s="3" t="s">
        <v>347</v>
      </c>
      <c r="D119" s="62">
        <f>'дод 3 '!E40</f>
        <v>284500</v>
      </c>
      <c r="E119" s="62">
        <f>'дод 3 '!F40</f>
        <v>284500</v>
      </c>
      <c r="F119" s="62">
        <f>'дод 3 '!G40</f>
        <v>0</v>
      </c>
      <c r="G119" s="62">
        <f>'дод 3 '!H40</f>
        <v>7500</v>
      </c>
      <c r="H119" s="62">
        <f>'дод 3 '!I40</f>
        <v>0</v>
      </c>
      <c r="I119" s="62">
        <f>'дод 3 '!J40</f>
        <v>2159600</v>
      </c>
      <c r="J119" s="62">
        <f>'дод 3 '!K40</f>
        <v>2159600</v>
      </c>
      <c r="K119" s="62">
        <f>'дод 3 '!L40</f>
        <v>0</v>
      </c>
      <c r="L119" s="62">
        <f>'дод 3 '!M40</f>
        <v>0</v>
      </c>
      <c r="M119" s="62">
        <f>'дод 3 '!N40</f>
        <v>0</v>
      </c>
      <c r="N119" s="62">
        <f>'дод 3 '!O40</f>
        <v>2159600</v>
      </c>
      <c r="O119" s="62">
        <f>'дод 3 '!P40</f>
        <v>2444100</v>
      </c>
      <c r="P119" s="153"/>
    </row>
    <row r="120" spans="1:16" ht="24.75" customHeight="1" x14ac:dyDescent="0.25">
      <c r="A120" s="46" t="s">
        <v>179</v>
      </c>
      <c r="B120" s="51" t="s">
        <v>109</v>
      </c>
      <c r="C120" s="3" t="s">
        <v>12</v>
      </c>
      <c r="D120" s="62">
        <f>'дод 3 '!E41</f>
        <v>2022280</v>
      </c>
      <c r="E120" s="62">
        <f>'дод 3 '!F41</f>
        <v>2022280</v>
      </c>
      <c r="F120" s="62">
        <f>'дод 3 '!G41</f>
        <v>1542220</v>
      </c>
      <c r="G120" s="62">
        <f>'дод 3 '!H41</f>
        <v>79880</v>
      </c>
      <c r="H120" s="62">
        <f>'дод 3 '!I41</f>
        <v>0</v>
      </c>
      <c r="I120" s="62">
        <f>'дод 3 '!J41</f>
        <v>5500</v>
      </c>
      <c r="J120" s="62">
        <f>'дод 3 '!K41</f>
        <v>0</v>
      </c>
      <c r="K120" s="62">
        <f>'дод 3 '!L41</f>
        <v>5500</v>
      </c>
      <c r="L120" s="62">
        <f>'дод 3 '!M41</f>
        <v>0</v>
      </c>
      <c r="M120" s="62">
        <f>'дод 3 '!N41</f>
        <v>1400</v>
      </c>
      <c r="N120" s="62">
        <f>'дод 3 '!O41</f>
        <v>0</v>
      </c>
      <c r="O120" s="62">
        <f>'дод 3 '!P41</f>
        <v>2027780</v>
      </c>
      <c r="P120" s="153"/>
    </row>
    <row r="121" spans="1:16" s="83" customFormat="1" ht="30" customHeight="1" x14ac:dyDescent="0.25">
      <c r="A121" s="47" t="s">
        <v>292</v>
      </c>
      <c r="B121" s="47"/>
      <c r="C121" s="12" t="s">
        <v>293</v>
      </c>
      <c r="D121" s="61">
        <f t="shared" ref="D121:O121" si="18">D122</f>
        <v>683360</v>
      </c>
      <c r="E121" s="61">
        <f t="shared" si="18"/>
        <v>683360</v>
      </c>
      <c r="F121" s="61">
        <f t="shared" si="18"/>
        <v>0</v>
      </c>
      <c r="G121" s="61">
        <f t="shared" si="18"/>
        <v>278160</v>
      </c>
      <c r="H121" s="61">
        <f t="shared" si="18"/>
        <v>0</v>
      </c>
      <c r="I121" s="61">
        <f t="shared" si="18"/>
        <v>0</v>
      </c>
      <c r="J121" s="61">
        <f t="shared" si="18"/>
        <v>0</v>
      </c>
      <c r="K121" s="61">
        <f t="shared" si="18"/>
        <v>0</v>
      </c>
      <c r="L121" s="61">
        <f t="shared" si="18"/>
        <v>0</v>
      </c>
      <c r="M121" s="61">
        <f t="shared" si="18"/>
        <v>0</v>
      </c>
      <c r="N121" s="61">
        <f t="shared" si="18"/>
        <v>0</v>
      </c>
      <c r="O121" s="61">
        <f t="shared" si="18"/>
        <v>683360</v>
      </c>
      <c r="P121" s="153"/>
    </row>
    <row r="122" spans="1:16" ht="30" customHeight="1" x14ac:dyDescent="0.25">
      <c r="A122" s="46" t="s">
        <v>286</v>
      </c>
      <c r="B122" s="51" t="s">
        <v>287</v>
      </c>
      <c r="C122" s="3" t="s">
        <v>288</v>
      </c>
      <c r="D122" s="62">
        <f>'дод 3 '!E42</f>
        <v>683360</v>
      </c>
      <c r="E122" s="62">
        <f>'дод 3 '!F42</f>
        <v>683360</v>
      </c>
      <c r="F122" s="62">
        <f>'дод 3 '!G42</f>
        <v>0</v>
      </c>
      <c r="G122" s="62">
        <f>'дод 3 '!H42</f>
        <v>278160</v>
      </c>
      <c r="H122" s="62">
        <f>'дод 3 '!I42</f>
        <v>0</v>
      </c>
      <c r="I122" s="62">
        <f>'дод 3 '!J42</f>
        <v>0</v>
      </c>
      <c r="J122" s="62">
        <f>'дод 3 '!K42</f>
        <v>0</v>
      </c>
      <c r="K122" s="62">
        <f>'дод 3 '!L42</f>
        <v>0</v>
      </c>
      <c r="L122" s="62">
        <f>'дод 3 '!M42</f>
        <v>0</v>
      </c>
      <c r="M122" s="62">
        <f>'дод 3 '!N42</f>
        <v>0</v>
      </c>
      <c r="N122" s="62">
        <f>'дод 3 '!O42</f>
        <v>0</v>
      </c>
      <c r="O122" s="62">
        <f>'дод 3 '!P42</f>
        <v>683360</v>
      </c>
      <c r="P122" s="153"/>
    </row>
    <row r="123" spans="1:16" s="83" customFormat="1" ht="22.5" customHeight="1" x14ac:dyDescent="0.25">
      <c r="A123" s="47" t="s">
        <v>8</v>
      </c>
      <c r="B123" s="48"/>
      <c r="C123" s="2" t="s">
        <v>13</v>
      </c>
      <c r="D123" s="61">
        <f t="shared" ref="D123:O123" si="19">D125+D124</f>
        <v>75000</v>
      </c>
      <c r="E123" s="61">
        <f t="shared" si="19"/>
        <v>75000</v>
      </c>
      <c r="F123" s="61">
        <f t="shared" si="19"/>
        <v>0</v>
      </c>
      <c r="G123" s="61">
        <f t="shared" si="19"/>
        <v>0</v>
      </c>
      <c r="H123" s="61">
        <f t="shared" si="19"/>
        <v>0</v>
      </c>
      <c r="I123" s="61">
        <f t="shared" si="19"/>
        <v>4518500</v>
      </c>
      <c r="J123" s="61">
        <f t="shared" si="19"/>
        <v>0</v>
      </c>
      <c r="K123" s="61">
        <f t="shared" si="19"/>
        <v>2488000</v>
      </c>
      <c r="L123" s="61">
        <f t="shared" si="19"/>
        <v>0</v>
      </c>
      <c r="M123" s="61">
        <f t="shared" si="19"/>
        <v>540000</v>
      </c>
      <c r="N123" s="61">
        <f t="shared" si="19"/>
        <v>2030500</v>
      </c>
      <c r="O123" s="61">
        <f t="shared" si="19"/>
        <v>4593500</v>
      </c>
      <c r="P123" s="153"/>
    </row>
    <row r="124" spans="1:16" s="83" customFormat="1" ht="46.5" customHeight="1" x14ac:dyDescent="0.25">
      <c r="A124" s="46">
        <v>8330</v>
      </c>
      <c r="B124" s="46">
        <v>540</v>
      </c>
      <c r="C124" s="3" t="s">
        <v>409</v>
      </c>
      <c r="D124" s="62">
        <f>'дод 3 '!E178</f>
        <v>75000</v>
      </c>
      <c r="E124" s="62">
        <f>'дод 3 '!F178</f>
        <v>75000</v>
      </c>
      <c r="F124" s="62">
        <f>'дод 3 '!G178</f>
        <v>0</v>
      </c>
      <c r="G124" s="62">
        <f>'дод 3 '!H178</f>
        <v>0</v>
      </c>
      <c r="H124" s="62">
        <f>'дод 3 '!I178</f>
        <v>0</v>
      </c>
      <c r="I124" s="62">
        <f>'дод 3 '!J178</f>
        <v>0</v>
      </c>
      <c r="J124" s="62">
        <f>'дод 3 '!K178</f>
        <v>0</v>
      </c>
      <c r="K124" s="62">
        <f>'дод 3 '!L178</f>
        <v>0</v>
      </c>
      <c r="L124" s="62">
        <f>'дод 3 '!M178</f>
        <v>0</v>
      </c>
      <c r="M124" s="62">
        <f>'дод 3 '!N178</f>
        <v>0</v>
      </c>
      <c r="N124" s="62">
        <f>'дод 3 '!O178</f>
        <v>0</v>
      </c>
      <c r="O124" s="62">
        <f>'дод 3 '!P178</f>
        <v>75000</v>
      </c>
      <c r="P124" s="153"/>
    </row>
    <row r="125" spans="1:16" s="83" customFormat="1" ht="25.5" customHeight="1" x14ac:dyDescent="0.25">
      <c r="A125" s="46" t="s">
        <v>14</v>
      </c>
      <c r="B125" s="46" t="s">
        <v>112</v>
      </c>
      <c r="C125" s="3" t="s">
        <v>15</v>
      </c>
      <c r="D125" s="62">
        <f>'дод 3 '!E43+'дод 3 '!E67+'дод 3 '!E140+'дод 3 '!E179+'дод 3 '!E121</f>
        <v>0</v>
      </c>
      <c r="E125" s="62">
        <f>'дод 3 '!F43+'дод 3 '!F67+'дод 3 '!F140+'дод 3 '!F179+'дод 3 '!F121</f>
        <v>0</v>
      </c>
      <c r="F125" s="62">
        <f>'дод 3 '!G43+'дод 3 '!G67+'дод 3 '!G140+'дод 3 '!G179+'дод 3 '!G121</f>
        <v>0</v>
      </c>
      <c r="G125" s="62">
        <f>'дод 3 '!H43+'дод 3 '!H67+'дод 3 '!H140+'дод 3 '!H179+'дод 3 '!H121</f>
        <v>0</v>
      </c>
      <c r="H125" s="62">
        <f>'дод 3 '!I43+'дод 3 '!I67+'дод 3 '!I140+'дод 3 '!I179+'дод 3 '!I121</f>
        <v>0</v>
      </c>
      <c r="I125" s="62">
        <f>'дод 3 '!J43+'дод 3 '!J67+'дод 3 '!J140+'дод 3 '!J179+'дод 3 '!J121</f>
        <v>4518500</v>
      </c>
      <c r="J125" s="62">
        <f>'дод 3 '!K43+'дод 3 '!K67+'дод 3 '!K140+'дод 3 '!K179+'дод 3 '!K121</f>
        <v>0</v>
      </c>
      <c r="K125" s="62">
        <f>'дод 3 '!L43+'дод 3 '!L67+'дод 3 '!L140+'дод 3 '!L179+'дод 3 '!L121</f>
        <v>2488000</v>
      </c>
      <c r="L125" s="62">
        <f>'дод 3 '!M43+'дод 3 '!M67+'дод 3 '!M140+'дод 3 '!M179+'дод 3 '!M121</f>
        <v>0</v>
      </c>
      <c r="M125" s="62">
        <f>'дод 3 '!N43+'дод 3 '!N67+'дод 3 '!N140+'дод 3 '!N179+'дод 3 '!N121</f>
        <v>540000</v>
      </c>
      <c r="N125" s="62">
        <f>'дод 3 '!O43+'дод 3 '!O67+'дод 3 '!O140+'дод 3 '!O179+'дод 3 '!O121</f>
        <v>2030500</v>
      </c>
      <c r="O125" s="62">
        <f>'дод 3 '!P43+'дод 3 '!P67+'дод 3 '!P140+'дод 3 '!P179+'дод 3 '!P121</f>
        <v>4518500</v>
      </c>
      <c r="P125" s="153"/>
    </row>
    <row r="126" spans="1:16" s="83" customFormat="1" ht="26.25" customHeight="1" x14ac:dyDescent="0.25">
      <c r="A126" s="47" t="s">
        <v>161</v>
      </c>
      <c r="B126" s="48"/>
      <c r="C126" s="2" t="s">
        <v>95</v>
      </c>
      <c r="D126" s="61">
        <f t="shared" ref="D126:O126" si="20">D127</f>
        <v>100000</v>
      </c>
      <c r="E126" s="61">
        <f t="shared" si="20"/>
        <v>100000</v>
      </c>
      <c r="F126" s="61">
        <f t="shared" si="20"/>
        <v>0</v>
      </c>
      <c r="G126" s="61">
        <f t="shared" si="20"/>
        <v>0</v>
      </c>
      <c r="H126" s="61">
        <f t="shared" si="20"/>
        <v>0</v>
      </c>
      <c r="I126" s="61">
        <f t="shared" si="20"/>
        <v>0</v>
      </c>
      <c r="J126" s="61">
        <f t="shared" si="20"/>
        <v>0</v>
      </c>
      <c r="K126" s="61">
        <f t="shared" si="20"/>
        <v>0</v>
      </c>
      <c r="L126" s="61">
        <f t="shared" si="20"/>
        <v>0</v>
      </c>
      <c r="M126" s="61">
        <f t="shared" si="20"/>
        <v>0</v>
      </c>
      <c r="N126" s="61">
        <f t="shared" si="20"/>
        <v>0</v>
      </c>
      <c r="O126" s="61">
        <f t="shared" si="20"/>
        <v>100000</v>
      </c>
      <c r="P126" s="153"/>
    </row>
    <row r="127" spans="1:16" s="83" customFormat="1" ht="25.5" customHeight="1" x14ac:dyDescent="0.25">
      <c r="A127" s="46" t="s">
        <v>297</v>
      </c>
      <c r="B127" s="51" t="s">
        <v>96</v>
      </c>
      <c r="C127" s="3" t="s">
        <v>298</v>
      </c>
      <c r="D127" s="62">
        <f>'дод 3 '!E44</f>
        <v>100000</v>
      </c>
      <c r="E127" s="62">
        <f>'дод 3 '!F44</f>
        <v>100000</v>
      </c>
      <c r="F127" s="62">
        <f>'дод 3 '!G44</f>
        <v>0</v>
      </c>
      <c r="G127" s="62">
        <f>'дод 3 '!H44</f>
        <v>0</v>
      </c>
      <c r="H127" s="62">
        <f>'дод 3 '!I44</f>
        <v>0</v>
      </c>
      <c r="I127" s="62">
        <f>'дод 3 '!J44</f>
        <v>0</v>
      </c>
      <c r="J127" s="62">
        <f>'дод 3 '!K44</f>
        <v>0</v>
      </c>
      <c r="K127" s="62">
        <f>'дод 3 '!L44</f>
        <v>0</v>
      </c>
      <c r="L127" s="62">
        <f>'дод 3 '!M44</f>
        <v>0</v>
      </c>
      <c r="M127" s="62">
        <f>'дод 3 '!N44</f>
        <v>0</v>
      </c>
      <c r="N127" s="62">
        <f>'дод 3 '!O44</f>
        <v>0</v>
      </c>
      <c r="O127" s="62">
        <f>'дод 3 '!P44</f>
        <v>100000</v>
      </c>
      <c r="P127" s="153"/>
    </row>
    <row r="128" spans="1:16" s="83" customFormat="1" ht="26.25" customHeight="1" x14ac:dyDescent="0.25">
      <c r="A128" s="47" t="s">
        <v>115</v>
      </c>
      <c r="B128" s="47" t="s">
        <v>110</v>
      </c>
      <c r="C128" s="2" t="s">
        <v>16</v>
      </c>
      <c r="D128" s="61">
        <f>'дод 3 '!E180</f>
        <v>712065</v>
      </c>
      <c r="E128" s="61">
        <f>'дод 3 '!F180</f>
        <v>712065</v>
      </c>
      <c r="F128" s="61">
        <f>'дод 3 '!G180</f>
        <v>0</v>
      </c>
      <c r="G128" s="61">
        <f>'дод 3 '!H180</f>
        <v>0</v>
      </c>
      <c r="H128" s="61">
        <f>'дод 3 '!I180</f>
        <v>0</v>
      </c>
      <c r="I128" s="61">
        <f>'дод 3 '!J180</f>
        <v>0</v>
      </c>
      <c r="J128" s="61">
        <f>'дод 3 '!K180</f>
        <v>0</v>
      </c>
      <c r="K128" s="61">
        <f>'дод 3 '!L180</f>
        <v>0</v>
      </c>
      <c r="L128" s="61">
        <f>'дод 3 '!M180</f>
        <v>0</v>
      </c>
      <c r="M128" s="61">
        <f>'дод 3 '!N180</f>
        <v>0</v>
      </c>
      <c r="N128" s="61">
        <f>'дод 3 '!O180</f>
        <v>0</v>
      </c>
      <c r="O128" s="61">
        <f>'дод 3 '!P180</f>
        <v>712065</v>
      </c>
      <c r="P128" s="153"/>
    </row>
    <row r="129" spans="1:16" s="83" customFormat="1" ht="26.25" customHeight="1" x14ac:dyDescent="0.25">
      <c r="A129" s="47" t="s">
        <v>17</v>
      </c>
      <c r="B129" s="47" t="s">
        <v>113</v>
      </c>
      <c r="C129" s="2" t="s">
        <v>26</v>
      </c>
      <c r="D129" s="61">
        <f>'дод 3 '!E181</f>
        <v>20040000</v>
      </c>
      <c r="E129" s="61">
        <f>'дод 3 '!F181</f>
        <v>0</v>
      </c>
      <c r="F129" s="61">
        <f>'дод 3 '!G181</f>
        <v>0</v>
      </c>
      <c r="G129" s="61">
        <f>'дод 3 '!H181</f>
        <v>0</v>
      </c>
      <c r="H129" s="61">
        <f>'дод 3 '!I181</f>
        <v>0</v>
      </c>
      <c r="I129" s="61">
        <f>'дод 3 '!J181</f>
        <v>0</v>
      </c>
      <c r="J129" s="61">
        <f>'дод 3 '!K181</f>
        <v>0</v>
      </c>
      <c r="K129" s="61">
        <f>'дод 3 '!L181</f>
        <v>0</v>
      </c>
      <c r="L129" s="61">
        <f>'дод 3 '!M181</f>
        <v>0</v>
      </c>
      <c r="M129" s="61">
        <f>'дод 3 '!N181</f>
        <v>0</v>
      </c>
      <c r="N129" s="61">
        <f>'дод 3 '!O181</f>
        <v>0</v>
      </c>
      <c r="O129" s="61">
        <f>'дод 3 '!P181</f>
        <v>20040000</v>
      </c>
      <c r="P129" s="153"/>
    </row>
    <row r="130" spans="1:16" s="83" customFormat="1" ht="27.75" customHeight="1" x14ac:dyDescent="0.25">
      <c r="A130" s="47" t="s">
        <v>18</v>
      </c>
      <c r="B130" s="47"/>
      <c r="C130" s="2" t="s">
        <v>131</v>
      </c>
      <c r="D130" s="61">
        <f>D131+D133</f>
        <v>109554600</v>
      </c>
      <c r="E130" s="61">
        <f t="shared" ref="E130:O130" si="21">E131+E133</f>
        <v>109554600</v>
      </c>
      <c r="F130" s="61">
        <f t="shared" si="21"/>
        <v>0</v>
      </c>
      <c r="G130" s="61">
        <f t="shared" si="21"/>
        <v>0</v>
      </c>
      <c r="H130" s="61">
        <f t="shared" si="21"/>
        <v>0</v>
      </c>
      <c r="I130" s="61">
        <f t="shared" si="21"/>
        <v>7632000</v>
      </c>
      <c r="J130" s="61">
        <f t="shared" si="21"/>
        <v>7632000</v>
      </c>
      <c r="K130" s="61">
        <f t="shared" si="21"/>
        <v>0</v>
      </c>
      <c r="L130" s="61">
        <f t="shared" si="21"/>
        <v>0</v>
      </c>
      <c r="M130" s="61">
        <f t="shared" si="21"/>
        <v>0</v>
      </c>
      <c r="N130" s="61">
        <f t="shared" si="21"/>
        <v>7632000</v>
      </c>
      <c r="O130" s="61">
        <f t="shared" si="21"/>
        <v>117186600</v>
      </c>
      <c r="P130" s="153"/>
    </row>
    <row r="131" spans="1:16" s="83" customFormat="1" ht="21.75" customHeight="1" x14ac:dyDescent="0.25">
      <c r="A131" s="47" t="s">
        <v>295</v>
      </c>
      <c r="B131" s="47"/>
      <c r="C131" s="2" t="s">
        <v>348</v>
      </c>
      <c r="D131" s="61">
        <f t="shared" ref="D131:O131" si="22">D132</f>
        <v>108116600</v>
      </c>
      <c r="E131" s="61">
        <f t="shared" si="22"/>
        <v>108116600</v>
      </c>
      <c r="F131" s="61">
        <f t="shared" si="22"/>
        <v>0</v>
      </c>
      <c r="G131" s="61">
        <f t="shared" si="22"/>
        <v>0</v>
      </c>
      <c r="H131" s="61">
        <f t="shared" si="22"/>
        <v>0</v>
      </c>
      <c r="I131" s="61">
        <f t="shared" si="22"/>
        <v>0</v>
      </c>
      <c r="J131" s="61">
        <f t="shared" si="22"/>
        <v>0</v>
      </c>
      <c r="K131" s="61">
        <f t="shared" si="22"/>
        <v>0</v>
      </c>
      <c r="L131" s="61">
        <f t="shared" si="22"/>
        <v>0</v>
      </c>
      <c r="M131" s="61">
        <f t="shared" si="22"/>
        <v>0</v>
      </c>
      <c r="N131" s="61">
        <f t="shared" si="22"/>
        <v>0</v>
      </c>
      <c r="O131" s="61">
        <f t="shared" si="22"/>
        <v>108116600</v>
      </c>
      <c r="P131" s="153"/>
    </row>
    <row r="132" spans="1:16" s="83" customFormat="1" ht="21.75" customHeight="1" x14ac:dyDescent="0.25">
      <c r="A132" s="46" t="s">
        <v>111</v>
      </c>
      <c r="B132" s="51" t="s">
        <v>59</v>
      </c>
      <c r="C132" s="3" t="s">
        <v>130</v>
      </c>
      <c r="D132" s="62">
        <f>'дод 3 '!E182</f>
        <v>108116600</v>
      </c>
      <c r="E132" s="62">
        <f>'дод 3 '!F182</f>
        <v>108116600</v>
      </c>
      <c r="F132" s="62">
        <f>'дод 3 '!G182</f>
        <v>0</v>
      </c>
      <c r="G132" s="62">
        <f>'дод 3 '!H182</f>
        <v>0</v>
      </c>
      <c r="H132" s="62">
        <f>'дод 3 '!I182</f>
        <v>0</v>
      </c>
      <c r="I132" s="62">
        <f>'дод 3 '!J182</f>
        <v>0</v>
      </c>
      <c r="J132" s="62">
        <f>'дод 3 '!K182</f>
        <v>0</v>
      </c>
      <c r="K132" s="62">
        <f>'дод 3 '!L182</f>
        <v>0</v>
      </c>
      <c r="L132" s="62">
        <f>'дод 3 '!M182</f>
        <v>0</v>
      </c>
      <c r="M132" s="62">
        <f>'дод 3 '!N182</f>
        <v>0</v>
      </c>
      <c r="N132" s="62">
        <f>'дод 3 '!O182</f>
        <v>0</v>
      </c>
      <c r="O132" s="62">
        <f>'дод 3 '!P182</f>
        <v>108116600</v>
      </c>
      <c r="P132" s="153"/>
    </row>
    <row r="133" spans="1:16" s="83" customFormat="1" ht="50.25" customHeight="1" x14ac:dyDescent="0.25">
      <c r="A133" s="47" t="s">
        <v>19</v>
      </c>
      <c r="B133" s="48"/>
      <c r="C133" s="2" t="s">
        <v>408</v>
      </c>
      <c r="D133" s="61">
        <f t="shared" ref="D133:O133" si="23">D134</f>
        <v>1438000</v>
      </c>
      <c r="E133" s="61">
        <f t="shared" si="23"/>
        <v>1438000</v>
      </c>
      <c r="F133" s="61">
        <f t="shared" si="23"/>
        <v>0</v>
      </c>
      <c r="G133" s="61">
        <f t="shared" si="23"/>
        <v>0</v>
      </c>
      <c r="H133" s="61">
        <f t="shared" si="23"/>
        <v>0</v>
      </c>
      <c r="I133" s="61">
        <f t="shared" si="23"/>
        <v>7632000</v>
      </c>
      <c r="J133" s="61">
        <f t="shared" si="23"/>
        <v>7632000</v>
      </c>
      <c r="K133" s="61">
        <f t="shared" si="23"/>
        <v>0</v>
      </c>
      <c r="L133" s="61">
        <f t="shared" si="23"/>
        <v>0</v>
      </c>
      <c r="M133" s="61">
        <f t="shared" si="23"/>
        <v>0</v>
      </c>
      <c r="N133" s="61">
        <f t="shared" si="23"/>
        <v>7632000</v>
      </c>
      <c r="O133" s="61">
        <f t="shared" si="23"/>
        <v>9070000</v>
      </c>
      <c r="P133" s="153"/>
    </row>
    <row r="134" spans="1:16" s="83" customFormat="1" ht="30.75" customHeight="1" x14ac:dyDescent="0.25">
      <c r="A134" s="46" t="s">
        <v>20</v>
      </c>
      <c r="B134" s="51" t="s">
        <v>59</v>
      </c>
      <c r="C134" s="6" t="s">
        <v>417</v>
      </c>
      <c r="D134" s="62">
        <f>'дод 3 '!E141+'дод 3 '!E106</f>
        <v>1438000</v>
      </c>
      <c r="E134" s="62">
        <f>'дод 3 '!F141+'дод 3 '!F106</f>
        <v>1438000</v>
      </c>
      <c r="F134" s="62">
        <f>'дод 3 '!G141+'дод 3 '!G106</f>
        <v>0</v>
      </c>
      <c r="G134" s="62">
        <f>'дод 3 '!H141+'дод 3 '!H106</f>
        <v>0</v>
      </c>
      <c r="H134" s="62">
        <f>'дод 3 '!I141+'дод 3 '!I106</f>
        <v>0</v>
      </c>
      <c r="I134" s="62">
        <f>'дод 3 '!J141+'дод 3 '!J106</f>
        <v>7632000</v>
      </c>
      <c r="J134" s="62">
        <f>'дод 3 '!K141+'дод 3 '!K106</f>
        <v>7632000</v>
      </c>
      <c r="K134" s="62">
        <f>'дод 3 '!L141+'дод 3 '!L106</f>
        <v>0</v>
      </c>
      <c r="L134" s="62">
        <f>'дод 3 '!M141+'дод 3 '!M106</f>
        <v>0</v>
      </c>
      <c r="M134" s="62">
        <f>'дод 3 '!N141+'дод 3 '!N106</f>
        <v>0</v>
      </c>
      <c r="N134" s="62">
        <f>'дод 3 '!O141+'дод 3 '!O106</f>
        <v>7632000</v>
      </c>
      <c r="O134" s="62">
        <f>'дод 3 '!P141+'дод 3 '!P106</f>
        <v>9070000</v>
      </c>
      <c r="P134" s="153"/>
    </row>
    <row r="135" spans="1:16" s="83" customFormat="1" ht="25.5" customHeight="1" x14ac:dyDescent="0.25">
      <c r="A135" s="7"/>
      <c r="B135" s="7"/>
      <c r="C135" s="2" t="s">
        <v>27</v>
      </c>
      <c r="D135" s="61">
        <f>D12+D15+D32+D45+D69+D74+D81+D90+D117+D130</f>
        <v>2039548814</v>
      </c>
      <c r="E135" s="61">
        <f t="shared" ref="E135:O135" si="24">E12+E15+E32+E45+E69+E74+E81+E90+E117+E130</f>
        <v>1974511676</v>
      </c>
      <c r="F135" s="61">
        <f t="shared" si="24"/>
        <v>905515842</v>
      </c>
      <c r="G135" s="61">
        <f t="shared" si="24"/>
        <v>121640963</v>
      </c>
      <c r="H135" s="61">
        <f t="shared" si="24"/>
        <v>44997138</v>
      </c>
      <c r="I135" s="61">
        <f t="shared" si="24"/>
        <v>529490012</v>
      </c>
      <c r="J135" s="61">
        <f t="shared" si="24"/>
        <v>453038186</v>
      </c>
      <c r="K135" s="61">
        <f t="shared" si="24"/>
        <v>63430230</v>
      </c>
      <c r="L135" s="61">
        <f t="shared" si="24"/>
        <v>9012497</v>
      </c>
      <c r="M135" s="61">
        <f t="shared" si="24"/>
        <v>3810541</v>
      </c>
      <c r="N135" s="61">
        <f t="shared" si="24"/>
        <v>466059782</v>
      </c>
      <c r="O135" s="61">
        <f t="shared" si="24"/>
        <v>2569038826</v>
      </c>
      <c r="P135" s="153"/>
    </row>
    <row r="136" spans="1:16" s="83" customFormat="1" ht="25.5" customHeight="1" x14ac:dyDescent="0.25">
      <c r="A136" s="7"/>
      <c r="B136" s="7"/>
      <c r="C136" s="2" t="s">
        <v>308</v>
      </c>
      <c r="D136" s="61">
        <f>D16+D33</f>
        <v>417759465</v>
      </c>
      <c r="E136" s="61">
        <f t="shared" ref="E136:O136" si="25">E16+E33</f>
        <v>417759465</v>
      </c>
      <c r="F136" s="61">
        <f t="shared" si="25"/>
        <v>294458780</v>
      </c>
      <c r="G136" s="61">
        <f t="shared" si="25"/>
        <v>0</v>
      </c>
      <c r="H136" s="61">
        <f t="shared" si="25"/>
        <v>0</v>
      </c>
      <c r="I136" s="61">
        <f t="shared" si="25"/>
        <v>828008</v>
      </c>
      <c r="J136" s="61">
        <f t="shared" si="25"/>
        <v>828008</v>
      </c>
      <c r="K136" s="61">
        <f t="shared" si="25"/>
        <v>0</v>
      </c>
      <c r="L136" s="61">
        <f t="shared" si="25"/>
        <v>0</v>
      </c>
      <c r="M136" s="61">
        <f t="shared" si="25"/>
        <v>0</v>
      </c>
      <c r="N136" s="61">
        <f t="shared" si="25"/>
        <v>828008</v>
      </c>
      <c r="O136" s="61">
        <f t="shared" si="25"/>
        <v>418587473</v>
      </c>
      <c r="P136" s="153"/>
    </row>
    <row r="137" spans="1:16" s="54" customFormat="1" x14ac:dyDescent="0.25">
      <c r="A137" s="119"/>
      <c r="B137" s="53"/>
      <c r="C137" s="53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153"/>
    </row>
    <row r="138" spans="1:16" ht="15.75" customHeight="1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53"/>
    </row>
    <row r="139" spans="1:16" ht="15.75" customHeight="1" x14ac:dyDescent="0.25">
      <c r="A139" s="106"/>
      <c r="B139" s="106"/>
      <c r="C139" s="106"/>
      <c r="D139" s="122">
        <f>D135-'дод 3 '!E183</f>
        <v>0</v>
      </c>
      <c r="E139" s="122">
        <f>E135-'дод 3 '!F183</f>
        <v>0</v>
      </c>
      <c r="F139" s="122">
        <f>F135-'дод 3 '!G183</f>
        <v>0</v>
      </c>
      <c r="G139" s="122">
        <f>G135-'дод 3 '!H183</f>
        <v>0</v>
      </c>
      <c r="H139" s="122">
        <f>H135-'дод 3 '!I183</f>
        <v>0</v>
      </c>
      <c r="I139" s="122">
        <f>I135-'дод 3 '!J183</f>
        <v>0</v>
      </c>
      <c r="J139" s="122">
        <f>J135-'дод 3 '!K183</f>
        <v>0</v>
      </c>
      <c r="K139" s="122">
        <f>K135-'дод 3 '!L183</f>
        <v>0</v>
      </c>
      <c r="L139" s="122">
        <f>L135-'дод 3 '!M183</f>
        <v>0</v>
      </c>
      <c r="M139" s="122">
        <f>M135-'дод 3 '!N183</f>
        <v>0</v>
      </c>
      <c r="N139" s="122">
        <f>N135-'дод 3 '!O183</f>
        <v>0</v>
      </c>
      <c r="O139" s="122">
        <f>O135-'дод 3 '!P183</f>
        <v>0</v>
      </c>
      <c r="P139" s="153"/>
    </row>
    <row r="140" spans="1:16" ht="15" customHeight="1" x14ac:dyDescent="0.25">
      <c r="A140" s="106"/>
      <c r="B140" s="106"/>
      <c r="C140" s="106"/>
      <c r="D140" s="122">
        <f>D136-'дод 3 '!E184</f>
        <v>0</v>
      </c>
      <c r="E140" s="122">
        <f>E136-'дод 3 '!F184</f>
        <v>0</v>
      </c>
      <c r="F140" s="122">
        <f>F136-'дод 3 '!G184</f>
        <v>0</v>
      </c>
      <c r="G140" s="122">
        <f>G136-'дод 3 '!H184</f>
        <v>0</v>
      </c>
      <c r="H140" s="122">
        <f>H136-'дод 3 '!I184</f>
        <v>0</v>
      </c>
      <c r="I140" s="122">
        <f>I136-'дод 3 '!J184</f>
        <v>0</v>
      </c>
      <c r="J140" s="122">
        <f>J136-'дод 3 '!K184</f>
        <v>0</v>
      </c>
      <c r="K140" s="122">
        <f>K136-'дод 3 '!L184</f>
        <v>0</v>
      </c>
      <c r="L140" s="122">
        <f>L136-'дод 3 '!M184</f>
        <v>0</v>
      </c>
      <c r="M140" s="122">
        <f>M136-'дод 3 '!N184</f>
        <v>0</v>
      </c>
      <c r="N140" s="122">
        <f>N136-'дод 3 '!O184</f>
        <v>0</v>
      </c>
      <c r="O140" s="122">
        <f>O136-'дод 3 '!P184</f>
        <v>0</v>
      </c>
      <c r="P140" s="153"/>
    </row>
    <row r="141" spans="1:16" ht="15" customHeight="1" x14ac:dyDescent="0.25">
      <c r="A141" s="106"/>
      <c r="B141" s="106"/>
      <c r="C141" s="106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53"/>
    </row>
    <row r="142" spans="1:16" s="136" customFormat="1" ht="35.25" customHeight="1" x14ac:dyDescent="0.5">
      <c r="A142" s="149" t="s">
        <v>443</v>
      </c>
      <c r="B142" s="149"/>
      <c r="C142" s="149"/>
      <c r="D142" s="149"/>
      <c r="E142" s="149"/>
      <c r="F142" s="149"/>
      <c r="G142" s="149"/>
      <c r="H142" s="149"/>
      <c r="I142" s="130"/>
      <c r="J142" s="130"/>
      <c r="K142" s="130"/>
      <c r="L142" s="150" t="s">
        <v>444</v>
      </c>
      <c r="M142" s="150"/>
      <c r="N142" s="150"/>
      <c r="O142" s="135"/>
      <c r="P142" s="153"/>
    </row>
    <row r="143" spans="1:16" s="121" customFormat="1" ht="23.25" customHeight="1" x14ac:dyDescent="0.45">
      <c r="A143" s="124"/>
      <c r="B143" s="124"/>
      <c r="C143" s="124"/>
      <c r="D143" s="124"/>
      <c r="E143" s="124"/>
      <c r="F143" s="124"/>
      <c r="G143" s="124"/>
      <c r="H143" s="124"/>
      <c r="I143" s="123"/>
      <c r="J143" s="123"/>
      <c r="K143" s="123"/>
      <c r="L143" s="123"/>
      <c r="M143" s="123"/>
      <c r="N143" s="123"/>
      <c r="O143" s="120"/>
      <c r="P143" s="153"/>
    </row>
    <row r="144" spans="1:16" ht="26.25" x14ac:dyDescent="0.4">
      <c r="A144" s="126"/>
      <c r="B144" s="125"/>
      <c r="C144" s="81"/>
      <c r="D144" s="41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ht="6.75" customHeight="1" x14ac:dyDescent="0.25"/>
    <row r="146" ht="1.5" customHeight="1" x14ac:dyDescent="0.25"/>
    <row r="147" ht="22.5" customHeight="1" x14ac:dyDescent="0.25"/>
  </sheetData>
  <mergeCells count="26">
    <mergeCell ref="P116:P143"/>
    <mergeCell ref="I9:N9"/>
    <mergeCell ref="K10:K11"/>
    <mergeCell ref="L10:M10"/>
    <mergeCell ref="N10:N11"/>
    <mergeCell ref="P1:P36"/>
    <mergeCell ref="A142:H142"/>
    <mergeCell ref="L142:N142"/>
    <mergeCell ref="A5:O5"/>
    <mergeCell ref="B9:B11"/>
    <mergeCell ref="C9:C11"/>
    <mergeCell ref="A9:A11"/>
    <mergeCell ref="D10:D11"/>
    <mergeCell ref="A6:B6"/>
    <mergeCell ref="A7:B7"/>
    <mergeCell ref="E10:E11"/>
    <mergeCell ref="O9:O11"/>
    <mergeCell ref="F10:G10"/>
    <mergeCell ref="P37:P59"/>
    <mergeCell ref="P60:P86"/>
    <mergeCell ref="P87:P115"/>
    <mergeCell ref="D9:H9"/>
    <mergeCell ref="K3:N3"/>
    <mergeCell ref="H10:H11"/>
    <mergeCell ref="I10:I11"/>
    <mergeCell ref="J10:J11"/>
  </mergeCells>
  <phoneticPr fontId="3" type="noConversion"/>
  <printOptions horizontalCentered="1"/>
  <pageMargins left="3.937007874015748E-2" right="3.937007874015748E-2" top="0.82677165354330717" bottom="0.39370078740157483" header="0.39370078740157483" footer="0.19685039370078741"/>
  <pageSetup paperSize="9" scale="43" fitToHeight="100" orientation="landscape" verticalDpi="300" r:id="rId1"/>
  <headerFooter differentFirst="1" scaleWithDoc="0" alignWithMargins="0">
    <oddHeader>&amp;RПродовження додатку 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3-1</vt:lpstr>
      <vt:lpstr>'дод 3 '!Заголовки_для_печати</vt:lpstr>
      <vt:lpstr>'дод 3-1'!Заголовки_для_печати</vt:lpstr>
      <vt:lpstr>'дод 3 '!Область_печати</vt:lpstr>
      <vt:lpstr>'дод 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2020-01-28T13:45:40Z</cp:lastPrinted>
  <dcterms:created xsi:type="dcterms:W3CDTF">2014-01-17T10:52:16Z</dcterms:created>
  <dcterms:modified xsi:type="dcterms:W3CDTF">2020-01-28T16:07:05Z</dcterms:modified>
</cp:coreProperties>
</file>