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'Показники'!$A$1:$K$392</definedName>
  </definedNames>
  <calcPr fullCalcOnLoad="1"/>
</workbook>
</file>

<file path=xl/sharedStrings.xml><?xml version="1.0" encoding="utf-8"?>
<sst xmlns="http://schemas.openxmlformats.org/spreadsheetml/2006/main" count="392" uniqueCount="234">
  <si>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</si>
  <si>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</si>
  <si>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</si>
  <si>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</si>
  <si>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</si>
  <si>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</si>
  <si>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</si>
  <si>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</si>
  <si>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</si>
  <si>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</si>
  <si>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</si>
  <si>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</si>
  <si>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</si>
  <si>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</si>
  <si>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</si>
  <si>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</si>
  <si>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</si>
  <si>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</si>
  <si>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</si>
  <si>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</si>
  <si>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</si>
  <si>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</si>
  <si>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</si>
  <si>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</si>
  <si>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</si>
  <si>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</si>
  <si>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</si>
  <si>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</si>
  <si>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</si>
  <si>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</si>
  <si>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</si>
  <si>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</si>
  <si>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</si>
  <si>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</si>
  <si>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</si>
  <si>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</si>
  <si>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</si>
  <si>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</si>
  <si>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</si>
  <si>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</si>
  <si>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</si>
  <si>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</si>
  <si>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</si>
  <si>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</si>
  <si>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</si>
  <si>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</si>
  <si>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</si>
  <si>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</si>
  <si>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</si>
  <si>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</si>
  <si>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</si>
  <si>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</si>
  <si>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</si>
  <si>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</si>
  <si>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</si>
  <si>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</si>
  <si>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</si>
  <si>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</si>
  <si>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</si>
  <si>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</si>
  <si>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</si>
  <si>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</si>
  <si>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</si>
  <si>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</si>
  <si>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</si>
  <si>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</si>
  <si>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</si>
  <si>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</si>
  <si>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</si>
  <si>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</si>
  <si>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</si>
  <si>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</si>
  <si>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</si>
  <si>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</si>
  <si>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</si>
  <si>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</si>
  <si>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</si>
  <si>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</si>
  <si>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</si>
  <si>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</si>
  <si>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</si>
  <si>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</si>
  <si>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</si>
  <si>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</si>
  <si>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</si>
  <si>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</si>
  <si>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</si>
  <si>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</si>
  <si>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</si>
  <si>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</si>
  <si>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</si>
  <si>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</si>
  <si>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</si>
  <si>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</si>
  <si>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</si>
  <si>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</si>
  <si>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</si>
  <si>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</si>
  <si>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</si>
  <si>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</si>
  <si>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</si>
  <si>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</si>
  <si>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</si>
  <si>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</si>
  <si>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</si>
  <si>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</si>
  <si>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</si>
  <si>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</si>
  <si>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</si>
  <si>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</si>
  <si>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</si>
  <si>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</si>
  <si>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</si>
  <si>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</si>
  <si>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</si>
  <si>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</si>
  <si>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</si>
  <si>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</si>
  <si>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</si>
  <si>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</si>
  <si>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</si>
  <si>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</si>
  <si>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</si>
  <si>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</si>
  <si>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</si>
  <si>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</si>
  <si>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</si>
  <si>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</si>
  <si>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</si>
  <si>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</si>
  <si>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</si>
  <si>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</si>
  <si>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</si>
  <si>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</si>
  <si>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</si>
  <si>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</si>
  <si>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</si>
  <si>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</si>
  <si>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</si>
  <si>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</si>
  <si>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</si>
  <si>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</si>
  <si>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</si>
  <si>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</si>
  <si>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</si>
  <si>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</si>
  <si>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</si>
  <si>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</si>
  <si>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</si>
  <si>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</si>
  <si>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</si>
  <si>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</si>
  <si>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</si>
  <si>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</si>
  <si>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</si>
  <si>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</si>
  <si>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</si>
  <si>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</si>
  <si>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</si>
  <si>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</si>
  <si>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</si>
  <si>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</si>
  <si>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</si>
  <si>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</si>
  <si>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</si>
  <si>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</si>
  <si>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</si>
  <si>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</si>
  <si>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</si>
  <si>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</si>
  <si>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</si>
  <si>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</si>
  <si>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</si>
  <si>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</si>
  <si>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</si>
  <si>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</si>
  <si>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</si>
  <si>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</si>
  <si>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</si>
  <si>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</si>
  <si>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</si>
  <si>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</si>
  <si>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</si>
  <si>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</si>
  <si>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</si>
  <si>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</si>
  <si>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</si>
  <si>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</si>
  <si>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</si>
  <si>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</si>
  <si>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</si>
  <si>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</si>
  <si>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</si>
  <si>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</si>
  <si>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</si>
  <si>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</si>
  <si>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</si>
  <si>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</si>
  <si>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</si>
  <si>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</si>
  <si>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</si>
  <si>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</si>
  <si>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</si>
  <si>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</si>
  <si>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</si>
  <si>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</si>
  <si>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</si>
  <si>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Директор департаменту соціального захисту населення Сумської міської ради</t>
  </si>
  <si>
    <t>Т.О. Масік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</si>
  <si>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</si>
  <si>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</si>
  <si>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</si>
  <si>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</si>
  <si>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</si>
  <si>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</si>
  <si>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</si>
  <si>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</si>
  <si>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</si>
  <si>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</si>
  <si>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</si>
  <si>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</si>
  <si>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</si>
  <si>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</si>
  <si>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</si>
  <si>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</si>
  <si>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</si>
  <si>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</si>
  <si>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</si>
  <si>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</si>
  <si>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</si>
  <si>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до програми Сумської міської об’єднаної територіальної громади «Милосердя» на 2019-2021 роки» 
</t>
  </si>
  <si>
    <t>Завдання 4. Забезпечення проведення розрахунків за пільговий проїзд  окремих категорій громадян електротранспортом</t>
  </si>
  <si>
    <t>Разом (бюджет Сумської міської ОТГ)</t>
  </si>
  <si>
    <t>Разом (міський бюджет)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</si>
</sst>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16" fontId="5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SheetLayoutView="75" zoomScalePageLayoutView="0" workbookViewId="0" topLeftCell="A4">
      <selection activeCell="C9" sqref="C9:C10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82" t="s">
        <v>196</v>
      </c>
      <c r="I1" s="182"/>
      <c r="J1" s="182"/>
      <c r="K1" s="151"/>
    </row>
    <row r="2" spans="1:12" ht="123" customHeight="1">
      <c r="A2" s="12"/>
      <c r="H2" s="184" t="s">
        <v>230</v>
      </c>
      <c r="I2" s="184"/>
      <c r="J2" s="184"/>
      <c r="K2" s="184"/>
      <c r="L2" s="72"/>
    </row>
    <row r="3" spans="1:11" ht="18.75">
      <c r="A3" s="11"/>
      <c r="H3" s="185"/>
      <c r="I3" s="185"/>
      <c r="J3" s="185"/>
      <c r="K3" s="185"/>
    </row>
    <row r="4" spans="8:10" ht="15.75">
      <c r="H4" s="73"/>
      <c r="I4" s="73"/>
      <c r="J4" s="73"/>
    </row>
    <row r="5" spans="1:12" ht="30.75" customHeight="1">
      <c r="A5" s="183" t="s">
        <v>216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38"/>
    </row>
    <row r="6" ht="12.75">
      <c r="A6" s="74"/>
    </row>
    <row r="7" spans="1:12" ht="32.25" customHeight="1">
      <c r="A7" s="178" t="s">
        <v>71</v>
      </c>
      <c r="B7" s="178" t="s">
        <v>21</v>
      </c>
      <c r="C7" s="178" t="s">
        <v>217</v>
      </c>
      <c r="D7" s="178"/>
      <c r="E7" s="178"/>
      <c r="F7" s="178" t="s">
        <v>202</v>
      </c>
      <c r="G7" s="178"/>
      <c r="H7" s="178"/>
      <c r="I7" s="178" t="s">
        <v>131</v>
      </c>
      <c r="J7" s="178"/>
      <c r="K7" s="178"/>
      <c r="L7" s="39"/>
    </row>
    <row r="8" spans="1:12" ht="1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39"/>
    </row>
    <row r="9" spans="1:12" ht="18.75" customHeight="1">
      <c r="A9" s="178"/>
      <c r="B9" s="178"/>
      <c r="C9" s="191" t="s">
        <v>233</v>
      </c>
      <c r="D9" s="180" t="s">
        <v>0</v>
      </c>
      <c r="E9" s="180"/>
      <c r="F9" s="191" t="s">
        <v>232</v>
      </c>
      <c r="G9" s="180" t="s">
        <v>0</v>
      </c>
      <c r="H9" s="180"/>
      <c r="I9" s="180" t="s">
        <v>232</v>
      </c>
      <c r="J9" s="180" t="s">
        <v>0</v>
      </c>
      <c r="K9" s="180"/>
      <c r="L9" s="23"/>
    </row>
    <row r="10" spans="1:12" ht="28.5">
      <c r="A10" s="178"/>
      <c r="B10" s="178"/>
      <c r="C10" s="192"/>
      <c r="D10" s="16" t="s">
        <v>1</v>
      </c>
      <c r="E10" s="16" t="s">
        <v>2</v>
      </c>
      <c r="F10" s="192"/>
      <c r="G10" s="16" t="s">
        <v>1</v>
      </c>
      <c r="H10" s="16" t="s">
        <v>2</v>
      </c>
      <c r="I10" s="180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86417062</v>
      </c>
      <c r="D12" s="10">
        <f>+D17+D89+D109+D135+D166+D179+D194+D207+D313+D350+D281+D307</f>
        <v>86375062</v>
      </c>
      <c r="E12" s="10">
        <f>+E17+E89+E109+E135+E166+E179+E194+E207+E296+E313+E350+E281</f>
        <v>42000</v>
      </c>
      <c r="F12" s="10">
        <f>G12+H12</f>
        <v>86830400</v>
      </c>
      <c r="G12" s="10">
        <f>+G17+G89+G109+G135+G166+G179+G194+G207+G313+G350+G281+G307</f>
        <v>86794760</v>
      </c>
      <c r="H12" s="10">
        <f>+H17+H89+H109+H135+H166+H179+H194+H207+H296+H313+H350+H281</f>
        <v>35640</v>
      </c>
      <c r="I12" s="10">
        <f>J12+K12</f>
        <v>91618893</v>
      </c>
      <c r="J12" s="10">
        <f>+J17+J89+J109+J135+J166+J179+J194+J207+J313+J350+J281+J307</f>
        <v>91581222</v>
      </c>
      <c r="K12" s="10">
        <f>+K17+K89+K109+K135+K166+K179+K194+K207+K296+K313+K350+K281</f>
        <v>37671</v>
      </c>
      <c r="L12" s="71"/>
      <c r="O12" s="34"/>
    </row>
    <row r="13" spans="1:12" ht="17.25" customHeight="1">
      <c r="A13" s="26" t="s">
        <v>111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65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77" t="s">
        <v>218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75"/>
    </row>
    <row r="16" spans="1:12" ht="17.25" customHeight="1">
      <c r="A16" s="181" t="s">
        <v>19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76"/>
    </row>
    <row r="17" spans="1:14" s="78" customFormat="1" ht="23.25" customHeight="1">
      <c r="A17" s="178" t="s">
        <v>6</v>
      </c>
      <c r="B17" s="27" t="s">
        <v>15</v>
      </c>
      <c r="C17" s="4">
        <f>+D17+E17</f>
        <v>14329445</v>
      </c>
      <c r="D17" s="4">
        <f>+D18+D19</f>
        <v>14287445</v>
      </c>
      <c r="E17" s="4">
        <f>+E18+E19</f>
        <v>42000</v>
      </c>
      <c r="F17" s="4">
        <f>+G17+H17</f>
        <v>11909600</v>
      </c>
      <c r="G17" s="4">
        <f>+G18+G19</f>
        <v>11873960</v>
      </c>
      <c r="H17" s="4">
        <f>+H18+H19</f>
        <v>35640</v>
      </c>
      <c r="I17" s="4">
        <f>J17+K17</f>
        <v>12475064</v>
      </c>
      <c r="J17" s="4">
        <f>+J18+J19</f>
        <v>12437393</v>
      </c>
      <c r="K17" s="4">
        <f>+K18+K19</f>
        <v>37671</v>
      </c>
      <c r="L17" s="77"/>
      <c r="N17" s="79"/>
    </row>
    <row r="18" spans="1:14" s="78" customFormat="1" ht="23.25" customHeight="1">
      <c r="A18" s="178"/>
      <c r="B18" s="52" t="s">
        <v>112</v>
      </c>
      <c r="C18" s="4">
        <f>+D18+E18</f>
        <v>14156775</v>
      </c>
      <c r="D18" s="4">
        <f>+D29+D43+D20+D55+D63+D74</f>
        <v>14114775</v>
      </c>
      <c r="E18" s="4">
        <f>+E29+E43+E20+E55+E63+E74</f>
        <v>42000</v>
      </c>
      <c r="F18" s="4">
        <f>+G18+H18</f>
        <v>11717190</v>
      </c>
      <c r="G18" s="4">
        <f>+G29+G43+G20+G55+G63+G74</f>
        <v>11681550</v>
      </c>
      <c r="H18" s="4">
        <f>+H29+H43+H20+H55+H63+H74</f>
        <v>35640</v>
      </c>
      <c r="I18" s="4">
        <f>J18+K18</f>
        <v>12267025</v>
      </c>
      <c r="J18" s="4">
        <f>+J29+J43+J20+J55+J63+J74</f>
        <v>12229354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78"/>
      <c r="B19" s="52" t="s">
        <v>113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112</v>
      </c>
      <c r="C20" s="28">
        <f>D20</f>
        <v>12675218</v>
      </c>
      <c r="D20" s="28">
        <v>12675218</v>
      </c>
      <c r="E20" s="28">
        <v>0</v>
      </c>
      <c r="F20" s="4">
        <f>G20</f>
        <v>10439973</v>
      </c>
      <c r="G20" s="4">
        <v>10439973</v>
      </c>
      <c r="H20" s="4">
        <v>0</v>
      </c>
      <c r="I20" s="4">
        <f>J20</f>
        <v>10924706</v>
      </c>
      <c r="J20" s="4">
        <v>10924706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3583</v>
      </c>
      <c r="D23" s="29">
        <v>3583</v>
      </c>
      <c r="E23" s="29">
        <v>0</v>
      </c>
      <c r="F23" s="29">
        <f>G23+H23</f>
        <v>3086</v>
      </c>
      <c r="G23" s="29">
        <v>3086</v>
      </c>
      <c r="H23" s="29">
        <v>0</v>
      </c>
      <c r="I23" s="29">
        <f>J23+K23</f>
        <v>3086</v>
      </c>
      <c r="J23" s="29">
        <f>G23</f>
        <v>3086</v>
      </c>
      <c r="K23" s="29">
        <v>0</v>
      </c>
      <c r="L23" s="44"/>
      <c r="M23" s="186"/>
      <c r="O23" s="86" t="e">
        <f>D23+D33+D46+D69+D112+D139+D155+D170+D185+D218+D219+#REF!+D220+D233+D247+D285+D317+D318+D327+D328+D340+D341+D342+D355+D356+D365+D369+D370+D379+D380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6"/>
    </row>
    <row r="25" spans="1:12" ht="16.5">
      <c r="A25" s="47" t="s">
        <v>10</v>
      </c>
      <c r="B25" s="27"/>
      <c r="C25" s="30">
        <f>D25+E25</f>
        <v>3537.5992185319565</v>
      </c>
      <c r="D25" s="30">
        <f>D20/D23</f>
        <v>3537.5992185319565</v>
      </c>
      <c r="E25" s="30">
        <v>0</v>
      </c>
      <c r="F25" s="30">
        <f>G25+H25</f>
        <v>3383.01134154245</v>
      </c>
      <c r="G25" s="8">
        <f>G20/G23</f>
        <v>3383.01134154245</v>
      </c>
      <c r="H25" s="30">
        <v>0</v>
      </c>
      <c r="I25" s="30">
        <f>J25+K25</f>
        <v>3540.0861957226184</v>
      </c>
      <c r="J25" s="8">
        <f>J20/J23</f>
        <v>3540.0861957226184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111.47406814778489</v>
      </c>
      <c r="D27" s="48">
        <f>D20/11370553*100</f>
        <v>111.47406814778489</v>
      </c>
      <c r="E27" s="48">
        <v>0</v>
      </c>
      <c r="F27" s="48">
        <f>G27+H27</f>
        <v>82.36523427052694</v>
      </c>
      <c r="G27" s="9">
        <f>G20/D20*100</f>
        <v>82.36523427052694</v>
      </c>
      <c r="H27" s="48">
        <v>0</v>
      </c>
      <c r="I27" s="48">
        <f>J27+K27</f>
        <v>104.64304840635124</v>
      </c>
      <c r="J27" s="9">
        <f>J20/G20*100</f>
        <v>104.64304840635124</v>
      </c>
      <c r="K27" s="48">
        <v>0</v>
      </c>
      <c r="L27" s="22"/>
    </row>
    <row r="28" spans="1:12" ht="22.5" customHeight="1">
      <c r="A28" s="189" t="s">
        <v>20</v>
      </c>
      <c r="B28" s="27" t="s">
        <v>15</v>
      </c>
      <c r="C28" s="28">
        <f>C29+C30</f>
        <v>924915</v>
      </c>
      <c r="D28" s="28">
        <f>D29+D30</f>
        <v>924915</v>
      </c>
      <c r="E28" s="28">
        <f>E29+E30</f>
        <v>0</v>
      </c>
      <c r="F28" s="28">
        <f aca="true" t="shared" si="0" ref="F28:K28">F29+F30</f>
        <v>853372</v>
      </c>
      <c r="G28" s="28">
        <f t="shared" si="0"/>
        <v>853372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89"/>
      <c r="B29" s="40" t="s">
        <v>112</v>
      </c>
      <c r="C29" s="28">
        <f>D29+E29</f>
        <v>752245</v>
      </c>
      <c r="D29" s="28">
        <f>694986+33480+14000-39166+102440-53495</f>
        <v>752245</v>
      </c>
      <c r="E29" s="28">
        <v>0</v>
      </c>
      <c r="F29" s="28">
        <f>G29+H29</f>
        <v>660962</v>
      </c>
      <c r="G29" s="4">
        <v>660962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6"/>
    </row>
    <row r="30" spans="1:13" ht="22.5" customHeight="1">
      <c r="A30" s="189"/>
      <c r="B30" s="40" t="s">
        <v>113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6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185</v>
      </c>
      <c r="B33" s="27"/>
      <c r="C33" s="50">
        <f>D33+E33</f>
        <v>8</v>
      </c>
      <c r="D33" s="50">
        <v>8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186</v>
      </c>
      <c r="B34" s="27"/>
      <c r="C34" s="50">
        <f>D34+E34</f>
        <v>323</v>
      </c>
      <c r="D34" s="50">
        <v>323</v>
      </c>
      <c r="E34" s="50">
        <v>0</v>
      </c>
      <c r="F34" s="50">
        <f>G34+H34</f>
        <v>188</v>
      </c>
      <c r="G34" s="50"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57" t="s">
        <v>201</v>
      </c>
      <c r="J36" s="157"/>
      <c r="K36" s="157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210</v>
      </c>
      <c r="B39" s="27"/>
      <c r="C39" s="30">
        <f>D39+E39</f>
        <v>11139.375</v>
      </c>
      <c r="D39" s="30">
        <f>89115/D33</f>
        <v>11139.375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209</v>
      </c>
      <c r="B40" s="27"/>
      <c r="C40" s="30">
        <f>D40+E40</f>
        <v>215.63467492260062</v>
      </c>
      <c r="D40" s="30">
        <f>835800/D34/12</f>
        <v>215.63467492260062</v>
      </c>
      <c r="E40" s="30">
        <v>0</v>
      </c>
      <c r="F40" s="30">
        <f>G40+H40</f>
        <v>335.479609929078</v>
      </c>
      <c r="G40" s="8">
        <f>756842/G34/12</f>
        <v>335.479609929078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C28/643628*100</f>
        <v>143.7033503825191</v>
      </c>
      <c r="D42" s="48">
        <f>D28/568628*100</f>
        <v>162.6573084688056</v>
      </c>
      <c r="E42" s="48">
        <v>0</v>
      </c>
      <c r="F42" s="48">
        <f>F28/C28*100</f>
        <v>92.26491082964381</v>
      </c>
      <c r="G42" s="9">
        <f>G28/D28*100</f>
        <v>92.26491082964381</v>
      </c>
      <c r="H42" s="9">
        <v>0</v>
      </c>
      <c r="I42" s="48">
        <f>I28/F28*100</f>
        <v>105.34010958878426</v>
      </c>
      <c r="J42" s="9">
        <f>J28/G28*100</f>
        <v>105.34010958878426</v>
      </c>
      <c r="K42" s="9">
        <v>0</v>
      </c>
      <c r="L42" s="51"/>
    </row>
    <row r="43" spans="1:12" ht="60" customHeight="1">
      <c r="A43" s="7" t="s">
        <v>206</v>
      </c>
      <c r="B43" s="52" t="s">
        <v>112</v>
      </c>
      <c r="C43" s="28">
        <f>D43+E43</f>
        <v>409600</v>
      </c>
      <c r="D43" s="28">
        <f>185500+123900+100200</f>
        <v>409600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219</v>
      </c>
      <c r="B46" s="27"/>
      <c r="C46" s="50">
        <f>D46+E46</f>
        <v>744</v>
      </c>
      <c r="D46" s="50">
        <f>465+279</f>
        <v>744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203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187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204</v>
      </c>
      <c r="B50" s="27"/>
      <c r="C50" s="30">
        <f>D50+E50</f>
        <v>415.86021505376345</v>
      </c>
      <c r="D50" s="30">
        <f>309400/D46</f>
        <v>415.86021505376345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205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188</v>
      </c>
      <c r="B52" s="27"/>
      <c r="C52" s="30">
        <f>+D52</f>
        <v>415.76763485477176</v>
      </c>
      <c r="D52" s="30">
        <f>100200/D48</f>
        <v>415.76763485477176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235.4022988505747</v>
      </c>
      <c r="D54" s="48">
        <f>D43/174000*100</f>
        <v>235.4022988505747</v>
      </c>
      <c r="E54" s="48">
        <v>0</v>
      </c>
      <c r="F54" s="48">
        <f>F43/C43*100</f>
        <v>73.2421875</v>
      </c>
      <c r="G54" s="9">
        <f>G43/D43*100</f>
        <v>73.2421875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47.25" customHeight="1">
      <c r="A55" s="55" t="s">
        <v>220</v>
      </c>
      <c r="B55" s="52" t="s">
        <v>112</v>
      </c>
      <c r="C55" s="28">
        <f>D55+E55</f>
        <v>68552</v>
      </c>
      <c r="D55" s="28">
        <v>68552</v>
      </c>
      <c r="E55" s="28">
        <v>0</v>
      </c>
      <c r="F55" s="28">
        <f>G55+H55</f>
        <v>62000</v>
      </c>
      <c r="G55" s="4">
        <v>62000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221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222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15500</v>
      </c>
      <c r="G60" s="8">
        <f>+G55/G58</f>
        <v>15500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90.44229198272843</v>
      </c>
      <c r="G62" s="9">
        <f>G55/D55*100</f>
        <v>90.44229198272843</v>
      </c>
      <c r="H62" s="48">
        <v>0</v>
      </c>
      <c r="I62" s="48">
        <f>+J62+K62</f>
        <v>105.69999999999999</v>
      </c>
      <c r="J62" s="9">
        <f>J55/G55*100</f>
        <v>105.69999999999999</v>
      </c>
      <c r="K62" s="48">
        <v>0</v>
      </c>
      <c r="L62" s="22"/>
    </row>
    <row r="63" spans="1:12" ht="61.5" customHeight="1">
      <c r="A63" s="7" t="s">
        <v>223</v>
      </c>
      <c r="B63" s="52" t="s">
        <v>112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57" t="s">
        <v>201</v>
      </c>
      <c r="J66" s="157"/>
      <c r="K66" s="157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224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68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36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194</v>
      </c>
      <c r="B74" s="52" t="s">
        <v>112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197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198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55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195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58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199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200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61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36</v>
      </c>
      <c r="B84" s="87"/>
      <c r="C84" s="48">
        <f>+E84</f>
        <v>0</v>
      </c>
      <c r="D84" s="48">
        <v>0</v>
      </c>
      <c r="E84" s="48">
        <v>0</v>
      </c>
      <c r="F84" s="9">
        <f>F74/C74*100</f>
        <v>101.30696474634566</v>
      </c>
      <c r="G84" s="9">
        <f>G74/D74*100</f>
        <v>104.93179433368311</v>
      </c>
      <c r="H84" s="9"/>
      <c r="I84" s="9">
        <f>I74/F74*100</f>
        <v>105.69979629943983</v>
      </c>
      <c r="J84" s="9">
        <f>J74/G74*100</f>
        <v>105.69999999999999</v>
      </c>
      <c r="K84" s="9"/>
    </row>
    <row r="85" spans="1:12" ht="21.75" customHeight="1">
      <c r="A85" s="56" t="s">
        <v>114</v>
      </c>
      <c r="B85" s="52" t="s">
        <v>115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66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64" t="s">
        <v>122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80"/>
    </row>
    <row r="88" spans="1:12" ht="27.75" customHeight="1">
      <c r="A88" s="169" t="s">
        <v>123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35"/>
    </row>
    <row r="89" spans="1:12" ht="45.75" customHeight="1">
      <c r="A89" s="24" t="s">
        <v>124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1478776</v>
      </c>
      <c r="G89" s="4">
        <v>1478776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152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153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154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57" t="s">
        <v>201</v>
      </c>
      <c r="J96" s="157"/>
      <c r="K96" s="157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156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78868.33333333333</v>
      </c>
      <c r="G99" s="29">
        <f>946420/12</f>
        <v>78868.33333333333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155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157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125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116</v>
      </c>
      <c r="B105" s="40" t="s">
        <v>117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67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171" t="s">
        <v>80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3"/>
      <c r="L107" s="18"/>
      <c r="M107" s="81"/>
      <c r="N107" s="82"/>
      <c r="O107" s="20"/>
    </row>
    <row r="108" spans="1:12" ht="30.75" customHeight="1">
      <c r="A108" s="165" t="s">
        <v>81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7"/>
      <c r="L108" s="83"/>
    </row>
    <row r="109" spans="1:12" ht="31.5" customHeight="1">
      <c r="A109" s="59" t="s">
        <v>83</v>
      </c>
      <c r="B109" s="27"/>
      <c r="C109" s="28">
        <f>E109+D109</f>
        <v>1716099</v>
      </c>
      <c r="D109" s="28">
        <v>1716099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1" ref="C112:C117">D112+E112</f>
        <v>852</v>
      </c>
      <c r="D112" s="29">
        <f>+D113+D114+D115+D116+D117</f>
        <v>852</v>
      </c>
      <c r="E112" s="29">
        <v>0</v>
      </c>
      <c r="F112" s="29">
        <f aca="true" t="shared" si="2" ref="F112:F117">G112+H112</f>
        <v>965</v>
      </c>
      <c r="G112" s="29">
        <f>G113+G114+G115+G116+G117</f>
        <v>965</v>
      </c>
      <c r="H112" s="29">
        <v>0</v>
      </c>
      <c r="I112" s="29">
        <f aca="true" t="shared" si="3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1"/>
        <v>1</v>
      </c>
      <c r="D113" s="60">
        <v>1</v>
      </c>
      <c r="E113" s="60">
        <v>0</v>
      </c>
      <c r="F113" s="60">
        <f t="shared" si="2"/>
        <v>1</v>
      </c>
      <c r="G113" s="60">
        <f>D113</f>
        <v>1</v>
      </c>
      <c r="H113" s="60">
        <v>0</v>
      </c>
      <c r="I113" s="60">
        <f t="shared" si="3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174</v>
      </c>
      <c r="B114" s="27"/>
      <c r="C114" s="60">
        <f t="shared" si="1"/>
        <v>518</v>
      </c>
      <c r="D114" s="60">
        <v>518</v>
      </c>
      <c r="E114" s="60">
        <v>0</v>
      </c>
      <c r="F114" s="60">
        <f t="shared" si="2"/>
        <v>620</v>
      </c>
      <c r="G114" s="60">
        <v>620</v>
      </c>
      <c r="H114" s="60">
        <v>0</v>
      </c>
      <c r="I114" s="60">
        <f t="shared" si="3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82</v>
      </c>
      <c r="B115" s="27"/>
      <c r="C115" s="60">
        <f t="shared" si="1"/>
        <v>77</v>
      </c>
      <c r="D115" s="60">
        <v>77</v>
      </c>
      <c r="E115" s="60">
        <v>0</v>
      </c>
      <c r="F115" s="60">
        <f t="shared" si="2"/>
        <v>76</v>
      </c>
      <c r="G115" s="60">
        <v>76</v>
      </c>
      <c r="H115" s="60">
        <v>0</v>
      </c>
      <c r="I115" s="60">
        <f t="shared" si="3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175</v>
      </c>
      <c r="B116" s="27"/>
      <c r="C116" s="60">
        <f t="shared" si="1"/>
        <v>72</v>
      </c>
      <c r="D116" s="60">
        <v>72</v>
      </c>
      <c r="E116" s="60">
        <v>0</v>
      </c>
      <c r="F116" s="60">
        <f t="shared" si="2"/>
        <v>84</v>
      </c>
      <c r="G116" s="60">
        <v>84</v>
      </c>
      <c r="H116" s="60">
        <v>0</v>
      </c>
      <c r="I116" s="60">
        <f t="shared" si="3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110</v>
      </c>
      <c r="B117" s="27"/>
      <c r="C117" s="60">
        <f t="shared" si="1"/>
        <v>184</v>
      </c>
      <c r="D117" s="60">
        <v>184</v>
      </c>
      <c r="E117" s="60">
        <v>0</v>
      </c>
      <c r="F117" s="60">
        <f t="shared" si="2"/>
        <v>184</v>
      </c>
      <c r="G117" s="60">
        <v>184</v>
      </c>
      <c r="H117" s="60">
        <v>0</v>
      </c>
      <c r="I117" s="60">
        <f t="shared" si="3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85</v>
      </c>
      <c r="B119" s="27"/>
      <c r="C119" s="30">
        <f aca="true" t="shared" si="4" ref="C119:C127">D119+E119</f>
        <v>2014.2007042253522</v>
      </c>
      <c r="D119" s="30">
        <f>D109/D112</f>
        <v>2014.2007042253522</v>
      </c>
      <c r="E119" s="30">
        <v>0</v>
      </c>
      <c r="F119" s="30">
        <f aca="true" t="shared" si="5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6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37</v>
      </c>
      <c r="B120" s="27"/>
      <c r="C120" s="30">
        <f t="shared" si="4"/>
        <v>18824</v>
      </c>
      <c r="D120" s="30">
        <f>18824/D113</f>
        <v>18824</v>
      </c>
      <c r="E120" s="30">
        <v>0</v>
      </c>
      <c r="F120" s="30">
        <f t="shared" si="5"/>
        <v>14820</v>
      </c>
      <c r="G120" s="30">
        <f>14820/G113</f>
        <v>14820</v>
      </c>
      <c r="H120" s="30">
        <v>0</v>
      </c>
      <c r="I120" s="30">
        <f t="shared" si="6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38</v>
      </c>
      <c r="B121" s="27"/>
      <c r="C121" s="30">
        <f t="shared" si="4"/>
        <v>1237.7992277992278</v>
      </c>
      <c r="D121" s="30">
        <f>641180/D114</f>
        <v>1237.7992277992278</v>
      </c>
      <c r="E121" s="30">
        <v>0</v>
      </c>
      <c r="F121" s="30">
        <f t="shared" si="5"/>
        <v>1269.032258064516</v>
      </c>
      <c r="G121" s="30">
        <f>786800/G114</f>
        <v>1269.032258064516</v>
      </c>
      <c r="H121" s="30">
        <v>0</v>
      </c>
      <c r="I121" s="30">
        <f t="shared" si="6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57" t="s">
        <v>201</v>
      </c>
      <c r="J123" s="157"/>
      <c r="K123" s="157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84</v>
      </c>
      <c r="B125" s="27"/>
      <c r="C125" s="30">
        <f t="shared" si="4"/>
        <v>3565.1688311688313</v>
      </c>
      <c r="D125" s="30">
        <f>274518/D115</f>
        <v>3565.1688311688313</v>
      </c>
      <c r="E125" s="30">
        <v>0</v>
      </c>
      <c r="F125" s="30">
        <f t="shared" si="5"/>
        <v>3587.2368421052633</v>
      </c>
      <c r="G125" s="30">
        <f>272630/G115</f>
        <v>3587.2368421052633</v>
      </c>
      <c r="H125" s="30">
        <v>0</v>
      </c>
      <c r="I125" s="30">
        <f t="shared" si="6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176</v>
      </c>
      <c r="B126" s="27"/>
      <c r="C126" s="30">
        <f t="shared" si="4"/>
        <v>2913.0833333333335</v>
      </c>
      <c r="D126" s="30">
        <f>209742/D116</f>
        <v>2913.0833333333335</v>
      </c>
      <c r="E126" s="30">
        <v>0</v>
      </c>
      <c r="F126" s="30">
        <f t="shared" si="5"/>
        <v>3132.7380952380954</v>
      </c>
      <c r="G126" s="30">
        <f>263150/G116</f>
        <v>3132.7380952380954</v>
      </c>
      <c r="H126" s="30">
        <v>0</v>
      </c>
      <c r="I126" s="30">
        <f t="shared" si="6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86</v>
      </c>
      <c r="B127" s="27"/>
      <c r="C127" s="30">
        <f t="shared" si="4"/>
        <v>3107.7989130434785</v>
      </c>
      <c r="D127" s="30">
        <f>571835/D117</f>
        <v>3107.7989130434785</v>
      </c>
      <c r="E127" s="30">
        <v>0</v>
      </c>
      <c r="F127" s="30">
        <f t="shared" si="5"/>
        <v>2928.804347826087</v>
      </c>
      <c r="G127" s="30">
        <f>538900/G117</f>
        <v>2928.804347826087</v>
      </c>
      <c r="H127" s="30">
        <v>0</v>
      </c>
      <c r="I127" s="30">
        <f t="shared" si="6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177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124.75539248791956</v>
      </c>
      <c r="D130" s="6">
        <f>D109/1375571*100</f>
        <v>124.75539248791956</v>
      </c>
      <c r="E130" s="65">
        <v>0</v>
      </c>
      <c r="F130" s="9">
        <f>F109/C109*100</f>
        <v>109.33518404241246</v>
      </c>
      <c r="G130" s="9">
        <f>G109/D109*100</f>
        <v>109.33518404241246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118</v>
      </c>
      <c r="B131" s="40" t="s">
        <v>119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67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87" t="s">
        <v>225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"/>
    </row>
    <row r="134" spans="1:12" ht="21" customHeight="1">
      <c r="A134" s="179" t="s">
        <v>226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44"/>
    </row>
    <row r="135" spans="1:12" ht="19.5" customHeight="1">
      <c r="A135" s="145" t="s">
        <v>6</v>
      </c>
      <c r="B135" s="143"/>
      <c r="C135" s="4">
        <f>D135+E135</f>
        <v>1057115</v>
      </c>
      <c r="D135" s="4">
        <f>+D136+D149</f>
        <v>1057115</v>
      </c>
      <c r="E135" s="4">
        <f>E136+0</f>
        <v>0</v>
      </c>
      <c r="F135" s="146">
        <f aca="true" t="shared" si="7" ref="F135:K135">F136+F149</f>
        <v>1051600</v>
      </c>
      <c r="G135" s="146">
        <f>G136+G149</f>
        <v>1051600</v>
      </c>
      <c r="H135" s="146">
        <f t="shared" si="7"/>
        <v>0</v>
      </c>
      <c r="I135" s="146">
        <f t="shared" si="7"/>
        <v>1094390</v>
      </c>
      <c r="J135" s="146">
        <f t="shared" si="7"/>
        <v>1094390</v>
      </c>
      <c r="K135" s="146">
        <f t="shared" si="7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154475</v>
      </c>
      <c r="D136" s="28">
        <v>154475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79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41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32</v>
      </c>
      <c r="B143" s="27"/>
      <c r="C143" s="30">
        <f>D143+E143</f>
        <v>8130.263157894737</v>
      </c>
      <c r="D143" s="30">
        <f>D136/D139</f>
        <v>8130.263157894737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33</v>
      </c>
      <c r="B144" s="27"/>
      <c r="C144" s="30">
        <f>D144+E144</f>
        <v>8908.75</v>
      </c>
      <c r="D144" s="30">
        <f>142540/D140</f>
        <v>8908.75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42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108.49258689590752</v>
      </c>
      <c r="D148" s="30">
        <f>D136/142383*100</f>
        <v>108.49258689590752</v>
      </c>
      <c r="E148" s="30">
        <v>0</v>
      </c>
      <c r="F148" s="30">
        <f>G148+H148</f>
        <v>85.04677132222042</v>
      </c>
      <c r="G148" s="30">
        <f>G136/D136*100</f>
        <v>85.04677132222042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227</v>
      </c>
      <c r="B149" s="27"/>
      <c r="C149" s="28">
        <f>E149+D149</f>
        <v>902640</v>
      </c>
      <c r="D149" s="28">
        <v>902640</v>
      </c>
      <c r="E149" s="28">
        <v>0</v>
      </c>
      <c r="F149" s="28">
        <f>H149+G149</f>
        <v>920224</v>
      </c>
      <c r="G149" s="4">
        <v>920224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57" t="s">
        <v>201</v>
      </c>
      <c r="J151" s="157"/>
      <c r="K151" s="157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212</v>
      </c>
      <c r="B155" s="27"/>
      <c r="C155" s="50">
        <f>D155+E155</f>
        <v>83</v>
      </c>
      <c r="D155" s="50">
        <v>83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211</v>
      </c>
      <c r="B156" s="27"/>
      <c r="C156" s="50">
        <f>D156+E156</f>
        <v>56</v>
      </c>
      <c r="D156" s="50">
        <v>56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213</v>
      </c>
      <c r="B158" s="27"/>
      <c r="C158" s="30">
        <f>D158+E158</f>
        <v>1004.4819277108434</v>
      </c>
      <c r="D158" s="30">
        <f>83372/D155</f>
        <v>1004.4819277108434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214</v>
      </c>
      <c r="B159" s="27"/>
      <c r="C159" s="30">
        <f>D159+E159</f>
        <v>1219.1488095238094</v>
      </c>
      <c r="D159" s="30">
        <f>819268/D156/12</f>
        <v>1219.1488095238094</v>
      </c>
      <c r="E159" s="30">
        <v>0</v>
      </c>
      <c r="F159" s="30">
        <f>G159+H159</f>
        <v>1257.2529761904761</v>
      </c>
      <c r="G159" s="8">
        <f>844874/G156/12</f>
        <v>1257.2529761904761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120.54986250766258</v>
      </c>
      <c r="D161" s="48">
        <f>D149/748769*100</f>
        <v>120.54986250766258</v>
      </c>
      <c r="E161" s="48">
        <v>0</v>
      </c>
      <c r="F161" s="48">
        <f>G161+H161</f>
        <v>101.9480634583001</v>
      </c>
      <c r="G161" s="48">
        <f>G149/D149*100</f>
        <v>101.9480634583001</v>
      </c>
      <c r="H161" s="48">
        <v>0</v>
      </c>
      <c r="I161" s="48">
        <f>J161+K161</f>
        <v>103.83460983412733</v>
      </c>
      <c r="J161" s="48">
        <f>J149/G149*100</f>
        <v>103.83460983412733</v>
      </c>
      <c r="K161" s="48">
        <v>0</v>
      </c>
      <c r="L161" s="22"/>
    </row>
    <row r="162" spans="1:12" ht="18.75" customHeight="1">
      <c r="A162" s="26" t="s">
        <v>87</v>
      </c>
      <c r="B162" s="40" t="s">
        <v>179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87" t="s">
        <v>180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94"/>
    </row>
    <row r="165" spans="1:12" ht="28.5" customHeight="1">
      <c r="A165" s="174" t="s">
        <v>181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6"/>
      <c r="L165" s="95"/>
    </row>
    <row r="166" spans="1:15" ht="49.5" customHeight="1">
      <c r="A166" s="96" t="s">
        <v>228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182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183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30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98</v>
      </c>
      <c r="B175" s="104" t="s">
        <v>99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64" t="s">
        <v>132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N177" s="19"/>
      <c r="O177" s="105"/>
    </row>
    <row r="178" spans="1:11" ht="31.5" customHeight="1">
      <c r="A178" s="169" t="s">
        <v>69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</row>
    <row r="179" spans="1:11" ht="42.75" customHeight="1">
      <c r="A179" s="106" t="s">
        <v>70</v>
      </c>
      <c r="B179" s="27"/>
      <c r="C179" s="28">
        <f>D179+E179</f>
        <v>278600</v>
      </c>
      <c r="D179" s="28">
        <v>278600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57" t="s">
        <v>201</v>
      </c>
      <c r="J181" s="157"/>
      <c r="K181" s="157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39</v>
      </c>
      <c r="B185" s="27"/>
      <c r="C185" s="60">
        <f>D185+E185</f>
        <v>130</v>
      </c>
      <c r="D185" s="60">
        <v>130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40</v>
      </c>
      <c r="B187" s="27"/>
      <c r="C187" s="30">
        <f>D187+E187</f>
        <v>2143.076923076923</v>
      </c>
      <c r="D187" s="30">
        <f>D179/D185</f>
        <v>2143.076923076923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36</v>
      </c>
      <c r="B189" s="27"/>
      <c r="C189" s="65">
        <f>+C179/255700*100</f>
        <v>108.95580758701604</v>
      </c>
      <c r="D189" s="65">
        <f>+D179/255700*100</f>
        <v>108.95580758701604</v>
      </c>
      <c r="E189" s="60">
        <v>0</v>
      </c>
      <c r="F189" s="65">
        <f>+F179/C179*100</f>
        <v>114.8600143575018</v>
      </c>
      <c r="G189" s="65">
        <f>+G179/D179*100</f>
        <v>114.8600143575018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120</v>
      </c>
      <c r="B190" s="40" t="s">
        <v>121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68" t="s">
        <v>133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07"/>
    </row>
    <row r="193" spans="1:12" ht="22.5" customHeight="1">
      <c r="A193" s="170" t="s">
        <v>72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134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73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74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75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76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77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88" t="s">
        <v>135</v>
      </c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</row>
    <row r="206" spans="1:11" ht="33" customHeight="1">
      <c r="A206" s="160" t="s">
        <v>229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</row>
    <row r="207" spans="1:11" ht="16.5">
      <c r="A207" s="149" t="s">
        <v>6</v>
      </c>
      <c r="B207" s="150" t="s">
        <v>100</v>
      </c>
      <c r="C207" s="4">
        <f>D207+E207</f>
        <v>65117064</v>
      </c>
      <c r="D207" s="4">
        <f>+D209+D230+D244++D254+D264</f>
        <v>65117064</v>
      </c>
      <c r="E207" s="4">
        <f>+E209+E230+E244++E254</f>
        <v>0</v>
      </c>
      <c r="F207" s="4">
        <f>G207+H207</f>
        <v>67663200</v>
      </c>
      <c r="G207" s="4">
        <f>+G209+G230+G244++G254+G264</f>
        <v>67663200</v>
      </c>
      <c r="H207" s="4">
        <f>+H209+H230+H244++H254</f>
        <v>0</v>
      </c>
      <c r="I207" s="28">
        <f>J207+K207</f>
        <v>71520003</v>
      </c>
      <c r="J207" s="4">
        <f>+J209+J230+J244++J254+J264</f>
        <v>71520003</v>
      </c>
      <c r="K207" s="4">
        <f>+K209+K230+K244++K254</f>
        <v>0</v>
      </c>
    </row>
    <row r="208" spans="1:14" ht="21.75" customHeight="1">
      <c r="A208" s="110" t="s">
        <v>103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136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54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126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63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57" t="s">
        <v>201</v>
      </c>
      <c r="J214" s="157"/>
      <c r="K214" s="157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104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55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56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57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105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58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59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60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106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61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62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64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107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137</v>
      </c>
      <c r="B230" s="116"/>
      <c r="C230" s="28">
        <f>D230+E230</f>
        <v>1382557</v>
      </c>
      <c r="D230" s="28">
        <v>1382557</v>
      </c>
      <c r="E230" s="28">
        <v>0</v>
      </c>
      <c r="F230" s="4">
        <f>G230+H230</f>
        <v>1380800</v>
      </c>
      <c r="G230" s="4">
        <v>1380800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50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51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52</v>
      </c>
      <c r="B236" s="27"/>
      <c r="C236" s="30">
        <f>D236</f>
        <v>119309.75</v>
      </c>
      <c r="D236" s="30">
        <f>1431717/12</f>
        <v>119309.75</v>
      </c>
      <c r="E236" s="30">
        <v>0</v>
      </c>
      <c r="F236" s="30">
        <f>+G236</f>
        <v>114790</v>
      </c>
      <c r="G236" s="30">
        <f>1377480/12</f>
        <v>114790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53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215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49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57" t="s">
        <v>201</v>
      </c>
      <c r="J241" s="157"/>
      <c r="K241" s="157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21.75" customHeight="1">
      <c r="A243" s="110" t="s">
        <v>101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45.75" customHeight="1">
      <c r="A244" s="24" t="s">
        <v>138</v>
      </c>
      <c r="B244" s="114"/>
      <c r="C244" s="28">
        <f>D244+E244</f>
        <v>24508500</v>
      </c>
      <c r="D244" s="8">
        <v>24508500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8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45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46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47</v>
      </c>
      <c r="B250" s="27"/>
      <c r="C250" s="30">
        <f>D250+E250</f>
        <v>2042375</v>
      </c>
      <c r="D250" s="30">
        <f>+D244/12</f>
        <v>2042375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87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48" customHeight="1">
      <c r="A254" s="24" t="s">
        <v>231</v>
      </c>
      <c r="B254" s="116"/>
      <c r="C254" s="28">
        <f>D254+E254</f>
        <v>37662031</v>
      </c>
      <c r="D254" s="28">
        <v>37662031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48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46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191</v>
      </c>
      <c r="B260" s="27"/>
      <c r="C260" s="30">
        <f>D260+E260</f>
        <v>3138502.5833333335</v>
      </c>
      <c r="D260" s="30">
        <f>D254/12</f>
        <v>3138502.5833333335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1" ht="21.75" customHeight="1">
      <c r="A263" s="110" t="s">
        <v>189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45" customHeight="1">
      <c r="A264" s="24" t="s">
        <v>190</v>
      </c>
      <c r="B264" s="116"/>
      <c r="C264" s="28">
        <f>D264+E264</f>
        <v>1000000</v>
      </c>
      <c r="D264" s="28">
        <v>1000000</v>
      </c>
      <c r="E264" s="28">
        <v>0</v>
      </c>
      <c r="F264" s="69">
        <f>G264+H264</f>
        <v>1000000</v>
      </c>
      <c r="G264" s="69">
        <v>1000000</v>
      </c>
      <c r="H264" s="4">
        <v>0</v>
      </c>
      <c r="I264" s="4">
        <f>J264+K264</f>
        <v>1057000</v>
      </c>
      <c r="J264" s="4">
        <v>1057000</v>
      </c>
      <c r="K264" s="4">
        <v>0</v>
      </c>
    </row>
    <row r="265" spans="1:14" ht="21" customHeight="1">
      <c r="A265" s="1" t="s">
        <v>4</v>
      </c>
      <c r="B265" s="27"/>
      <c r="C265" s="117"/>
      <c r="D265" s="41"/>
      <c r="E265" s="41"/>
      <c r="F265" s="41"/>
      <c r="G265" s="41"/>
      <c r="H265" s="41"/>
      <c r="I265" s="41"/>
      <c r="J265" s="41"/>
      <c r="K265" s="41"/>
      <c r="N265" s="19"/>
    </row>
    <row r="266" spans="1:14" ht="21" customHeight="1">
      <c r="A266" s="24" t="s">
        <v>5</v>
      </c>
      <c r="B266" s="27"/>
      <c r="C266" s="117"/>
      <c r="D266" s="41"/>
      <c r="E266" s="41"/>
      <c r="F266" s="41"/>
      <c r="G266" s="41"/>
      <c r="H266" s="41"/>
      <c r="I266" s="41"/>
      <c r="J266" s="41"/>
      <c r="K266" s="41"/>
      <c r="N266" s="19"/>
    </row>
    <row r="267" spans="1:14" ht="33.75" customHeight="1">
      <c r="A267" s="53" t="s">
        <v>192</v>
      </c>
      <c r="B267" s="27"/>
      <c r="C267" s="29">
        <f>+D267</f>
        <v>59320</v>
      </c>
      <c r="D267" s="29">
        <v>59320</v>
      </c>
      <c r="E267" s="29">
        <v>0</v>
      </c>
      <c r="F267" s="29">
        <f>+G267</f>
        <v>58065</v>
      </c>
      <c r="G267" s="29">
        <v>58065</v>
      </c>
      <c r="H267" s="50">
        <v>0</v>
      </c>
      <c r="I267" s="29">
        <f>J267+K267</f>
        <v>58065</v>
      </c>
      <c r="J267" s="29">
        <v>58065</v>
      </c>
      <c r="K267" s="50">
        <v>0</v>
      </c>
      <c r="N267" s="19"/>
    </row>
    <row r="268" spans="1:14" ht="30.75" customHeight="1">
      <c r="A268" s="53" t="s">
        <v>46</v>
      </c>
      <c r="B268" s="27"/>
      <c r="C268" s="50">
        <v>1</v>
      </c>
      <c r="D268" s="50">
        <v>1</v>
      </c>
      <c r="E268" s="50">
        <v>0</v>
      </c>
      <c r="F268" s="50">
        <f>+G268</f>
        <v>1</v>
      </c>
      <c r="G268" s="50">
        <v>1</v>
      </c>
      <c r="H268" s="50">
        <v>0</v>
      </c>
      <c r="I268" s="50">
        <f>J268+K268</f>
        <v>1</v>
      </c>
      <c r="J268" s="50">
        <v>1</v>
      </c>
      <c r="K268" s="50">
        <v>0</v>
      </c>
      <c r="N268" s="19"/>
    </row>
    <row r="269" spans="1:14" ht="21" customHeight="1">
      <c r="A269" s="45" t="s">
        <v>13</v>
      </c>
      <c r="B269" s="27"/>
      <c r="C269" s="119"/>
      <c r="D269" s="46"/>
      <c r="E269" s="46"/>
      <c r="F269" s="119"/>
      <c r="G269" s="46"/>
      <c r="H269" s="46"/>
      <c r="I269" s="119"/>
      <c r="J269" s="46"/>
      <c r="K269" s="46"/>
      <c r="N269" s="19"/>
    </row>
    <row r="270" spans="1:14" ht="30">
      <c r="A270" s="47" t="s">
        <v>193</v>
      </c>
      <c r="B270" s="27"/>
      <c r="C270" s="30">
        <f>D270+E270</f>
        <v>83333.33333333333</v>
      </c>
      <c r="D270" s="30">
        <f>D264/12</f>
        <v>83333.33333333333</v>
      </c>
      <c r="E270" s="30">
        <v>0</v>
      </c>
      <c r="F270" s="30">
        <f>G270+H270</f>
        <v>83333.33333333333</v>
      </c>
      <c r="G270" s="30">
        <f>G264/12</f>
        <v>83333.33333333333</v>
      </c>
      <c r="H270" s="30">
        <v>0</v>
      </c>
      <c r="I270" s="30">
        <f>J270+K270</f>
        <v>88083.33333333333</v>
      </c>
      <c r="J270" s="8">
        <f>J264/12</f>
        <v>88083.33333333333</v>
      </c>
      <c r="K270" s="30">
        <v>0</v>
      </c>
      <c r="N270" s="19"/>
    </row>
    <row r="271" spans="1:14" ht="20.25" customHeight="1">
      <c r="A271" s="2" t="s">
        <v>12</v>
      </c>
      <c r="B271" s="27"/>
      <c r="C271" s="30"/>
      <c r="D271" s="30"/>
      <c r="E271" s="30"/>
      <c r="F271" s="30"/>
      <c r="G271" s="8"/>
      <c r="H271" s="30"/>
      <c r="I271" s="30"/>
      <c r="J271" s="8"/>
      <c r="K271" s="30"/>
      <c r="N271" s="19"/>
    </row>
    <row r="272" spans="1:14" ht="21" customHeight="1">
      <c r="A272" s="47" t="s">
        <v>11</v>
      </c>
      <c r="B272" s="27"/>
      <c r="C272" s="48">
        <f>+D272</f>
        <v>100</v>
      </c>
      <c r="D272" s="48">
        <v>100</v>
      </c>
      <c r="E272" s="48">
        <v>0</v>
      </c>
      <c r="F272" s="48">
        <f>G272+H272</f>
        <v>100</v>
      </c>
      <c r="G272" s="9">
        <v>100</v>
      </c>
      <c r="H272" s="48">
        <v>0</v>
      </c>
      <c r="I272" s="48">
        <f>J272+K272</f>
        <v>100</v>
      </c>
      <c r="J272" s="9">
        <v>100</v>
      </c>
      <c r="K272" s="48">
        <v>0</v>
      </c>
      <c r="N272" s="19"/>
    </row>
    <row r="273" spans="1:12" ht="19.5" customHeight="1">
      <c r="A273" s="21"/>
      <c r="B273" s="1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20.25" customHeight="1">
      <c r="A274" s="11"/>
      <c r="B274" s="12"/>
      <c r="C274" s="13"/>
      <c r="D274" s="13"/>
      <c r="E274" s="13"/>
      <c r="F274" s="13"/>
      <c r="G274" s="13"/>
      <c r="H274" s="13"/>
      <c r="I274" s="157" t="s">
        <v>201</v>
      </c>
      <c r="J274" s="157"/>
      <c r="K274" s="157"/>
      <c r="L274" s="13"/>
    </row>
    <row r="275" spans="1:12" ht="14.25">
      <c r="A275" s="14">
        <v>1</v>
      </c>
      <c r="B275" s="15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16">
        <v>10</v>
      </c>
      <c r="K275" s="16">
        <v>11</v>
      </c>
      <c r="L275" s="23"/>
    </row>
    <row r="276" spans="1:14" ht="24" customHeight="1">
      <c r="A276" s="110" t="s">
        <v>161</v>
      </c>
      <c r="B276" s="120" t="s">
        <v>162</v>
      </c>
      <c r="C276" s="48"/>
      <c r="D276" s="48"/>
      <c r="E276" s="48"/>
      <c r="F276" s="48"/>
      <c r="G276" s="9"/>
      <c r="H276" s="48"/>
      <c r="I276" s="48"/>
      <c r="J276" s="9"/>
      <c r="K276" s="48"/>
      <c r="N276" s="19"/>
    </row>
    <row r="277" spans="1:14" ht="24" customHeight="1">
      <c r="A277" s="2" t="s">
        <v>43</v>
      </c>
      <c r="B277" s="27"/>
      <c r="C277" s="48"/>
      <c r="D277" s="48"/>
      <c r="E277" s="48"/>
      <c r="F277" s="48"/>
      <c r="G277" s="9"/>
      <c r="H277" s="48"/>
      <c r="I277" s="48"/>
      <c r="J277" s="9"/>
      <c r="K277" s="48"/>
      <c r="N277" s="19"/>
    </row>
    <row r="278" spans="1:14" ht="39" customHeight="1">
      <c r="A278" s="168" t="s">
        <v>163</v>
      </c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07"/>
      <c r="N278" s="19"/>
    </row>
    <row r="279" spans="1:14" ht="26.25" customHeight="1">
      <c r="A279" s="190" t="s">
        <v>164</v>
      </c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09"/>
      <c r="N279" s="19"/>
    </row>
    <row r="280" spans="1:14" ht="18" customHeight="1">
      <c r="A280" s="128" t="s">
        <v>6</v>
      </c>
      <c r="B280" s="27"/>
      <c r="C280" s="48"/>
      <c r="D280" s="48"/>
      <c r="E280" s="48"/>
      <c r="F280" s="48"/>
      <c r="G280" s="9"/>
      <c r="H280" s="48"/>
      <c r="I280" s="48"/>
      <c r="J280" s="9"/>
      <c r="K280" s="48"/>
      <c r="N280" s="19"/>
    </row>
    <row r="281" spans="1:14" ht="66" customHeight="1">
      <c r="A281" s="129" t="s">
        <v>165</v>
      </c>
      <c r="B281" s="27"/>
      <c r="C281" s="28">
        <f>+D281+E281</f>
        <v>1812956</v>
      </c>
      <c r="D281" s="30">
        <v>1812956</v>
      </c>
      <c r="E281" s="30">
        <v>0</v>
      </c>
      <c r="F281" s="28">
        <f>G281+H281</f>
        <v>1911000</v>
      </c>
      <c r="G281" s="8">
        <v>1911000</v>
      </c>
      <c r="H281" s="8">
        <v>0</v>
      </c>
      <c r="I281" s="28">
        <f>J281+K281</f>
        <v>2061525</v>
      </c>
      <c r="J281" s="8">
        <v>2061525</v>
      </c>
      <c r="K281" s="8">
        <v>0</v>
      </c>
      <c r="N281" s="19"/>
    </row>
    <row r="282" spans="1:14" ht="18" customHeight="1">
      <c r="A282" s="1" t="s">
        <v>4</v>
      </c>
      <c r="B282" s="27"/>
      <c r="C282" s="130"/>
      <c r="D282" s="48"/>
      <c r="E282" s="48"/>
      <c r="F282" s="130"/>
      <c r="G282" s="9"/>
      <c r="H282" s="48"/>
      <c r="I282" s="130"/>
      <c r="J282" s="9"/>
      <c r="K282" s="48"/>
      <c r="N282" s="19"/>
    </row>
    <row r="283" spans="1:14" ht="18" customHeight="1">
      <c r="A283" s="24" t="s">
        <v>5</v>
      </c>
      <c r="B283" s="27"/>
      <c r="C283" s="130"/>
      <c r="D283" s="48"/>
      <c r="E283" s="48"/>
      <c r="F283" s="130"/>
      <c r="G283" s="9"/>
      <c r="H283" s="48"/>
      <c r="I283" s="130"/>
      <c r="J283" s="9"/>
      <c r="K283" s="48"/>
      <c r="N283" s="19"/>
    </row>
    <row r="284" spans="1:14" ht="23.25" customHeight="1">
      <c r="A284" s="131" t="s">
        <v>171</v>
      </c>
      <c r="B284" s="27"/>
      <c r="C284" s="122">
        <f aca="true" t="shared" si="8" ref="C284:C299">+D284+E284</f>
        <v>312</v>
      </c>
      <c r="D284" s="122">
        <v>312</v>
      </c>
      <c r="E284" s="122">
        <v>0</v>
      </c>
      <c r="F284" s="122">
        <f aca="true" t="shared" si="9" ref="F284:F299">G284+H284</f>
        <v>200</v>
      </c>
      <c r="G284" s="123">
        <v>200</v>
      </c>
      <c r="H284" s="122">
        <v>0</v>
      </c>
      <c r="I284" s="122">
        <f aca="true" t="shared" si="10" ref="I284:I299">J284+K284</f>
        <v>200</v>
      </c>
      <c r="J284" s="123">
        <v>200</v>
      </c>
      <c r="K284" s="122">
        <v>0</v>
      </c>
      <c r="N284" s="19"/>
    </row>
    <row r="285" spans="1:14" ht="28.5" customHeight="1">
      <c r="A285" s="124" t="s">
        <v>166</v>
      </c>
      <c r="B285" s="27"/>
      <c r="C285" s="122">
        <f t="shared" si="8"/>
        <v>700</v>
      </c>
      <c r="D285" s="122">
        <f>+D286+D287+D288+D289+D290</f>
        <v>700</v>
      </c>
      <c r="E285" s="122">
        <v>0</v>
      </c>
      <c r="F285" s="122">
        <f t="shared" si="9"/>
        <v>680</v>
      </c>
      <c r="G285" s="122">
        <f>+G286+G287+G288+G289+G290</f>
        <v>680</v>
      </c>
      <c r="H285" s="122">
        <v>0</v>
      </c>
      <c r="I285" s="122">
        <f t="shared" si="10"/>
        <v>680</v>
      </c>
      <c r="J285" s="122">
        <f>+J286+J287+J288+J289+J290</f>
        <v>680</v>
      </c>
      <c r="K285" s="122">
        <v>0</v>
      </c>
      <c r="N285" s="19"/>
    </row>
    <row r="286" spans="1:14" ht="17.25" customHeight="1">
      <c r="A286" s="121" t="s">
        <v>167</v>
      </c>
      <c r="B286" s="27"/>
      <c r="C286" s="122">
        <f t="shared" si="8"/>
        <v>330</v>
      </c>
      <c r="D286" s="122">
        <f>140+190</f>
        <v>330</v>
      </c>
      <c r="E286" s="122">
        <v>0</v>
      </c>
      <c r="F286" s="122">
        <f t="shared" si="9"/>
        <v>280</v>
      </c>
      <c r="G286" s="123">
        <v>280</v>
      </c>
      <c r="H286" s="122">
        <v>0</v>
      </c>
      <c r="I286" s="122">
        <f t="shared" si="10"/>
        <v>280</v>
      </c>
      <c r="J286" s="123">
        <v>280</v>
      </c>
      <c r="K286" s="122">
        <v>0</v>
      </c>
      <c r="N286" s="19"/>
    </row>
    <row r="287" spans="1:14" ht="17.25" customHeight="1">
      <c r="A287" s="121" t="s">
        <v>168</v>
      </c>
      <c r="B287" s="27"/>
      <c r="C287" s="122">
        <f t="shared" si="8"/>
        <v>332</v>
      </c>
      <c r="D287" s="122">
        <f>186+146</f>
        <v>332</v>
      </c>
      <c r="E287" s="122">
        <v>0</v>
      </c>
      <c r="F287" s="122">
        <f t="shared" si="9"/>
        <v>245</v>
      </c>
      <c r="G287" s="123">
        <v>245</v>
      </c>
      <c r="H287" s="122">
        <v>0</v>
      </c>
      <c r="I287" s="122">
        <f t="shared" si="10"/>
        <v>245</v>
      </c>
      <c r="J287" s="123">
        <v>245</v>
      </c>
      <c r="K287" s="122">
        <v>0</v>
      </c>
      <c r="N287" s="19"/>
    </row>
    <row r="288" spans="1:14" ht="17.25" customHeight="1">
      <c r="A288" s="121" t="s">
        <v>169</v>
      </c>
      <c r="B288" s="27"/>
      <c r="C288" s="122">
        <f t="shared" si="8"/>
        <v>2</v>
      </c>
      <c r="D288" s="122">
        <v>2</v>
      </c>
      <c r="E288" s="122">
        <v>0</v>
      </c>
      <c r="F288" s="122">
        <f t="shared" si="9"/>
        <v>2</v>
      </c>
      <c r="G288" s="123">
        <v>2</v>
      </c>
      <c r="H288" s="122">
        <v>0</v>
      </c>
      <c r="I288" s="122">
        <f t="shared" si="10"/>
        <v>2</v>
      </c>
      <c r="J288" s="123">
        <v>2</v>
      </c>
      <c r="K288" s="122">
        <v>0</v>
      </c>
      <c r="N288" s="19"/>
    </row>
    <row r="289" spans="1:14" ht="17.25" customHeight="1">
      <c r="A289" s="121" t="s">
        <v>170</v>
      </c>
      <c r="B289" s="27"/>
      <c r="C289" s="122">
        <f t="shared" si="8"/>
        <v>35</v>
      </c>
      <c r="D289" s="122">
        <f>15+20</f>
        <v>35</v>
      </c>
      <c r="E289" s="122">
        <v>0</v>
      </c>
      <c r="F289" s="122">
        <f t="shared" si="9"/>
        <v>151</v>
      </c>
      <c r="G289" s="123">
        <v>151</v>
      </c>
      <c r="H289" s="122">
        <v>0</v>
      </c>
      <c r="I289" s="122">
        <f t="shared" si="10"/>
        <v>151</v>
      </c>
      <c r="J289" s="123">
        <v>151</v>
      </c>
      <c r="K289" s="122">
        <v>0</v>
      </c>
      <c r="N289" s="19"/>
    </row>
    <row r="290" spans="1:14" ht="48.75" customHeight="1">
      <c r="A290" s="124" t="s">
        <v>178</v>
      </c>
      <c r="B290" s="27"/>
      <c r="C290" s="122">
        <f t="shared" si="8"/>
        <v>1</v>
      </c>
      <c r="D290" s="122">
        <v>1</v>
      </c>
      <c r="E290" s="122">
        <v>0</v>
      </c>
      <c r="F290" s="122">
        <f t="shared" si="9"/>
        <v>2</v>
      </c>
      <c r="G290" s="123">
        <v>2</v>
      </c>
      <c r="H290" s="122">
        <v>0</v>
      </c>
      <c r="I290" s="122">
        <f t="shared" si="10"/>
        <v>2</v>
      </c>
      <c r="J290" s="123">
        <v>2</v>
      </c>
      <c r="K290" s="122">
        <v>0</v>
      </c>
      <c r="N290" s="19"/>
    </row>
    <row r="291" spans="1:14" ht="18" customHeight="1">
      <c r="A291" s="24" t="s">
        <v>13</v>
      </c>
      <c r="B291" s="27"/>
      <c r="C291" s="125"/>
      <c r="D291" s="48"/>
      <c r="E291" s="48"/>
      <c r="F291" s="125"/>
      <c r="G291" s="9"/>
      <c r="H291" s="48"/>
      <c r="I291" s="125"/>
      <c r="J291" s="9"/>
      <c r="K291" s="48"/>
      <c r="N291" s="19"/>
    </row>
    <row r="292" spans="1:14" ht="30.75" customHeight="1">
      <c r="A292" s="124" t="s">
        <v>184</v>
      </c>
      <c r="B292" s="27"/>
      <c r="C292" s="37">
        <f t="shared" si="8"/>
        <v>215.82809523809524</v>
      </c>
      <c r="D292" s="37">
        <f>+D281/D285/12</f>
        <v>215.82809523809524</v>
      </c>
      <c r="E292" s="37">
        <v>0</v>
      </c>
      <c r="F292" s="37">
        <f t="shared" si="9"/>
        <v>234.19117647058826</v>
      </c>
      <c r="G292" s="37">
        <f>+G281/G285/12</f>
        <v>234.19117647058826</v>
      </c>
      <c r="H292" s="37">
        <v>0</v>
      </c>
      <c r="I292" s="37">
        <f t="shared" si="10"/>
        <v>252.6378676470588</v>
      </c>
      <c r="J292" s="37">
        <f>+J281/J285/12</f>
        <v>252.6378676470588</v>
      </c>
      <c r="K292" s="37">
        <v>0</v>
      </c>
      <c r="N292" s="19"/>
    </row>
    <row r="293" spans="1:14" ht="19.5" customHeight="1">
      <c r="A293" s="121" t="s">
        <v>167</v>
      </c>
      <c r="B293" s="27"/>
      <c r="C293" s="37">
        <f t="shared" si="8"/>
        <v>258.19873737373734</v>
      </c>
      <c r="D293" s="37">
        <f>+(496927+525540)/12/D286</f>
        <v>258.19873737373734</v>
      </c>
      <c r="E293" s="37">
        <v>0</v>
      </c>
      <c r="F293" s="37">
        <f t="shared" si="9"/>
        <v>283.82619047619045</v>
      </c>
      <c r="G293" s="37">
        <f>+(485010+468646)/12/G286</f>
        <v>283.82619047619045</v>
      </c>
      <c r="H293" s="37">
        <v>0</v>
      </c>
      <c r="I293" s="37">
        <f t="shared" si="10"/>
        <v>306.4294642857143</v>
      </c>
      <c r="J293" s="37">
        <f>+(523590+506013)/12/J286</f>
        <v>306.4294642857143</v>
      </c>
      <c r="K293" s="37">
        <v>0</v>
      </c>
      <c r="N293" s="19"/>
    </row>
    <row r="294" spans="1:14" ht="19.5" customHeight="1">
      <c r="A294" s="121" t="s">
        <v>168</v>
      </c>
      <c r="B294" s="27"/>
      <c r="C294" s="37">
        <f t="shared" si="8"/>
        <v>178.05170682730923</v>
      </c>
      <c r="D294" s="37">
        <f>+(440128+269230)/12/D287</f>
        <v>178.05170682730923</v>
      </c>
      <c r="E294" s="37">
        <v>0</v>
      </c>
      <c r="F294" s="37">
        <f t="shared" si="9"/>
        <v>191.79455782312925</v>
      </c>
      <c r="G294" s="37">
        <f>+(310406+253470)/12/G287</f>
        <v>191.79455782312925</v>
      </c>
      <c r="H294" s="37">
        <v>0</v>
      </c>
      <c r="I294" s="37">
        <f t="shared" si="10"/>
        <v>206.5159863945578</v>
      </c>
      <c r="J294" s="37">
        <f>+(335102+272055)/12/J287</f>
        <v>206.5159863945578</v>
      </c>
      <c r="K294" s="37">
        <v>0</v>
      </c>
      <c r="N294" s="19"/>
    </row>
    <row r="295" spans="1:14" ht="19.5" customHeight="1">
      <c r="A295" s="121" t="s">
        <v>169</v>
      </c>
      <c r="B295" s="27"/>
      <c r="C295" s="37">
        <f t="shared" si="8"/>
        <v>197.19</v>
      </c>
      <c r="D295" s="37">
        <v>197.19</v>
      </c>
      <c r="E295" s="37">
        <v>0</v>
      </c>
      <c r="F295" s="37">
        <f t="shared" si="9"/>
        <v>215.56</v>
      </c>
      <c r="G295" s="37">
        <v>215.56</v>
      </c>
      <c r="H295" s="37">
        <v>0</v>
      </c>
      <c r="I295" s="37">
        <f t="shared" si="10"/>
        <v>232.70833333333334</v>
      </c>
      <c r="J295" s="37">
        <f>5585/12/J288</f>
        <v>232.70833333333334</v>
      </c>
      <c r="K295" s="37">
        <v>0</v>
      </c>
      <c r="N295" s="19"/>
    </row>
    <row r="296" spans="1:14" ht="19.5" customHeight="1">
      <c r="A296" s="121" t="s">
        <v>170</v>
      </c>
      <c r="B296" s="27"/>
      <c r="C296" s="37">
        <f t="shared" si="8"/>
        <v>178.5404761904762</v>
      </c>
      <c r="D296" s="37">
        <f>+(47326+27661)/12/D289</f>
        <v>178.5404761904762</v>
      </c>
      <c r="E296" s="37">
        <v>0</v>
      </c>
      <c r="F296" s="37">
        <f t="shared" si="9"/>
        <v>212.40949227373068</v>
      </c>
      <c r="G296" s="37">
        <f>+(364728+20158)/12/G289</f>
        <v>212.40949227373068</v>
      </c>
      <c r="H296" s="37">
        <v>0</v>
      </c>
      <c r="I296" s="37">
        <f t="shared" si="10"/>
        <v>229.30960264900662</v>
      </c>
      <c r="J296" s="37">
        <f>+(393745+21764)/12/J289</f>
        <v>229.30960264900662</v>
      </c>
      <c r="K296" s="37">
        <v>0</v>
      </c>
      <c r="N296" s="19"/>
    </row>
    <row r="297" spans="1:14" ht="48.75" customHeight="1">
      <c r="A297" s="124" t="s">
        <v>178</v>
      </c>
      <c r="B297" s="27"/>
      <c r="C297" s="37">
        <f t="shared" si="8"/>
        <v>107.57</v>
      </c>
      <c r="D297" s="37">
        <v>107.57</v>
      </c>
      <c r="E297" s="37">
        <v>0</v>
      </c>
      <c r="F297" s="37">
        <f t="shared" si="9"/>
        <v>134.25</v>
      </c>
      <c r="G297" s="37">
        <f>+(1411+1811)/12/G290</f>
        <v>134.25</v>
      </c>
      <c r="H297" s="37">
        <v>0</v>
      </c>
      <c r="I297" s="37">
        <f t="shared" si="10"/>
        <v>144.95833333333334</v>
      </c>
      <c r="J297" s="37">
        <f>+(1955+1524)/12/J290</f>
        <v>144.95833333333334</v>
      </c>
      <c r="K297" s="37">
        <v>0</v>
      </c>
      <c r="N297" s="19"/>
    </row>
    <row r="298" spans="1:14" ht="20.25" customHeight="1">
      <c r="A298" s="126" t="s">
        <v>12</v>
      </c>
      <c r="B298" s="27"/>
      <c r="C298" s="37"/>
      <c r="D298" s="37"/>
      <c r="E298" s="37"/>
      <c r="F298" s="37"/>
      <c r="G298" s="113"/>
      <c r="H298" s="37"/>
      <c r="I298" s="37"/>
      <c r="J298" s="113"/>
      <c r="K298" s="37"/>
      <c r="N298" s="19"/>
    </row>
    <row r="299" spans="1:14" ht="33" customHeight="1">
      <c r="A299" s="127" t="s">
        <v>172</v>
      </c>
      <c r="B299" s="27"/>
      <c r="C299" s="37">
        <f t="shared" si="8"/>
        <v>100</v>
      </c>
      <c r="D299" s="37">
        <v>100</v>
      </c>
      <c r="E299" s="37">
        <v>0</v>
      </c>
      <c r="F299" s="37">
        <f t="shared" si="9"/>
        <v>100</v>
      </c>
      <c r="G299" s="113">
        <v>100</v>
      </c>
      <c r="H299" s="37">
        <v>0</v>
      </c>
      <c r="I299" s="37">
        <f t="shared" si="10"/>
        <v>100</v>
      </c>
      <c r="J299" s="113">
        <v>100</v>
      </c>
      <c r="K299" s="37">
        <v>0</v>
      </c>
      <c r="N299" s="19"/>
    </row>
    <row r="300" spans="1:12" ht="21.75" customHeight="1">
      <c r="A300" s="110" t="s">
        <v>108</v>
      </c>
      <c r="B300" s="120" t="s">
        <v>109</v>
      </c>
      <c r="C300" s="118"/>
      <c r="D300" s="118"/>
      <c r="E300" s="118"/>
      <c r="F300" s="118"/>
      <c r="G300" s="118"/>
      <c r="H300" s="118"/>
      <c r="I300" s="118"/>
      <c r="J300" s="118"/>
      <c r="K300" s="118"/>
      <c r="L300" s="105"/>
    </row>
    <row r="301" spans="1:14" ht="21.75" customHeight="1">
      <c r="A301" s="2" t="s">
        <v>43</v>
      </c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N301" s="19"/>
    </row>
    <row r="302" spans="1:12" ht="35.25" customHeight="1">
      <c r="A302" s="168" t="s">
        <v>158</v>
      </c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07"/>
    </row>
    <row r="303" spans="1:12" ht="21.75" customHeight="1">
      <c r="A303" s="160" t="s">
        <v>44</v>
      </c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09"/>
    </row>
    <row r="304" spans="1:12" ht="10.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57" t="s">
        <v>201</v>
      </c>
      <c r="J305" s="157"/>
      <c r="K305" s="157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2" ht="21.75" customHeight="1">
      <c r="A307" s="128" t="s">
        <v>6</v>
      </c>
      <c r="B307" s="115"/>
      <c r="C307" s="28">
        <f>+D307+E307</f>
        <v>73900</v>
      </c>
      <c r="D307" s="28">
        <f>+D308</f>
        <v>73900</v>
      </c>
      <c r="E307" s="28">
        <v>0</v>
      </c>
      <c r="F307" s="28">
        <f>+H307+G307</f>
        <v>70000</v>
      </c>
      <c r="G307" s="28">
        <f>+G308</f>
        <v>70000</v>
      </c>
      <c r="H307" s="28">
        <v>0</v>
      </c>
      <c r="I307" s="28">
        <f>+K307+J307</f>
        <v>0</v>
      </c>
      <c r="J307" s="28">
        <f>+J308</f>
        <v>0</v>
      </c>
      <c r="K307" s="28">
        <v>0</v>
      </c>
      <c r="L307" s="132"/>
    </row>
    <row r="308" spans="1:12" ht="55.5" customHeight="1">
      <c r="A308" s="129" t="s">
        <v>173</v>
      </c>
      <c r="B308" s="116"/>
      <c r="C308" s="30">
        <f>D308+E308</f>
        <v>73900</v>
      </c>
      <c r="D308" s="30">
        <v>73900</v>
      </c>
      <c r="E308" s="30">
        <v>0</v>
      </c>
      <c r="F308" s="30">
        <f>G308+H308</f>
        <v>70000</v>
      </c>
      <c r="G308" s="30">
        <v>70000</v>
      </c>
      <c r="H308" s="30">
        <v>0</v>
      </c>
      <c r="I308" s="30">
        <f>J308+K308</f>
        <v>0</v>
      </c>
      <c r="J308" s="30">
        <v>0</v>
      </c>
      <c r="K308" s="30">
        <v>0</v>
      </c>
      <c r="L308" s="105"/>
    </row>
    <row r="309" spans="1:12" ht="21.75" customHeight="1">
      <c r="A309" s="103" t="s">
        <v>88</v>
      </c>
      <c r="B309" s="104" t="s">
        <v>89</v>
      </c>
      <c r="C309" s="1"/>
      <c r="D309" s="1"/>
      <c r="E309" s="1"/>
      <c r="F309" s="1"/>
      <c r="G309" s="1"/>
      <c r="H309" s="1"/>
      <c r="I309" s="1"/>
      <c r="J309" s="1"/>
      <c r="K309" s="1"/>
      <c r="L309" s="21"/>
    </row>
    <row r="310" spans="1:13" ht="27.75" customHeight="1">
      <c r="A310" s="2" t="s">
        <v>27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"/>
      <c r="M310" s="66"/>
    </row>
    <row r="311" spans="1:12" ht="35.25" customHeight="1">
      <c r="A311" s="161" t="s">
        <v>159</v>
      </c>
      <c r="B311" s="162"/>
      <c r="C311" s="162"/>
      <c r="D311" s="162"/>
      <c r="E311" s="162"/>
      <c r="F311" s="162"/>
      <c r="G311" s="162"/>
      <c r="H311" s="162"/>
      <c r="I311" s="162"/>
      <c r="J311" s="162"/>
      <c r="K311" s="163"/>
      <c r="L311" s="82"/>
    </row>
    <row r="312" spans="1:12" ht="21.75" customHeight="1">
      <c r="A312" s="165" t="s">
        <v>129</v>
      </c>
      <c r="B312" s="166"/>
      <c r="C312" s="166"/>
      <c r="D312" s="166"/>
      <c r="E312" s="166"/>
      <c r="F312" s="166"/>
      <c r="G312" s="166"/>
      <c r="H312" s="166"/>
      <c r="I312" s="166"/>
      <c r="J312" s="166"/>
      <c r="K312" s="167"/>
      <c r="L312" s="133"/>
    </row>
    <row r="313" spans="1:12" ht="21.75" customHeight="1">
      <c r="A313" s="138" t="s">
        <v>6</v>
      </c>
      <c r="B313" s="139"/>
      <c r="C313" s="10">
        <f>+D313</f>
        <v>46448</v>
      </c>
      <c r="D313" s="10">
        <f>+D314+D324+D334</f>
        <v>46448</v>
      </c>
      <c r="E313" s="10">
        <v>0</v>
      </c>
      <c r="F313" s="10">
        <f>+G313</f>
        <v>20649</v>
      </c>
      <c r="G313" s="10">
        <f>+G314+G324+G334</f>
        <v>20649</v>
      </c>
      <c r="H313" s="10">
        <v>0</v>
      </c>
      <c r="I313" s="10">
        <f>+J313</f>
        <v>21890</v>
      </c>
      <c r="J313" s="10">
        <f>+J314+J324+J334</f>
        <v>21890</v>
      </c>
      <c r="K313" s="10">
        <v>0</v>
      </c>
      <c r="L313" s="140"/>
    </row>
    <row r="314" spans="1:12" ht="55.5" customHeight="1">
      <c r="A314" s="3" t="s">
        <v>139</v>
      </c>
      <c r="B314" s="1"/>
      <c r="C314" s="4">
        <f>D314+E314</f>
        <v>5184</v>
      </c>
      <c r="D314" s="4">
        <v>5184</v>
      </c>
      <c r="E314" s="4">
        <v>0</v>
      </c>
      <c r="F314" s="4">
        <f>G314+H314</f>
        <v>0</v>
      </c>
      <c r="G314" s="4">
        <v>0</v>
      </c>
      <c r="H314" s="4">
        <v>0</v>
      </c>
      <c r="I314" s="4">
        <f>J314+K314</f>
        <v>0</v>
      </c>
      <c r="J314" s="4">
        <v>0</v>
      </c>
      <c r="K314" s="4">
        <v>0</v>
      </c>
      <c r="L314" s="134"/>
    </row>
    <row r="315" spans="1:12" ht="17.25" customHeight="1">
      <c r="A315" s="5" t="s">
        <v>4</v>
      </c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134"/>
    </row>
    <row r="316" spans="1:12" ht="17.25" customHeight="1">
      <c r="A316" s="7" t="s">
        <v>5</v>
      </c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134"/>
    </row>
    <row r="317" spans="1:12" ht="30" customHeight="1">
      <c r="A317" s="5" t="s">
        <v>127</v>
      </c>
      <c r="B317" s="1"/>
      <c r="C317" s="135">
        <f>D317+E317</f>
        <v>2</v>
      </c>
      <c r="D317" s="135">
        <v>2</v>
      </c>
      <c r="E317" s="135">
        <v>0</v>
      </c>
      <c r="F317" s="135">
        <f>G317+H317</f>
        <v>0</v>
      </c>
      <c r="G317" s="135">
        <v>0</v>
      </c>
      <c r="H317" s="135">
        <v>0</v>
      </c>
      <c r="I317" s="135">
        <f>J317+K317</f>
        <v>0</v>
      </c>
      <c r="J317" s="135">
        <v>0</v>
      </c>
      <c r="K317" s="135">
        <v>0</v>
      </c>
      <c r="L317" s="134"/>
    </row>
    <row r="318" spans="1:12" ht="47.25" customHeight="1">
      <c r="A318" s="5" t="s">
        <v>90</v>
      </c>
      <c r="B318" s="1"/>
      <c r="C318" s="135">
        <f>+D318</f>
        <v>1</v>
      </c>
      <c r="D318" s="135">
        <v>1</v>
      </c>
      <c r="E318" s="135">
        <v>0</v>
      </c>
      <c r="F318" s="135">
        <f>+G318</f>
        <v>0</v>
      </c>
      <c r="G318" s="135">
        <v>0</v>
      </c>
      <c r="H318" s="135">
        <v>0</v>
      </c>
      <c r="I318" s="135">
        <f>J318+K318</f>
        <v>0</v>
      </c>
      <c r="J318" s="135">
        <v>0</v>
      </c>
      <c r="K318" s="135">
        <v>0</v>
      </c>
      <c r="L318" s="134"/>
    </row>
    <row r="319" spans="1:12" ht="20.25" customHeight="1">
      <c r="A319" s="5" t="s">
        <v>28</v>
      </c>
      <c r="B319" s="1"/>
      <c r="C319" s="135">
        <f>D319+E319</f>
        <v>160</v>
      </c>
      <c r="D319" s="135">
        <v>160</v>
      </c>
      <c r="E319" s="135">
        <v>0</v>
      </c>
      <c r="F319" s="135">
        <f>G319+H319</f>
        <v>0</v>
      </c>
      <c r="G319" s="135">
        <v>0</v>
      </c>
      <c r="H319" s="135">
        <v>0</v>
      </c>
      <c r="I319" s="135">
        <f>J319+K319</f>
        <v>0</v>
      </c>
      <c r="J319" s="135">
        <v>0</v>
      </c>
      <c r="K319" s="135">
        <v>0</v>
      </c>
      <c r="L319" s="134"/>
    </row>
    <row r="320" spans="1:12" ht="17.25" customHeight="1">
      <c r="A320" s="7" t="s">
        <v>13</v>
      </c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134"/>
    </row>
    <row r="321" spans="1:12" ht="17.25" customHeight="1">
      <c r="A321" s="5" t="s">
        <v>34</v>
      </c>
      <c r="B321" s="1"/>
      <c r="C321" s="8">
        <f>D321+E321</f>
        <v>10.8</v>
      </c>
      <c r="D321" s="8">
        <f>+D314/3/D319</f>
        <v>10.8</v>
      </c>
      <c r="E321" s="8">
        <v>0</v>
      </c>
      <c r="F321" s="8">
        <f>G321+H321</f>
        <v>0</v>
      </c>
      <c r="G321" s="8">
        <v>0</v>
      </c>
      <c r="H321" s="8">
        <v>0</v>
      </c>
      <c r="I321" s="8">
        <f>J321+K321</f>
        <v>0</v>
      </c>
      <c r="J321" s="8">
        <v>0</v>
      </c>
      <c r="K321" s="8">
        <v>0</v>
      </c>
      <c r="L321" s="134"/>
    </row>
    <row r="322" spans="1:12" ht="17.25" customHeight="1">
      <c r="A322" s="3" t="s">
        <v>12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21" customHeight="1">
      <c r="A323" s="5" t="s">
        <v>36</v>
      </c>
      <c r="B323" s="1"/>
      <c r="C323" s="6">
        <f>D323+E323</f>
        <v>63.49050826699326</v>
      </c>
      <c r="D323" s="6">
        <f>+D314/8165*100</f>
        <v>63.49050826699326</v>
      </c>
      <c r="E323" s="6">
        <v>0</v>
      </c>
      <c r="F323" s="6">
        <f>G323+H323</f>
        <v>0</v>
      </c>
      <c r="G323" s="6">
        <f>+G314/D314*100</f>
        <v>0</v>
      </c>
      <c r="H323" s="6">
        <v>0</v>
      </c>
      <c r="I323" s="6">
        <f>J323+K323</f>
        <v>0</v>
      </c>
      <c r="J323" s="6">
        <v>0</v>
      </c>
      <c r="K323" s="6">
        <v>0</v>
      </c>
      <c r="L323" s="134"/>
    </row>
    <row r="324" spans="1:12" ht="35.25" customHeight="1">
      <c r="A324" s="3" t="s">
        <v>140</v>
      </c>
      <c r="B324" s="1"/>
      <c r="C324" s="4">
        <f>D324+E324</f>
        <v>35904</v>
      </c>
      <c r="D324" s="4">
        <v>35904</v>
      </c>
      <c r="E324" s="4">
        <v>0</v>
      </c>
      <c r="F324" s="4">
        <f>G324+H324</f>
        <v>14784</v>
      </c>
      <c r="G324" s="4">
        <v>14784</v>
      </c>
      <c r="H324" s="4">
        <v>0</v>
      </c>
      <c r="I324" s="4">
        <f>J324+K324</f>
        <v>15680</v>
      </c>
      <c r="J324" s="4">
        <v>15680</v>
      </c>
      <c r="K324" s="4">
        <v>0</v>
      </c>
      <c r="L324" s="134"/>
    </row>
    <row r="325" spans="1:12" ht="20.25" customHeight="1">
      <c r="A325" s="5" t="s">
        <v>4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4"/>
    </row>
    <row r="326" spans="1:12" ht="20.25" customHeight="1">
      <c r="A326" s="7" t="s">
        <v>5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30.75" customHeight="1">
      <c r="A327" s="5" t="s">
        <v>127</v>
      </c>
      <c r="B327" s="1"/>
      <c r="C327" s="135">
        <f>D327+E327</f>
        <v>16</v>
      </c>
      <c r="D327" s="135">
        <v>16</v>
      </c>
      <c r="E327" s="135">
        <v>0</v>
      </c>
      <c r="F327" s="135">
        <f>G327+H327</f>
        <v>7</v>
      </c>
      <c r="G327" s="135">
        <v>7</v>
      </c>
      <c r="H327" s="135">
        <v>0</v>
      </c>
      <c r="I327" s="135">
        <f>J327+K327</f>
        <v>7</v>
      </c>
      <c r="J327" s="135">
        <v>7</v>
      </c>
      <c r="K327" s="135">
        <v>0</v>
      </c>
      <c r="L327" s="134"/>
    </row>
    <row r="328" spans="1:12" ht="46.5" customHeight="1">
      <c r="A328" s="5" t="s">
        <v>90</v>
      </c>
      <c r="B328" s="1"/>
      <c r="C328" s="135">
        <f>+D328</f>
        <v>1</v>
      </c>
      <c r="D328" s="135">
        <v>1</v>
      </c>
      <c r="E328" s="135">
        <v>0</v>
      </c>
      <c r="F328" s="135">
        <v>0</v>
      </c>
      <c r="G328" s="135">
        <v>0</v>
      </c>
      <c r="H328" s="135">
        <v>0</v>
      </c>
      <c r="I328" s="135">
        <f>+J328</f>
        <v>0</v>
      </c>
      <c r="J328" s="135">
        <v>0</v>
      </c>
      <c r="K328" s="135">
        <v>0</v>
      </c>
      <c r="L328" s="134"/>
    </row>
    <row r="329" spans="1:12" ht="19.5" customHeight="1">
      <c r="A329" s="5" t="s">
        <v>28</v>
      </c>
      <c r="B329" s="1"/>
      <c r="C329" s="135">
        <f>D329+E329</f>
        <v>160</v>
      </c>
      <c r="D329" s="135">
        <v>160</v>
      </c>
      <c r="E329" s="135">
        <v>0</v>
      </c>
      <c r="F329" s="135">
        <f>G329+H329</f>
        <v>160</v>
      </c>
      <c r="G329" s="135">
        <v>160</v>
      </c>
      <c r="H329" s="135">
        <v>0</v>
      </c>
      <c r="I329" s="135">
        <f>J329+K329</f>
        <v>160</v>
      </c>
      <c r="J329" s="135">
        <v>160</v>
      </c>
      <c r="K329" s="135">
        <v>0</v>
      </c>
      <c r="L329" s="134"/>
    </row>
    <row r="330" spans="1:12" ht="20.25" customHeight="1">
      <c r="A330" s="7" t="s">
        <v>13</v>
      </c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134"/>
    </row>
    <row r="331" spans="1:12" ht="20.25" customHeight="1">
      <c r="A331" s="5" t="s">
        <v>34</v>
      </c>
      <c r="B331" s="1"/>
      <c r="C331" s="8">
        <f>D331+E331</f>
        <v>13.2</v>
      </c>
      <c r="D331" s="8">
        <f>+D324/(D327+D328)/D329</f>
        <v>13.2</v>
      </c>
      <c r="E331" s="8">
        <v>0</v>
      </c>
      <c r="F331" s="8">
        <f>G331+H331</f>
        <v>13.2</v>
      </c>
      <c r="G331" s="8">
        <f>+G324/(G327+G328)/G329</f>
        <v>13.2</v>
      </c>
      <c r="H331" s="8">
        <v>0</v>
      </c>
      <c r="I331" s="8">
        <f>J331+K331</f>
        <v>14</v>
      </c>
      <c r="J331" s="8">
        <f>+J324/(J327+J328)/J329</f>
        <v>14</v>
      </c>
      <c r="K331" s="8">
        <v>0</v>
      </c>
      <c r="L331" s="134"/>
    </row>
    <row r="332" spans="1:12" ht="21" customHeight="1">
      <c r="A332" s="3" t="s">
        <v>12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17.25" customHeight="1">
      <c r="A333" s="5" t="s">
        <v>36</v>
      </c>
      <c r="B333" s="1"/>
      <c r="C333" s="6">
        <f>D333+E333</f>
        <v>70.30212840946916</v>
      </c>
      <c r="D333" s="9">
        <f>+D324/51071*100</f>
        <v>70.30212840946916</v>
      </c>
      <c r="E333" s="6">
        <v>0</v>
      </c>
      <c r="F333" s="8">
        <f>G333+H333</f>
        <v>41.17647058823529</v>
      </c>
      <c r="G333" s="8">
        <f>+G324/D324*100</f>
        <v>41.17647058823529</v>
      </c>
      <c r="H333" s="6">
        <v>0</v>
      </c>
      <c r="I333" s="6">
        <f>J333+K333</f>
        <v>106.06060606060606</v>
      </c>
      <c r="J333" s="6">
        <f>J324/G324*100</f>
        <v>106.06060606060606</v>
      </c>
      <c r="K333" s="6">
        <v>0</v>
      </c>
      <c r="L333" s="134"/>
    </row>
    <row r="334" spans="1:12" ht="32.25" customHeight="1">
      <c r="A334" s="136" t="s">
        <v>142</v>
      </c>
      <c r="B334" s="1"/>
      <c r="C334" s="4">
        <f>D334+E334</f>
        <v>5360</v>
      </c>
      <c r="D334" s="4">
        <v>5360</v>
      </c>
      <c r="E334" s="4">
        <v>0</v>
      </c>
      <c r="F334" s="4">
        <f>G334+H334</f>
        <v>5865</v>
      </c>
      <c r="G334" s="4">
        <v>5865</v>
      </c>
      <c r="H334" s="4">
        <v>0</v>
      </c>
      <c r="I334" s="4">
        <f>J334+K334</f>
        <v>6210</v>
      </c>
      <c r="J334" s="4">
        <v>6210</v>
      </c>
      <c r="K334" s="4">
        <v>0</v>
      </c>
      <c r="L334" s="134"/>
    </row>
    <row r="335" spans="1:12" ht="23.25" customHeight="1">
      <c r="A335" s="5" t="s">
        <v>4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4"/>
    </row>
    <row r="336" spans="1:12" ht="8.25" customHeight="1">
      <c r="A336" s="21"/>
      <c r="B336" s="12"/>
      <c r="C336" s="2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ht="26.25" customHeight="1">
      <c r="A337" s="11"/>
      <c r="B337" s="12"/>
      <c r="C337" s="13"/>
      <c r="D337" s="13"/>
      <c r="E337" s="13"/>
      <c r="F337" s="13"/>
      <c r="G337" s="13"/>
      <c r="H337" s="13"/>
      <c r="I337" s="157" t="s">
        <v>201</v>
      </c>
      <c r="J337" s="157"/>
      <c r="K337" s="157"/>
      <c r="L337" s="13"/>
    </row>
    <row r="338" spans="1:12" ht="14.25">
      <c r="A338" s="14">
        <v>1</v>
      </c>
      <c r="B338" s="15">
        <v>2</v>
      </c>
      <c r="C338" s="16">
        <v>3</v>
      </c>
      <c r="D338" s="16">
        <v>4</v>
      </c>
      <c r="E338" s="16">
        <v>5</v>
      </c>
      <c r="F338" s="16">
        <v>6</v>
      </c>
      <c r="G338" s="16">
        <v>7</v>
      </c>
      <c r="H338" s="16">
        <v>8</v>
      </c>
      <c r="I338" s="16">
        <v>9</v>
      </c>
      <c r="J338" s="16">
        <v>10</v>
      </c>
      <c r="K338" s="16">
        <v>11</v>
      </c>
      <c r="L338" s="23"/>
    </row>
    <row r="339" spans="1:12" ht="24" customHeight="1">
      <c r="A339" s="7" t="s">
        <v>5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4"/>
    </row>
    <row r="340" spans="1:12" ht="32.25" customHeight="1">
      <c r="A340" s="92" t="s">
        <v>141</v>
      </c>
      <c r="B340" s="1"/>
      <c r="C340" s="135">
        <v>20</v>
      </c>
      <c r="D340" s="135">
        <v>20</v>
      </c>
      <c r="E340" s="135">
        <v>0</v>
      </c>
      <c r="F340" s="135">
        <f>+G340</f>
        <v>20</v>
      </c>
      <c r="G340" s="135">
        <v>20</v>
      </c>
      <c r="H340" s="135">
        <v>0</v>
      </c>
      <c r="I340" s="135">
        <f>+J340</f>
        <v>20</v>
      </c>
      <c r="J340" s="135">
        <v>20</v>
      </c>
      <c r="K340" s="135">
        <v>0</v>
      </c>
      <c r="L340" s="134"/>
    </row>
    <row r="341" spans="1:12" ht="45" customHeight="1">
      <c r="A341" s="92" t="s">
        <v>91</v>
      </c>
      <c r="B341" s="1"/>
      <c r="C341" s="135">
        <f>+D341</f>
        <v>2</v>
      </c>
      <c r="D341" s="135">
        <v>2</v>
      </c>
      <c r="E341" s="135">
        <v>0</v>
      </c>
      <c r="F341" s="135">
        <f>+G341</f>
        <v>0</v>
      </c>
      <c r="G341" s="135">
        <v>0</v>
      </c>
      <c r="H341" s="135">
        <v>0</v>
      </c>
      <c r="I341" s="135">
        <f>+J341</f>
        <v>0</v>
      </c>
      <c r="J341" s="135">
        <v>0</v>
      </c>
      <c r="K341" s="135">
        <v>0</v>
      </c>
      <c r="L341" s="134"/>
    </row>
    <row r="342" spans="1:12" ht="28.5" customHeight="1">
      <c r="A342" s="92" t="s">
        <v>92</v>
      </c>
      <c r="B342" s="1"/>
      <c r="C342" s="135">
        <f>+D342</f>
        <v>45</v>
      </c>
      <c r="D342" s="135">
        <v>45</v>
      </c>
      <c r="E342" s="135">
        <v>0</v>
      </c>
      <c r="F342" s="135">
        <f>+G342</f>
        <v>49</v>
      </c>
      <c r="G342" s="135">
        <v>49</v>
      </c>
      <c r="H342" s="135">
        <v>0</v>
      </c>
      <c r="I342" s="135">
        <f>+J342</f>
        <v>49</v>
      </c>
      <c r="J342" s="135">
        <v>49</v>
      </c>
      <c r="K342" s="135">
        <v>0</v>
      </c>
      <c r="L342" s="134"/>
    </row>
    <row r="343" spans="1:12" ht="17.25" customHeight="1">
      <c r="A343" s="7" t="s">
        <v>13</v>
      </c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134"/>
    </row>
    <row r="344" spans="1:12" ht="17.25" customHeight="1">
      <c r="A344" s="5" t="s">
        <v>68</v>
      </c>
      <c r="B344" s="1"/>
      <c r="C344" s="6">
        <f>D344+E344</f>
        <v>80</v>
      </c>
      <c r="D344" s="6">
        <f>+D334/(D340+D341+D342)</f>
        <v>80</v>
      </c>
      <c r="E344" s="6">
        <v>0</v>
      </c>
      <c r="F344" s="6">
        <f>G344+H344</f>
        <v>85</v>
      </c>
      <c r="G344" s="6">
        <f>+G334/(G340+G341+G342)</f>
        <v>85</v>
      </c>
      <c r="H344" s="6">
        <v>0</v>
      </c>
      <c r="I344" s="6">
        <f>J344+K344</f>
        <v>90</v>
      </c>
      <c r="J344" s="6">
        <f>+J334/(J340+J341+J342)</f>
        <v>90</v>
      </c>
      <c r="K344" s="6">
        <v>0</v>
      </c>
      <c r="L344" s="134"/>
    </row>
    <row r="345" spans="1:12" ht="17.25" customHeight="1">
      <c r="A345" s="3" t="s">
        <v>12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21" customHeight="1">
      <c r="A346" s="5" t="s">
        <v>36</v>
      </c>
      <c r="B346" s="1"/>
      <c r="C346" s="6">
        <f>+D346</f>
        <v>121.54195011337869</v>
      </c>
      <c r="D346" s="6">
        <f>+D334/4410*100</f>
        <v>121.54195011337869</v>
      </c>
      <c r="E346" s="6">
        <v>0</v>
      </c>
      <c r="F346" s="6">
        <f>+G346</f>
        <v>109.42164179104476</v>
      </c>
      <c r="G346" s="6">
        <f>+G334/D334*100</f>
        <v>109.42164179104476</v>
      </c>
      <c r="H346" s="6">
        <v>0</v>
      </c>
      <c r="I346" s="6">
        <f>+J346</f>
        <v>105.88235294117648</v>
      </c>
      <c r="J346" s="6">
        <f>+J334/G334*100</f>
        <v>105.88235294117648</v>
      </c>
      <c r="K346" s="6">
        <v>0</v>
      </c>
      <c r="L346" s="134"/>
    </row>
    <row r="347" spans="1:12" ht="30.75" customHeight="1">
      <c r="A347" s="3" t="s">
        <v>29</v>
      </c>
      <c r="B347" s="27"/>
      <c r="C347" s="36"/>
      <c r="D347" s="36"/>
      <c r="E347" s="36"/>
      <c r="F347" s="36"/>
      <c r="G347" s="36"/>
      <c r="H347" s="36"/>
      <c r="I347" s="36"/>
      <c r="J347" s="36"/>
      <c r="K347" s="36"/>
      <c r="L347" s="61"/>
    </row>
    <row r="348" spans="1:12" ht="30" customHeight="1">
      <c r="A348" s="159" t="s">
        <v>160</v>
      </c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37"/>
    </row>
    <row r="349" spans="1:12" ht="24.75" customHeight="1">
      <c r="A349" s="158" t="s">
        <v>130</v>
      </c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35"/>
    </row>
    <row r="350" spans="1:12" ht="18.75" customHeight="1">
      <c r="A350" s="138" t="s">
        <v>6</v>
      </c>
      <c r="B350" s="139"/>
      <c r="C350" s="10">
        <f>D350+E350</f>
        <v>262840</v>
      </c>
      <c r="D350" s="10">
        <f>+D352+D362+D376</f>
        <v>262840</v>
      </c>
      <c r="E350" s="10">
        <f>+E352+E362+E376</f>
        <v>0</v>
      </c>
      <c r="F350" s="10">
        <f>G350+H350</f>
        <v>172275</v>
      </c>
      <c r="G350" s="10">
        <f>+G352+G362+G376</f>
        <v>172275</v>
      </c>
      <c r="H350" s="10">
        <f>+H352+H362+H376</f>
        <v>0</v>
      </c>
      <c r="I350" s="10">
        <f>J350+K350</f>
        <v>183350</v>
      </c>
      <c r="J350" s="10">
        <f>+J352+J362+J376</f>
        <v>183350</v>
      </c>
      <c r="K350" s="10">
        <f>+K352+K362+K376</f>
        <v>0</v>
      </c>
      <c r="L350" s="140"/>
    </row>
    <row r="351" spans="1:12" ht="18.75" customHeight="1">
      <c r="A351" s="103" t="s">
        <v>93</v>
      </c>
      <c r="B351" s="104" t="s">
        <v>94</v>
      </c>
      <c r="C351" s="139"/>
      <c r="D351" s="139"/>
      <c r="E351" s="139"/>
      <c r="F351" s="139"/>
      <c r="G351" s="139"/>
      <c r="H351" s="139"/>
      <c r="I351" s="139"/>
      <c r="J351" s="139"/>
      <c r="K351" s="139"/>
      <c r="L351" s="140"/>
    </row>
    <row r="352" spans="1:12" ht="36" customHeight="1">
      <c r="A352" s="3" t="s">
        <v>143</v>
      </c>
      <c r="B352" s="1"/>
      <c r="C352" s="4">
        <f>D352+E352</f>
        <v>90160</v>
      </c>
      <c r="D352" s="4">
        <v>90160</v>
      </c>
      <c r="E352" s="4">
        <v>0</v>
      </c>
      <c r="F352" s="4">
        <f>G352+H352</f>
        <v>84000</v>
      </c>
      <c r="G352" s="4">
        <v>84000</v>
      </c>
      <c r="H352" s="4">
        <v>0</v>
      </c>
      <c r="I352" s="4">
        <f>J352+K352</f>
        <v>90000</v>
      </c>
      <c r="J352" s="4">
        <v>90000</v>
      </c>
      <c r="K352" s="4">
        <v>0</v>
      </c>
      <c r="L352" s="18"/>
    </row>
    <row r="353" spans="1:12" ht="21.75" customHeight="1">
      <c r="A353" s="1" t="s">
        <v>4</v>
      </c>
      <c r="B353" s="1"/>
      <c r="C353" s="9"/>
      <c r="D353" s="9"/>
      <c r="E353" s="9"/>
      <c r="F353" s="9"/>
      <c r="G353" s="9"/>
      <c r="H353" s="9"/>
      <c r="I353" s="9"/>
      <c r="J353" s="9"/>
      <c r="K353" s="9"/>
      <c r="L353" s="18"/>
    </row>
    <row r="354" spans="1:12" ht="19.5" customHeight="1">
      <c r="A354" s="24" t="s">
        <v>5</v>
      </c>
      <c r="B354" s="1"/>
      <c r="C354" s="9"/>
      <c r="D354" s="9"/>
      <c r="E354" s="9"/>
      <c r="F354" s="9"/>
      <c r="G354" s="9"/>
      <c r="H354" s="9"/>
      <c r="I354" s="9"/>
      <c r="J354" s="9"/>
      <c r="K354" s="9"/>
      <c r="L354" s="18"/>
    </row>
    <row r="355" spans="1:12" ht="48" customHeight="1">
      <c r="A355" s="5" t="s">
        <v>128</v>
      </c>
      <c r="B355" s="1"/>
      <c r="C355" s="17">
        <f>D355+E355</f>
        <v>45</v>
      </c>
      <c r="D355" s="17">
        <v>45</v>
      </c>
      <c r="E355" s="17">
        <v>0</v>
      </c>
      <c r="F355" s="17">
        <f>G355+H355</f>
        <v>40</v>
      </c>
      <c r="G355" s="17">
        <v>40</v>
      </c>
      <c r="H355" s="17">
        <v>0</v>
      </c>
      <c r="I355" s="17">
        <f>J355+K355</f>
        <v>40</v>
      </c>
      <c r="J355" s="17">
        <v>40</v>
      </c>
      <c r="K355" s="17">
        <v>0</v>
      </c>
      <c r="L355" s="18"/>
    </row>
    <row r="356" spans="1:12" ht="45.75" customHeight="1">
      <c r="A356" s="5" t="s">
        <v>144</v>
      </c>
      <c r="B356" s="1"/>
      <c r="C356" s="17">
        <f>+D356</f>
        <v>1</v>
      </c>
      <c r="D356" s="17">
        <v>1</v>
      </c>
      <c r="E356" s="17">
        <v>0</v>
      </c>
      <c r="F356" s="17">
        <f>+G356</f>
        <v>0</v>
      </c>
      <c r="G356" s="17">
        <v>0</v>
      </c>
      <c r="H356" s="17">
        <v>0</v>
      </c>
      <c r="I356" s="17">
        <f>+J356</f>
        <v>0</v>
      </c>
      <c r="J356" s="17">
        <v>0</v>
      </c>
      <c r="K356" s="17">
        <v>0</v>
      </c>
      <c r="L356" s="18"/>
    </row>
    <row r="357" spans="1:12" ht="29.25" customHeight="1">
      <c r="A357" s="114" t="s">
        <v>145</v>
      </c>
      <c r="B357" s="1"/>
      <c r="C357" s="135">
        <f>D357+E357</f>
        <v>140</v>
      </c>
      <c r="D357" s="135">
        <v>140</v>
      </c>
      <c r="E357" s="135">
        <v>0</v>
      </c>
      <c r="F357" s="135">
        <f>G357+H357</f>
        <v>150</v>
      </c>
      <c r="G357" s="135">
        <v>150</v>
      </c>
      <c r="H357" s="135">
        <v>0</v>
      </c>
      <c r="I357" s="135">
        <f>J357+K357</f>
        <v>150</v>
      </c>
      <c r="J357" s="135">
        <v>150</v>
      </c>
      <c r="K357" s="135">
        <v>0</v>
      </c>
      <c r="L357" s="18"/>
    </row>
    <row r="358" spans="1:12" ht="21.75" customHeight="1">
      <c r="A358" s="128" t="s">
        <v>13</v>
      </c>
      <c r="B358" s="1"/>
      <c r="C358" s="9"/>
      <c r="D358" s="9"/>
      <c r="E358" s="9"/>
      <c r="F358" s="9"/>
      <c r="G358" s="9"/>
      <c r="H358" s="9"/>
      <c r="I358" s="9"/>
      <c r="J358" s="9"/>
      <c r="K358" s="9"/>
      <c r="L358" s="18"/>
    </row>
    <row r="359" spans="1:12" ht="18.75" customHeight="1">
      <c r="A359" s="112" t="s">
        <v>35</v>
      </c>
      <c r="B359" s="1"/>
      <c r="C359" s="8">
        <f>D359+E359</f>
        <v>14</v>
      </c>
      <c r="D359" s="8">
        <f>+D352/(D355+D356)/D357</f>
        <v>14</v>
      </c>
      <c r="E359" s="8">
        <v>0</v>
      </c>
      <c r="F359" s="8">
        <f>G359+H359</f>
        <v>14</v>
      </c>
      <c r="G359" s="8">
        <f>+G352/(G355+G356)/G357</f>
        <v>14</v>
      </c>
      <c r="H359" s="8">
        <v>0</v>
      </c>
      <c r="I359" s="8">
        <f>J359+K359</f>
        <v>15</v>
      </c>
      <c r="J359" s="8">
        <f>+J352/(J355+J356)/J357</f>
        <v>15</v>
      </c>
      <c r="K359" s="8">
        <v>0</v>
      </c>
      <c r="L359" s="18"/>
    </row>
    <row r="360" spans="1:12" ht="18.75" customHeight="1">
      <c r="A360" s="2" t="s">
        <v>12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18.75" customHeight="1">
      <c r="A361" s="5" t="s">
        <v>36</v>
      </c>
      <c r="B361" s="1"/>
      <c r="C361" s="9">
        <f>D361+E361</f>
        <v>91.34751773049645</v>
      </c>
      <c r="D361" s="9">
        <f>D352/98700*100</f>
        <v>91.34751773049645</v>
      </c>
      <c r="E361" s="9">
        <v>0</v>
      </c>
      <c r="F361" s="9">
        <f>G361+H361</f>
        <v>93.16770186335404</v>
      </c>
      <c r="G361" s="9">
        <f>G352/D352*100</f>
        <v>93.16770186335404</v>
      </c>
      <c r="H361" s="9">
        <v>0</v>
      </c>
      <c r="I361" s="9">
        <f>J361+K361</f>
        <v>107.14285714285714</v>
      </c>
      <c r="J361" s="9">
        <f>J352/G352*100</f>
        <v>107.14285714285714</v>
      </c>
      <c r="K361" s="9">
        <v>0</v>
      </c>
      <c r="L361" s="18"/>
    </row>
    <row r="362" spans="1:12" ht="50.25" customHeight="1">
      <c r="A362" s="3" t="s">
        <v>148</v>
      </c>
      <c r="B362" s="1"/>
      <c r="C362" s="4">
        <f>D362+E362</f>
        <v>14080</v>
      </c>
      <c r="D362" s="4">
        <v>14080</v>
      </c>
      <c r="E362" s="4">
        <v>0</v>
      </c>
      <c r="F362" s="4">
        <f>G362+H362</f>
        <v>18275</v>
      </c>
      <c r="G362" s="4">
        <v>18275</v>
      </c>
      <c r="H362" s="4">
        <v>0</v>
      </c>
      <c r="I362" s="4">
        <f>J362+K362</f>
        <v>19350</v>
      </c>
      <c r="J362" s="4">
        <v>19350</v>
      </c>
      <c r="K362" s="4">
        <v>0</v>
      </c>
      <c r="L362" s="18"/>
    </row>
    <row r="363" spans="1:12" ht="20.25" customHeight="1">
      <c r="A363" s="1" t="s">
        <v>4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18.75" customHeight="1">
      <c r="A364" s="24" t="s">
        <v>5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48" customHeight="1">
      <c r="A365" s="25" t="s">
        <v>146</v>
      </c>
      <c r="B365" s="1"/>
      <c r="C365" s="17">
        <f>+D365</f>
        <v>45</v>
      </c>
      <c r="D365" s="17">
        <v>45</v>
      </c>
      <c r="E365" s="17">
        <v>0</v>
      </c>
      <c r="F365" s="17">
        <f>G365+H365</f>
        <v>45</v>
      </c>
      <c r="G365" s="17">
        <v>45</v>
      </c>
      <c r="H365" s="17">
        <v>0</v>
      </c>
      <c r="I365" s="17">
        <f>J365+K365</f>
        <v>45</v>
      </c>
      <c r="J365" s="17">
        <v>45</v>
      </c>
      <c r="K365" s="17">
        <v>0</v>
      </c>
      <c r="L365" s="18"/>
    </row>
    <row r="366" spans="1:12" ht="8.25" customHeight="1">
      <c r="A366" s="21"/>
      <c r="B366" s="12"/>
      <c r="C366" s="22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ht="26.25" customHeight="1">
      <c r="A367" s="11"/>
      <c r="B367" s="12"/>
      <c r="C367" s="13"/>
      <c r="D367" s="13"/>
      <c r="E367" s="13"/>
      <c r="F367" s="13"/>
      <c r="G367" s="13"/>
      <c r="H367" s="13"/>
      <c r="I367" s="157" t="s">
        <v>201</v>
      </c>
      <c r="J367" s="157"/>
      <c r="K367" s="157"/>
      <c r="L367" s="13"/>
    </row>
    <row r="368" spans="1:12" ht="14.25">
      <c r="A368" s="14">
        <v>1</v>
      </c>
      <c r="B368" s="15">
        <v>2</v>
      </c>
      <c r="C368" s="16">
        <v>3</v>
      </c>
      <c r="D368" s="16">
        <v>4</v>
      </c>
      <c r="E368" s="16">
        <v>5</v>
      </c>
      <c r="F368" s="16">
        <v>6</v>
      </c>
      <c r="G368" s="16">
        <v>7</v>
      </c>
      <c r="H368" s="16">
        <v>8</v>
      </c>
      <c r="I368" s="16">
        <v>9</v>
      </c>
      <c r="J368" s="16">
        <v>10</v>
      </c>
      <c r="K368" s="16">
        <v>11</v>
      </c>
      <c r="L368" s="23"/>
    </row>
    <row r="369" spans="1:12" ht="48.75" customHeight="1">
      <c r="A369" s="25" t="s">
        <v>147</v>
      </c>
      <c r="B369" s="1"/>
      <c r="C369" s="17">
        <f>+D369</f>
        <v>1</v>
      </c>
      <c r="D369" s="17">
        <v>1</v>
      </c>
      <c r="E369" s="17">
        <v>0</v>
      </c>
      <c r="F369" s="17">
        <f>G369+H369</f>
        <v>0</v>
      </c>
      <c r="G369" s="17">
        <v>0</v>
      </c>
      <c r="H369" s="17">
        <v>0</v>
      </c>
      <c r="I369" s="17">
        <f>J369+K369</f>
        <v>0</v>
      </c>
      <c r="J369" s="17">
        <v>0</v>
      </c>
      <c r="K369" s="17">
        <v>0</v>
      </c>
      <c r="L369" s="18"/>
    </row>
    <row r="370" spans="1:12" ht="53.25" customHeight="1">
      <c r="A370" s="25" t="s">
        <v>95</v>
      </c>
      <c r="B370" s="1"/>
      <c r="C370" s="17">
        <f>+D370</f>
        <v>130</v>
      </c>
      <c r="D370" s="17">
        <v>130</v>
      </c>
      <c r="E370" s="17">
        <v>0</v>
      </c>
      <c r="F370" s="17">
        <f>+G370</f>
        <v>170</v>
      </c>
      <c r="G370" s="17">
        <v>170</v>
      </c>
      <c r="H370" s="17">
        <v>0</v>
      </c>
      <c r="I370" s="17">
        <f>+J370</f>
        <v>170</v>
      </c>
      <c r="J370" s="17">
        <v>170</v>
      </c>
      <c r="K370" s="17">
        <v>0</v>
      </c>
      <c r="L370" s="18"/>
    </row>
    <row r="371" spans="1:12" ht="22.5" customHeight="1">
      <c r="A371" s="7" t="s">
        <v>13</v>
      </c>
      <c r="B371" s="1"/>
      <c r="C371" s="9"/>
      <c r="D371" s="9"/>
      <c r="E371" s="9"/>
      <c r="F371" s="9"/>
      <c r="G371" s="9"/>
      <c r="H371" s="9"/>
      <c r="I371" s="9"/>
      <c r="J371" s="9"/>
      <c r="K371" s="9"/>
      <c r="L371" s="18"/>
    </row>
    <row r="372" spans="1:12" ht="20.25" customHeight="1">
      <c r="A372" s="5" t="s">
        <v>68</v>
      </c>
      <c r="B372" s="1"/>
      <c r="C372" s="9">
        <f>D372+E372</f>
        <v>80</v>
      </c>
      <c r="D372" s="9">
        <f>+D362/(D365+D369+D370)</f>
        <v>80</v>
      </c>
      <c r="E372" s="9">
        <v>0</v>
      </c>
      <c r="F372" s="9">
        <f>G372+H372</f>
        <v>85</v>
      </c>
      <c r="G372" s="9">
        <f>+G362/(G365+G369+G370)</f>
        <v>85</v>
      </c>
      <c r="H372" s="9">
        <v>0</v>
      </c>
      <c r="I372" s="9">
        <f>J372+K372</f>
        <v>90</v>
      </c>
      <c r="J372" s="9">
        <f>+J362/(J365+J369+J370)</f>
        <v>90</v>
      </c>
      <c r="K372" s="9">
        <v>0</v>
      </c>
      <c r="L372" s="18"/>
    </row>
    <row r="373" spans="1:12" ht="19.5" customHeight="1">
      <c r="A373" s="3" t="s">
        <v>12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18.75" customHeight="1">
      <c r="A374" s="5" t="s">
        <v>36</v>
      </c>
      <c r="B374" s="1"/>
      <c r="C374" s="9">
        <f>+D374</f>
        <v>79.5031055900621</v>
      </c>
      <c r="D374" s="9">
        <f>+D362/17710*100</f>
        <v>79.5031055900621</v>
      </c>
      <c r="E374" s="9">
        <v>0</v>
      </c>
      <c r="F374" s="9">
        <f>+G374</f>
        <v>129.7940340909091</v>
      </c>
      <c r="G374" s="9">
        <f>+G362/D362*100</f>
        <v>129.7940340909091</v>
      </c>
      <c r="H374" s="9">
        <v>0</v>
      </c>
      <c r="I374" s="9">
        <f>+J374</f>
        <v>105.88235294117648</v>
      </c>
      <c r="J374" s="9">
        <f>+J362/G362*100</f>
        <v>105.88235294117648</v>
      </c>
      <c r="K374" s="9">
        <v>0</v>
      </c>
      <c r="L374" s="18"/>
    </row>
    <row r="375" spans="1:12" ht="22.5" customHeight="1">
      <c r="A375" s="26" t="s">
        <v>96</v>
      </c>
      <c r="B375" s="104" t="s">
        <v>97</v>
      </c>
      <c r="C375" s="8"/>
      <c r="D375" s="8"/>
      <c r="E375" s="8"/>
      <c r="F375" s="8"/>
      <c r="G375" s="8"/>
      <c r="H375" s="8"/>
      <c r="I375" s="8"/>
      <c r="J375" s="8"/>
      <c r="K375" s="8"/>
      <c r="L375" s="134"/>
    </row>
    <row r="376" spans="1:11" ht="45.75" customHeight="1">
      <c r="A376" s="3" t="s">
        <v>149</v>
      </c>
      <c r="B376" s="27"/>
      <c r="C376" s="28">
        <f>D376+E376</f>
        <v>158600</v>
      </c>
      <c r="D376" s="28">
        <v>158600</v>
      </c>
      <c r="E376" s="28">
        <v>0</v>
      </c>
      <c r="F376" s="28">
        <f>+G376</f>
        <v>70000</v>
      </c>
      <c r="G376" s="28">
        <v>70000</v>
      </c>
      <c r="H376" s="28">
        <v>0</v>
      </c>
      <c r="I376" s="28">
        <f>J376+K376</f>
        <v>74000</v>
      </c>
      <c r="J376" s="28">
        <v>74000</v>
      </c>
      <c r="K376" s="28">
        <v>0</v>
      </c>
    </row>
    <row r="377" spans="1:11" ht="21.75" customHeight="1">
      <c r="A377" s="5" t="s">
        <v>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18" customHeight="1">
      <c r="A378" s="7" t="s">
        <v>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45" customHeight="1">
      <c r="A379" s="5" t="s">
        <v>150</v>
      </c>
      <c r="B379" s="27"/>
      <c r="C379" s="29">
        <f>D379+E379</f>
        <v>25</v>
      </c>
      <c r="D379" s="29">
        <v>25</v>
      </c>
      <c r="E379" s="29">
        <v>0</v>
      </c>
      <c r="F379" s="29">
        <f>G379+H379</f>
        <v>10</v>
      </c>
      <c r="G379" s="29">
        <v>10</v>
      </c>
      <c r="H379" s="29">
        <v>0</v>
      </c>
      <c r="I379" s="29">
        <f>J379+K379</f>
        <v>10</v>
      </c>
      <c r="J379" s="29">
        <v>10</v>
      </c>
      <c r="K379" s="29">
        <v>0</v>
      </c>
    </row>
    <row r="380" spans="1:11" ht="46.5" customHeight="1">
      <c r="A380" s="5" t="s">
        <v>151</v>
      </c>
      <c r="B380" s="27"/>
      <c r="C380" s="29">
        <f>D380+E380</f>
        <v>1</v>
      </c>
      <c r="D380" s="29">
        <v>1</v>
      </c>
      <c r="E380" s="29">
        <v>0</v>
      </c>
      <c r="F380" s="29">
        <f>G380+H380</f>
        <v>0</v>
      </c>
      <c r="G380" s="29">
        <v>0</v>
      </c>
      <c r="H380" s="29">
        <v>0</v>
      </c>
      <c r="I380" s="29">
        <f>J380+K380</f>
        <v>0</v>
      </c>
      <c r="J380" s="29">
        <v>0</v>
      </c>
      <c r="K380" s="29">
        <v>0</v>
      </c>
    </row>
    <row r="381" spans="1:11" ht="20.25" customHeight="1">
      <c r="A381" s="3" t="s">
        <v>13</v>
      </c>
      <c r="B381" s="27"/>
      <c r="C381" s="141"/>
      <c r="D381" s="141"/>
      <c r="E381" s="141"/>
      <c r="F381" s="141"/>
      <c r="G381" s="141" t="s">
        <v>78</v>
      </c>
      <c r="H381" s="141"/>
      <c r="I381" s="141"/>
      <c r="J381" s="141"/>
      <c r="K381" s="141"/>
    </row>
    <row r="382" spans="1:11" ht="20.25" customHeight="1">
      <c r="A382" s="115" t="s">
        <v>31</v>
      </c>
      <c r="B382" s="27"/>
      <c r="C382" s="30">
        <f>D382+E382</f>
        <v>6100</v>
      </c>
      <c r="D382" s="30">
        <f>+D376/(D379+D380)</f>
        <v>6100</v>
      </c>
      <c r="E382" s="30">
        <v>0</v>
      </c>
      <c r="F382" s="30">
        <f>+G382</f>
        <v>7000</v>
      </c>
      <c r="G382" s="30">
        <f>+G376/(G379+G380)</f>
        <v>7000</v>
      </c>
      <c r="H382" s="30">
        <v>0</v>
      </c>
      <c r="I382" s="30">
        <f>J382+K382</f>
        <v>7400</v>
      </c>
      <c r="J382" s="30">
        <f>+J376/(J379+J380)</f>
        <v>7400</v>
      </c>
      <c r="K382" s="30">
        <v>0</v>
      </c>
    </row>
    <row r="383" spans="1:11" ht="19.5" customHeight="1">
      <c r="A383" s="3" t="s">
        <v>12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6.5">
      <c r="A384" s="5" t="s">
        <v>36</v>
      </c>
      <c r="B384" s="27"/>
      <c r="C384" s="142">
        <f>D384+E384</f>
        <v>180.22727272727272</v>
      </c>
      <c r="D384" s="142">
        <f>D376/88000*100</f>
        <v>180.22727272727272</v>
      </c>
      <c r="E384" s="142">
        <v>0</v>
      </c>
      <c r="F384" s="142">
        <f>G384+H384</f>
        <v>44.13619167717528</v>
      </c>
      <c r="G384" s="142">
        <f>G376/D376*100</f>
        <v>44.13619167717528</v>
      </c>
      <c r="H384" s="142">
        <v>0</v>
      </c>
      <c r="I384" s="142">
        <f>J384+K384</f>
        <v>105.71428571428572</v>
      </c>
      <c r="J384" s="142">
        <f>J376/G376*100</f>
        <v>105.71428571428572</v>
      </c>
      <c r="K384" s="142">
        <v>0</v>
      </c>
    </row>
    <row r="385" spans="1:12" ht="19.5" customHeight="1">
      <c r="A385" s="21"/>
      <c r="B385" s="1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ht="35.25" customHeight="1"/>
    <row r="387" spans="1:14" ht="39.75" customHeight="1">
      <c r="A387" s="31" t="s">
        <v>207</v>
      </c>
      <c r="B387" s="31"/>
      <c r="C387" s="32"/>
      <c r="D387" s="33"/>
      <c r="E387" s="32"/>
      <c r="F387" s="32"/>
      <c r="G387" s="32"/>
      <c r="H387" s="32"/>
      <c r="I387" s="32" t="s">
        <v>208</v>
      </c>
      <c r="N387" s="19"/>
    </row>
    <row r="388" spans="1:14" ht="17.25" customHeight="1">
      <c r="A388" s="31"/>
      <c r="B388" s="31"/>
      <c r="C388" s="32"/>
      <c r="D388" s="32"/>
      <c r="E388" s="32"/>
      <c r="F388" s="32"/>
      <c r="G388" s="32"/>
      <c r="H388" s="32"/>
      <c r="I388" s="34"/>
      <c r="N388" s="19"/>
    </row>
    <row r="389" spans="1:14" ht="19.5" customHeight="1">
      <c r="A389" s="85"/>
      <c r="B389" s="31"/>
      <c r="C389" s="32"/>
      <c r="D389" s="32"/>
      <c r="E389" s="32"/>
      <c r="F389" s="32"/>
      <c r="G389" s="32"/>
      <c r="H389" s="32"/>
      <c r="I389" s="34"/>
      <c r="N389" s="19"/>
    </row>
    <row r="390" spans="1:14" ht="24" customHeight="1">
      <c r="A390" s="85"/>
      <c r="B390" s="31"/>
      <c r="C390" s="32"/>
      <c r="D390" s="32"/>
      <c r="E390" s="32"/>
      <c r="F390" s="32"/>
      <c r="G390" s="32"/>
      <c r="H390" s="32"/>
      <c r="N390" s="19"/>
    </row>
    <row r="391" ht="12.75">
      <c r="N391" s="19"/>
    </row>
    <row r="392" spans="1:14" ht="19.5" customHeight="1">
      <c r="A392" s="31"/>
      <c r="B392" s="31"/>
      <c r="C392" s="32"/>
      <c r="D392" s="32"/>
      <c r="E392" s="32"/>
      <c r="F392" s="32"/>
      <c r="G392" s="32"/>
      <c r="H392" s="32"/>
      <c r="N392" s="19"/>
    </row>
    <row r="393" spans="1:8" ht="18.75">
      <c r="A393" s="85"/>
      <c r="B393" s="31"/>
      <c r="C393" s="32"/>
      <c r="D393" s="32"/>
      <c r="E393" s="32"/>
      <c r="F393" s="32"/>
      <c r="G393" s="32"/>
      <c r="H393" s="32"/>
    </row>
    <row r="394" spans="1:8" ht="18.75">
      <c r="A394" s="85"/>
      <c r="B394" s="31"/>
      <c r="C394" s="32"/>
      <c r="D394" s="32"/>
      <c r="E394" s="32"/>
      <c r="F394" s="32"/>
      <c r="G394" s="32"/>
      <c r="H394" s="32"/>
    </row>
  </sheetData>
  <sheetProtection/>
  <mergeCells count="55">
    <mergeCell ref="A279:K279"/>
    <mergeCell ref="A302:K302"/>
    <mergeCell ref="A303:K303"/>
    <mergeCell ref="I241:K241"/>
    <mergeCell ref="I274:K274"/>
    <mergeCell ref="C7:E8"/>
    <mergeCell ref="F9:F10"/>
    <mergeCell ref="D9:E9"/>
    <mergeCell ref="I9:I10"/>
    <mergeCell ref="I123:K123"/>
    <mergeCell ref="I305:K305"/>
    <mergeCell ref="I337:K337"/>
    <mergeCell ref="M23:M24"/>
    <mergeCell ref="M29:M30"/>
    <mergeCell ref="A133:K133"/>
    <mergeCell ref="A164:K164"/>
    <mergeCell ref="A87:K87"/>
    <mergeCell ref="A88:K88"/>
    <mergeCell ref="A205:K205"/>
    <mergeCell ref="A28:A30"/>
    <mergeCell ref="H1:J1"/>
    <mergeCell ref="A5:K5"/>
    <mergeCell ref="G9:H9"/>
    <mergeCell ref="I7:K8"/>
    <mergeCell ref="H2:K2"/>
    <mergeCell ref="B7:B10"/>
    <mergeCell ref="A7:A10"/>
    <mergeCell ref="H3:K3"/>
    <mergeCell ref="A15:K15"/>
    <mergeCell ref="A17:A19"/>
    <mergeCell ref="A134:K134"/>
    <mergeCell ref="I36:K36"/>
    <mergeCell ref="F7:H8"/>
    <mergeCell ref="J9:K9"/>
    <mergeCell ref="C9:C10"/>
    <mergeCell ref="A16:K16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I367:K367"/>
    <mergeCell ref="A349:K349"/>
    <mergeCell ref="A348:K348"/>
    <mergeCell ref="A206:K206"/>
    <mergeCell ref="I151:K151"/>
    <mergeCell ref="I181:K181"/>
    <mergeCell ref="A311:K311"/>
    <mergeCell ref="A177:K177"/>
    <mergeCell ref="A312:K312"/>
    <mergeCell ref="A278:K278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72" max="10" man="1"/>
    <brk id="303" max="10" man="1"/>
    <brk id="335" max="10" man="1"/>
    <brk id="3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2019-10-29T12:32:35Z</cp:lastPrinted>
  <dcterms:created xsi:type="dcterms:W3CDTF">1996-10-08T23:32:33Z</dcterms:created>
  <dcterms:modified xsi:type="dcterms:W3CDTF">2019-10-29T12:32:38Z</dcterms:modified>
  <cp:category/>
  <cp:version/>
  <cp:contentType/>
  <cp:contentStatus/>
</cp:coreProperties>
</file>