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титул" sheetId="8" r:id="rId1"/>
    <sheet name="свод" sheetId="7" r:id="rId2"/>
    <sheet name="пояснение" sheetId="10" r:id="rId3"/>
    <sheet name="розрах" sheetId="1" r:id="rId4"/>
    <sheet name="коеф К" sheetId="3" r:id="rId5"/>
    <sheet name="ТЕЦ" sheetId="4" r:id="rId6"/>
    <sheet name="КППВ" sheetId="5" r:id="rId7"/>
    <sheet name="котельні" sheetId="12" r:id="rId8"/>
    <sheet name="аварії" sheetId="6" r:id="rId9"/>
    <sheet name="бойлера" sheetId="11" r:id="rId10"/>
  </sheets>
  <definedNames>
    <definedName name="_xlnm._FilterDatabase" localSheetId="8" hidden="1">аварії!$A$5:$IU$167</definedName>
    <definedName name="_xlnm._FilterDatabase" localSheetId="7" hidden="1">котельні!$A$230:$F$284</definedName>
    <definedName name="_xlnm._FilterDatabase" localSheetId="6" hidden="1">КППВ!$A$6:$O$878</definedName>
    <definedName name="_xlnm._FilterDatabase" localSheetId="5" hidden="1">ТЕЦ!$A$5:$AK$2485</definedName>
  </definedNames>
  <calcPr calcId="145621"/>
</workbook>
</file>

<file path=xl/calcChain.xml><?xml version="1.0" encoding="utf-8"?>
<calcChain xmlns="http://schemas.openxmlformats.org/spreadsheetml/2006/main">
  <c r="I264" i="1" l="1"/>
  <c r="E27" i="7"/>
  <c r="I259" i="1" l="1"/>
  <c r="I210" i="1" l="1"/>
  <c r="K57" i="1"/>
  <c r="F270" i="12" l="1"/>
  <c r="C284" i="12"/>
  <c r="F69" i="3"/>
  <c r="F49" i="3"/>
  <c r="C89" i="12"/>
  <c r="C187" i="12"/>
  <c r="C228" i="12"/>
  <c r="F282" i="12"/>
  <c r="F281" i="12"/>
  <c r="F279" i="12"/>
  <c r="F278" i="12"/>
  <c r="F276" i="12"/>
  <c r="F275" i="12"/>
  <c r="F273" i="12"/>
  <c r="F272" i="12"/>
  <c r="F269" i="12"/>
  <c r="F268" i="12"/>
  <c r="F266" i="12"/>
  <c r="F265" i="12"/>
  <c r="F263" i="12"/>
  <c r="F262" i="12"/>
  <c r="F260" i="12"/>
  <c r="F259" i="12"/>
  <c r="F257" i="12"/>
  <c r="F256" i="12"/>
  <c r="F254" i="12"/>
  <c r="F253" i="12"/>
  <c r="F251" i="12"/>
  <c r="F250" i="12"/>
  <c r="F248" i="12"/>
  <c r="F247" i="12"/>
  <c r="F245" i="12"/>
  <c r="F244" i="12"/>
  <c r="F242" i="12"/>
  <c r="F241" i="12"/>
  <c r="F239" i="12"/>
  <c r="F238" i="12"/>
  <c r="F236" i="12"/>
  <c r="F235" i="12"/>
  <c r="F233" i="12"/>
  <c r="F232" i="12"/>
  <c r="F227" i="12"/>
  <c r="F226" i="12"/>
  <c r="F224" i="12"/>
  <c r="F223" i="12"/>
  <c r="F221" i="12"/>
  <c r="F220" i="12"/>
  <c r="F218" i="12"/>
  <c r="F217" i="12"/>
  <c r="F215" i="12"/>
  <c r="F214" i="12"/>
  <c r="F212" i="12"/>
  <c r="F211" i="12"/>
  <c r="F209" i="12"/>
  <c r="F208" i="12"/>
  <c r="F206" i="12"/>
  <c r="F205" i="12"/>
  <c r="F203" i="12"/>
  <c r="F202" i="12"/>
  <c r="F200" i="12"/>
  <c r="F199" i="12"/>
  <c r="F197" i="12"/>
  <c r="F196" i="12"/>
  <c r="F194" i="12"/>
  <c r="F193" i="12"/>
  <c r="F191" i="12"/>
  <c r="F190" i="12"/>
  <c r="F186" i="12"/>
  <c r="F185" i="12"/>
  <c r="F183" i="12"/>
  <c r="F182" i="12"/>
  <c r="F180" i="12"/>
  <c r="F179" i="12"/>
  <c r="F177" i="12"/>
  <c r="F176" i="12"/>
  <c r="F174" i="12"/>
  <c r="F173" i="12"/>
  <c r="F171" i="12"/>
  <c r="F170" i="12"/>
  <c r="F168" i="12"/>
  <c r="F167" i="12"/>
  <c r="F165" i="12"/>
  <c r="F164" i="12"/>
  <c r="F162" i="12"/>
  <c r="F161" i="12"/>
  <c r="F159" i="12"/>
  <c r="F158" i="12"/>
  <c r="F156" i="12"/>
  <c r="F155" i="12"/>
  <c r="F153" i="12"/>
  <c r="F152" i="12"/>
  <c r="F150" i="12"/>
  <c r="F149" i="12"/>
  <c r="F147" i="12"/>
  <c r="F146" i="12"/>
  <c r="F144" i="12"/>
  <c r="F143" i="12"/>
  <c r="F141" i="12"/>
  <c r="F140" i="12"/>
  <c r="F138" i="12"/>
  <c r="F137" i="12"/>
  <c r="F135" i="12"/>
  <c r="F134" i="12"/>
  <c r="F132" i="12"/>
  <c r="F131" i="12"/>
  <c r="F129" i="12"/>
  <c r="F128" i="12"/>
  <c r="F126" i="12"/>
  <c r="F125" i="12"/>
  <c r="F123" i="12"/>
  <c r="F122" i="12"/>
  <c r="F120" i="12"/>
  <c r="F119" i="12"/>
  <c r="F117" i="12"/>
  <c r="F116" i="12"/>
  <c r="F114" i="12"/>
  <c r="F113" i="12"/>
  <c r="F111" i="12"/>
  <c r="F110" i="12"/>
  <c r="F108" i="12"/>
  <c r="F107" i="12"/>
  <c r="F105" i="12"/>
  <c r="F104" i="12"/>
  <c r="F102" i="12"/>
  <c r="F101" i="12"/>
  <c r="F99" i="12"/>
  <c r="F98" i="12"/>
  <c r="F96" i="12"/>
  <c r="F95" i="12"/>
  <c r="F93" i="12"/>
  <c r="F92" i="12"/>
  <c r="F88" i="12"/>
  <c r="F87" i="12"/>
  <c r="F85" i="12"/>
  <c r="F84" i="12"/>
  <c r="F82" i="12"/>
  <c r="F81" i="12"/>
  <c r="F79" i="12"/>
  <c r="F78" i="12"/>
  <c r="F76" i="12"/>
  <c r="F75" i="12"/>
  <c r="F73" i="12"/>
  <c r="F72" i="12"/>
  <c r="F70" i="12"/>
  <c r="F69" i="12"/>
  <c r="F64" i="12"/>
  <c r="F65" i="12"/>
  <c r="F66" i="12"/>
  <c r="F67" i="12"/>
  <c r="F63" i="12"/>
  <c r="F62" i="12"/>
  <c r="F46" i="12"/>
  <c r="F47" i="12"/>
  <c r="F48" i="12"/>
  <c r="F49" i="12"/>
  <c r="F50" i="12"/>
  <c r="F51" i="12"/>
  <c r="F52" i="12"/>
  <c r="F53" i="12"/>
  <c r="F54" i="12"/>
  <c r="F55" i="12"/>
  <c r="F56" i="12"/>
  <c r="F57" i="12"/>
  <c r="F58" i="12"/>
  <c r="F59" i="12"/>
  <c r="F60" i="12"/>
  <c r="F45" i="12"/>
  <c r="F37" i="12"/>
  <c r="F38" i="12"/>
  <c r="F39" i="12"/>
  <c r="F40" i="12"/>
  <c r="F41" i="12"/>
  <c r="F42" i="12"/>
  <c r="F36" i="12"/>
  <c r="F35" i="12"/>
  <c r="F33" i="12"/>
  <c r="F32" i="12"/>
  <c r="F30" i="12"/>
  <c r="F29" i="12"/>
  <c r="F27" i="12"/>
  <c r="F26" i="12"/>
  <c r="F24" i="12"/>
  <c r="F23" i="12"/>
  <c r="F8" i="12"/>
  <c r="F9" i="12"/>
  <c r="F11" i="12"/>
  <c r="F12" i="12"/>
  <c r="F14" i="12"/>
  <c r="F15" i="12"/>
  <c r="F17" i="12"/>
  <c r="F18" i="12"/>
  <c r="F20" i="12"/>
  <c r="F21" i="12"/>
  <c r="C43" i="12" l="1"/>
  <c r="F875" i="5" l="1"/>
  <c r="F874" i="5"/>
  <c r="F872" i="5"/>
  <c r="F871" i="5"/>
  <c r="F869" i="5"/>
  <c r="F868" i="5"/>
  <c r="F866" i="5"/>
  <c r="F865" i="5"/>
  <c r="F863" i="5"/>
  <c r="F862" i="5"/>
  <c r="F861" i="5"/>
  <c r="F860" i="5"/>
  <c r="F859" i="5"/>
  <c r="F856" i="5"/>
  <c r="F855" i="5"/>
  <c r="F853" i="5"/>
  <c r="F851" i="5"/>
  <c r="F850" i="5"/>
  <c r="F848" i="5"/>
  <c r="F847" i="5"/>
  <c r="F845" i="5"/>
  <c r="F844" i="5"/>
  <c r="F842" i="5"/>
  <c r="F841" i="5"/>
  <c r="F839" i="5"/>
  <c r="F838" i="5"/>
  <c r="F836" i="5"/>
  <c r="F835" i="5"/>
  <c r="F833" i="5"/>
  <c r="F832" i="5"/>
  <c r="F830" i="5"/>
  <c r="F829" i="5"/>
  <c r="F827" i="5"/>
  <c r="F826" i="5"/>
  <c r="F824" i="5"/>
  <c r="F823" i="5"/>
  <c r="F821" i="5"/>
  <c r="F820" i="5"/>
  <c r="F818" i="5"/>
  <c r="F817" i="5"/>
  <c r="F815" i="5"/>
  <c r="F814" i="5"/>
  <c r="F812" i="5"/>
  <c r="F811" i="5"/>
  <c r="F809" i="5"/>
  <c r="F808" i="5"/>
  <c r="F806" i="5"/>
  <c r="F805" i="5"/>
  <c r="F803" i="5"/>
  <c r="F802" i="5"/>
  <c r="F800" i="5"/>
  <c r="F799" i="5"/>
  <c r="F797" i="5"/>
  <c r="F796" i="5"/>
  <c r="F794" i="5"/>
  <c r="F793" i="5"/>
  <c r="F791" i="5"/>
  <c r="F790" i="5"/>
  <c r="F788" i="5"/>
  <c r="F787" i="5"/>
  <c r="F783" i="5"/>
  <c r="F782" i="5"/>
  <c r="F780" i="5"/>
  <c r="F779" i="5"/>
  <c r="F775" i="5"/>
  <c r="F774" i="5"/>
  <c r="F773" i="5"/>
  <c r="F772" i="5"/>
  <c r="F771" i="5"/>
  <c r="F770" i="5"/>
  <c r="F769" i="5"/>
  <c r="F768" i="5"/>
  <c r="F766" i="5"/>
  <c r="F765" i="5"/>
  <c r="F764" i="5"/>
  <c r="F763" i="5"/>
  <c r="F762" i="5"/>
  <c r="F761" i="5"/>
  <c r="F760" i="5"/>
  <c r="F759" i="5"/>
  <c r="F757" i="5"/>
  <c r="F756" i="5"/>
  <c r="F755" i="5"/>
  <c r="F754" i="5"/>
  <c r="F753" i="5"/>
  <c r="F752" i="5"/>
  <c r="F751" i="5"/>
  <c r="F750" i="5"/>
  <c r="F749" i="5"/>
  <c r="F748" i="5"/>
  <c r="F747" i="5"/>
  <c r="F746" i="5"/>
  <c r="F744" i="5"/>
  <c r="F743" i="5"/>
  <c r="F739" i="5"/>
  <c r="F738" i="5"/>
  <c r="F736" i="5"/>
  <c r="F735" i="5"/>
  <c r="F733" i="5"/>
  <c r="F732" i="5"/>
  <c r="F730" i="5"/>
  <c r="F729" i="5"/>
  <c r="F727" i="5"/>
  <c r="F726" i="5"/>
  <c r="F724" i="5"/>
  <c r="F723" i="5"/>
  <c r="F721" i="5"/>
  <c r="F720" i="5"/>
  <c r="F718" i="5"/>
  <c r="F717" i="5"/>
  <c r="F715" i="5"/>
  <c r="F714" i="5"/>
  <c r="F712" i="5"/>
  <c r="F711" i="5"/>
  <c r="F709" i="5"/>
  <c r="F708" i="5"/>
  <c r="F706" i="5"/>
  <c r="F705" i="5"/>
  <c r="F703" i="5"/>
  <c r="F702" i="5"/>
  <c r="F701" i="5"/>
  <c r="F700" i="5"/>
  <c r="F698" i="5"/>
  <c r="F697" i="5"/>
  <c r="F695" i="5"/>
  <c r="F694" i="5"/>
  <c r="F692" i="5"/>
  <c r="F691" i="5"/>
  <c r="F688" i="5"/>
  <c r="F687" i="5"/>
  <c r="F685" i="5"/>
  <c r="F684" i="5"/>
  <c r="F682" i="5"/>
  <c r="F681" i="5"/>
  <c r="F679" i="5"/>
  <c r="F678" i="5"/>
  <c r="F674" i="5"/>
  <c r="F673" i="5"/>
  <c r="F672" i="5"/>
  <c r="F671" i="5"/>
  <c r="F669" i="5"/>
  <c r="F668" i="5"/>
  <c r="F667" i="5"/>
  <c r="F666" i="5"/>
  <c r="F664" i="5"/>
  <c r="F663" i="5"/>
  <c r="F659" i="5"/>
  <c r="F658" i="5"/>
  <c r="F656" i="5"/>
  <c r="F655" i="5"/>
  <c r="F654" i="5"/>
  <c r="F652" i="5"/>
  <c r="F651" i="5"/>
  <c r="F650" i="5"/>
  <c r="F649" i="5"/>
  <c r="F648" i="5"/>
  <c r="F647" i="5"/>
  <c r="F646" i="5"/>
  <c r="F645" i="5"/>
  <c r="F644" i="5"/>
  <c r="F643" i="5"/>
  <c r="F641" i="5"/>
  <c r="F640" i="5"/>
  <c r="F638" i="5"/>
  <c r="F637" i="5"/>
  <c r="F636" i="5"/>
  <c r="F635" i="5"/>
  <c r="F634" i="5"/>
  <c r="F633" i="5"/>
  <c r="F632" i="5"/>
  <c r="F631" i="5"/>
  <c r="F630" i="5"/>
  <c r="F628" i="5"/>
  <c r="F627" i="5"/>
  <c r="F626" i="5"/>
  <c r="F625" i="5"/>
  <c r="F621" i="5"/>
  <c r="F620" i="5"/>
  <c r="F618" i="5"/>
  <c r="F617" i="5"/>
  <c r="F615" i="5"/>
  <c r="F614" i="5"/>
  <c r="F612" i="5"/>
  <c r="F610" i="5"/>
  <c r="F608" i="5"/>
  <c r="F607" i="5"/>
  <c r="F605" i="5"/>
  <c r="F604" i="5"/>
  <c r="F602" i="5"/>
  <c r="F600" i="5"/>
  <c r="F599" i="5"/>
  <c r="F598" i="5"/>
  <c r="F597" i="5"/>
  <c r="F596" i="5"/>
  <c r="F595" i="5"/>
  <c r="F594" i="5"/>
  <c r="F593" i="5"/>
  <c r="F592" i="5"/>
  <c r="F591" i="5"/>
  <c r="F590" i="5"/>
  <c r="F589" i="5"/>
  <c r="F588" i="5"/>
  <c r="F587" i="5"/>
  <c r="F586" i="5"/>
  <c r="F585" i="5"/>
  <c r="F584" i="5"/>
  <c r="F583" i="5"/>
  <c r="F582" i="5"/>
  <c r="F581" i="5"/>
  <c r="F580" i="5"/>
  <c r="F579" i="5"/>
  <c r="F578" i="5"/>
  <c r="F577" i="5"/>
  <c r="F575" i="5"/>
  <c r="F574" i="5"/>
  <c r="F572" i="5"/>
  <c r="F571" i="5"/>
  <c r="F570" i="5"/>
  <c r="F569" i="5"/>
  <c r="F568" i="5"/>
  <c r="F566" i="5"/>
  <c r="F564" i="5"/>
  <c r="F562" i="5"/>
  <c r="F561" i="5"/>
  <c r="F560" i="5"/>
  <c r="F559" i="5"/>
  <c r="F557" i="5"/>
  <c r="F556" i="5"/>
  <c r="F554" i="5"/>
  <c r="F553" i="5"/>
  <c r="F550" i="5"/>
  <c r="F549" i="5"/>
  <c r="F547" i="5"/>
  <c r="F546" i="5"/>
  <c r="F544" i="5"/>
  <c r="F543" i="5"/>
  <c r="F541" i="5"/>
  <c r="F540" i="5"/>
  <c r="F538" i="5"/>
  <c r="F537" i="5"/>
  <c r="F535" i="5"/>
  <c r="F534" i="5"/>
  <c r="F532" i="5"/>
  <c r="F531" i="5"/>
  <c r="F529" i="5"/>
  <c r="F528" i="5"/>
  <c r="F526" i="5"/>
  <c r="F522" i="5"/>
  <c r="F521" i="5"/>
  <c r="F519" i="5"/>
  <c r="F518" i="5"/>
  <c r="F516" i="5"/>
  <c r="F515" i="5"/>
  <c r="F513" i="5"/>
  <c r="F512" i="5"/>
  <c r="F510" i="5"/>
  <c r="F509" i="5"/>
  <c r="F507" i="5"/>
  <c r="F506" i="5"/>
  <c r="F504" i="5"/>
  <c r="F503" i="5"/>
  <c r="F501" i="5"/>
  <c r="F500" i="5"/>
  <c r="F498" i="5"/>
  <c r="F497" i="5"/>
  <c r="F495" i="5"/>
  <c r="F494" i="5"/>
  <c r="F490" i="5"/>
  <c r="F489" i="5"/>
  <c r="F488" i="5"/>
  <c r="F487" i="5"/>
  <c r="F486" i="5"/>
  <c r="F485" i="5"/>
  <c r="F484" i="5"/>
  <c r="F483" i="5"/>
  <c r="F482" i="5"/>
  <c r="F481" i="5"/>
  <c r="F480" i="5"/>
  <c r="F479" i="5"/>
  <c r="F478" i="5"/>
  <c r="F477" i="5"/>
  <c r="F475" i="5"/>
  <c r="F474" i="5"/>
  <c r="F472" i="5"/>
  <c r="F471" i="5"/>
  <c r="F469" i="5"/>
  <c r="F468" i="5"/>
  <c r="F466" i="5"/>
  <c r="F465" i="5"/>
  <c r="F463" i="5"/>
  <c r="F462" i="5"/>
  <c r="F460" i="5"/>
  <c r="F459" i="5"/>
  <c r="F457" i="5"/>
  <c r="F456" i="5"/>
  <c r="F454" i="5"/>
  <c r="F453" i="5"/>
  <c r="F452" i="5"/>
  <c r="F451" i="5"/>
  <c r="F449" i="5"/>
  <c r="F448" i="5"/>
  <c r="F446" i="5"/>
  <c r="F445" i="5"/>
  <c r="F443" i="5"/>
  <c r="F442" i="5"/>
  <c r="F440" i="5"/>
  <c r="F439" i="5"/>
  <c r="F437" i="5"/>
  <c r="F436" i="5"/>
  <c r="F434" i="5"/>
  <c r="F433" i="5"/>
  <c r="F431" i="5"/>
  <c r="F430" i="5"/>
  <c r="F428" i="5"/>
  <c r="F427" i="5"/>
  <c r="F425" i="5"/>
  <c r="F424" i="5"/>
  <c r="F423" i="5"/>
  <c r="F422" i="5"/>
  <c r="F421" i="5"/>
  <c r="F420" i="5"/>
  <c r="F418" i="5"/>
  <c r="F417" i="5"/>
  <c r="F416" i="5"/>
  <c r="F415" i="5"/>
  <c r="F413" i="5"/>
  <c r="F412" i="5"/>
  <c r="F410" i="5"/>
  <c r="F409" i="5"/>
  <c r="F408" i="5"/>
  <c r="F407" i="5"/>
  <c r="F406" i="5"/>
  <c r="F405" i="5"/>
  <c r="F404" i="5"/>
  <c r="F403" i="5"/>
  <c r="F402" i="5"/>
  <c r="F401" i="5"/>
  <c r="F400" i="5"/>
  <c r="F399" i="5"/>
  <c r="F398" i="5"/>
  <c r="F397" i="5"/>
  <c r="F396" i="5"/>
  <c r="F395" i="5"/>
  <c r="F394" i="5"/>
  <c r="F393" i="5"/>
  <c r="F392" i="5"/>
  <c r="F391" i="5"/>
  <c r="F389" i="5"/>
  <c r="F388" i="5"/>
  <c r="F387" i="5"/>
  <c r="F386" i="5"/>
  <c r="F383" i="5"/>
  <c r="F382" i="5"/>
  <c r="F381" i="5"/>
  <c r="F380" i="5"/>
  <c r="F378" i="5"/>
  <c r="F377" i="5"/>
  <c r="F376" i="5"/>
  <c r="F374" i="5"/>
  <c r="F373" i="5"/>
  <c r="F372" i="5"/>
  <c r="F371" i="5"/>
  <c r="F369" i="5"/>
  <c r="F368" i="5"/>
  <c r="F366" i="5"/>
  <c r="F365" i="5"/>
  <c r="F363" i="5"/>
  <c r="F362" i="5"/>
  <c r="F360" i="5"/>
  <c r="F359" i="5"/>
  <c r="F357" i="5"/>
  <c r="F356" i="5"/>
  <c r="F355" i="5"/>
  <c r="F353" i="5"/>
  <c r="F351" i="5"/>
  <c r="F349" i="5"/>
  <c r="F348" i="5"/>
  <c r="F346" i="5"/>
  <c r="F345" i="5"/>
  <c r="F344" i="5"/>
  <c r="F343" i="5"/>
  <c r="F342" i="5"/>
  <c r="F340" i="5"/>
  <c r="F338" i="5"/>
  <c r="F337" i="5"/>
  <c r="F336" i="5"/>
  <c r="F334" i="5"/>
  <c r="F332" i="5"/>
  <c r="F331" i="5"/>
  <c r="F329" i="5"/>
  <c r="F328" i="5"/>
  <c r="F327" i="5"/>
  <c r="F326" i="5"/>
  <c r="F325" i="5"/>
  <c r="F324" i="5"/>
  <c r="F322" i="5"/>
  <c r="F321" i="5"/>
  <c r="F319" i="5"/>
  <c r="F318" i="5"/>
  <c r="F316" i="5"/>
  <c r="F315" i="5"/>
  <c r="F313" i="5"/>
  <c r="F311" i="5"/>
  <c r="F309" i="5"/>
  <c r="F308" i="5"/>
  <c r="F304" i="5"/>
  <c r="F302" i="5"/>
  <c r="F300" i="5"/>
  <c r="F299" i="5"/>
  <c r="F297" i="5"/>
  <c r="F296" i="5"/>
  <c r="F294" i="5"/>
  <c r="F293" i="5"/>
  <c r="F291" i="5"/>
  <c r="F290" i="5"/>
  <c r="F288" i="5"/>
  <c r="F287" i="5"/>
  <c r="F285" i="5"/>
  <c r="F284" i="5"/>
  <c r="F282" i="5"/>
  <c r="F281" i="5"/>
  <c r="F279" i="5"/>
  <c r="F278" i="5"/>
  <c r="F276" i="5"/>
  <c r="F275" i="5"/>
  <c r="F273" i="5"/>
  <c r="F272" i="5"/>
  <c r="F270" i="5"/>
  <c r="F269" i="5"/>
  <c r="F267" i="5"/>
  <c r="F266" i="5"/>
  <c r="F264" i="5"/>
  <c r="F263" i="5"/>
  <c r="F261" i="5"/>
  <c r="F260" i="5"/>
  <c r="F258" i="5"/>
  <c r="F257" i="5"/>
  <c r="F255" i="5"/>
  <c r="F254" i="5"/>
  <c r="F251" i="5"/>
  <c r="F250" i="5"/>
  <c r="F248" i="5"/>
  <c r="F246" i="5"/>
  <c r="F245" i="5"/>
  <c r="F243" i="5"/>
  <c r="F241" i="5"/>
  <c r="F240" i="5"/>
  <c r="F238" i="5"/>
  <c r="F237" i="5"/>
  <c r="F235" i="5"/>
  <c r="F234" i="5"/>
  <c r="F230" i="5"/>
  <c r="F228" i="5"/>
  <c r="F227" i="5"/>
  <c r="F225" i="5"/>
  <c r="F224" i="5"/>
  <c r="F222" i="5"/>
  <c r="F221" i="5"/>
  <c r="F219" i="5"/>
  <c r="F218" i="5"/>
  <c r="F214" i="5"/>
  <c r="F212" i="5"/>
  <c r="F211" i="5"/>
  <c r="F209" i="5"/>
  <c r="F207" i="5"/>
  <c r="F206" i="5"/>
  <c r="F204" i="5"/>
  <c r="F201" i="5"/>
  <c r="F200" i="5"/>
  <c r="F198" i="5"/>
  <c r="F197" i="5"/>
  <c r="F195" i="5"/>
  <c r="F191" i="5"/>
  <c r="F190" i="5"/>
  <c r="F188" i="5"/>
  <c r="F187" i="5"/>
  <c r="F185" i="5"/>
  <c r="F183" i="5"/>
  <c r="F182" i="5"/>
  <c r="F180" i="5"/>
  <c r="F178" i="5"/>
  <c r="F177" i="5"/>
  <c r="F175" i="5"/>
  <c r="F174" i="5"/>
  <c r="F172" i="5"/>
  <c r="F171" i="5"/>
  <c r="F167" i="5"/>
  <c r="F166" i="5"/>
  <c r="F164" i="5"/>
  <c r="F163" i="5"/>
  <c r="F161" i="5"/>
  <c r="F160" i="5"/>
  <c r="F158" i="5"/>
  <c r="F157" i="5"/>
  <c r="F155" i="5"/>
  <c r="F154" i="5"/>
  <c r="F152" i="5"/>
  <c r="F151" i="5"/>
  <c r="F149" i="5"/>
  <c r="F148" i="5"/>
  <c r="F146" i="5"/>
  <c r="F145" i="5"/>
  <c r="F143" i="5"/>
  <c r="F142" i="5"/>
  <c r="F140" i="5"/>
  <c r="F139" i="5"/>
  <c r="F137" i="5"/>
  <c r="F136" i="5"/>
  <c r="F134" i="5"/>
  <c r="F133" i="5"/>
  <c r="F129" i="5"/>
  <c r="F128" i="5"/>
  <c r="F126" i="5"/>
  <c r="F124" i="5"/>
  <c r="F122" i="5"/>
  <c r="F121" i="5"/>
  <c r="F119" i="5"/>
  <c r="F118" i="5"/>
  <c r="F116" i="5"/>
  <c r="F115" i="5"/>
  <c r="F113" i="5"/>
  <c r="F112" i="5"/>
  <c r="F110" i="5"/>
  <c r="F109" i="5"/>
  <c r="F107" i="5"/>
  <c r="F106" i="5"/>
  <c r="F104" i="5"/>
  <c r="F103" i="5"/>
  <c r="F101" i="5"/>
  <c r="F100" i="5"/>
  <c r="F98" i="5"/>
  <c r="F97" i="5"/>
  <c r="F93" i="5"/>
  <c r="F91" i="5"/>
  <c r="F90" i="5"/>
  <c r="F88" i="5"/>
  <c r="F86" i="5"/>
  <c r="F85" i="5"/>
  <c r="F83" i="5"/>
  <c r="F81" i="5"/>
  <c r="F80" i="5"/>
  <c r="F78" i="5"/>
  <c r="F76" i="5"/>
  <c r="F74" i="5"/>
  <c r="F73" i="5"/>
  <c r="F71" i="5"/>
  <c r="F69" i="5"/>
  <c r="F67" i="5"/>
  <c r="F66" i="5"/>
  <c r="F64" i="5"/>
  <c r="F63" i="5"/>
  <c r="F61" i="5"/>
  <c r="F60" i="5"/>
  <c r="F58" i="5"/>
  <c r="F57" i="5"/>
  <c r="F55" i="5"/>
  <c r="F54" i="5"/>
  <c r="F52" i="5"/>
  <c r="F51" i="5"/>
  <c r="F48" i="5"/>
  <c r="F47" i="5"/>
  <c r="F44" i="5"/>
  <c r="F43" i="5"/>
  <c r="F41" i="5"/>
  <c r="F40" i="5"/>
  <c r="F38" i="5"/>
  <c r="F37" i="5"/>
  <c r="F35" i="5"/>
  <c r="F34" i="5"/>
  <c r="F32" i="5"/>
  <c r="F31" i="5"/>
  <c r="F29" i="5"/>
  <c r="F28" i="5"/>
  <c r="F26" i="5"/>
  <c r="F25" i="5"/>
  <c r="F23" i="5"/>
  <c r="F21" i="5"/>
  <c r="F20" i="5"/>
  <c r="F19" i="5"/>
  <c r="F18" i="5"/>
  <c r="F17" i="5"/>
  <c r="F16" i="5"/>
  <c r="F15" i="5"/>
  <c r="F14" i="5"/>
  <c r="F13" i="5"/>
  <c r="F12" i="5"/>
  <c r="F10" i="5"/>
  <c r="F9" i="5"/>
  <c r="F2483" i="4" l="1"/>
  <c r="F2482" i="4"/>
  <c r="F2480" i="4"/>
  <c r="F2479" i="4"/>
  <c r="F2477" i="4"/>
  <c r="F2476" i="4"/>
  <c r="F2475" i="4"/>
  <c r="F2474" i="4"/>
  <c r="F2471" i="4"/>
  <c r="F2470" i="4"/>
  <c r="F2469" i="4"/>
  <c r="F2468" i="4"/>
  <c r="F2467" i="4"/>
  <c r="F2466" i="4"/>
  <c r="F2463" i="4"/>
  <c r="F2462" i="4"/>
  <c r="F2459" i="4"/>
  <c r="F2457" i="4"/>
  <c r="F2455" i="4"/>
  <c r="F2454" i="4"/>
  <c r="F2452" i="4"/>
  <c r="F2451" i="4"/>
  <c r="F2449" i="4"/>
  <c r="F2447" i="4"/>
  <c r="F2445" i="4"/>
  <c r="F2443" i="4"/>
  <c r="F2441" i="4"/>
  <c r="F2439" i="4"/>
  <c r="F2438" i="4"/>
  <c r="F2436" i="4"/>
  <c r="F2434" i="4"/>
  <c r="F2433" i="4"/>
  <c r="F2431" i="4"/>
  <c r="F2430" i="4"/>
  <c r="F2428" i="4"/>
  <c r="F2427" i="4"/>
  <c r="F2425" i="4"/>
  <c r="F2424" i="4"/>
  <c r="F2422" i="4"/>
  <c r="F2421" i="4"/>
  <c r="F2419" i="4"/>
  <c r="F2418" i="4"/>
  <c r="F2416" i="4"/>
  <c r="F2415" i="4"/>
  <c r="F2413" i="4"/>
  <c r="F2412" i="4"/>
  <c r="F2410" i="4"/>
  <c r="F2409" i="4"/>
  <c r="F2407" i="4"/>
  <c r="F2406" i="4"/>
  <c r="F2404" i="4"/>
  <c r="F2403" i="4"/>
  <c r="F2401" i="4"/>
  <c r="F2400" i="4"/>
  <c r="F2398" i="4"/>
  <c r="F2397" i="4"/>
  <c r="F2394" i="4"/>
  <c r="F2393" i="4"/>
  <c r="F2391" i="4"/>
  <c r="F2390" i="4"/>
  <c r="F2388" i="4"/>
  <c r="F2387" i="4"/>
  <c r="F2385" i="4"/>
  <c r="F2384" i="4"/>
  <c r="F2382" i="4"/>
  <c r="F2381" i="4"/>
  <c r="F2379" i="4"/>
  <c r="F2378" i="4"/>
  <c r="F2376" i="4"/>
  <c r="F2375" i="4"/>
  <c r="F2373" i="4"/>
  <c r="F2372" i="4"/>
  <c r="F2370" i="4"/>
  <c r="F2369" i="4"/>
  <c r="F2367" i="4"/>
  <c r="F2366" i="4"/>
  <c r="F2364" i="4"/>
  <c r="F2363" i="4"/>
  <c r="F2361" i="4"/>
  <c r="F2360" i="4"/>
  <c r="F2358" i="4"/>
  <c r="F2357" i="4"/>
  <c r="F2355" i="4"/>
  <c r="F2354" i="4"/>
  <c r="F2352" i="4"/>
  <c r="F2351" i="4"/>
  <c r="F2349" i="4"/>
  <c r="F2348" i="4"/>
  <c r="F2346" i="4"/>
  <c r="F2345" i="4"/>
  <c r="F2343" i="4"/>
  <c r="F2342" i="4"/>
  <c r="F2340" i="4"/>
  <c r="F2339" i="4"/>
  <c r="F2337" i="4"/>
  <c r="F2336" i="4"/>
  <c r="F2334" i="4"/>
  <c r="F2333" i="4"/>
  <c r="F2331" i="4"/>
  <c r="F2330" i="4"/>
  <c r="F2328" i="4"/>
  <c r="F2327" i="4"/>
  <c r="F2325" i="4"/>
  <c r="F2324" i="4"/>
  <c r="F2322" i="4"/>
  <c r="F2321" i="4"/>
  <c r="F2319" i="4"/>
  <c r="F2318" i="4"/>
  <c r="F2316" i="4"/>
  <c r="F2315" i="4"/>
  <c r="F2314" i="4"/>
  <c r="F2313" i="4"/>
  <c r="F2311" i="4"/>
  <c r="F2310" i="4"/>
  <c r="F2308" i="4"/>
  <c r="F2307" i="4"/>
  <c r="F2305" i="4"/>
  <c r="F2304" i="4"/>
  <c r="F2302" i="4"/>
  <c r="F2301" i="4"/>
  <c r="F2299" i="4"/>
  <c r="F2298" i="4"/>
  <c r="F2296" i="4"/>
  <c r="F2295" i="4"/>
  <c r="F2293" i="4"/>
  <c r="F2292" i="4"/>
  <c r="F2290" i="4"/>
  <c r="F2289" i="4"/>
  <c r="F2287" i="4"/>
  <c r="F2286" i="4"/>
  <c r="F2284" i="4"/>
  <c r="F2283" i="4"/>
  <c r="F2281" i="4"/>
  <c r="F2280" i="4"/>
  <c r="F2278" i="4"/>
  <c r="F2277" i="4"/>
  <c r="F2275" i="4"/>
  <c r="F2274" i="4"/>
  <c r="F2272" i="4"/>
  <c r="F2270" i="4"/>
  <c r="F2268" i="4"/>
  <c r="F2267" i="4"/>
  <c r="F2265" i="4"/>
  <c r="F2264" i="4"/>
  <c r="F2262" i="4"/>
  <c r="F2261" i="4"/>
  <c r="F2259" i="4"/>
  <c r="F2258" i="4"/>
  <c r="F2256" i="4"/>
  <c r="F2255" i="4"/>
  <c r="F2253" i="4"/>
  <c r="F2252" i="4"/>
  <c r="F2250" i="4"/>
  <c r="F2249" i="4"/>
  <c r="F2247" i="4"/>
  <c r="F2245" i="4"/>
  <c r="F2243" i="4"/>
  <c r="F2242" i="4"/>
  <c r="F2240" i="4"/>
  <c r="F2239" i="4"/>
  <c r="F2237" i="4"/>
  <c r="F2235" i="4"/>
  <c r="F2233" i="4"/>
  <c r="F2232" i="4"/>
  <c r="F2230" i="4"/>
  <c r="F2228" i="4"/>
  <c r="F2227" i="4"/>
  <c r="F2225" i="4"/>
  <c r="F2223" i="4"/>
  <c r="F2221" i="4"/>
  <c r="F2219" i="4"/>
  <c r="F2217" i="4"/>
  <c r="F2215" i="4"/>
  <c r="F2214" i="4"/>
  <c r="F2212" i="4"/>
  <c r="F2211" i="4"/>
  <c r="F2209" i="4"/>
  <c r="F2208" i="4"/>
  <c r="F2206" i="4"/>
  <c r="F2205" i="4"/>
  <c r="F2203" i="4"/>
  <c r="F2202" i="4"/>
  <c r="F2200" i="4"/>
  <c r="F2199" i="4"/>
  <c r="F2197" i="4"/>
  <c r="F2196" i="4"/>
  <c r="F2194" i="4"/>
  <c r="F2193" i="4"/>
  <c r="F2191" i="4"/>
  <c r="F2189" i="4"/>
  <c r="F2188" i="4"/>
  <c r="F2186" i="4"/>
  <c r="F2184" i="4"/>
  <c r="F2183" i="4"/>
  <c r="F2181" i="4"/>
  <c r="F2180" i="4"/>
  <c r="F2178" i="4"/>
  <c r="F2176" i="4"/>
  <c r="F2174" i="4"/>
  <c r="F2173" i="4"/>
  <c r="F2171" i="4"/>
  <c r="F2170" i="4"/>
  <c r="F2168" i="4"/>
  <c r="F2166" i="4"/>
  <c r="F2165" i="4"/>
  <c r="F2163" i="4"/>
  <c r="F2162" i="4"/>
  <c r="F2160" i="4"/>
  <c r="F2159" i="4"/>
  <c r="F2157" i="4"/>
  <c r="F2156" i="4"/>
  <c r="F2154" i="4"/>
  <c r="F2153" i="4"/>
  <c r="F2151" i="4"/>
  <c r="F2149" i="4"/>
  <c r="F2148" i="4"/>
  <c r="F2146" i="4"/>
  <c r="F2144" i="4"/>
  <c r="F2142" i="4"/>
  <c r="F2140" i="4"/>
  <c r="F2139" i="4"/>
  <c r="F2137" i="4"/>
  <c r="F2136" i="4"/>
  <c r="F2134" i="4"/>
  <c r="F2132" i="4"/>
  <c r="F2130" i="4"/>
  <c r="F2129" i="4"/>
  <c r="F2127" i="4"/>
  <c r="F2126" i="4"/>
  <c r="F2124" i="4"/>
  <c r="F2123" i="4"/>
  <c r="F2121" i="4"/>
  <c r="F2120" i="4"/>
  <c r="F2118" i="4"/>
  <c r="F2115" i="4"/>
  <c r="F2113" i="4"/>
  <c r="F2111" i="4"/>
  <c r="F2110" i="4"/>
  <c r="F2108" i="4"/>
  <c r="F2107" i="4"/>
  <c r="F2105" i="4"/>
  <c r="F2104" i="4"/>
  <c r="F2102" i="4"/>
  <c r="F2100" i="4"/>
  <c r="F2098" i="4"/>
  <c r="F2097" i="4"/>
  <c r="F2095" i="4"/>
  <c r="F2094" i="4"/>
  <c r="F2092" i="4"/>
  <c r="F2091" i="4"/>
  <c r="F2089" i="4"/>
  <c r="F2088" i="4"/>
  <c r="F2086" i="4"/>
  <c r="F2085" i="4"/>
  <c r="F2083" i="4"/>
  <c r="F2082" i="4"/>
  <c r="F2080" i="4"/>
  <c r="F2079" i="4"/>
  <c r="F2077" i="4"/>
  <c r="F2076" i="4"/>
  <c r="F2074" i="4"/>
  <c r="F2073" i="4"/>
  <c r="F2071" i="4"/>
  <c r="F2070" i="4"/>
  <c r="F2068" i="4"/>
  <c r="F2067" i="4"/>
  <c r="F2065" i="4"/>
  <c r="F2064" i="4"/>
  <c r="F2062" i="4"/>
  <c r="F2059" i="4"/>
  <c r="F2058" i="4"/>
  <c r="F2057" i="4"/>
  <c r="F2056" i="4"/>
  <c r="F2054" i="4"/>
  <c r="F2053" i="4"/>
  <c r="F2051" i="4"/>
  <c r="F2050" i="4"/>
  <c r="F2048" i="4"/>
  <c r="F2047" i="4"/>
  <c r="F2045" i="4"/>
  <c r="F2044" i="4"/>
  <c r="F2042" i="4"/>
  <c r="F2041" i="4"/>
  <c r="F2039" i="4"/>
  <c r="F2038" i="4"/>
  <c r="F2036" i="4"/>
  <c r="F2035" i="4"/>
  <c r="F2033" i="4"/>
  <c r="F2032" i="4"/>
  <c r="F2030" i="4"/>
  <c r="F2029" i="4"/>
  <c r="F2027" i="4"/>
  <c r="F2026" i="4"/>
  <c r="F2024" i="4"/>
  <c r="F2023" i="4"/>
  <c r="F2021" i="4"/>
  <c r="F2020" i="4"/>
  <c r="F2018" i="4"/>
  <c r="F2017" i="4"/>
  <c r="F2015" i="4"/>
  <c r="F2014" i="4"/>
  <c r="F2012" i="4"/>
  <c r="F2011" i="4"/>
  <c r="F2009" i="4"/>
  <c r="F2008" i="4"/>
  <c r="F2006" i="4"/>
  <c r="F2005" i="4"/>
  <c r="F2003" i="4"/>
  <c r="F2002" i="4"/>
  <c r="F2000" i="4"/>
  <c r="F1999" i="4"/>
  <c r="F1997" i="4"/>
  <c r="F1996" i="4"/>
  <c r="F1994" i="4"/>
  <c r="F1993" i="4"/>
  <c r="F1991" i="4"/>
  <c r="F1990" i="4"/>
  <c r="F1988" i="4"/>
  <c r="F1987" i="4"/>
  <c r="F1985" i="4"/>
  <c r="F1984" i="4"/>
  <c r="F1982" i="4"/>
  <c r="F1981" i="4"/>
  <c r="F1979" i="4"/>
  <c r="F1978" i="4"/>
  <c r="F1976" i="4"/>
  <c r="F1975" i="4"/>
  <c r="F1973" i="4"/>
  <c r="F1972" i="4"/>
  <c r="F1970" i="4"/>
  <c r="F1969" i="4"/>
  <c r="F1967" i="4"/>
  <c r="F1966" i="4"/>
  <c r="F1964" i="4"/>
  <c r="F1963" i="4"/>
  <c r="F1961" i="4"/>
  <c r="F1960" i="4"/>
  <c r="F1958" i="4"/>
  <c r="F1957" i="4"/>
  <c r="F1955" i="4"/>
  <c r="F1954" i="4"/>
  <c r="F1952" i="4"/>
  <c r="F1951" i="4"/>
  <c r="F1949" i="4"/>
  <c r="F1948" i="4"/>
  <c r="F1946" i="4"/>
  <c r="F1945" i="4"/>
  <c r="F1943" i="4"/>
  <c r="F1942" i="4"/>
  <c r="F1940" i="4"/>
  <c r="F1939" i="4"/>
  <c r="F1937" i="4"/>
  <c r="F1936" i="4"/>
  <c r="F1934" i="4"/>
  <c r="F1933" i="4"/>
  <c r="F1931" i="4"/>
  <c r="F1930" i="4"/>
  <c r="F1928" i="4"/>
  <c r="F1927" i="4"/>
  <c r="F1925" i="4"/>
  <c r="F1924" i="4"/>
  <c r="F1922" i="4"/>
  <c r="F1921" i="4"/>
  <c r="F1919" i="4"/>
  <c r="F1918" i="4"/>
  <c r="F1916" i="4"/>
  <c r="F1915" i="4"/>
  <c r="F1913" i="4"/>
  <c r="F1912" i="4"/>
  <c r="F1910" i="4"/>
  <c r="F1909" i="4"/>
  <c r="F1907" i="4"/>
  <c r="F1906" i="4"/>
  <c r="F1904" i="4"/>
  <c r="F1903" i="4"/>
  <c r="F1901" i="4"/>
  <c r="F1900" i="4"/>
  <c r="F1898" i="4"/>
  <c r="F1896" i="4"/>
  <c r="F1895" i="4"/>
  <c r="F1893" i="4"/>
  <c r="F1892" i="4"/>
  <c r="F1890" i="4"/>
  <c r="F1889" i="4"/>
  <c r="F1887" i="4"/>
  <c r="F1886" i="4"/>
  <c r="F1884" i="4"/>
  <c r="F1883" i="4"/>
  <c r="F1881" i="4"/>
  <c r="F1880" i="4"/>
  <c r="F1878" i="4"/>
  <c r="F1877" i="4"/>
  <c r="F1875" i="4"/>
  <c r="F1874" i="4"/>
  <c r="F1872" i="4"/>
  <c r="F1871" i="4"/>
  <c r="F1869" i="4"/>
  <c r="F1868" i="4"/>
  <c r="F1866" i="4"/>
  <c r="F1865" i="4"/>
  <c r="F1863" i="4"/>
  <c r="F1862" i="4"/>
  <c r="F1860" i="4"/>
  <c r="F1859" i="4"/>
  <c r="F1857" i="4"/>
  <c r="F1856" i="4"/>
  <c r="F1854" i="4"/>
  <c r="F1853" i="4"/>
  <c r="F1851" i="4"/>
  <c r="F1850" i="4"/>
  <c r="F1848" i="4"/>
  <c r="F1847" i="4"/>
  <c r="F1845" i="4"/>
  <c r="F1844" i="4"/>
  <c r="F1842" i="4"/>
  <c r="F1841" i="4"/>
  <c r="F1839" i="4"/>
  <c r="F1838" i="4"/>
  <c r="F1836" i="4"/>
  <c r="F1835" i="4"/>
  <c r="F1833" i="4"/>
  <c r="F1832" i="4"/>
  <c r="F1830" i="4"/>
  <c r="F1829" i="4"/>
  <c r="F1827" i="4"/>
  <c r="F1826" i="4"/>
  <c r="F1824" i="4"/>
  <c r="F1823" i="4"/>
  <c r="F1821" i="4"/>
  <c r="F1820" i="4"/>
  <c r="F1818" i="4"/>
  <c r="F1817" i="4"/>
  <c r="F1815" i="4"/>
  <c r="F1814" i="4"/>
  <c r="F1812" i="4"/>
  <c r="F1811" i="4"/>
  <c r="F1809" i="4"/>
  <c r="F1808" i="4"/>
  <c r="F1806" i="4"/>
  <c r="F1805" i="4"/>
  <c r="F1803" i="4"/>
  <c r="F1802" i="4"/>
  <c r="F1800" i="4"/>
  <c r="F1799" i="4"/>
  <c r="F1797" i="4"/>
  <c r="F1796" i="4"/>
  <c r="F1794" i="4"/>
  <c r="F1793" i="4"/>
  <c r="F1791" i="4"/>
  <c r="F1790" i="4"/>
  <c r="F1788" i="4"/>
  <c r="F1787" i="4"/>
  <c r="F1785" i="4"/>
  <c r="F1784" i="4"/>
  <c r="F1782" i="4"/>
  <c r="F1781" i="4"/>
  <c r="F1779" i="4"/>
  <c r="F1778" i="4"/>
  <c r="F1776" i="4"/>
  <c r="F1775" i="4"/>
  <c r="F1773" i="4"/>
  <c r="F1771" i="4"/>
  <c r="F1770" i="4"/>
  <c r="F1768" i="4"/>
  <c r="F1766" i="4"/>
  <c r="F1765" i="4"/>
  <c r="F1763" i="4"/>
  <c r="F1762" i="4"/>
  <c r="F1760" i="4"/>
  <c r="F1759" i="4"/>
  <c r="F1757" i="4"/>
  <c r="F1756" i="4"/>
  <c r="F1754" i="4"/>
  <c r="F1753" i="4"/>
  <c r="F1751" i="4"/>
  <c r="F1750" i="4"/>
  <c r="F1748" i="4"/>
  <c r="F1747" i="4"/>
  <c r="F1745" i="4"/>
  <c r="F1744" i="4"/>
  <c r="F1742" i="4"/>
  <c r="F1741" i="4"/>
  <c r="F1739" i="4"/>
  <c r="F1737" i="4"/>
  <c r="F1736" i="4"/>
  <c r="F1734" i="4"/>
  <c r="F1733" i="4"/>
  <c r="F1731" i="4"/>
  <c r="F1730" i="4"/>
  <c r="F1728" i="4"/>
  <c r="F1727" i="4"/>
  <c r="F1725" i="4"/>
  <c r="F1724" i="4"/>
  <c r="F1722" i="4"/>
  <c r="F1720" i="4"/>
  <c r="F1719" i="4"/>
  <c r="F1717" i="4"/>
  <c r="F1716" i="4"/>
  <c r="F1714" i="4"/>
  <c r="F1713" i="4"/>
  <c r="F1711" i="4"/>
  <c r="F1709" i="4"/>
  <c r="F1708" i="4"/>
  <c r="F1706" i="4"/>
  <c r="F1705" i="4"/>
  <c r="F1703" i="4"/>
  <c r="F1702" i="4"/>
  <c r="F1700" i="4"/>
  <c r="F1698" i="4"/>
  <c r="F1697" i="4"/>
  <c r="F1695" i="4"/>
  <c r="F1694" i="4"/>
  <c r="F1692" i="4"/>
  <c r="F1691" i="4"/>
  <c r="F1689" i="4"/>
  <c r="F1688" i="4"/>
  <c r="F1686" i="4"/>
  <c r="F1685" i="4"/>
  <c r="F1683" i="4"/>
  <c r="F1682" i="4"/>
  <c r="F1680" i="4"/>
  <c r="F1678" i="4"/>
  <c r="F1677" i="4"/>
  <c r="F1675" i="4"/>
  <c r="F1674" i="4"/>
  <c r="F1672" i="4"/>
  <c r="F1671" i="4"/>
  <c r="F1669" i="4"/>
  <c r="F1668" i="4"/>
  <c r="F1666" i="4"/>
  <c r="F1665" i="4"/>
  <c r="F1663" i="4"/>
  <c r="F1661" i="4"/>
  <c r="F1660" i="4"/>
  <c r="F1658" i="4"/>
  <c r="F1657" i="4"/>
  <c r="F1655" i="4"/>
  <c r="F1654" i="4"/>
  <c r="F1652" i="4"/>
  <c r="F1651" i="4"/>
  <c r="F1649" i="4"/>
  <c r="F1648" i="4"/>
  <c r="F1646" i="4"/>
  <c r="F1645" i="4"/>
  <c r="F1643" i="4"/>
  <c r="F1641" i="4"/>
  <c r="F1640" i="4"/>
  <c r="F1638" i="4"/>
  <c r="F1637" i="4"/>
  <c r="F1635" i="4"/>
  <c r="F1634" i="4"/>
  <c r="F1632" i="4"/>
  <c r="F1631" i="4"/>
  <c r="F1629" i="4"/>
  <c r="F1628" i="4"/>
  <c r="F1626" i="4"/>
  <c r="F1625" i="4"/>
  <c r="F1623" i="4"/>
  <c r="F1622" i="4"/>
  <c r="F1620" i="4"/>
  <c r="F1619" i="4"/>
  <c r="F1617" i="4"/>
  <c r="F1616" i="4"/>
  <c r="F1614" i="4"/>
  <c r="F1613" i="4"/>
  <c r="F1611" i="4"/>
  <c r="F1610" i="4"/>
  <c r="F1608" i="4"/>
  <c r="F1607" i="4"/>
  <c r="F1605" i="4"/>
  <c r="F1604" i="4"/>
  <c r="F1602" i="4"/>
  <c r="F1601" i="4"/>
  <c r="F1599" i="4"/>
  <c r="F1598" i="4"/>
  <c r="F1596" i="4"/>
  <c r="F1595" i="4"/>
  <c r="F1593" i="4"/>
  <c r="F1592" i="4"/>
  <c r="F1590" i="4"/>
  <c r="F1589" i="4"/>
  <c r="F1587" i="4"/>
  <c r="F1586" i="4"/>
  <c r="F1584" i="4"/>
  <c r="F1583" i="4"/>
  <c r="F1581" i="4"/>
  <c r="F1580" i="4"/>
  <c r="F1578" i="4"/>
  <c r="F1577" i="4"/>
  <c r="F1575" i="4"/>
  <c r="F1574" i="4"/>
  <c r="F1572" i="4"/>
  <c r="F1571" i="4"/>
  <c r="F1569" i="4"/>
  <c r="F1568" i="4"/>
  <c r="F1566" i="4"/>
  <c r="F1565" i="4"/>
  <c r="F1563" i="4"/>
  <c r="F1562" i="4"/>
  <c r="F1560" i="4"/>
  <c r="F1559" i="4"/>
  <c r="F1557" i="4"/>
  <c r="F1556" i="4"/>
  <c r="F1554" i="4"/>
  <c r="F1553" i="4"/>
  <c r="F1551" i="4"/>
  <c r="F1550" i="4"/>
  <c r="F1548" i="4"/>
  <c r="F1547" i="4"/>
  <c r="F1545" i="4"/>
  <c r="F1544" i="4"/>
  <c r="F1542" i="4"/>
  <c r="F1541" i="4"/>
  <c r="F1539" i="4"/>
  <c r="F1538" i="4"/>
  <c r="F1536" i="4"/>
  <c r="F1535" i="4"/>
  <c r="F1533" i="4"/>
  <c r="F1532" i="4"/>
  <c r="F1530" i="4"/>
  <c r="F1529" i="4"/>
  <c r="F1527" i="4"/>
  <c r="F1526" i="4"/>
  <c r="F1524" i="4"/>
  <c r="F1523" i="4"/>
  <c r="F1521" i="4"/>
  <c r="F1520" i="4"/>
  <c r="F1518" i="4"/>
  <c r="F1517" i="4"/>
  <c r="F1515" i="4"/>
  <c r="F1514" i="4"/>
  <c r="F1512" i="4"/>
  <c r="F1511" i="4"/>
  <c r="F1509" i="4"/>
  <c r="F1508" i="4"/>
  <c r="F1506" i="4"/>
  <c r="F1505" i="4"/>
  <c r="F1503" i="4"/>
  <c r="F1502" i="4"/>
  <c r="F1500" i="4"/>
  <c r="F1499" i="4"/>
  <c r="F1497" i="4"/>
  <c r="F1496" i="4"/>
  <c r="F1494" i="4"/>
  <c r="F1493" i="4"/>
  <c r="F1491" i="4"/>
  <c r="F1490" i="4"/>
  <c r="F1488" i="4"/>
  <c r="F1487" i="4"/>
  <c r="F1485" i="4"/>
  <c r="F1484" i="4"/>
  <c r="F1482" i="4"/>
  <c r="F1481" i="4"/>
  <c r="F1479" i="4"/>
  <c r="F1478" i="4"/>
  <c r="F1476" i="4"/>
  <c r="F1475" i="4"/>
  <c r="F1473" i="4"/>
  <c r="F1472" i="4"/>
  <c r="F1470" i="4"/>
  <c r="F1469" i="4"/>
  <c r="F1467" i="4"/>
  <c r="F1466" i="4"/>
  <c r="F1464" i="4"/>
  <c r="F1463" i="4"/>
  <c r="F1461" i="4"/>
  <c r="F1460" i="4"/>
  <c r="F1458" i="4"/>
  <c r="F1457" i="4"/>
  <c r="F1455" i="4"/>
  <c r="F1454" i="4"/>
  <c r="F1452" i="4"/>
  <c r="F1451" i="4"/>
  <c r="F1449" i="4"/>
  <c r="F1448" i="4"/>
  <c r="F1446" i="4"/>
  <c r="F1445" i="4"/>
  <c r="F1443" i="4"/>
  <c r="F1442" i="4"/>
  <c r="F1440" i="4"/>
  <c r="F1439" i="4"/>
  <c r="F1437" i="4"/>
  <c r="F1436" i="4"/>
  <c r="F1434" i="4"/>
  <c r="F1433" i="4"/>
  <c r="F1431" i="4"/>
  <c r="F1430" i="4"/>
  <c r="F1428" i="4"/>
  <c r="F1427" i="4"/>
  <c r="F1425" i="4"/>
  <c r="F1424" i="4"/>
  <c r="F1422" i="4"/>
  <c r="F1421" i="4"/>
  <c r="F1419" i="4"/>
  <c r="F1418" i="4"/>
  <c r="F1416" i="4"/>
  <c r="F1415" i="4"/>
  <c r="F1413" i="4"/>
  <c r="F1412" i="4"/>
  <c r="F1410" i="4"/>
  <c r="F1409" i="4"/>
  <c r="F1407" i="4"/>
  <c r="F1406" i="4"/>
  <c r="F1404" i="4"/>
  <c r="F1403" i="4"/>
  <c r="F1401" i="4"/>
  <c r="F1400" i="4"/>
  <c r="F1398" i="4"/>
  <c r="F1397" i="4"/>
  <c r="F1395" i="4"/>
  <c r="F1394" i="4"/>
  <c r="F1392" i="4"/>
  <c r="F1391" i="4"/>
  <c r="F1389" i="4"/>
  <c r="F1388" i="4"/>
  <c r="F1386" i="4"/>
  <c r="F1385" i="4"/>
  <c r="F1383" i="4"/>
  <c r="F1382" i="4"/>
  <c r="F1380" i="4"/>
  <c r="F1379" i="4"/>
  <c r="F1377" i="4"/>
  <c r="F1376" i="4"/>
  <c r="F1374" i="4"/>
  <c r="F1373" i="4"/>
  <c r="F1371" i="4"/>
  <c r="F1370" i="4"/>
  <c r="F1368" i="4"/>
  <c r="F1367" i="4"/>
  <c r="F1365" i="4"/>
  <c r="F1364" i="4"/>
  <c r="F1362" i="4"/>
  <c r="F1361" i="4"/>
  <c r="F1359" i="4"/>
  <c r="F1358" i="4"/>
  <c r="F1356" i="4"/>
  <c r="F1355" i="4"/>
  <c r="F1353" i="4"/>
  <c r="F1352" i="4"/>
  <c r="F1350" i="4"/>
  <c r="F1349" i="4"/>
  <c r="F1347" i="4"/>
  <c r="F1346" i="4"/>
  <c r="F1344" i="4"/>
  <c r="F1343" i="4"/>
  <c r="F1341" i="4"/>
  <c r="F1340" i="4"/>
  <c r="F1338" i="4"/>
  <c r="F1337" i="4"/>
  <c r="F1335" i="4"/>
  <c r="F1334" i="4"/>
  <c r="F1332" i="4"/>
  <c r="F1331" i="4"/>
  <c r="F1329" i="4"/>
  <c r="F1328" i="4"/>
  <c r="F1326" i="4"/>
  <c r="F1325" i="4"/>
  <c r="F1323" i="4"/>
  <c r="F1322" i="4"/>
  <c r="F1320" i="4"/>
  <c r="F1319" i="4"/>
  <c r="F1317" i="4"/>
  <c r="F1316" i="4"/>
  <c r="F1314" i="4"/>
  <c r="F1313" i="4"/>
  <c r="F1311" i="4"/>
  <c r="F1310" i="4"/>
  <c r="F1308" i="4"/>
  <c r="F1307" i="4"/>
  <c r="F1305" i="4"/>
  <c r="F1304" i="4"/>
  <c r="F1302" i="4"/>
  <c r="F1301" i="4"/>
  <c r="F1299" i="4"/>
  <c r="F1298" i="4"/>
  <c r="F1296" i="4"/>
  <c r="F1295" i="4"/>
  <c r="F1293" i="4"/>
  <c r="F1292" i="4"/>
  <c r="F1290" i="4"/>
  <c r="F1289" i="4"/>
  <c r="F1287" i="4"/>
  <c r="F1286" i="4"/>
  <c r="F1284" i="4"/>
  <c r="F1283" i="4"/>
  <c r="F1281" i="4"/>
  <c r="F1280" i="4"/>
  <c r="F1278" i="4"/>
  <c r="F1277" i="4"/>
  <c r="F1275" i="4"/>
  <c r="F1274" i="4"/>
  <c r="F1272" i="4"/>
  <c r="F1271" i="4"/>
  <c r="F1269" i="4"/>
  <c r="F1268" i="4"/>
  <c r="F1266" i="4"/>
  <c r="F1265" i="4"/>
  <c r="F1263" i="4"/>
  <c r="F1262" i="4"/>
  <c r="F1260" i="4"/>
  <c r="F1259" i="4"/>
  <c r="F1257" i="4"/>
  <c r="F1256" i="4"/>
  <c r="F1254" i="4"/>
  <c r="F1253" i="4"/>
  <c r="F1251" i="4"/>
  <c r="F1250" i="4"/>
  <c r="F1248" i="4"/>
  <c r="F1247" i="4"/>
  <c r="F1245" i="4"/>
  <c r="F1244" i="4"/>
  <c r="F1242" i="4"/>
  <c r="F1241" i="4"/>
  <c r="F1239" i="4"/>
  <c r="F1238" i="4"/>
  <c r="F1236" i="4"/>
  <c r="F1235" i="4"/>
  <c r="F1233" i="4"/>
  <c r="F1232" i="4"/>
  <c r="F1230" i="4"/>
  <c r="F1229" i="4"/>
  <c r="F1227" i="4"/>
  <c r="F1226" i="4"/>
  <c r="F1224" i="4"/>
  <c r="F1223" i="4"/>
  <c r="F1221" i="4"/>
  <c r="F1220" i="4"/>
  <c r="F1218" i="4"/>
  <c r="F1217" i="4"/>
  <c r="F1215" i="4"/>
  <c r="F1214" i="4"/>
  <c r="F1212" i="4"/>
  <c r="F1211" i="4"/>
  <c r="F1209" i="4"/>
  <c r="F1208" i="4"/>
  <c r="F1206" i="4"/>
  <c r="F1205" i="4"/>
  <c r="F1203" i="4"/>
  <c r="F1202" i="4"/>
  <c r="F1200" i="4"/>
  <c r="F1199" i="4"/>
  <c r="F1197" i="4"/>
  <c r="F1196" i="4"/>
  <c r="F1194" i="4"/>
  <c r="F1193" i="4"/>
  <c r="F1191" i="4"/>
  <c r="F1190" i="4"/>
  <c r="F1188" i="4"/>
  <c r="F1187" i="4"/>
  <c r="F1185" i="4"/>
  <c r="F1184" i="4"/>
  <c r="F1182" i="4"/>
  <c r="F1181" i="4"/>
  <c r="F1179" i="4"/>
  <c r="F1178" i="4"/>
  <c r="F1176" i="4"/>
  <c r="F1175" i="4"/>
  <c r="F1173" i="4"/>
  <c r="F1172" i="4"/>
  <c r="F1170" i="4"/>
  <c r="F1169" i="4"/>
  <c r="F1167" i="4"/>
  <c r="F1166" i="4"/>
  <c r="F1164" i="4"/>
  <c r="F1163" i="4"/>
  <c r="F1161" i="4"/>
  <c r="F1160" i="4"/>
  <c r="F1158" i="4"/>
  <c r="F1157" i="4"/>
  <c r="F1155" i="4"/>
  <c r="F1154" i="4"/>
  <c r="F1152" i="4"/>
  <c r="F1151" i="4"/>
  <c r="F1149" i="4"/>
  <c r="F1148" i="4"/>
  <c r="F1146" i="4"/>
  <c r="F1145" i="4"/>
  <c r="F1143" i="4"/>
  <c r="F1142" i="4"/>
  <c r="F1140" i="4"/>
  <c r="F1139" i="4"/>
  <c r="F1137" i="4"/>
  <c r="F1136" i="4"/>
  <c r="F1134" i="4"/>
  <c r="F1133" i="4"/>
  <c r="F1131" i="4"/>
  <c r="F1130" i="4"/>
  <c r="F1128" i="4"/>
  <c r="F1127" i="4"/>
  <c r="F1125" i="4"/>
  <c r="F1124" i="4"/>
  <c r="F1122" i="4"/>
  <c r="F1121" i="4"/>
  <c r="F1119" i="4"/>
  <c r="F1118" i="4"/>
  <c r="F1116" i="4"/>
  <c r="F1115" i="4"/>
  <c r="F1113" i="4"/>
  <c r="F1112" i="4"/>
  <c r="F1110" i="4"/>
  <c r="F1109" i="4"/>
  <c r="F1107" i="4"/>
  <c r="F1106" i="4"/>
  <c r="F1104" i="4"/>
  <c r="F1103" i="4"/>
  <c r="F1101" i="4"/>
  <c r="F1100" i="4"/>
  <c r="F1098" i="4"/>
  <c r="F1097" i="4"/>
  <c r="F1095" i="4"/>
  <c r="F1094" i="4"/>
  <c r="F1092" i="4"/>
  <c r="F1091" i="4"/>
  <c r="F1089" i="4"/>
  <c r="F1088" i="4"/>
  <c r="F1086" i="4"/>
  <c r="F1085" i="4"/>
  <c r="F1083" i="4"/>
  <c r="F1082" i="4"/>
  <c r="F1080" i="4"/>
  <c r="F1079" i="4"/>
  <c r="F1077" i="4"/>
  <c r="F1076" i="4"/>
  <c r="F1074" i="4"/>
  <c r="F1073" i="4"/>
  <c r="F1071" i="4"/>
  <c r="F1070" i="4"/>
  <c r="F1068" i="4"/>
  <c r="F1067" i="4"/>
  <c r="F1065" i="4"/>
  <c r="F1064" i="4"/>
  <c r="F1062" i="4"/>
  <c r="F1061" i="4"/>
  <c r="F1059" i="4"/>
  <c r="F1058" i="4"/>
  <c r="F1056" i="4"/>
  <c r="F1055" i="4"/>
  <c r="F1053" i="4"/>
  <c r="F1052" i="4"/>
  <c r="F1050" i="4"/>
  <c r="F1049" i="4"/>
  <c r="F1047" i="4"/>
  <c r="F1046" i="4"/>
  <c r="F1044" i="4"/>
  <c r="F1043" i="4"/>
  <c r="F1041" i="4"/>
  <c r="F1040" i="4"/>
  <c r="F1038" i="4"/>
  <c r="F1037" i="4"/>
  <c r="F1035" i="4"/>
  <c r="F1034" i="4"/>
  <c r="F1032" i="4"/>
  <c r="F1031" i="4"/>
  <c r="F1029" i="4"/>
  <c r="F1028" i="4"/>
  <c r="F1026" i="4"/>
  <c r="F1025" i="4"/>
  <c r="F1023" i="4"/>
  <c r="F1022" i="4"/>
  <c r="F1020" i="4"/>
  <c r="F1019" i="4"/>
  <c r="F1017" i="4"/>
  <c r="F1016" i="4"/>
  <c r="F1014" i="4"/>
  <c r="F1013" i="4"/>
  <c r="F1011" i="4"/>
  <c r="F1010" i="4"/>
  <c r="F1008" i="4"/>
  <c r="F1007" i="4"/>
  <c r="F1005" i="4"/>
  <c r="F1004" i="4"/>
  <c r="F1002" i="4"/>
  <c r="F1001" i="4"/>
  <c r="F999" i="4"/>
  <c r="F998" i="4"/>
  <c r="F996" i="4"/>
  <c r="F995" i="4"/>
  <c r="F993" i="4"/>
  <c r="F992" i="4"/>
  <c r="F990" i="4"/>
  <c r="F989" i="4"/>
  <c r="F987" i="4"/>
  <c r="F986" i="4"/>
  <c r="F984" i="4"/>
  <c r="F983" i="4"/>
  <c r="F981" i="4"/>
  <c r="F980" i="4"/>
  <c r="F978" i="4"/>
  <c r="F977" i="4"/>
  <c r="F975" i="4"/>
  <c r="F974" i="4"/>
  <c r="F972" i="4"/>
  <c r="F971" i="4"/>
  <c r="F969" i="4"/>
  <c r="F968" i="4"/>
  <c r="F966" i="4"/>
  <c r="F965" i="4"/>
  <c r="F963" i="4"/>
  <c r="F962" i="4"/>
  <c r="F960" i="4"/>
  <c r="F959" i="4"/>
  <c r="F957" i="4"/>
  <c r="F956" i="4"/>
  <c r="F954" i="4"/>
  <c r="F953" i="4"/>
  <c r="F951" i="4"/>
  <c r="F950" i="4"/>
  <c r="F948" i="4"/>
  <c r="F947" i="4"/>
  <c r="F945" i="4"/>
  <c r="F944" i="4"/>
  <c r="F942" i="4"/>
  <c r="F941" i="4"/>
  <c r="F939" i="4"/>
  <c r="F938" i="4"/>
  <c r="F936" i="4"/>
  <c r="F935" i="4"/>
  <c r="F933" i="4"/>
  <c r="F932" i="4"/>
  <c r="F930" i="4"/>
  <c r="F929" i="4"/>
  <c r="F927" i="4"/>
  <c r="F926" i="4"/>
  <c r="F924" i="4"/>
  <c r="F923" i="4"/>
  <c r="F921" i="4"/>
  <c r="F920" i="4"/>
  <c r="F918" i="4"/>
  <c r="F917" i="4"/>
  <c r="F915" i="4"/>
  <c r="F914" i="4"/>
  <c r="F912" i="4"/>
  <c r="F911" i="4"/>
  <c r="F909" i="4"/>
  <c r="F908" i="4"/>
  <c r="F906" i="4"/>
  <c r="F905" i="4"/>
  <c r="F903" i="4"/>
  <c r="F902" i="4"/>
  <c r="F900" i="4"/>
  <c r="F899" i="4"/>
  <c r="F897" i="4"/>
  <c r="F896" i="4"/>
  <c r="F894" i="4"/>
  <c r="F893" i="4"/>
  <c r="F891" i="4"/>
  <c r="F890" i="4"/>
  <c r="F888" i="4"/>
  <c r="F887" i="4"/>
  <c r="F885" i="4"/>
  <c r="F884" i="4"/>
  <c r="F882" i="4"/>
  <c r="F881" i="4"/>
  <c r="F879" i="4"/>
  <c r="F878" i="4"/>
  <c r="F876" i="4"/>
  <c r="F875" i="4"/>
  <c r="F873" i="4"/>
  <c r="F872" i="4"/>
  <c r="F870" i="4"/>
  <c r="F869" i="4"/>
  <c r="F867" i="4"/>
  <c r="F866" i="4"/>
  <c r="F864" i="4"/>
  <c r="F863" i="4"/>
  <c r="F861" i="4"/>
  <c r="F860" i="4"/>
  <c r="F858" i="4"/>
  <c r="F857" i="4"/>
  <c r="F855" i="4"/>
  <c r="F854" i="4"/>
  <c r="F852" i="4"/>
  <c r="F851" i="4"/>
  <c r="F849" i="4"/>
  <c r="F848" i="4"/>
  <c r="F846" i="4"/>
  <c r="F845" i="4"/>
  <c r="F843" i="4"/>
  <c r="F842" i="4"/>
  <c r="F840" i="4"/>
  <c r="F839" i="4"/>
  <c r="F837" i="4"/>
  <c r="F836" i="4"/>
  <c r="F834" i="4"/>
  <c r="F833" i="4"/>
  <c r="F831" i="4"/>
  <c r="F830" i="4"/>
  <c r="F828" i="4"/>
  <c r="F827" i="4"/>
  <c r="F825" i="4"/>
  <c r="F824" i="4"/>
  <c r="F822" i="4"/>
  <c r="F821" i="4"/>
  <c r="F819" i="4"/>
  <c r="F818" i="4"/>
  <c r="F816" i="4"/>
  <c r="F815" i="4"/>
  <c r="F813" i="4"/>
  <c r="F812" i="4"/>
  <c r="F810" i="4"/>
  <c r="F809" i="4"/>
  <c r="F807" i="4"/>
  <c r="F806" i="4"/>
  <c r="F804" i="4"/>
  <c r="F803" i="4"/>
  <c r="F801" i="4"/>
  <c r="F800" i="4"/>
  <c r="F798" i="4"/>
  <c r="F797" i="4"/>
  <c r="F795" i="4"/>
  <c r="F794" i="4"/>
  <c r="F792" i="4"/>
  <c r="F791" i="4"/>
  <c r="F789" i="4"/>
  <c r="F788" i="4"/>
  <c r="F786" i="4"/>
  <c r="F785" i="4"/>
  <c r="F783" i="4"/>
  <c r="F782" i="4"/>
  <c r="F780" i="4"/>
  <c r="F779" i="4"/>
  <c r="F777" i="4"/>
  <c r="F776" i="4"/>
  <c r="F774" i="4"/>
  <c r="F773" i="4"/>
  <c r="F771" i="4"/>
  <c r="F770" i="4"/>
  <c r="F768" i="4"/>
  <c r="F767" i="4"/>
  <c r="F765" i="4"/>
  <c r="F764" i="4"/>
  <c r="F762" i="4"/>
  <c r="F761" i="4"/>
  <c r="F759" i="4"/>
  <c r="F758" i="4"/>
  <c r="F756" i="4"/>
  <c r="F755" i="4"/>
  <c r="F753" i="4"/>
  <c r="F752" i="4"/>
  <c r="F750" i="4"/>
  <c r="F749" i="4"/>
  <c r="F747" i="4"/>
  <c r="F746" i="4"/>
  <c r="F744" i="4"/>
  <c r="F743" i="4"/>
  <c r="F741" i="4"/>
  <c r="F740" i="4"/>
  <c r="F738" i="4"/>
  <c r="F737" i="4"/>
  <c r="F735" i="4"/>
  <c r="F734" i="4"/>
  <c r="F732" i="4"/>
  <c r="F731" i="4"/>
  <c r="F729" i="4"/>
  <c r="F728" i="4"/>
  <c r="F726" i="4"/>
  <c r="F725" i="4"/>
  <c r="F723" i="4"/>
  <c r="F722" i="4"/>
  <c r="F720" i="4"/>
  <c r="F719" i="4"/>
  <c r="F717" i="4"/>
  <c r="F716" i="4"/>
  <c r="F714" i="4"/>
  <c r="F713" i="4"/>
  <c r="F711" i="4"/>
  <c r="F710" i="4"/>
  <c r="F708" i="4"/>
  <c r="F707" i="4"/>
  <c r="F705" i="4"/>
  <c r="F704" i="4"/>
  <c r="F702" i="4"/>
  <c r="F701" i="4"/>
  <c r="F699" i="4"/>
  <c r="F698" i="4"/>
  <c r="F696" i="4"/>
  <c r="F695" i="4"/>
  <c r="F693" i="4"/>
  <c r="F692" i="4"/>
  <c r="F690" i="4"/>
  <c r="F689" i="4"/>
  <c r="F687" i="4"/>
  <c r="F686" i="4"/>
  <c r="F684" i="4"/>
  <c r="F683" i="4"/>
  <c r="F681" i="4"/>
  <c r="F680" i="4"/>
  <c r="F678" i="4"/>
  <c r="F677" i="4"/>
  <c r="F675" i="4"/>
  <c r="F674" i="4"/>
  <c r="F672" i="4"/>
  <c r="F671" i="4"/>
  <c r="F669" i="4"/>
  <c r="F668" i="4"/>
  <c r="F666" i="4"/>
  <c r="F665" i="4"/>
  <c r="F663" i="4"/>
  <c r="F662" i="4"/>
  <c r="F660" i="4"/>
  <c r="F659" i="4"/>
  <c r="F657" i="4"/>
  <c r="F656" i="4"/>
  <c r="F654" i="4"/>
  <c r="F653" i="4"/>
  <c r="F651" i="4"/>
  <c r="F650" i="4"/>
  <c r="F648" i="4"/>
  <c r="F647" i="4"/>
  <c r="F645" i="4"/>
  <c r="F644" i="4"/>
  <c r="F642" i="4"/>
  <c r="F641" i="4"/>
  <c r="F639" i="4"/>
  <c r="F638" i="4"/>
  <c r="F636" i="4"/>
  <c r="F635" i="4"/>
  <c r="F633" i="4"/>
  <c r="F632" i="4"/>
  <c r="F630" i="4"/>
  <c r="F629" i="4"/>
  <c r="F627" i="4"/>
  <c r="F626" i="4"/>
  <c r="F624" i="4"/>
  <c r="F623" i="4"/>
  <c r="F621" i="4"/>
  <c r="F620" i="4"/>
  <c r="F618" i="4"/>
  <c r="F617" i="4"/>
  <c r="F615" i="4"/>
  <c r="F614" i="4"/>
  <c r="F612" i="4"/>
  <c r="F611" i="4"/>
  <c r="F609" i="4"/>
  <c r="F608" i="4"/>
  <c r="F606" i="4"/>
  <c r="F605" i="4"/>
  <c r="F603" i="4"/>
  <c r="F602" i="4"/>
  <c r="F600" i="4"/>
  <c r="F599" i="4"/>
  <c r="F597" i="4"/>
  <c r="F596" i="4"/>
  <c r="F594" i="4"/>
  <c r="F593" i="4"/>
  <c r="F591" i="4"/>
  <c r="F590" i="4"/>
  <c r="F588" i="4"/>
  <c r="F587" i="4"/>
  <c r="F585" i="4"/>
  <c r="F584" i="4"/>
  <c r="F582" i="4"/>
  <c r="F581" i="4"/>
  <c r="F579" i="4"/>
  <c r="F578" i="4"/>
  <c r="F576" i="4"/>
  <c r="F575" i="4"/>
  <c r="F573" i="4"/>
  <c r="F572" i="4"/>
  <c r="F570" i="4"/>
  <c r="F569" i="4"/>
  <c r="F567" i="4"/>
  <c r="F566" i="4"/>
  <c r="F564" i="4"/>
  <c r="F563" i="4"/>
  <c r="F561" i="4"/>
  <c r="F560" i="4"/>
  <c r="F558" i="4"/>
  <c r="F557" i="4"/>
  <c r="F555" i="4"/>
  <c r="F554" i="4"/>
  <c r="F552" i="4"/>
  <c r="F551" i="4"/>
  <c r="F549" i="4"/>
  <c r="F548" i="4"/>
  <c r="F546" i="4"/>
  <c r="F545" i="4"/>
  <c r="F543" i="4"/>
  <c r="F542" i="4"/>
  <c r="F540" i="4"/>
  <c r="F539" i="4"/>
  <c r="F537" i="4"/>
  <c r="F536" i="4"/>
  <c r="F534" i="4"/>
  <c r="F533" i="4"/>
  <c r="F531" i="4"/>
  <c r="F530" i="4"/>
  <c r="F528" i="4"/>
  <c r="F527" i="4"/>
  <c r="F525" i="4"/>
  <c r="F524" i="4"/>
  <c r="F522" i="4"/>
  <c r="F521" i="4"/>
  <c r="F519" i="4"/>
  <c r="F518" i="4"/>
  <c r="F516" i="4"/>
  <c r="F515" i="4"/>
  <c r="F513" i="4"/>
  <c r="F512" i="4"/>
  <c r="F510" i="4"/>
  <c r="F509" i="4"/>
  <c r="F507" i="4"/>
  <c r="F506" i="4"/>
  <c r="F504" i="4"/>
  <c r="F503" i="4"/>
  <c r="F501" i="4"/>
  <c r="F500" i="4"/>
  <c r="F498" i="4"/>
  <c r="F497" i="4"/>
  <c r="F495" i="4"/>
  <c r="F494" i="4"/>
  <c r="F492" i="4"/>
  <c r="F491" i="4"/>
  <c r="F489" i="4"/>
  <c r="F488" i="4"/>
  <c r="F486" i="4"/>
  <c r="F485" i="4"/>
  <c r="F483" i="4"/>
  <c r="F482" i="4"/>
  <c r="F480" i="4"/>
  <c r="F479" i="4"/>
  <c r="F477" i="4"/>
  <c r="F476" i="4"/>
  <c r="F474" i="4"/>
  <c r="F473" i="4"/>
  <c r="F471" i="4"/>
  <c r="F470" i="4"/>
  <c r="F468" i="4"/>
  <c r="F467" i="4"/>
  <c r="F465" i="4"/>
  <c r="F464" i="4"/>
  <c r="F462" i="4"/>
  <c r="F461" i="4"/>
  <c r="F459" i="4"/>
  <c r="F458" i="4"/>
  <c r="F456" i="4"/>
  <c r="F455" i="4"/>
  <c r="F453" i="4"/>
  <c r="F452" i="4"/>
  <c r="F450" i="4"/>
  <c r="F449" i="4"/>
  <c r="F447" i="4"/>
  <c r="F446" i="4"/>
  <c r="F444" i="4"/>
  <c r="F443" i="4"/>
  <c r="F441" i="4"/>
  <c r="F440" i="4"/>
  <c r="F438" i="4"/>
  <c r="F437" i="4"/>
  <c r="F435" i="4"/>
  <c r="F434" i="4"/>
  <c r="F432" i="4"/>
  <c r="F431" i="4"/>
  <c r="F429" i="4"/>
  <c r="F428" i="4"/>
  <c r="F426" i="4"/>
  <c r="F425" i="4"/>
  <c r="F423" i="4"/>
  <c r="F422" i="4"/>
  <c r="F420" i="4"/>
  <c r="F419" i="4"/>
  <c r="F417" i="4"/>
  <c r="F416" i="4"/>
  <c r="F414" i="4"/>
  <c r="F413" i="4"/>
  <c r="F411" i="4"/>
  <c r="F410" i="4"/>
  <c r="F408" i="4"/>
  <c r="F407" i="4"/>
  <c r="F405" i="4"/>
  <c r="F404" i="4"/>
  <c r="F402" i="4"/>
  <c r="F401" i="4"/>
  <c r="F399" i="4"/>
  <c r="F398" i="4"/>
  <c r="F396" i="4"/>
  <c r="F395" i="4"/>
  <c r="F393" i="4"/>
  <c r="F392" i="4"/>
  <c r="F390" i="4"/>
  <c r="F389" i="4"/>
  <c r="F387" i="4"/>
  <c r="F386" i="4"/>
  <c r="F384" i="4"/>
  <c r="F383" i="4"/>
  <c r="F381" i="4"/>
  <c r="F380" i="4"/>
  <c r="F378" i="4"/>
  <c r="F377" i="4"/>
  <c r="F375" i="4"/>
  <c r="F374" i="4"/>
  <c r="F372" i="4"/>
  <c r="F371" i="4"/>
  <c r="F369" i="4"/>
  <c r="F368" i="4"/>
  <c r="F366" i="4"/>
  <c r="F365" i="4"/>
  <c r="F363" i="4"/>
  <c r="F362" i="4"/>
  <c r="F360" i="4"/>
  <c r="F359" i="4"/>
  <c r="F357" i="4"/>
  <c r="F356" i="4"/>
  <c r="F354" i="4"/>
  <c r="F353" i="4"/>
  <c r="F351" i="4"/>
  <c r="F350" i="4"/>
  <c r="F348" i="4"/>
  <c r="F347" i="4"/>
  <c r="F345" i="4"/>
  <c r="F344" i="4"/>
  <c r="F342" i="4"/>
  <c r="F341" i="4"/>
  <c r="F339" i="4"/>
  <c r="F338" i="4"/>
  <c r="F336" i="4"/>
  <c r="F335" i="4"/>
  <c r="F333" i="4"/>
  <c r="F332" i="4"/>
  <c r="F330" i="4"/>
  <c r="F329" i="4"/>
  <c r="F327" i="4"/>
  <c r="F326" i="4"/>
  <c r="F324" i="4"/>
  <c r="F323" i="4"/>
  <c r="F321" i="4"/>
  <c r="F320" i="4"/>
  <c r="F318" i="4"/>
  <c r="F317" i="4"/>
  <c r="F315" i="4"/>
  <c r="F314" i="4"/>
  <c r="F312" i="4"/>
  <c r="F311" i="4"/>
  <c r="F309" i="4"/>
  <c r="F308" i="4"/>
  <c r="F306" i="4"/>
  <c r="F305" i="4"/>
  <c r="F303" i="4"/>
  <c r="F302" i="4"/>
  <c r="F300" i="4"/>
  <c r="F299" i="4"/>
  <c r="F297" i="4"/>
  <c r="F296" i="4"/>
  <c r="F294" i="4"/>
  <c r="F293" i="4"/>
  <c r="F291" i="4"/>
  <c r="F290" i="4"/>
  <c r="F288" i="4"/>
  <c r="F287" i="4"/>
  <c r="F285" i="4"/>
  <c r="F284" i="4"/>
  <c r="F282" i="4"/>
  <c r="F281" i="4"/>
  <c r="F279" i="4"/>
  <c r="F278" i="4"/>
  <c r="F276" i="4"/>
  <c r="F275" i="4"/>
  <c r="F273" i="4"/>
  <c r="F272" i="4"/>
  <c r="F270" i="4"/>
  <c r="F269" i="4"/>
  <c r="F267" i="4"/>
  <c r="F266" i="4"/>
  <c r="F264" i="4"/>
  <c r="F263" i="4"/>
  <c r="F261" i="4"/>
  <c r="F260" i="4"/>
  <c r="F258" i="4"/>
  <c r="F257" i="4"/>
  <c r="F255" i="4"/>
  <c r="F254" i="4"/>
  <c r="F252" i="4"/>
  <c r="F251" i="4"/>
  <c r="F249" i="4"/>
  <c r="F248" i="4"/>
  <c r="F246" i="4"/>
  <c r="F245" i="4"/>
  <c r="F243" i="4"/>
  <c r="F242" i="4"/>
  <c r="F240" i="4"/>
  <c r="F239" i="4"/>
  <c r="F237" i="4"/>
  <c r="F236" i="4"/>
  <c r="F234" i="4"/>
  <c r="F233" i="4"/>
  <c r="F231" i="4"/>
  <c r="F230" i="4"/>
  <c r="F228" i="4"/>
  <c r="F227" i="4"/>
  <c r="F225" i="4"/>
  <c r="F224" i="4"/>
  <c r="F222" i="4"/>
  <c r="F221" i="4"/>
  <c r="F219" i="4"/>
  <c r="F218" i="4"/>
  <c r="F216" i="4"/>
  <c r="F215" i="4"/>
  <c r="F213" i="4"/>
  <c r="F212" i="4"/>
  <c r="F210" i="4"/>
  <c r="F209" i="4"/>
  <c r="F207" i="4"/>
  <c r="F206" i="4"/>
  <c r="F204" i="4"/>
  <c r="F203" i="4"/>
  <c r="F201" i="4"/>
  <c r="F200" i="4"/>
  <c r="F198" i="4"/>
  <c r="F197" i="4"/>
  <c r="F195" i="4"/>
  <c r="F194" i="4"/>
  <c r="F192" i="4"/>
  <c r="F191" i="4"/>
  <c r="F189" i="4"/>
  <c r="F188" i="4"/>
  <c r="F186" i="4"/>
  <c r="F185" i="4"/>
  <c r="F183" i="4"/>
  <c r="F182" i="4"/>
  <c r="F180" i="4"/>
  <c r="F179" i="4"/>
  <c r="F177" i="4"/>
  <c r="F176" i="4"/>
  <c r="F174" i="4"/>
  <c r="F173" i="4"/>
  <c r="F171" i="4"/>
  <c r="F170" i="4"/>
  <c r="F168" i="4"/>
  <c r="F167" i="4"/>
  <c r="F165" i="4"/>
  <c r="F164" i="4"/>
  <c r="F162" i="4"/>
  <c r="F161" i="4"/>
  <c r="F159" i="4"/>
  <c r="F158" i="4"/>
  <c r="F156" i="4"/>
  <c r="F155" i="4"/>
  <c r="F153" i="4"/>
  <c r="F152" i="4"/>
  <c r="F150" i="4"/>
  <c r="F149" i="4"/>
  <c r="F147" i="4"/>
  <c r="F146" i="4"/>
  <c r="F144" i="4"/>
  <c r="F143" i="4"/>
  <c r="F141" i="4"/>
  <c r="F140" i="4"/>
  <c r="F138" i="4"/>
  <c r="F137" i="4"/>
  <c r="F135" i="4"/>
  <c r="F134" i="4"/>
  <c r="F132" i="4"/>
  <c r="F131" i="4"/>
  <c r="F129" i="4"/>
  <c r="F128" i="4"/>
  <c r="F126" i="4"/>
  <c r="F125" i="4"/>
  <c r="F123" i="4"/>
  <c r="F122" i="4"/>
  <c r="F120" i="4"/>
  <c r="F119" i="4"/>
  <c r="F117" i="4"/>
  <c r="F116" i="4"/>
  <c r="F114" i="4"/>
  <c r="F113" i="4"/>
  <c r="F111" i="4"/>
  <c r="F110" i="4"/>
  <c r="F108" i="4"/>
  <c r="F107" i="4"/>
  <c r="F105" i="4"/>
  <c r="F104" i="4"/>
  <c r="F102" i="4"/>
  <c r="F101" i="4"/>
  <c r="F99" i="4"/>
  <c r="F98" i="4"/>
  <c r="F96" i="4"/>
  <c r="F95" i="4"/>
  <c r="F93" i="4"/>
  <c r="F92" i="4"/>
  <c r="F90" i="4"/>
  <c r="F89" i="4"/>
  <c r="F87" i="4"/>
  <c r="F86" i="4"/>
  <c r="F84" i="4"/>
  <c r="F83" i="4"/>
  <c r="F81" i="4"/>
  <c r="F80" i="4"/>
  <c r="F78" i="4"/>
  <c r="F77" i="4"/>
  <c r="F75" i="4"/>
  <c r="F74" i="4"/>
  <c r="F72" i="4"/>
  <c r="F71" i="4"/>
  <c r="F69" i="4"/>
  <c r="F68" i="4"/>
  <c r="F66" i="4"/>
  <c r="F65" i="4"/>
  <c r="F63" i="4"/>
  <c r="F62" i="4"/>
  <c r="F60" i="4"/>
  <c r="F59" i="4"/>
  <c r="F57" i="4"/>
  <c r="F56" i="4"/>
  <c r="F54" i="4"/>
  <c r="F53" i="4"/>
  <c r="F51" i="4"/>
  <c r="F50" i="4"/>
  <c r="F48" i="4"/>
  <c r="F47" i="4"/>
  <c r="F45" i="4"/>
  <c r="F44" i="4"/>
  <c r="F42" i="4"/>
  <c r="F41" i="4"/>
  <c r="F39" i="4"/>
  <c r="F38" i="4"/>
  <c r="F36" i="4"/>
  <c r="F35" i="4"/>
  <c r="F33" i="4"/>
  <c r="F32" i="4"/>
  <c r="F30" i="4"/>
  <c r="F29" i="4"/>
  <c r="F27" i="4"/>
  <c r="F26" i="4"/>
  <c r="F24" i="4"/>
  <c r="F23" i="4"/>
  <c r="F21" i="4"/>
  <c r="F20" i="4"/>
  <c r="F18" i="4"/>
  <c r="F17" i="4"/>
  <c r="F15" i="4"/>
  <c r="F14" i="4"/>
  <c r="F12" i="4"/>
  <c r="F11" i="4"/>
  <c r="F9" i="4"/>
  <c r="F8" i="4"/>
  <c r="U7" i="3"/>
  <c r="H60" i="1" l="1"/>
  <c r="I107" i="1"/>
  <c r="I88" i="1" l="1"/>
  <c r="I89" i="1"/>
  <c r="I90" i="1"/>
  <c r="I87" i="1"/>
  <c r="P30" i="11"/>
  <c r="P29" i="11"/>
  <c r="P28" i="11"/>
  <c r="P27" i="11"/>
  <c r="P26" i="11"/>
  <c r="P25" i="11"/>
  <c r="P24" i="11"/>
  <c r="P23" i="11"/>
  <c r="P22" i="11"/>
  <c r="P21" i="11"/>
  <c r="P20" i="11"/>
  <c r="P19" i="11"/>
  <c r="P18" i="11"/>
  <c r="P16" i="11"/>
  <c r="P15" i="11"/>
  <c r="P13" i="11"/>
  <c r="P12" i="11"/>
  <c r="P11" i="11"/>
  <c r="P9" i="11"/>
  <c r="P17" i="11"/>
  <c r="P14" i="11"/>
  <c r="P10" i="11"/>
  <c r="P8" i="11"/>
  <c r="P7" i="11"/>
  <c r="P6" i="11"/>
  <c r="P5" i="11"/>
  <c r="P4" i="11"/>
  <c r="M30" i="11" l="1"/>
  <c r="I30" i="11"/>
  <c r="J30" i="11" s="1"/>
  <c r="O30" i="11" s="1"/>
  <c r="M29" i="11"/>
  <c r="I29" i="11"/>
  <c r="J29" i="11" s="1"/>
  <c r="O29" i="11" s="1"/>
  <c r="I28" i="11"/>
  <c r="J28" i="11" s="1"/>
  <c r="M28" i="11"/>
  <c r="M27" i="11"/>
  <c r="I27" i="11"/>
  <c r="J27" i="11" s="1"/>
  <c r="I26" i="11"/>
  <c r="J26" i="11" s="1"/>
  <c r="M26" i="11"/>
  <c r="M25" i="11"/>
  <c r="I25" i="11"/>
  <c r="J25" i="11" s="1"/>
  <c r="N30" i="11" l="1"/>
  <c r="N29" i="11"/>
  <c r="N28" i="11"/>
  <c r="O28" i="11"/>
  <c r="N27" i="11"/>
  <c r="O27" i="11"/>
  <c r="N26" i="11"/>
  <c r="O26" i="11"/>
  <c r="N25" i="11"/>
  <c r="O25" i="11"/>
  <c r="M24" i="11" l="1"/>
  <c r="I24" i="11"/>
  <c r="J24" i="11" s="1"/>
  <c r="O24" i="11" s="1"/>
  <c r="M23" i="11"/>
  <c r="I23" i="11"/>
  <c r="J23" i="11" s="1"/>
  <c r="M22" i="11"/>
  <c r="I22" i="11"/>
  <c r="J22" i="11" s="1"/>
  <c r="M21" i="11"/>
  <c r="I21" i="11"/>
  <c r="J21" i="11" s="1"/>
  <c r="M18" i="11"/>
  <c r="I18" i="11"/>
  <c r="J18" i="11" s="1"/>
  <c r="O18" i="11" s="1"/>
  <c r="M20" i="11"/>
  <c r="I20" i="11"/>
  <c r="J20" i="11" s="1"/>
  <c r="M19" i="11"/>
  <c r="I19" i="11"/>
  <c r="J19" i="11" s="1"/>
  <c r="N24" i="11" l="1"/>
  <c r="N23" i="11"/>
  <c r="O23" i="11"/>
  <c r="N22" i="11"/>
  <c r="O22" i="11"/>
  <c r="N21" i="11"/>
  <c r="O21" i="11"/>
  <c r="N18" i="11"/>
  <c r="N20" i="11"/>
  <c r="O20" i="11"/>
  <c r="N19" i="11"/>
  <c r="O19" i="11"/>
  <c r="A6" i="11" l="1"/>
  <c r="A7" i="11" s="1"/>
  <c r="A8" i="11" s="1"/>
  <c r="A9" i="11" s="1"/>
  <c r="A10" i="11" s="1"/>
  <c r="A11" i="11" s="1"/>
  <c r="A12" i="11" s="1"/>
  <c r="A13" i="11" s="1"/>
  <c r="A14" i="11" s="1"/>
  <c r="A15" i="11" s="1"/>
  <c r="A16" i="11" s="1"/>
  <c r="A17" i="11" s="1"/>
  <c r="A19" i="11" s="1"/>
  <c r="A20" i="11" s="1"/>
  <c r="A21" i="11" s="1"/>
  <c r="A22" i="11" s="1"/>
  <c r="A23" i="11" s="1"/>
  <c r="A24" i="11" s="1"/>
  <c r="A25" i="11" s="1"/>
  <c r="A26" i="11" s="1"/>
  <c r="A27" i="11" s="1"/>
  <c r="A28" i="11" s="1"/>
  <c r="A29" i="11" s="1"/>
  <c r="A30" i="11" s="1"/>
  <c r="A5" i="11"/>
  <c r="O10" i="11"/>
  <c r="O14" i="11"/>
  <c r="O17" i="11"/>
  <c r="O7" i="11"/>
  <c r="O8" i="11"/>
  <c r="O6" i="11"/>
  <c r="O4" i="11"/>
  <c r="N4" i="11"/>
  <c r="N17" i="11"/>
  <c r="M16" i="11"/>
  <c r="I16" i="11"/>
  <c r="J16" i="11" s="1"/>
  <c r="N16" i="11" s="1"/>
  <c r="M15" i="11"/>
  <c r="I15" i="11"/>
  <c r="J15" i="11" s="1"/>
  <c r="N15" i="11" s="1"/>
  <c r="N14" i="11"/>
  <c r="M13" i="11"/>
  <c r="I13" i="11"/>
  <c r="J13" i="11" s="1"/>
  <c r="M12" i="11"/>
  <c r="I12" i="11"/>
  <c r="J12" i="11" s="1"/>
  <c r="M11" i="11"/>
  <c r="I11" i="11"/>
  <c r="J11" i="11" s="1"/>
  <c r="N10" i="11"/>
  <c r="M9" i="11"/>
  <c r="I9" i="11"/>
  <c r="J9" i="11" s="1"/>
  <c r="N8" i="11"/>
  <c r="N7" i="11"/>
  <c r="N6" i="11"/>
  <c r="M5" i="11"/>
  <c r="I5" i="11"/>
  <c r="J5" i="11" s="1"/>
  <c r="O5" i="11" s="1"/>
  <c r="P31" i="11" l="1"/>
  <c r="O16" i="11"/>
  <c r="O12" i="11"/>
  <c r="O9" i="11"/>
  <c r="O15" i="11"/>
  <c r="O13" i="11"/>
  <c r="O11" i="11"/>
  <c r="N11" i="11"/>
  <c r="N12" i="11"/>
  <c r="N13" i="11"/>
  <c r="N5" i="11"/>
  <c r="N9" i="11"/>
  <c r="R45" i="1" l="1"/>
  <c r="E21" i="7" l="1"/>
  <c r="C21" i="7"/>
  <c r="I222" i="1" l="1"/>
  <c r="I220" i="1"/>
  <c r="I218" i="1"/>
  <c r="I216" i="1"/>
  <c r="T8" i="3"/>
  <c r="T9" i="3"/>
  <c r="T10" i="3"/>
  <c r="T11" i="3"/>
  <c r="T12" i="3"/>
  <c r="T13" i="3"/>
  <c r="U13" i="3" s="1"/>
  <c r="T14" i="3"/>
  <c r="T15" i="3"/>
  <c r="T16" i="3"/>
  <c r="T17" i="3"/>
  <c r="T18" i="3"/>
  <c r="T19" i="3"/>
  <c r="S8" i="3"/>
  <c r="S9" i="3"/>
  <c r="S10" i="3"/>
  <c r="S11" i="3"/>
  <c r="U11" i="3" s="1"/>
  <c r="S12" i="3"/>
  <c r="S13" i="3"/>
  <c r="S14" i="3"/>
  <c r="S15" i="3"/>
  <c r="U15" i="3" s="1"/>
  <c r="S16" i="3"/>
  <c r="S17" i="3"/>
  <c r="S18" i="3"/>
  <c r="S19" i="3"/>
  <c r="U19" i="3" s="1"/>
  <c r="S7" i="3"/>
  <c r="R8" i="3"/>
  <c r="R9" i="3"/>
  <c r="R10" i="3"/>
  <c r="U10" i="3" s="1"/>
  <c r="R11" i="3"/>
  <c r="R12" i="3"/>
  <c r="U12" i="3" s="1"/>
  <c r="R13" i="3"/>
  <c r="R14" i="3"/>
  <c r="U14" i="3" s="1"/>
  <c r="R15" i="3"/>
  <c r="R16" i="3"/>
  <c r="U16" i="3" s="1"/>
  <c r="R17" i="3"/>
  <c r="R18" i="3"/>
  <c r="U18" i="3" s="1"/>
  <c r="R19" i="3"/>
  <c r="R7" i="3"/>
  <c r="Q10" i="3"/>
  <c r="Q11" i="3"/>
  <c r="Q12" i="3"/>
  <c r="Q13" i="3"/>
  <c r="Q14" i="3"/>
  <c r="Q15" i="3"/>
  <c r="Q16" i="3"/>
  <c r="Q17" i="3"/>
  <c r="Q18" i="3"/>
  <c r="Q19" i="3"/>
  <c r="Q9" i="3"/>
  <c r="T7" i="3"/>
  <c r="U8" i="3"/>
  <c r="U17" i="3"/>
  <c r="Q7" i="3"/>
  <c r="Q8" i="3"/>
  <c r="K19" i="3"/>
  <c r="K11" i="3"/>
  <c r="K7" i="3"/>
  <c r="P7" i="3"/>
  <c r="O15" i="3"/>
  <c r="O19" i="3"/>
  <c r="O18" i="3"/>
  <c r="O17" i="3"/>
  <c r="O16" i="3"/>
  <c r="O14" i="3"/>
  <c r="O13" i="3"/>
  <c r="O12" i="3"/>
  <c r="O11" i="3"/>
  <c r="O10" i="3"/>
  <c r="O9" i="3"/>
  <c r="O8" i="3"/>
  <c r="O7" i="3"/>
  <c r="P11" i="3"/>
  <c r="L20" i="3"/>
  <c r="N8" i="3"/>
  <c r="M9" i="3"/>
  <c r="P9" i="3" s="1"/>
  <c r="N9" i="3"/>
  <c r="M10" i="3"/>
  <c r="P10" i="3" s="1"/>
  <c r="N10" i="3"/>
  <c r="M12" i="3"/>
  <c r="M20" i="3" s="1"/>
  <c r="N12" i="3"/>
  <c r="P12" i="3" s="1"/>
  <c r="M13" i="3"/>
  <c r="N13" i="3"/>
  <c r="M14" i="3"/>
  <c r="N14" i="3"/>
  <c r="P14" i="3" s="1"/>
  <c r="M15" i="3"/>
  <c r="N15" i="3"/>
  <c r="M16" i="3"/>
  <c r="N16" i="3"/>
  <c r="P16" i="3" s="1"/>
  <c r="M17" i="3"/>
  <c r="N17" i="3"/>
  <c r="M18" i="3"/>
  <c r="N18" i="3"/>
  <c r="P18" i="3" s="1"/>
  <c r="M19" i="3"/>
  <c r="N19" i="3"/>
  <c r="L12" i="3"/>
  <c r="L13" i="3"/>
  <c r="L14" i="3"/>
  <c r="L15" i="3"/>
  <c r="L16" i="3"/>
  <c r="L17" i="3"/>
  <c r="L18" i="3"/>
  <c r="L19" i="3"/>
  <c r="L10" i="3"/>
  <c r="L9" i="3"/>
  <c r="L8" i="3"/>
  <c r="L7" i="3"/>
  <c r="M8" i="3"/>
  <c r="M13" i="6"/>
  <c r="M15" i="6" s="1"/>
  <c r="M16" i="6" s="1"/>
  <c r="M17" i="6" s="1"/>
  <c r="M18" i="6" s="1"/>
  <c r="F214" i="1" l="1"/>
  <c r="H55" i="1" s="1"/>
  <c r="U9" i="3"/>
  <c r="N20" i="3"/>
  <c r="P15" i="3"/>
  <c r="O20" i="3"/>
  <c r="P17" i="3"/>
  <c r="P13" i="3"/>
  <c r="P19" i="3"/>
  <c r="P8" i="3"/>
  <c r="K155" i="6"/>
  <c r="K151" i="6"/>
  <c r="K139" i="6"/>
  <c r="K146" i="6"/>
  <c r="K145" i="6"/>
  <c r="K135" i="6"/>
  <c r="K107" i="6"/>
  <c r="A7" i="6"/>
  <c r="A8" i="6" s="1"/>
  <c r="J84" i="6"/>
  <c r="K82" i="6"/>
  <c r="J62" i="6"/>
  <c r="K55" i="6"/>
  <c r="K152" i="6"/>
  <c r="K116" i="6"/>
  <c r="K76" i="6"/>
  <c r="K59" i="6"/>
  <c r="K13" i="6"/>
  <c r="K28" i="6"/>
  <c r="K29" i="6"/>
  <c r="K8" i="6"/>
  <c r="K6" i="6"/>
  <c r="I7" i="6"/>
  <c r="H49" i="1"/>
  <c r="I231" i="1"/>
  <c r="I241" i="1"/>
  <c r="C69" i="3"/>
  <c r="G58" i="3"/>
  <c r="G59" i="3"/>
  <c r="G60" i="3"/>
  <c r="G61" i="3"/>
  <c r="G62" i="3"/>
  <c r="G63" i="3"/>
  <c r="G64" i="3"/>
  <c r="G65" i="3"/>
  <c r="G66" i="3"/>
  <c r="G67" i="3"/>
  <c r="G57" i="3"/>
  <c r="D68" i="3"/>
  <c r="D69" i="3" s="1"/>
  <c r="E68" i="3"/>
  <c r="E69" i="3" s="1"/>
  <c r="F68" i="3"/>
  <c r="C68" i="3"/>
  <c r="C863" i="5"/>
  <c r="C784" i="5"/>
  <c r="C776" i="5"/>
  <c r="C689" i="5"/>
  <c r="C675" i="5"/>
  <c r="C660" i="5"/>
  <c r="C612" i="5"/>
  <c r="C610" i="5"/>
  <c r="C602" i="5"/>
  <c r="C572" i="5"/>
  <c r="C551" i="5"/>
  <c r="C523" i="5"/>
  <c r="C491" i="5"/>
  <c r="C313" i="5"/>
  <c r="C384" i="5" s="1"/>
  <c r="C305" i="5"/>
  <c r="C248" i="5"/>
  <c r="C230" i="5"/>
  <c r="C214" i="5"/>
  <c r="C209" i="5"/>
  <c r="C204" i="5"/>
  <c r="C195" i="5"/>
  <c r="C185" i="5"/>
  <c r="C180" i="5"/>
  <c r="C168" i="5"/>
  <c r="C118" i="5"/>
  <c r="C93" i="5"/>
  <c r="C88" i="5"/>
  <c r="C83" i="5"/>
  <c r="C78" i="5"/>
  <c r="C76" i="5"/>
  <c r="C71" i="5"/>
  <c r="C69" i="5"/>
  <c r="C45" i="5"/>
  <c r="U20" i="3" l="1"/>
  <c r="P20" i="3"/>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C622" i="5"/>
  <c r="G68" i="3"/>
  <c r="G69" i="3" s="1"/>
  <c r="H56" i="1" s="1"/>
  <c r="C740" i="5"/>
  <c r="C94" i="5"/>
  <c r="C252" i="5"/>
  <c r="C130" i="5"/>
  <c r="C215" i="5"/>
  <c r="C876" i="5"/>
  <c r="A73" i="6" l="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C877" i="5"/>
  <c r="C878" i="5" s="1"/>
  <c r="A102" i="6" l="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F56" i="3"/>
  <c r="G51" i="3"/>
  <c r="G52" i="3"/>
  <c r="G53" i="3"/>
  <c r="G54" i="3"/>
  <c r="G55" i="3"/>
  <c r="G56" i="3"/>
  <c r="G50" i="3"/>
  <c r="G45" i="3"/>
  <c r="G48" i="3"/>
  <c r="G47" i="3"/>
  <c r="G46" i="3"/>
  <c r="F44" i="3"/>
  <c r="G44" i="3" s="1"/>
  <c r="G43" i="3"/>
  <c r="G42" i="3"/>
  <c r="G41" i="3"/>
  <c r="G40" i="3"/>
  <c r="G39" i="3"/>
  <c r="G38" i="3"/>
  <c r="G37" i="3"/>
  <c r="F36" i="3"/>
  <c r="G36" i="3" s="1"/>
  <c r="G30" i="3"/>
  <c r="G31" i="3"/>
  <c r="G32" i="3"/>
  <c r="G33" i="3"/>
  <c r="G34" i="3"/>
  <c r="G35" i="3"/>
  <c r="G29" i="3"/>
  <c r="G22" i="3"/>
  <c r="G23" i="3"/>
  <c r="G24" i="3"/>
  <c r="G25" i="3"/>
  <c r="G26" i="3"/>
  <c r="G27" i="3"/>
  <c r="G21" i="3"/>
  <c r="F28" i="3"/>
  <c r="G28" i="3" s="1"/>
  <c r="G8" i="3"/>
  <c r="G9" i="3"/>
  <c r="G12" i="3"/>
  <c r="G13" i="3"/>
  <c r="G14" i="3"/>
  <c r="G15" i="3"/>
  <c r="G16" i="3"/>
  <c r="G17" i="3"/>
  <c r="G18" i="3"/>
  <c r="G19" i="3"/>
  <c r="G7" i="3"/>
  <c r="C10" i="3"/>
  <c r="G10" i="3" s="1"/>
  <c r="M2487" i="4"/>
  <c r="M2486" i="4"/>
  <c r="C2272" i="4"/>
  <c r="C2270" i="4"/>
  <c r="C2247" i="4"/>
  <c r="C2245" i="4"/>
  <c r="C2237" i="4"/>
  <c r="C2235" i="4"/>
  <c r="C2230" i="4"/>
  <c r="C2225" i="4"/>
  <c r="C2223" i="4"/>
  <c r="C2221" i="4"/>
  <c r="C2219" i="4"/>
  <c r="C2217" i="4"/>
  <c r="C2186" i="4"/>
  <c r="C2102" i="4"/>
  <c r="C2100" i="4"/>
  <c r="C2062" i="4"/>
  <c r="C1898" i="4"/>
  <c r="C1773" i="4"/>
  <c r="C1768" i="4"/>
  <c r="C1739" i="4"/>
  <c r="C1722" i="4"/>
  <c r="C1711" i="4"/>
  <c r="C1700" i="4"/>
  <c r="C1680" i="4"/>
  <c r="C1663" i="4"/>
  <c r="C1643" i="4"/>
  <c r="C2484" i="4" s="1"/>
  <c r="A152" i="6" l="1"/>
  <c r="A153" i="6" s="1"/>
  <c r="A154" i="6" s="1"/>
  <c r="A155" i="6" s="1"/>
  <c r="A156" i="6" s="1"/>
  <c r="A157" i="6" s="1"/>
  <c r="A158" i="6" s="1"/>
  <c r="A159" i="6" s="1"/>
  <c r="A160" i="6" s="1"/>
  <c r="A161" i="6" s="1"/>
  <c r="A162" i="6" s="1"/>
  <c r="A163" i="6" s="1"/>
  <c r="A164" i="6" s="1"/>
  <c r="A165" i="6" s="1"/>
  <c r="A166" i="6" s="1"/>
  <c r="G49" i="3"/>
  <c r="M2485" i="4"/>
  <c r="O2485" i="4" s="1"/>
  <c r="I128" i="1" l="1"/>
  <c r="H52" i="1"/>
  <c r="I36" i="1"/>
  <c r="I35" i="1"/>
  <c r="I34" i="1"/>
  <c r="I33" i="1"/>
  <c r="I39" i="1"/>
  <c r="J32" i="1" l="1"/>
  <c r="C20" i="3"/>
  <c r="D20" i="3"/>
  <c r="E20" i="3"/>
  <c r="G20" i="3" s="1"/>
  <c r="F20" i="3"/>
  <c r="I15" i="1" l="1"/>
  <c r="F24" i="7"/>
  <c r="I29" i="1"/>
  <c r="I267" i="1"/>
  <c r="I211" i="1"/>
  <c r="I201" i="1"/>
  <c r="I200" i="1"/>
  <c r="I232" i="1"/>
  <c r="I184" i="1"/>
  <c r="I183" i="1"/>
  <c r="I103" i="1"/>
  <c r="I112" i="1" s="1"/>
  <c r="I102" i="1"/>
  <c r="I96" i="1"/>
  <c r="I84" i="1" s="1"/>
  <c r="I81" i="1"/>
  <c r="J20" i="1" l="1"/>
  <c r="I9" i="1"/>
  <c r="H61" i="1"/>
  <c r="I70" i="1"/>
  <c r="I99" i="1"/>
  <c r="F14" i="7" s="1"/>
  <c r="E24" i="7"/>
  <c r="C24" i="7"/>
  <c r="I6" i="1"/>
  <c r="D24" i="7"/>
  <c r="F207" i="1"/>
  <c r="I198" i="1" s="1"/>
  <c r="I133" i="1"/>
  <c r="I115" i="1" l="1"/>
  <c r="I118" i="1"/>
  <c r="E15" i="7" s="1"/>
  <c r="E11" i="7" s="1"/>
  <c r="H59" i="1"/>
  <c r="I8" i="1" s="1"/>
  <c r="H65" i="1"/>
  <c r="C15" i="7"/>
  <c r="C11" i="7" s="1"/>
  <c r="I117" i="1"/>
  <c r="D14" i="7"/>
  <c r="H66" i="1"/>
  <c r="I63" i="1" s="1"/>
  <c r="I16" i="1"/>
  <c r="I12" i="1" s="1"/>
  <c r="I4" i="1"/>
  <c r="N166" i="6"/>
  <c r="N164" i="6"/>
  <c r="N162" i="6"/>
  <c r="N160" i="6"/>
  <c r="N158" i="6"/>
  <c r="N154" i="6"/>
  <c r="N102" i="6"/>
  <c r="N149" i="6"/>
  <c r="N147" i="6"/>
  <c r="N143" i="6"/>
  <c r="N141" i="6"/>
  <c r="N138" i="6"/>
  <c r="N136" i="6"/>
  <c r="N133" i="6"/>
  <c r="N131" i="6"/>
  <c r="N129" i="6"/>
  <c r="N127" i="6"/>
  <c r="N125" i="6"/>
  <c r="N123" i="6"/>
  <c r="N121" i="6"/>
  <c r="N119" i="6"/>
  <c r="N117" i="6"/>
  <c r="N114" i="6"/>
  <c r="N112" i="6"/>
  <c r="N110" i="6"/>
  <c r="N108" i="6"/>
  <c r="N105" i="6"/>
  <c r="N103" i="6"/>
  <c r="N100" i="6"/>
  <c r="N98" i="6"/>
  <c r="N96" i="6"/>
  <c r="N94" i="6"/>
  <c r="N92" i="6"/>
  <c r="N90" i="6"/>
  <c r="N88" i="6"/>
  <c r="N86" i="6"/>
  <c r="N83" i="6"/>
  <c r="N80" i="6"/>
  <c r="N78" i="6"/>
  <c r="N75" i="6"/>
  <c r="N73" i="6"/>
  <c r="N71" i="6"/>
  <c r="N69" i="6"/>
  <c r="N67" i="6"/>
  <c r="N65" i="6"/>
  <c r="N63" i="6"/>
  <c r="N60" i="6"/>
  <c r="N57" i="6"/>
  <c r="N54" i="6"/>
  <c r="N52" i="6"/>
  <c r="N50" i="6"/>
  <c r="N48" i="6"/>
  <c r="N46" i="6"/>
  <c r="N44" i="6"/>
  <c r="N42" i="6"/>
  <c r="N40" i="6"/>
  <c r="N38" i="6"/>
  <c r="N36" i="6"/>
  <c r="N34" i="6"/>
  <c r="N32" i="6"/>
  <c r="N30" i="6"/>
  <c r="N26" i="6"/>
  <c r="N24" i="6"/>
  <c r="N22" i="6"/>
  <c r="N20" i="6"/>
  <c r="N14" i="6"/>
  <c r="N11" i="6"/>
  <c r="N9" i="6"/>
  <c r="N64" i="6"/>
  <c r="N58" i="6"/>
  <c r="N53" i="6"/>
  <c r="N49" i="6"/>
  <c r="N45" i="6"/>
  <c r="N41" i="6"/>
  <c r="N37" i="6"/>
  <c r="N33" i="6"/>
  <c r="N27" i="6"/>
  <c r="N23" i="6"/>
  <c r="N21" i="6"/>
  <c r="N12" i="6"/>
  <c r="N157" i="6"/>
  <c r="N165" i="6"/>
  <c r="N163" i="6"/>
  <c r="N161" i="6"/>
  <c r="N159" i="6"/>
  <c r="N156" i="6"/>
  <c r="N153" i="6"/>
  <c r="N150" i="6"/>
  <c r="N148" i="6"/>
  <c r="N144" i="6"/>
  <c r="N142" i="6"/>
  <c r="N140" i="6"/>
  <c r="N137" i="6"/>
  <c r="N134" i="6"/>
  <c r="N132" i="6"/>
  <c r="N130" i="6"/>
  <c r="N128" i="6"/>
  <c r="N126" i="6"/>
  <c r="N124" i="6"/>
  <c r="N122" i="6"/>
  <c r="N120" i="6"/>
  <c r="N118" i="6"/>
  <c r="N115" i="6"/>
  <c r="N113" i="6"/>
  <c r="N111" i="6"/>
  <c r="N109" i="6"/>
  <c r="N106" i="6"/>
  <c r="N104" i="6"/>
  <c r="N101" i="6"/>
  <c r="N99" i="6"/>
  <c r="N97" i="6"/>
  <c r="N95" i="6"/>
  <c r="N93" i="6"/>
  <c r="N91" i="6"/>
  <c r="N89" i="6"/>
  <c r="N87" i="6"/>
  <c r="N85" i="6"/>
  <c r="N81" i="6"/>
  <c r="N79" i="6"/>
  <c r="N77" i="6"/>
  <c r="N74" i="6"/>
  <c r="N72" i="6"/>
  <c r="N70" i="6"/>
  <c r="N68" i="6"/>
  <c r="N66" i="6"/>
  <c r="N61" i="6"/>
  <c r="N56" i="6"/>
  <c r="N51" i="6"/>
  <c r="N47" i="6"/>
  <c r="N43" i="6"/>
  <c r="N39" i="6"/>
  <c r="N35" i="6"/>
  <c r="N31" i="6"/>
  <c r="N25" i="6"/>
  <c r="N19" i="6"/>
  <c r="N10" i="6"/>
  <c r="N16" i="6"/>
  <c r="N17" i="6"/>
  <c r="N18" i="6"/>
  <c r="N15" i="6"/>
  <c r="N6" i="6"/>
  <c r="N13" i="6"/>
  <c r="N145" i="6"/>
  <c r="N116" i="6"/>
  <c r="N139" i="6"/>
  <c r="N29" i="6"/>
  <c r="N76" i="6"/>
  <c r="N62" i="6"/>
  <c r="N107" i="6"/>
  <c r="N155" i="6"/>
  <c r="N8" i="6"/>
  <c r="N59" i="6"/>
  <c r="N55" i="6"/>
  <c r="N135" i="6"/>
  <c r="N151" i="6"/>
  <c r="N152" i="6"/>
  <c r="N84" i="6"/>
  <c r="N7" i="6"/>
  <c r="N28" i="6"/>
  <c r="N82" i="6"/>
  <c r="N146" i="6"/>
  <c r="I116" i="1"/>
  <c r="I165" i="1"/>
  <c r="I150" i="1" s="1"/>
  <c r="I119" i="1" l="1"/>
  <c r="D15" i="7"/>
  <c r="D11" i="7" s="1"/>
  <c r="F15" i="7"/>
  <c r="F11" i="7" s="1"/>
  <c r="N167" i="6"/>
  <c r="I125" i="1" s="1"/>
  <c r="I246" i="1" s="1"/>
  <c r="I247" i="1"/>
  <c r="I175" i="1"/>
  <c r="E18" i="7" l="1"/>
  <c r="E16" i="7" s="1"/>
  <c r="E25" i="7" s="1"/>
  <c r="F17" i="7"/>
  <c r="I233" i="1"/>
  <c r="I243" i="1" s="1"/>
  <c r="D17" i="7" s="1"/>
  <c r="O84" i="6"/>
  <c r="O124" i="6"/>
  <c r="O96" i="6"/>
  <c r="O42" i="6"/>
  <c r="O38" i="6"/>
  <c r="O146" i="6"/>
  <c r="O107" i="6"/>
  <c r="O85" i="6"/>
  <c r="O65" i="6"/>
  <c r="O53" i="6"/>
  <c r="O29" i="6"/>
  <c r="O162" i="6"/>
  <c r="O155" i="6"/>
  <c r="O151" i="6"/>
  <c r="O133" i="6"/>
  <c r="O123" i="6"/>
  <c r="O116" i="6"/>
  <c r="O76" i="6"/>
  <c r="O45" i="6"/>
  <c r="O18" i="6"/>
  <c r="O8" i="6"/>
  <c r="O160" i="6"/>
  <c r="O143" i="6"/>
  <c r="O127" i="6"/>
  <c r="O118" i="6"/>
  <c r="O105" i="6"/>
  <c r="O90" i="6"/>
  <c r="O77" i="6"/>
  <c r="O64" i="6"/>
  <c r="O60" i="6"/>
  <c r="O50" i="6"/>
  <c r="O41" i="6"/>
  <c r="O37" i="6"/>
  <c r="O32" i="6"/>
  <c r="O25" i="6"/>
  <c r="O23" i="6"/>
  <c r="O20" i="6"/>
  <c r="O16" i="6"/>
  <c r="O138" i="6"/>
  <c r="O134" i="6"/>
  <c r="O112" i="6"/>
  <c r="O108" i="6"/>
  <c r="O87" i="6"/>
  <c r="O69" i="6"/>
  <c r="O54" i="6"/>
  <c r="O27" i="6"/>
  <c r="O120" i="6"/>
  <c r="O164" i="6"/>
  <c r="O148" i="6"/>
  <c r="O131" i="6"/>
  <c r="O129" i="6"/>
  <c r="O114" i="6"/>
  <c r="O103" i="6"/>
  <c r="O100" i="6"/>
  <c r="O95" i="6"/>
  <c r="O74" i="6"/>
  <c r="O68" i="6"/>
  <c r="O66" i="6"/>
  <c r="O46" i="6"/>
  <c r="O31" i="6"/>
  <c r="O15" i="6"/>
  <c r="O7" i="6"/>
  <c r="O157" i="6"/>
  <c r="O104" i="6"/>
  <c r="O81" i="6"/>
  <c r="O165" i="6"/>
  <c r="O153" i="6"/>
  <c r="O149" i="6"/>
  <c r="O144" i="6"/>
  <c r="O140" i="6"/>
  <c r="O119" i="6"/>
  <c r="O111" i="6"/>
  <c r="O92" i="6"/>
  <c r="O86" i="6"/>
  <c r="O78" i="6"/>
  <c r="O71" i="6"/>
  <c r="O61" i="6"/>
  <c r="O51" i="6"/>
  <c r="O35" i="6"/>
  <c r="O28" i="6"/>
  <c r="O6" i="6"/>
  <c r="O135" i="6"/>
  <c r="O110" i="6"/>
  <c r="O82" i="6"/>
  <c r="O39" i="6"/>
  <c r="O12" i="6"/>
  <c r="O94" i="6"/>
  <c r="O26" i="6"/>
  <c r="O125" i="6"/>
  <c r="O33" i="6"/>
  <c r="O128" i="6"/>
  <c r="O62" i="6"/>
  <c r="O36" i="6"/>
  <c r="O19" i="6"/>
  <c r="O72" i="6"/>
  <c r="O166" i="6"/>
  <c r="O101" i="6"/>
  <c r="O67" i="6"/>
  <c r="O9" i="6"/>
  <c r="O150" i="6"/>
  <c r="O88" i="6"/>
  <c r="O52" i="6"/>
  <c r="O145" i="6"/>
  <c r="O83" i="6"/>
  <c r="O44" i="6"/>
  <c r="O161" i="6"/>
  <c r="O136" i="6"/>
  <c r="O117" i="6"/>
  <c r="O59" i="6"/>
  <c r="O11" i="6"/>
  <c r="O154" i="6"/>
  <c r="O121" i="6"/>
  <c r="O99" i="6"/>
  <c r="O70" i="6"/>
  <c r="O58" i="6"/>
  <c r="O40" i="6"/>
  <c r="O30" i="6"/>
  <c r="O21" i="6"/>
  <c r="O10" i="6"/>
  <c r="O132" i="6"/>
  <c r="O91" i="6"/>
  <c r="O56" i="6"/>
  <c r="O22" i="6"/>
  <c r="O158" i="6"/>
  <c r="O130" i="6"/>
  <c r="O106" i="6"/>
  <c r="O98" i="6"/>
  <c r="O73" i="6"/>
  <c r="O57" i="6"/>
  <c r="O17" i="6"/>
  <c r="O159" i="6"/>
  <c r="O97" i="6"/>
  <c r="O163" i="6"/>
  <c r="O147" i="6"/>
  <c r="O126" i="6"/>
  <c r="O93" i="6"/>
  <c r="O79" i="6"/>
  <c r="O63" i="6"/>
  <c r="O47" i="6"/>
  <c r="O13" i="6"/>
  <c r="O55" i="6"/>
  <c r="O152" i="6"/>
  <c r="O102" i="6"/>
  <c r="O139" i="6"/>
  <c r="O113" i="6"/>
  <c r="O89" i="6"/>
  <c r="O49" i="6"/>
  <c r="O24" i="6"/>
  <c r="O137" i="6"/>
  <c r="O109" i="6"/>
  <c r="O48" i="6"/>
  <c r="O141" i="6"/>
  <c r="O122" i="6"/>
  <c r="O80" i="6"/>
  <c r="O43" i="6"/>
  <c r="O156" i="6"/>
  <c r="O14" i="6"/>
  <c r="O142" i="6"/>
  <c r="O115" i="6"/>
  <c r="O75" i="6"/>
  <c r="O34" i="6"/>
  <c r="G227" i="1"/>
  <c r="I251" i="1" s="1"/>
  <c r="I190" i="1"/>
  <c r="C18" i="7" l="1"/>
  <c r="C16" i="7" s="1"/>
  <c r="C25" i="7" s="1"/>
  <c r="I204" i="1"/>
  <c r="I195" i="1" s="1"/>
  <c r="I250" i="1" s="1"/>
  <c r="V18" i="3"/>
  <c r="V9" i="3"/>
  <c r="V11" i="3"/>
  <c r="V13" i="3"/>
  <c r="V15" i="3"/>
  <c r="V17" i="3"/>
  <c r="V19" i="3"/>
  <c r="V7" i="3"/>
  <c r="V10" i="3"/>
  <c r="V12" i="3"/>
  <c r="V14" i="3"/>
  <c r="V16" i="3"/>
  <c r="V8" i="3"/>
  <c r="I180" i="1"/>
  <c r="I249" i="1" s="1"/>
  <c r="O167" i="6"/>
  <c r="I169" i="1" s="1"/>
  <c r="I248" i="1" s="1"/>
  <c r="G237" i="1"/>
  <c r="I252" i="1" s="1"/>
  <c r="I269" i="1"/>
  <c r="F22" i="7" l="1"/>
  <c r="F21" i="7" s="1"/>
  <c r="D22" i="7"/>
  <c r="D21" i="7" s="1"/>
  <c r="C27" i="7" s="1"/>
  <c r="F19" i="7"/>
  <c r="D19" i="7"/>
  <c r="V20" i="3"/>
  <c r="F18" i="7"/>
  <c r="D18" i="7"/>
  <c r="I253" i="1"/>
  <c r="F16" i="7" l="1"/>
  <c r="F25" i="7" s="1"/>
  <c r="E26" i="7" s="1"/>
  <c r="D16" i="7"/>
  <c r="D25" i="7" s="1"/>
  <c r="C26" i="7" l="1"/>
</calcChain>
</file>

<file path=xl/sharedStrings.xml><?xml version="1.0" encoding="utf-8"?>
<sst xmlns="http://schemas.openxmlformats.org/spreadsheetml/2006/main" count="4098" uniqueCount="2095">
  <si>
    <t>де</t>
  </si>
  <si>
    <t>-</t>
  </si>
  <si>
    <t xml:space="preserve">В ЦТП в зоні ТЕЦ </t>
  </si>
  <si>
    <t>по лічильникам обліку, що встановлені в ЦТП та котельних за 2018р.</t>
  </si>
  <si>
    <r>
      <t>м</t>
    </r>
    <r>
      <rPr>
        <vertAlign val="superscript"/>
        <sz val="11"/>
        <color theme="1"/>
        <rFont val="Calibri"/>
        <family val="2"/>
        <charset val="204"/>
        <scheme val="minor"/>
      </rPr>
      <t>3</t>
    </r>
  </si>
  <si>
    <t>В котельних</t>
  </si>
  <si>
    <t xml:space="preserve">В ЦТП в зоні КППВ </t>
  </si>
  <si>
    <t>n</t>
  </si>
  <si>
    <t>di</t>
  </si>
  <si>
    <t>діаметр і-ої ділянки трубопроводу, м;</t>
  </si>
  <si>
    <t>Vi</t>
  </si>
  <si>
    <t>швидкість води при гідравлічному промиванні, м/с. Приймається на рівні 1,5 м/с або за фактичними даними;</t>
  </si>
  <si>
    <t>ti</t>
  </si>
  <si>
    <t>коефіцієнт для перерахунку секунд на години та врахування сталої величини π/4 (2826 = 3600 х 3,14 / 4);</t>
  </si>
  <si>
    <t>Qзаг</t>
  </si>
  <si>
    <r>
      <t>загальний обсяг води, що надійшов до системи ЦПГВ, тис. м</t>
    </r>
    <r>
      <rPr>
        <vertAlign val="superscript"/>
        <sz val="12"/>
        <color theme="1"/>
        <rFont val="Times New Roman"/>
        <family val="1"/>
        <charset val="204"/>
      </rPr>
      <t>3</t>
    </r>
    <r>
      <rPr>
        <sz val="12"/>
        <color theme="1"/>
        <rFont val="Times New Roman"/>
        <family val="1"/>
        <charset val="204"/>
      </rPr>
      <t>/рік.</t>
    </r>
  </si>
  <si>
    <t>Промивання</t>
  </si>
  <si>
    <t>Заповнення</t>
  </si>
  <si>
    <t>Li</t>
  </si>
  <si>
    <t>qi</t>
  </si>
  <si>
    <r>
      <t>витрати гарячої води на протікання через сальникові ущільнення, м</t>
    </r>
    <r>
      <rPr>
        <vertAlign val="superscript"/>
        <sz val="12"/>
        <color theme="1"/>
        <rFont val="Times New Roman"/>
        <family val="1"/>
        <charset val="204"/>
      </rPr>
      <t>3</t>
    </r>
    <r>
      <rPr>
        <sz val="12"/>
        <color theme="1"/>
        <rFont val="Times New Roman"/>
        <family val="1"/>
        <charset val="204"/>
      </rPr>
      <t>/год. Приймаються за паспортними даними, а за їх відсутності не більше 2 л/год;</t>
    </r>
  </si>
  <si>
    <t>Тi</t>
  </si>
  <si>
    <t>фактичний час роботи насоса, год/рік;</t>
  </si>
  <si>
    <t xml:space="preserve">Технологічні нормативи витрат холодної води для виробництва гарячої води, 
зокрема для промивання теплообмінників </t>
  </si>
  <si>
    <r>
      <t>обсяг холодної води, який витрачається на одне промивання обладнання в і-му ЦТП, що підтверджується актом промивання, м</t>
    </r>
    <r>
      <rPr>
        <vertAlign val="superscript"/>
        <sz val="12"/>
        <color theme="1"/>
        <rFont val="Times New Roman"/>
        <family val="1"/>
        <charset val="204"/>
      </rPr>
      <t>3</t>
    </r>
    <r>
      <rPr>
        <sz val="12"/>
        <color theme="1"/>
        <rFont val="Times New Roman"/>
        <family val="1"/>
        <charset val="204"/>
      </rPr>
      <t>. Визначається за фактичними даними, за даними паспорта обладнання або за технічним регламентом експлуатації системи;</t>
    </r>
  </si>
  <si>
    <t>Ni</t>
  </si>
  <si>
    <t>Визначення індивідуальних технологічних нормативів втрат води</t>
  </si>
  <si>
    <t>Розрахунок технологічних нормативів втрат гарячої води, пов’язаних з 
її витіканням з трубопроводів при аваріях (WГВав1), здійснюється за формулою</t>
  </si>
  <si>
    <t>N</t>
  </si>
  <si>
    <t>кількість аварій в мережі за рік, од.;</t>
  </si>
  <si>
    <t>час витікання води до локалізації аварії, год;</t>
  </si>
  <si>
    <t>ωi</t>
  </si>
  <si>
    <t>H</t>
  </si>
  <si>
    <t>середньозважений тиск на заданій ділянці, зареєстрований на тепловому пункті за останній звітний рік, м вод. ст.;</t>
  </si>
  <si>
    <t>За відсутності фактичних даних час витікання води до локалізації аварії приймається 0,5 год.</t>
  </si>
  <si>
    <r>
      <t>жива площа перерізу i-го отвору, тріщини або розлому, м</t>
    </r>
    <r>
      <rPr>
        <vertAlign val="superscript"/>
        <sz val="12"/>
        <color theme="1"/>
        <rFont val="Times New Roman"/>
        <family val="1"/>
        <charset val="204"/>
      </rPr>
      <t>2</t>
    </r>
    <r>
      <rPr>
        <sz val="12"/>
        <color theme="1"/>
        <rFont val="Times New Roman"/>
        <family val="1"/>
        <charset val="204"/>
      </rPr>
      <t>;</t>
    </r>
  </si>
  <si>
    <t>При витіканні води з тріщин у трубах допускається приймати</t>
  </si>
  <si>
    <t>діаметр трубопроводу на заданій ділянці, м.</t>
  </si>
  <si>
    <t>При витіканні з переломів у трубах</t>
  </si>
  <si>
    <t>Співвідношення типів руйнування визначається за фактичними даними експлуатації,
 а за їх відсутності приймається таке співвідношення: зі свищами - 75 %, з тріщинами               - 20 %, з переломом - 5 %.</t>
  </si>
  <si>
    <t>d</t>
  </si>
  <si>
    <t>коефіцієнт для перерахунку секунд у години та врахування сталої величини π/4 (2826 = 3600 х 3,14 / 4);</t>
  </si>
  <si>
    <t>протяжність промивної ділянки трубопроводу в однотрубному вимірі, м. Для водоводів протяжність промивних ділянок приймається за фактичними даними або вважається рівною протяжності ремонтних ділянок;</t>
  </si>
  <si>
    <t>Технологічні нормативи втрат гарячої води, пов’язані з протіканнями води 
через стики і стінки сталевих трубопроводів (WГВсх1), розраховуються за формулою</t>
  </si>
  <si>
    <t>кількість діб роботи системи гарячого водопостачання за рік, діб;</t>
  </si>
  <si>
    <t>t</t>
  </si>
  <si>
    <t>режим роботи системи ЦПГВ, год/добу;</t>
  </si>
  <si>
    <t>Lj</t>
  </si>
  <si>
    <t>довжина і-ої ділянки сталевого трубопроводу в однотрубному вимірі, км;</t>
  </si>
  <si>
    <t>тиск, при якому проводяться гідравлічні випробування, м вод. ст.;</t>
  </si>
  <si>
    <t>K</t>
  </si>
  <si>
    <t>допустимий рівень витрат води, л/хв. 
Допустимий рівень витрат води з нових сталевих трубопроводів завдовжки 1 км (при тиску 60 м вод. ст.) приймається згідно з додатком 1 до цієї Методики;</t>
  </si>
  <si>
    <r>
      <t>коефіцієнт для переведення л/хв у м</t>
    </r>
    <r>
      <rPr>
        <vertAlign val="superscript"/>
        <sz val="12"/>
        <color theme="1"/>
        <rFont val="Times New Roman"/>
        <family val="1"/>
        <charset val="204"/>
      </rPr>
      <t>3</t>
    </r>
    <r>
      <rPr>
        <sz val="12"/>
        <color theme="1"/>
        <rFont val="Times New Roman"/>
        <family val="1"/>
        <charset val="204"/>
      </rPr>
      <t>/год;</t>
    </r>
  </si>
  <si>
    <r>
      <t>загальний обсяг води, що надійшов до системи ЦПГВ, тис. м</t>
    </r>
    <r>
      <rPr>
        <vertAlign val="superscript"/>
        <sz val="12"/>
        <color theme="1"/>
        <rFont val="Times New Roman"/>
        <family val="1"/>
        <charset val="204"/>
      </rPr>
      <t>3</t>
    </r>
    <r>
      <rPr>
        <sz val="12"/>
        <color theme="1"/>
        <rFont val="Times New Roman"/>
        <family val="1"/>
        <charset val="204"/>
      </rPr>
      <t>/рік;</t>
    </r>
  </si>
  <si>
    <t>Nсв</t>
  </si>
  <si>
    <t>кількість невиявлених свищів, од.;</t>
  </si>
  <si>
    <t>час витікання гарячої води через невиявлені свищі протягом доби, год;</t>
  </si>
  <si>
    <t>ni</t>
  </si>
  <si>
    <t>кількість днів роботи системи ЦПГВ за рік, діб;</t>
  </si>
  <si>
    <r>
      <t>площа отвору свища. За відсутності фактичних даних становить 2 х 10-4 м</t>
    </r>
    <r>
      <rPr>
        <vertAlign val="superscript"/>
        <sz val="12"/>
        <color theme="1"/>
        <rFont val="Times New Roman"/>
        <family val="1"/>
        <charset val="204"/>
      </rPr>
      <t>2</t>
    </r>
    <r>
      <rPr>
        <sz val="12"/>
        <color theme="1"/>
        <rFont val="Times New Roman"/>
        <family val="1"/>
        <charset val="204"/>
      </rPr>
      <t>;</t>
    </r>
  </si>
  <si>
    <t>Кількість невиявлених свищів оцінюється за формулою</t>
  </si>
  <si>
    <t>статистичний коефіцієнт, який враховує ймовірність не виявлення утвореного свища протягом 1 року;</t>
  </si>
  <si>
    <t>кількість аварій за рік, приведена до довжини розподільної мережі, од/км. Приймається за фактичними даними минулого року, але не більше 2 аварій на 1 км сталевих трубопроводів в однотрубному вимірі;</t>
  </si>
  <si>
    <t>Т</t>
  </si>
  <si>
    <t>середньозважений строк експлуатації трубопроводу, роки. Визначається за формулою</t>
  </si>
  <si>
    <t>довжина j-ої ділянки сталевого трубопроводу в однотрубному вимірі, км;</t>
  </si>
  <si>
    <t>Tj</t>
  </si>
  <si>
    <t>строк експлуатації j-ої ділянки сталевого трубопроводу, роки.</t>
  </si>
  <si>
    <t>q</t>
  </si>
  <si>
    <t>період роботи запірної арматури, діб;</t>
  </si>
  <si>
    <t>δ</t>
  </si>
  <si>
    <t>частка арматури, яка має протікання. При невідомій кількості приймається значення 0,03;</t>
  </si>
  <si>
    <t>загальна кількість одиниць арматури, од.;</t>
  </si>
  <si>
    <t>Технологічні нормативи втрат гарячої води, пов’язані з просочуванням
 через закриту арматуру (WГВарм2), розраховуються з паспортних даних арматури з урахуванням фактичного часу закриття за формулою</t>
  </si>
  <si>
    <t>середній період перебування запірної арматури в закритому стані відповідно до регламенту роботи обладнання, діб/рік;</t>
  </si>
  <si>
    <t>загальна кількість закритих одиниць арматури, які перебувають в експлуатації на розподільній мережі гарячого водопостачання (крім можливих резервних ліній), од.;</t>
  </si>
  <si>
    <t>qn</t>
  </si>
  <si>
    <r>
      <t>загальний обсяг води, що надійшов до системи ЦПГВ, тис. м</t>
    </r>
    <r>
      <rPr>
        <vertAlign val="superscript"/>
        <sz val="12"/>
        <color theme="1"/>
        <rFont val="Times New Roman"/>
        <family val="1"/>
        <charset val="204"/>
      </rPr>
      <t>3/</t>
    </r>
    <r>
      <rPr>
        <sz val="12"/>
        <color theme="1"/>
        <rFont val="Times New Roman"/>
        <family val="1"/>
        <charset val="204"/>
      </rPr>
      <t>рік.</t>
    </r>
  </si>
  <si>
    <t>Визначення необлікованих втрат гарячої води</t>
  </si>
  <si>
    <t>Технологічні нормативи втрат гарячої води, які не обліковані вузлами комерційного обліку, 
виникають внаслідок розбору гарячої води нижче порогу чутливості вимірювальної техніки 
(WГВно) і розраховуються за формулою</t>
  </si>
  <si>
    <t>кількість годин роботи комерційного засобу обліку нижче порогу чутливості. За відсутності даних приймається 6 год/добу при цілодобовій подачі гарячої води та 2 год/добу при подачі води за графіком;</t>
  </si>
  <si>
    <t>кількість діб роботи ЦПГВ за рік, діб;</t>
  </si>
  <si>
    <t>частка лічильників, що працюють нижче порогу чутливості. За відсутності даних приймається середньостатистичне значення - 0,1;</t>
  </si>
  <si>
    <t>Qза</t>
  </si>
  <si>
    <r>
      <t>допустимий рівень протікання води через закриту арматуру (з паспортних даних), м</t>
    </r>
    <r>
      <rPr>
        <vertAlign val="superscript"/>
        <sz val="12"/>
        <color theme="1"/>
        <rFont val="Times New Roman"/>
        <family val="1"/>
        <charset val="204"/>
      </rPr>
      <t>3</t>
    </r>
    <r>
      <rPr>
        <sz val="12"/>
        <color theme="1"/>
        <rFont val="Times New Roman"/>
        <family val="1"/>
        <charset val="204"/>
      </rPr>
      <t>/добу. За відсутності даних приймаються на рівні 4 л/год (0,096 м</t>
    </r>
    <r>
      <rPr>
        <vertAlign val="superscript"/>
        <sz val="12"/>
        <color theme="1"/>
        <rFont val="Times New Roman"/>
        <family val="1"/>
        <charset val="204"/>
      </rPr>
      <t>3</t>
    </r>
    <r>
      <rPr>
        <sz val="12"/>
        <color theme="1"/>
        <rFont val="Times New Roman"/>
        <family val="1"/>
        <charset val="204"/>
      </rPr>
      <t>/добу);</t>
    </r>
  </si>
  <si>
    <t xml:space="preserve"> Технологічні нормативи витрат холодної та гарячої води в розподільних мережах (Wм)  складаються з витрат для планового промивання, дезінфекції (WмХВ) та заповнення мереж (WмГВ).</t>
  </si>
  <si>
    <t>коефіцієнт, що враховує перерахунок сталої величини π/4                         (3,14 / 4 = 0,785);</t>
  </si>
  <si>
    <t>Загальний обсяг води, що надійшов до системи ЦПГВ 
за 2018рік</t>
  </si>
  <si>
    <t>Вихідні дані для розрахунку:</t>
  </si>
  <si>
    <t xml:space="preserve">Загальна кількість ЦТП з ЦПГВ </t>
  </si>
  <si>
    <r>
      <t>тис.м</t>
    </r>
    <r>
      <rPr>
        <vertAlign val="superscript"/>
        <sz val="12"/>
        <color theme="1"/>
        <rFont val="Times New Roman"/>
        <family val="1"/>
        <charset val="204"/>
      </rPr>
      <t>3</t>
    </r>
    <r>
      <rPr>
        <sz val="12"/>
        <color theme="1"/>
        <rFont val="Times New Roman"/>
        <family val="1"/>
        <charset val="204"/>
      </rPr>
      <t>/рік</t>
    </r>
  </si>
  <si>
    <t>шт</t>
  </si>
  <si>
    <t xml:space="preserve">Загальна кількість  котельних  з ЦПГВ </t>
  </si>
  <si>
    <t>Кількість</t>
  </si>
  <si>
    <t>Од.
виміру</t>
  </si>
  <si>
    <t>Кількість аварій за  2018рік</t>
  </si>
  <si>
    <t>діб</t>
  </si>
  <si>
    <t>Режим роботи системи ЦПГВ</t>
  </si>
  <si>
    <t>годин</t>
  </si>
  <si>
    <t>Середньозважений строк експлуатації трубопроводу</t>
  </si>
  <si>
    <t>роки</t>
  </si>
  <si>
    <t>км</t>
  </si>
  <si>
    <t>Загальна кількість одиниць арматури</t>
  </si>
  <si>
    <t>одиниць</t>
  </si>
  <si>
    <t>Загальна довжина сталевого трубопроводу ГВП  в однотрубному вимірі</t>
  </si>
  <si>
    <t>КППВ</t>
  </si>
  <si>
    <t>Кількість діб роботи ЦПГВ за рік</t>
  </si>
  <si>
    <t>=</t>
  </si>
  <si>
    <t xml:space="preserve">Фактичні витрати   холодної та гарячої води  
для власних господарсько - побутових потреб </t>
  </si>
  <si>
    <t xml:space="preserve">кількість промивань одиниці обладнання за рік, од. Приймається за фактичними даними минулого року, але не більше 2 промивань на рік. </t>
  </si>
  <si>
    <t>кількість планових промивань трубопроводів за рік, од. Приймається за фактичними даними минулого року, але не більше 2 промивань на рік.</t>
  </si>
  <si>
    <t>Планові промивання трубопроводів</t>
  </si>
  <si>
    <t>Заповнення трубопроводів після планових промивань</t>
  </si>
  <si>
    <t>Протікання через сальникові ущільнення</t>
  </si>
  <si>
    <t>Промивання теплообмінників</t>
  </si>
  <si>
    <t>ВСЬОГО</t>
  </si>
  <si>
    <t>коефіцієнт перерахунку</t>
  </si>
  <si>
    <t>Площа перерізу (ωi) визначається за типом руйнування трубопроводу. 
У випадках свищів, зруйнованих стиків або сальників приймається фактична площа отвору або:</t>
  </si>
  <si>
    <t>У випадках просадних ґрунтів співвідношення може бути переглянуто і кількість аварій, пов’язаних з переломами, може бути збільшена до 10 %.</t>
  </si>
  <si>
    <t>4. Розрахунок технологічних нормативів втрат холодної води для промивання мереж після ліквідації аварії (WХВав2) здійснюється за формулою</t>
  </si>
  <si>
    <t>фактичний час промивання і-ої ділянки, год. За відсутності даних приймається час промивання трубопроводів не більше           2 год;</t>
  </si>
  <si>
    <t>Розрахунок технологічних нормативів втрат гарячої води для заповнення 
мереж після ліквідації аварії  здійснюється за формулою</t>
  </si>
  <si>
    <t>коефіцієнт, що враховує перерахунок сталої величини π/4                                               (3,14 / 4 = 0,785);</t>
  </si>
  <si>
    <t>коефіцієнт, який залежить від строку експлуатації сталевих трубопроводів, типу стиків. Значення К можуть бути визначені експериментальним шляхом чи згідно додатку 2 Методики</t>
  </si>
  <si>
    <t>Технологічні нормативи втрат гарячої води через невиявлені свищі на сталевих  трубопроводах (WГВсх2) розраховуються за формулою</t>
  </si>
  <si>
    <r>
      <t>середні втрати води через ущільнення мережевої арматури, м</t>
    </r>
    <r>
      <rPr>
        <vertAlign val="superscript"/>
        <sz val="12"/>
        <color theme="1"/>
        <rFont val="Times New Roman"/>
        <family val="1"/>
        <charset val="204"/>
      </rPr>
      <t>3</t>
    </r>
    <r>
      <rPr>
        <sz val="12"/>
        <color theme="1"/>
        <rFont val="Times New Roman"/>
        <family val="1"/>
        <charset val="204"/>
      </rPr>
      <t>/добу. Показник q оцінюється за фактичними даними, за їх відсутності приймається на рівні 0,5 м</t>
    </r>
    <r>
      <rPr>
        <vertAlign val="superscript"/>
        <sz val="12"/>
        <color theme="1"/>
        <rFont val="Times New Roman"/>
        <family val="1"/>
        <charset val="204"/>
      </rPr>
      <t>3</t>
    </r>
    <r>
      <rPr>
        <sz val="12"/>
        <color theme="1"/>
        <rFont val="Times New Roman"/>
        <family val="1"/>
        <charset val="204"/>
      </rPr>
      <t>/добу для труб з діаметром до 100 мм; 2,15 м</t>
    </r>
    <r>
      <rPr>
        <vertAlign val="superscript"/>
        <sz val="12"/>
        <color theme="1"/>
        <rFont val="Times New Roman"/>
        <family val="1"/>
        <charset val="204"/>
      </rPr>
      <t>3</t>
    </r>
    <r>
      <rPr>
        <sz val="12"/>
        <color theme="1"/>
        <rFont val="Times New Roman"/>
        <family val="1"/>
        <charset val="204"/>
      </rPr>
      <t>/добу для труб з діаметром від 100 до 200 мм; 4,3 м</t>
    </r>
    <r>
      <rPr>
        <vertAlign val="superscript"/>
        <sz val="12"/>
        <color theme="1"/>
        <rFont val="Times New Roman"/>
        <family val="1"/>
        <charset val="204"/>
      </rPr>
      <t>3</t>
    </r>
    <r>
      <rPr>
        <sz val="12"/>
        <color theme="1"/>
        <rFont val="Times New Roman"/>
        <family val="1"/>
        <charset val="204"/>
      </rPr>
      <t>/добу для труб з діаметром 200 мм і більше;</t>
    </r>
  </si>
  <si>
    <t xml:space="preserve">Технологічні нормативи витрат води </t>
  </si>
  <si>
    <t xml:space="preserve">Технологічні нормативи втрат води </t>
  </si>
  <si>
    <t>пов'язані з витіканням з трубопроводів при аваріях</t>
  </si>
  <si>
    <t>промивання мереж після  ліквідації аварій</t>
  </si>
  <si>
    <t>заповнення  мереж після  ліквідації аварій</t>
  </si>
  <si>
    <t>протікання через стики і стінки трубопроводів</t>
  </si>
  <si>
    <t xml:space="preserve">через невиявлені свищі на трубопроводах </t>
  </si>
  <si>
    <t>через ущільнення арматури при несправностях</t>
  </si>
  <si>
    <t>просочування через закриту арматуру</t>
  </si>
  <si>
    <r>
      <t>поріг чутливості комерційного засобу обліку i-го калібру,     ДУ 15             м</t>
    </r>
    <r>
      <rPr>
        <vertAlign val="superscript"/>
        <sz val="12"/>
        <color theme="1"/>
        <rFont val="Times New Roman"/>
        <family val="1"/>
        <charset val="204"/>
      </rPr>
      <t>3</t>
    </r>
    <r>
      <rPr>
        <sz val="12"/>
        <color theme="1"/>
        <rFont val="Times New Roman"/>
        <family val="1"/>
        <charset val="204"/>
      </rPr>
      <t>/год;</t>
    </r>
  </si>
  <si>
    <t>кількість вузлів комерційного обліку i-го калібру, од.; ДУ15</t>
  </si>
  <si>
    <r>
      <t>технологічні нормативи витрат холодної води для власних господарсько-побутових потреб ЦТП та/або котелень, м</t>
    </r>
    <r>
      <rPr>
        <vertAlign val="superscript"/>
        <sz val="12"/>
        <color theme="1"/>
        <rFont val="Times New Roman"/>
        <family val="1"/>
        <charset val="204"/>
      </rPr>
      <t>3</t>
    </r>
    <r>
      <rPr>
        <sz val="12"/>
        <color theme="1"/>
        <rFont val="Times New Roman"/>
        <family val="1"/>
        <charset val="204"/>
      </rPr>
      <t>/тис. м</t>
    </r>
    <r>
      <rPr>
        <vertAlign val="superscript"/>
        <sz val="12"/>
        <color theme="1"/>
        <rFont val="Times New Roman"/>
        <family val="1"/>
        <charset val="204"/>
      </rPr>
      <t>3</t>
    </r>
    <r>
      <rPr>
        <sz val="12"/>
        <color theme="1"/>
        <rFont val="Times New Roman"/>
        <family val="1"/>
        <charset val="204"/>
      </rPr>
      <t>;</t>
    </r>
  </si>
  <si>
    <r>
      <t>технологічні нормативи витрат холодної води для транспортування, м</t>
    </r>
    <r>
      <rPr>
        <vertAlign val="superscript"/>
        <sz val="12"/>
        <color theme="1"/>
        <rFont val="Times New Roman"/>
        <family val="1"/>
        <charset val="204"/>
      </rPr>
      <t>3</t>
    </r>
    <r>
      <rPr>
        <sz val="12"/>
        <color theme="1"/>
        <rFont val="Times New Roman"/>
        <family val="1"/>
        <charset val="204"/>
      </rPr>
      <t>/тис. м</t>
    </r>
    <r>
      <rPr>
        <vertAlign val="superscript"/>
        <sz val="12"/>
        <color theme="1"/>
        <rFont val="Times New Roman"/>
        <family val="1"/>
        <charset val="204"/>
      </rPr>
      <t>3</t>
    </r>
    <r>
      <rPr>
        <sz val="12"/>
        <color theme="1"/>
        <rFont val="Times New Roman"/>
        <family val="1"/>
        <charset val="204"/>
      </rPr>
      <t>;</t>
    </r>
  </si>
  <si>
    <r>
      <t>технологічні нормативи витрат холодної води для виробництва гарячої води, зокрема для промивання теплообмінників та баків-акумуляторів після хімічного або механічного очищення, м</t>
    </r>
    <r>
      <rPr>
        <vertAlign val="superscript"/>
        <sz val="12"/>
        <color theme="1"/>
        <rFont val="Times New Roman"/>
        <family val="1"/>
        <charset val="204"/>
      </rPr>
      <t>3</t>
    </r>
    <r>
      <rPr>
        <sz val="12"/>
        <color theme="1"/>
        <rFont val="Times New Roman"/>
        <family val="1"/>
        <charset val="204"/>
      </rPr>
      <t>/тис. м</t>
    </r>
    <r>
      <rPr>
        <vertAlign val="superscript"/>
        <sz val="12"/>
        <color theme="1"/>
        <rFont val="Times New Roman"/>
        <family val="1"/>
        <charset val="204"/>
      </rPr>
      <t>3</t>
    </r>
    <r>
      <rPr>
        <sz val="12"/>
        <color theme="1"/>
        <rFont val="Times New Roman"/>
        <family val="1"/>
        <charset val="204"/>
      </rPr>
      <t>;</t>
    </r>
  </si>
  <si>
    <r>
      <t>технологічні нормативи витрат гарячої води для власних господарсько-побутових потреб ЦТП та/або котелень, м</t>
    </r>
    <r>
      <rPr>
        <vertAlign val="superscript"/>
        <sz val="12"/>
        <color theme="1"/>
        <rFont val="Times New Roman"/>
        <family val="1"/>
        <charset val="204"/>
      </rPr>
      <t>3</t>
    </r>
    <r>
      <rPr>
        <sz val="12"/>
        <color theme="1"/>
        <rFont val="Times New Roman"/>
        <family val="1"/>
        <charset val="204"/>
      </rPr>
      <t>/тис. м</t>
    </r>
    <r>
      <rPr>
        <vertAlign val="superscript"/>
        <sz val="12"/>
        <color theme="1"/>
        <rFont val="Times New Roman"/>
        <family val="1"/>
        <charset val="204"/>
      </rPr>
      <t>3</t>
    </r>
    <r>
      <rPr>
        <sz val="12"/>
        <color theme="1"/>
        <rFont val="Times New Roman"/>
        <family val="1"/>
        <charset val="204"/>
      </rPr>
      <t>;</t>
    </r>
  </si>
  <si>
    <r>
      <t>технологічні нормативи витрат гарячої води для транспортування, м</t>
    </r>
    <r>
      <rPr>
        <vertAlign val="superscript"/>
        <sz val="12"/>
        <color theme="1"/>
        <rFont val="Times New Roman"/>
        <family val="1"/>
        <charset val="204"/>
      </rPr>
      <t>3</t>
    </r>
    <r>
      <rPr>
        <sz val="12"/>
        <color theme="1"/>
        <rFont val="Times New Roman"/>
        <family val="1"/>
        <charset val="204"/>
      </rPr>
      <t>/тис. м</t>
    </r>
    <r>
      <rPr>
        <vertAlign val="superscript"/>
        <sz val="12"/>
        <color theme="1"/>
        <rFont val="Times New Roman"/>
        <family val="1"/>
        <charset val="204"/>
      </rPr>
      <t>3</t>
    </r>
    <r>
      <rPr>
        <sz val="12"/>
        <color theme="1"/>
        <rFont val="Times New Roman"/>
        <family val="1"/>
        <charset val="204"/>
      </rPr>
      <t>.</t>
    </r>
  </si>
  <si>
    <t>Kр-дітп</t>
  </si>
  <si>
    <t>кількість робочих днів інженерно-технічних працівників за останній рік, діб;</t>
  </si>
  <si>
    <t>Kр-дроб</t>
  </si>
  <si>
    <t>кількість робочих днів робітників за останній рік, діб;</t>
  </si>
  <si>
    <t>Kітп</t>
  </si>
  <si>
    <t>кількість інженерно-технічних працівників, які безпосередньо задіяні в процесі виробництва та постачання гарячої води, осіб;</t>
  </si>
  <si>
    <t>Kроб</t>
  </si>
  <si>
    <t>кількість робітників, які безпосередньо задіяні в процесі виробництва та постачання гарячої води, осіб;</t>
  </si>
  <si>
    <r>
      <t>норма використання холодної води одним робітником на добу, м</t>
    </r>
    <r>
      <rPr>
        <vertAlign val="superscript"/>
        <sz val="12"/>
        <color theme="1"/>
        <rFont val="Times New Roman"/>
        <family val="1"/>
        <charset val="204"/>
      </rPr>
      <t>3</t>
    </r>
    <r>
      <rPr>
        <sz val="12"/>
        <color theme="1"/>
        <rFont val="Times New Roman"/>
        <family val="1"/>
        <charset val="204"/>
      </rPr>
      <t>;</t>
    </r>
  </si>
  <si>
    <r>
      <t>норма використання холодної води одним інженерно-технічним працівником на добу, м</t>
    </r>
    <r>
      <rPr>
        <vertAlign val="superscript"/>
        <sz val="12"/>
        <color theme="1"/>
        <rFont val="Times New Roman"/>
        <family val="1"/>
        <charset val="204"/>
      </rPr>
      <t>3</t>
    </r>
    <r>
      <rPr>
        <sz val="12"/>
        <color theme="1"/>
        <rFont val="Times New Roman"/>
        <family val="1"/>
        <charset val="204"/>
      </rPr>
      <t>;</t>
    </r>
  </si>
  <si>
    <t>Технологічні нормативи витрат холодної води для власних господарсько-побутових
 потреб (WХВвласн) розраховуються за формулою</t>
  </si>
  <si>
    <t>Технологічні нормативи витрат гарячої води для власних господарсько-побутових
 потреб (WГВвласн) розраховуються за формулою</t>
  </si>
  <si>
    <r>
      <t>норма використання гарячої води одним інженерно-технічним працівником на добу, м</t>
    </r>
    <r>
      <rPr>
        <vertAlign val="superscript"/>
        <sz val="12"/>
        <color theme="1"/>
        <rFont val="Times New Roman"/>
        <family val="1"/>
        <charset val="204"/>
      </rPr>
      <t>3</t>
    </r>
    <r>
      <rPr>
        <sz val="12"/>
        <color theme="1"/>
        <rFont val="Times New Roman"/>
        <family val="1"/>
        <charset val="204"/>
      </rPr>
      <t>;</t>
    </r>
  </si>
  <si>
    <r>
      <t>норма використання гарячої води одним робітником на добу, м</t>
    </r>
    <r>
      <rPr>
        <vertAlign val="superscript"/>
        <sz val="12"/>
        <color theme="1"/>
        <rFont val="Times New Roman"/>
        <family val="1"/>
        <charset val="204"/>
      </rPr>
      <t>3</t>
    </r>
    <r>
      <rPr>
        <sz val="12"/>
        <color theme="1"/>
        <rFont val="Times New Roman"/>
        <family val="1"/>
        <charset val="204"/>
      </rPr>
      <t>;</t>
    </r>
  </si>
  <si>
    <t xml:space="preserve">Технологічні нормативи витрат холодної та гарячої води для транспортування  (Wтр)  </t>
  </si>
  <si>
    <t>розраховуються за формулами</t>
  </si>
  <si>
    <r>
      <t>технологічні нормативи витрат гарячої води в розподільних мережах</t>
    </r>
    <r>
      <rPr>
        <sz val="12"/>
        <color theme="1"/>
        <rFont val="Times New Roman"/>
        <family val="1"/>
        <charset val="204"/>
      </rPr>
      <t>;</t>
    </r>
  </si>
  <si>
    <r>
      <t>технологічні нормативи витрат гарячої води для власних потреб насосних станцій та насосних груп</t>
    </r>
    <r>
      <rPr>
        <sz val="12"/>
        <color theme="1"/>
        <rFont val="Times New Roman"/>
        <family val="1"/>
        <charset val="204"/>
      </rPr>
      <t>.</t>
    </r>
  </si>
  <si>
    <r>
      <t>технологічні нормативи витрат холодної води в розподільних мережах</t>
    </r>
    <r>
      <rPr>
        <sz val="12"/>
        <color theme="1"/>
        <rFont val="Times New Roman"/>
        <family val="1"/>
        <charset val="204"/>
      </rPr>
      <t>;</t>
    </r>
  </si>
  <si>
    <t>технологічні нормативи витрат холодної води для власних потреб насосних станцій та насосних груп</t>
  </si>
  <si>
    <t>кількість планових промивань трубопроводів за рік, од. Приймається за фактичними даними минулого року, але не більше 2 промивань на рік. ;</t>
  </si>
  <si>
    <t xml:space="preserve">фактичний час промивання і-ої ділянки, год. За відсутності даних приймається час промивання трубопроводів не більше 2 год;                 </t>
  </si>
  <si>
    <t>ТЕЦ</t>
  </si>
  <si>
    <t>Внутрішній
діаметр</t>
  </si>
  <si>
    <t xml:space="preserve"> ˂ 10</t>
  </si>
  <si>
    <t>11-20</t>
  </si>
  <si>
    <t>21-30</t>
  </si>
  <si>
    <t>К =1</t>
  </si>
  <si>
    <t>К= 2,1</t>
  </si>
  <si>
    <t>К = 3,2</t>
  </si>
  <si>
    <t>К = 4,4</t>
  </si>
  <si>
    <t>&gt; 30</t>
  </si>
  <si>
    <t>Ділянка тепломережі</t>
  </si>
  <si>
    <t xml:space="preserve">Рік </t>
  </si>
  <si>
    <t>від ТК</t>
  </si>
  <si>
    <t>до ТК</t>
  </si>
  <si>
    <t>ТК 5</t>
  </si>
  <si>
    <t xml:space="preserve">ж/б Харківська,2/1  </t>
  </si>
  <si>
    <t xml:space="preserve"> ТК 2</t>
  </si>
  <si>
    <t xml:space="preserve">ТК 8  </t>
  </si>
  <si>
    <t xml:space="preserve">ж/б  Харківська,18 </t>
  </si>
  <si>
    <t xml:space="preserve">ж/б Харківська,20   </t>
  </si>
  <si>
    <t xml:space="preserve"> ТК 3 </t>
  </si>
  <si>
    <t xml:space="preserve">ж/б Харківська,8    </t>
  </si>
  <si>
    <t xml:space="preserve">ТК4 </t>
  </si>
  <si>
    <t xml:space="preserve">ж/б Харківська,8   </t>
  </si>
  <si>
    <t xml:space="preserve"> ТК 10 </t>
  </si>
  <si>
    <t xml:space="preserve">ж/б Харківська,18   </t>
  </si>
  <si>
    <t>ТК 10</t>
  </si>
  <si>
    <t xml:space="preserve">ж/бХарківська,16    </t>
  </si>
  <si>
    <t xml:space="preserve">ж/б Харківська,4    </t>
  </si>
  <si>
    <t xml:space="preserve"> ЦТП</t>
  </si>
  <si>
    <t xml:space="preserve">ТК-1    </t>
  </si>
  <si>
    <t>ТК 9</t>
  </si>
  <si>
    <t xml:space="preserve">ж/б Харківська,12    </t>
  </si>
  <si>
    <t xml:space="preserve"> ТК 3</t>
  </si>
  <si>
    <t xml:space="preserve"> ж/б Харківська,8/2  </t>
  </si>
  <si>
    <t xml:space="preserve">ж/бХарківська ,4    </t>
  </si>
  <si>
    <t xml:space="preserve"> ТК 7</t>
  </si>
  <si>
    <t xml:space="preserve">ТК 9    </t>
  </si>
  <si>
    <t xml:space="preserve">ж/б Харківська,4  </t>
  </si>
  <si>
    <t xml:space="preserve"> ТК 4</t>
  </si>
  <si>
    <t xml:space="preserve">ж/б Харківська,6/1    </t>
  </si>
  <si>
    <t>ТК 6</t>
  </si>
  <si>
    <t xml:space="preserve">ТК 7   </t>
  </si>
  <si>
    <t xml:space="preserve">ж/б Харківська,6/2   </t>
  </si>
  <si>
    <t xml:space="preserve"> ТК 6</t>
  </si>
  <si>
    <t xml:space="preserve">ТК 5    </t>
  </si>
  <si>
    <t xml:space="preserve">ж/б Харківська,14    </t>
  </si>
  <si>
    <t>Харківська, 10 (д/с)</t>
  </si>
  <si>
    <t xml:space="preserve">ТК-2     </t>
  </si>
  <si>
    <t>ТК 1</t>
  </si>
  <si>
    <t xml:space="preserve">ТК 2    </t>
  </si>
  <si>
    <t xml:space="preserve">ТК 3    </t>
  </si>
  <si>
    <t>ТК 8</t>
  </si>
  <si>
    <t xml:space="preserve"> ТК 1</t>
  </si>
  <si>
    <t xml:space="preserve">ТК6    </t>
  </si>
  <si>
    <t xml:space="preserve">ж/б  Харківська,34 </t>
  </si>
  <si>
    <t xml:space="preserve">ТК 3  </t>
  </si>
  <si>
    <t xml:space="preserve"> ТК3 </t>
  </si>
  <si>
    <t xml:space="preserve">ж/б СКД,25а    </t>
  </si>
  <si>
    <t xml:space="preserve">ж/ б  Харківська,34 </t>
  </si>
  <si>
    <t xml:space="preserve">ж/б  Харківська,32  </t>
  </si>
  <si>
    <t>ж/б  Харківська, 28</t>
  </si>
  <si>
    <t xml:space="preserve">ТК 1   </t>
  </si>
  <si>
    <t>ж/б СКД 21</t>
  </si>
  <si>
    <t xml:space="preserve">ж/б СКД 19   </t>
  </si>
  <si>
    <t>ТК 3</t>
  </si>
  <si>
    <t xml:space="preserve">ж/б СКД 25   </t>
  </si>
  <si>
    <t xml:space="preserve">ж/б СКД 21 </t>
  </si>
  <si>
    <t xml:space="preserve">ж/б СКД 23     </t>
  </si>
  <si>
    <t xml:space="preserve">ж/б СКД 23 </t>
  </si>
  <si>
    <t xml:space="preserve">ж/б СКД 25    </t>
  </si>
  <si>
    <t xml:space="preserve"> ЦТП </t>
  </si>
  <si>
    <t xml:space="preserve">ж/б Харківська,28   </t>
  </si>
  <si>
    <t xml:space="preserve">ж/б Харківська,26 </t>
  </si>
  <si>
    <t xml:space="preserve">ж/б Харківська,24 </t>
  </si>
  <si>
    <t xml:space="preserve">ж/б Харківська,22    </t>
  </si>
  <si>
    <t xml:space="preserve">ж/б Харківська,30  </t>
  </si>
  <si>
    <t xml:space="preserve"> ТК 2 </t>
  </si>
  <si>
    <t xml:space="preserve">ж/б Харківська,34    </t>
  </si>
  <si>
    <t xml:space="preserve">ж/б Харківська,26  </t>
  </si>
  <si>
    <r>
      <t xml:space="preserve"> ТК 2</t>
    </r>
    <r>
      <rPr>
        <b/>
        <sz val="12"/>
        <rFont val="Times New Roman"/>
        <family val="1"/>
        <charset val="204"/>
      </rPr>
      <t xml:space="preserve"> </t>
    </r>
  </si>
  <si>
    <t xml:space="preserve">ТК 3а   </t>
  </si>
  <si>
    <t xml:space="preserve">ТК 1 </t>
  </si>
  <si>
    <t xml:space="preserve">ж/б СКД 40 </t>
  </si>
  <si>
    <t xml:space="preserve">ж/б Харківська,42   </t>
  </si>
  <si>
    <t xml:space="preserve">ж/б СКД 44  </t>
  </si>
  <si>
    <t>ТК3</t>
  </si>
  <si>
    <t xml:space="preserve">ж/б  СКД 50    </t>
  </si>
  <si>
    <t xml:space="preserve">ж/бСКД 48   </t>
  </si>
  <si>
    <t>ТК 2</t>
  </si>
  <si>
    <t xml:space="preserve">ж/б  СКД 46    </t>
  </si>
  <si>
    <t xml:space="preserve">ТК 2   </t>
  </si>
  <si>
    <t>ЦТП</t>
  </si>
  <si>
    <t xml:space="preserve">ж/б СКД 50 </t>
  </si>
  <si>
    <t xml:space="preserve">ж/б СКД 34   </t>
  </si>
  <si>
    <t xml:space="preserve">ж/б СКД 42 </t>
  </si>
  <si>
    <t xml:space="preserve">ж/б Харківська,38  </t>
  </si>
  <si>
    <t xml:space="preserve"> ТК 1 </t>
  </si>
  <si>
    <t xml:space="preserve">ж/б СКД 40    </t>
  </si>
  <si>
    <t xml:space="preserve">ж/б СКД 46 </t>
  </si>
  <si>
    <t xml:space="preserve">магазин,133    </t>
  </si>
  <si>
    <t xml:space="preserve">ж/б СКД 44 </t>
  </si>
  <si>
    <t xml:space="preserve">ж/б СКД 36     </t>
  </si>
  <si>
    <t xml:space="preserve">ж/б СКД 14  </t>
  </si>
  <si>
    <t xml:space="preserve">ж/б СКД 10  </t>
  </si>
  <si>
    <t xml:space="preserve">ж/б СКД 12а  </t>
  </si>
  <si>
    <t xml:space="preserve">ж/б СКД 16     </t>
  </si>
  <si>
    <t>ТК 4</t>
  </si>
  <si>
    <t xml:space="preserve">ж/б СКД 12б     </t>
  </si>
  <si>
    <t xml:space="preserve">ж/б СКД 22   </t>
  </si>
  <si>
    <t xml:space="preserve">ТК 1    </t>
  </si>
  <si>
    <t xml:space="preserve">ж/б СКД 16 </t>
  </si>
  <si>
    <t xml:space="preserve">ЦТП </t>
  </si>
  <si>
    <t xml:space="preserve">ж/б СКД 18     </t>
  </si>
  <si>
    <t>ж/б СКД 20</t>
  </si>
  <si>
    <t xml:space="preserve">ж/б СКД 18 </t>
  </si>
  <si>
    <t xml:space="preserve">ж/б СКД 20    </t>
  </si>
  <si>
    <t xml:space="preserve">ТК 4     </t>
  </si>
  <si>
    <t xml:space="preserve">ж/б Зеленко,5 </t>
  </si>
  <si>
    <t xml:space="preserve">ж/б Зеленко,3   </t>
  </si>
  <si>
    <t xml:space="preserve">ж/б Зеленко,14 </t>
  </si>
  <si>
    <t>ж/б Зеленко,1</t>
  </si>
  <si>
    <t xml:space="preserve"> ТК 4    </t>
  </si>
  <si>
    <t xml:space="preserve"> ТК 8</t>
  </si>
  <si>
    <t xml:space="preserve">ж/б СКД 3/3   </t>
  </si>
  <si>
    <t xml:space="preserve">ж/б Зеленко,5   </t>
  </si>
  <si>
    <t xml:space="preserve">ж/б Зеленко,7   </t>
  </si>
  <si>
    <t xml:space="preserve">магазин,Лілія     </t>
  </si>
  <si>
    <t xml:space="preserve"> ТК 5 </t>
  </si>
  <si>
    <t xml:space="preserve">ж/б СКД 9   </t>
  </si>
  <si>
    <t xml:space="preserve">ТК 3   </t>
  </si>
  <si>
    <t xml:space="preserve">ТК 6     </t>
  </si>
  <si>
    <t xml:space="preserve"> ТК 4 </t>
  </si>
  <si>
    <t xml:space="preserve">ж/б Зеленко,10   </t>
  </si>
  <si>
    <t xml:space="preserve">ТК 9 </t>
  </si>
  <si>
    <t xml:space="preserve">ж/б Зеленко,10     </t>
  </si>
  <si>
    <t xml:space="preserve">ж/б Зеленко,4     </t>
  </si>
  <si>
    <t xml:space="preserve">ТК 10   </t>
  </si>
  <si>
    <t xml:space="preserve">ТК 12    </t>
  </si>
  <si>
    <t xml:space="preserve">школа,№6     </t>
  </si>
  <si>
    <t xml:space="preserve">ж/б СКД 3/1     </t>
  </si>
  <si>
    <t xml:space="preserve">ж/б Зеленко,1     </t>
  </si>
  <si>
    <t xml:space="preserve">ТК 1     </t>
  </si>
  <si>
    <t xml:space="preserve">ж/б Прокоф’єва,12     </t>
  </si>
  <si>
    <t>ж/б СКД 9</t>
  </si>
  <si>
    <t xml:space="preserve">ж/б Зеленко,12   </t>
  </si>
  <si>
    <t xml:space="preserve">ж/б СКД 9 </t>
  </si>
  <si>
    <t xml:space="preserve">ж/б СКД 5    </t>
  </si>
  <si>
    <t>ТК 12</t>
  </si>
  <si>
    <t xml:space="preserve">ТК 7     </t>
  </si>
  <si>
    <t xml:space="preserve">ТК 11    </t>
  </si>
  <si>
    <t>ТК11</t>
  </si>
  <si>
    <t xml:space="preserve">ж/б Прокоф’єва,25/2      </t>
  </si>
  <si>
    <t xml:space="preserve">ж/б СКД 1    </t>
  </si>
  <si>
    <t xml:space="preserve">ж/б Зеленко,14    </t>
  </si>
  <si>
    <t xml:space="preserve">ТК 8     </t>
  </si>
  <si>
    <t xml:space="preserve">ТК 4    </t>
  </si>
  <si>
    <t xml:space="preserve"> ТК 4  </t>
  </si>
  <si>
    <t xml:space="preserve">навч,корп,ГПТУ 1   </t>
  </si>
  <si>
    <t xml:space="preserve">теплиця   </t>
  </si>
  <si>
    <t xml:space="preserve">ТК 3     </t>
  </si>
  <si>
    <t xml:space="preserve">ТК 6 </t>
  </si>
  <si>
    <t xml:space="preserve">ж/б Прокоф’єва,30а    </t>
  </si>
  <si>
    <t xml:space="preserve">гуртожиток,"Медик"  </t>
  </si>
  <si>
    <t xml:space="preserve">гуртожиток Банк,академії,    </t>
  </si>
  <si>
    <t xml:space="preserve"> ТК 5</t>
  </si>
  <si>
    <t xml:space="preserve">басейн   </t>
  </si>
  <si>
    <t xml:space="preserve">ж/б Прокоф’єва, 30а </t>
  </si>
  <si>
    <t xml:space="preserve">ж/б Прокоф’єва,30б  </t>
  </si>
  <si>
    <t xml:space="preserve">гуртожиток,ГПТУ   </t>
  </si>
  <si>
    <t xml:space="preserve">гараж     </t>
  </si>
  <si>
    <t xml:space="preserve">ТК 5     </t>
  </si>
  <si>
    <t xml:space="preserve">майстерня,ГПТУ 1     </t>
  </si>
  <si>
    <t xml:space="preserve"> ТК1 </t>
  </si>
  <si>
    <t xml:space="preserve">ж/б Харківська,46    </t>
  </si>
  <si>
    <t xml:space="preserve">ж/б Харківська, 40 </t>
  </si>
  <si>
    <t xml:space="preserve">ж/б Харківська,40/2     </t>
  </si>
  <si>
    <t xml:space="preserve">ж/б Харківська,44    </t>
  </si>
  <si>
    <t xml:space="preserve">ж/б  Харківська,40/1   </t>
  </si>
  <si>
    <t xml:space="preserve">ж/б  Харківська,46 </t>
  </si>
  <si>
    <t xml:space="preserve">ж/б Харківська,40     </t>
  </si>
  <si>
    <t xml:space="preserve">ТК 10 </t>
  </si>
  <si>
    <t xml:space="preserve">ж/б Миру 5   </t>
  </si>
  <si>
    <t xml:space="preserve">ТК 5  </t>
  </si>
  <si>
    <t xml:space="preserve">д/с Олімпійський   </t>
  </si>
  <si>
    <t xml:space="preserve">д/с Журавушка    </t>
  </si>
  <si>
    <t xml:space="preserve">ТК 5 </t>
  </si>
  <si>
    <t xml:space="preserve">ж/б Харківська,54а     </t>
  </si>
  <si>
    <t>ж/б  Харківська,54б</t>
  </si>
  <si>
    <t xml:space="preserve"> ж/б Харківська,54/1     </t>
  </si>
  <si>
    <t xml:space="preserve"> ТК 9</t>
  </si>
  <si>
    <t xml:space="preserve">ТК 10    </t>
  </si>
  <si>
    <t>ТК 15</t>
  </si>
  <si>
    <t xml:space="preserve">ж/б Харківська,78    </t>
  </si>
  <si>
    <t xml:space="preserve"> ТК 10</t>
  </si>
  <si>
    <t xml:space="preserve">ТК 14    </t>
  </si>
  <si>
    <t xml:space="preserve">ТК 2 </t>
  </si>
  <si>
    <t xml:space="preserve">ж/б Харківська,58а    </t>
  </si>
  <si>
    <t xml:space="preserve"> ТК 12</t>
  </si>
  <si>
    <t xml:space="preserve">ж/б Миру 9    </t>
  </si>
  <si>
    <t xml:space="preserve">ж/б Харківська,58в    </t>
  </si>
  <si>
    <t>ТК 14</t>
  </si>
  <si>
    <t xml:space="preserve">ж/б Миру 5    </t>
  </si>
  <si>
    <t xml:space="preserve">ТК 4   </t>
  </si>
  <si>
    <t xml:space="preserve">ТК 15     </t>
  </si>
  <si>
    <t>Т/м ТК 15</t>
  </si>
  <si>
    <t xml:space="preserve">ТК 12     </t>
  </si>
  <si>
    <t xml:space="preserve">ж/б .Харьківська,25  </t>
  </si>
  <si>
    <t xml:space="preserve">ж/б Харьківська,25 </t>
  </si>
  <si>
    <t xml:space="preserve">ТК 6  </t>
  </si>
  <si>
    <t xml:space="preserve">ж/б Харківська,23/1 </t>
  </si>
  <si>
    <t xml:space="preserve">ж/б  Харьківська,9  </t>
  </si>
  <si>
    <t xml:space="preserve">ТК4  </t>
  </si>
  <si>
    <t xml:space="preserve">ж/б Харьківська,7/1     </t>
  </si>
  <si>
    <t xml:space="preserve">д/садок 16    </t>
  </si>
  <si>
    <t xml:space="preserve">ж/б Харьківська,23     </t>
  </si>
  <si>
    <t xml:space="preserve">ж/б Харьківська,7/2    </t>
  </si>
  <si>
    <t xml:space="preserve">ж/б Харьківська,5    </t>
  </si>
  <si>
    <t xml:space="preserve">Райвиконком   </t>
  </si>
  <si>
    <t xml:space="preserve">ж/б Прокоф’єва,30/1    </t>
  </si>
  <si>
    <t xml:space="preserve">Доп,школа    </t>
  </si>
  <si>
    <t>ТК1</t>
  </si>
  <si>
    <t xml:space="preserve">ж/б Прокоф’єва,24    </t>
  </si>
  <si>
    <t xml:space="preserve">ж/б Прокоф’єва,22  </t>
  </si>
  <si>
    <t>ж/б Прокоф’єва, 24</t>
  </si>
  <si>
    <t xml:space="preserve">ж/б Прокоф’єва,26  </t>
  </si>
  <si>
    <t xml:space="preserve"> вул. Прокоф'єва, 28 (теплиця) - </t>
  </si>
  <si>
    <t xml:space="preserve">ТК1 </t>
  </si>
  <si>
    <t xml:space="preserve">ТК 4  </t>
  </si>
  <si>
    <t xml:space="preserve">ТК 7  </t>
  </si>
  <si>
    <t xml:space="preserve">ж/б Прокоф’єва,27/2 </t>
  </si>
  <si>
    <t>ж/б Прокоф’єва,25</t>
  </si>
  <si>
    <t xml:space="preserve">ж/д Прокоф’єва,29 </t>
  </si>
  <si>
    <t xml:space="preserve">ТК 1а  </t>
  </si>
  <si>
    <t xml:space="preserve"> ж/б Прокоф’єва,25 </t>
  </si>
  <si>
    <t xml:space="preserve">магазин </t>
  </si>
  <si>
    <t>ж/б Прокоф’єва, 25</t>
  </si>
  <si>
    <t xml:space="preserve">ж/б Прокоф’єва,25 2блок  </t>
  </si>
  <si>
    <t xml:space="preserve">ж/б Прокоф’єва,25а    </t>
  </si>
  <si>
    <t xml:space="preserve">ж/б Прокоф’єва,25 </t>
  </si>
  <si>
    <t xml:space="preserve">ж/б Прокоф’єва,25/1   </t>
  </si>
  <si>
    <t xml:space="preserve">ж/бПрокоф’ева, 31 </t>
  </si>
  <si>
    <t xml:space="preserve"> ТК 1  </t>
  </si>
  <si>
    <t xml:space="preserve">ТК 3 </t>
  </si>
  <si>
    <t xml:space="preserve"> ТК 1а </t>
  </si>
  <si>
    <t xml:space="preserve">ж/б Прокоф’єва,31 </t>
  </si>
  <si>
    <t xml:space="preserve"> ТК 7а</t>
  </si>
  <si>
    <t xml:space="preserve">ж/д Прокоф’єва,25/2  </t>
  </si>
  <si>
    <t>ТК 7а</t>
  </si>
  <si>
    <t>ж/д Прокоф’єва,27/1</t>
  </si>
  <si>
    <t>ТК 1а</t>
  </si>
  <si>
    <r>
      <rPr>
        <sz val="12"/>
        <color indexed="8"/>
        <rFont val="Times New Roman"/>
        <family val="1"/>
        <charset val="204"/>
      </rPr>
      <t xml:space="preserve">ж/б Прокоф’єва,29/1  </t>
    </r>
    <r>
      <rPr>
        <sz val="12"/>
        <rFont val="Times New Roman"/>
        <family val="1"/>
        <charset val="204"/>
      </rPr>
      <t xml:space="preserve"> </t>
    </r>
  </si>
  <si>
    <t xml:space="preserve"> Тк 1</t>
  </si>
  <si>
    <t xml:space="preserve">ТК2     </t>
  </si>
  <si>
    <t>ж/б Прокоф’єва,36/2</t>
  </si>
  <si>
    <t xml:space="preserve">ТК 4 </t>
  </si>
  <si>
    <t xml:space="preserve">ж/б Прокоф’єва,36/1  </t>
  </si>
  <si>
    <t xml:space="preserve">ж/д Прокоф’єва,32а   </t>
  </si>
  <si>
    <t>ТК2</t>
  </si>
  <si>
    <t xml:space="preserve">ТК3   </t>
  </si>
  <si>
    <t xml:space="preserve">ж/б Прокоф’єва,44/2   </t>
  </si>
  <si>
    <t xml:space="preserve">ж/б Прокоф’єва,36  </t>
  </si>
  <si>
    <t xml:space="preserve">Коротченка,25б    </t>
  </si>
  <si>
    <t xml:space="preserve">М. Лушпи, 22-Б </t>
  </si>
  <si>
    <t xml:space="preserve"> ТК-15  </t>
  </si>
  <si>
    <t xml:space="preserve">Коротченка,25а   </t>
  </si>
  <si>
    <t xml:space="preserve">Лушпи,20/1  </t>
  </si>
  <si>
    <t xml:space="preserve">ж/б Інтернаціоналістів,10   </t>
  </si>
  <si>
    <t xml:space="preserve">ж/б М. Лушпи, 22-А </t>
  </si>
  <si>
    <t xml:space="preserve"> ТК-15    </t>
  </si>
  <si>
    <t xml:space="preserve"> ТК 11</t>
  </si>
  <si>
    <t xml:space="preserve">Коротченка,31б    </t>
  </si>
  <si>
    <t>ТК 11</t>
  </si>
  <si>
    <t xml:space="preserve">ТК 12   </t>
  </si>
  <si>
    <t xml:space="preserve">ТК 8   </t>
  </si>
  <si>
    <t xml:space="preserve">ж/б Інтернаціоналістів,20    </t>
  </si>
  <si>
    <t xml:space="preserve">ж/б Інтернаціоналістів,22в    </t>
  </si>
  <si>
    <t xml:space="preserve">ж/бІнтернаціоналістів,22г  </t>
  </si>
  <si>
    <t xml:space="preserve">ТК 13       </t>
  </si>
  <si>
    <t xml:space="preserve">ТК 10  </t>
  </si>
  <si>
    <t xml:space="preserve">ТК1   </t>
  </si>
  <si>
    <t xml:space="preserve">вул.Інтернаціоналістів,18 - </t>
  </si>
  <si>
    <t xml:space="preserve">ТК14   </t>
  </si>
  <si>
    <t xml:space="preserve">ж/б Інтернаціоналістів,22а    </t>
  </si>
  <si>
    <t xml:space="preserve">ж/б Інтернаціоналістів,22б    </t>
  </si>
  <si>
    <t xml:space="preserve"> ТК 14</t>
  </si>
  <si>
    <t xml:space="preserve">Коротченка,29а  </t>
  </si>
  <si>
    <t xml:space="preserve"> ТК 13</t>
  </si>
  <si>
    <t xml:space="preserve">ж/б Інтернаціоналістів,12    </t>
  </si>
  <si>
    <t xml:space="preserve">маг,"Універсам"    </t>
  </si>
  <si>
    <t>ТК 18</t>
  </si>
  <si>
    <t xml:space="preserve">ТК 17  </t>
  </si>
  <si>
    <t>ТК 17</t>
  </si>
  <si>
    <t xml:space="preserve">ТК 16    </t>
  </si>
  <si>
    <t xml:space="preserve"> ТК 18-</t>
  </si>
  <si>
    <t xml:space="preserve">ж/б Лушпи,20  </t>
  </si>
  <si>
    <t xml:space="preserve">школа 17    </t>
  </si>
  <si>
    <t>ТК 16</t>
  </si>
  <si>
    <t xml:space="preserve">Теплиця   </t>
  </si>
  <si>
    <t xml:space="preserve">Коротченка, 31А </t>
  </si>
  <si>
    <t xml:space="preserve">ТК-10   </t>
  </si>
  <si>
    <t xml:space="preserve">ж/б Коротченка,29б   </t>
  </si>
  <si>
    <t xml:space="preserve">ж/бЛушпи,22в     </t>
  </si>
  <si>
    <t xml:space="preserve">д/б Інтернаціоналістів,14    </t>
  </si>
  <si>
    <t xml:space="preserve">ж/б Лушпы,20/1 </t>
  </si>
  <si>
    <t xml:space="preserve"> ТК18    </t>
  </si>
  <si>
    <t xml:space="preserve">ТК 5   </t>
  </si>
  <si>
    <t xml:space="preserve">ж/б Коротченко,17  </t>
  </si>
  <si>
    <t>ТК8</t>
  </si>
  <si>
    <t xml:space="preserve">ж/б Коротченко,17   </t>
  </si>
  <si>
    <t xml:space="preserve">ж/б Коротченка,15в   </t>
  </si>
  <si>
    <t xml:space="preserve">ж/б Лушпи,10в   </t>
  </si>
  <si>
    <t xml:space="preserve">ж/б Коротченка,23     </t>
  </si>
  <si>
    <t xml:space="preserve">ТК 8 </t>
  </si>
  <si>
    <t xml:space="preserve">ж/б  Лушпи,14    </t>
  </si>
  <si>
    <t xml:space="preserve">ж/б Лушпи,14 </t>
  </si>
  <si>
    <t xml:space="preserve"> ТК7     </t>
  </si>
  <si>
    <t xml:space="preserve">Д/садок 55    </t>
  </si>
  <si>
    <t xml:space="preserve">ж/б Коротченка,17б    </t>
  </si>
  <si>
    <t xml:space="preserve"> ж/б Коротченка,27б     </t>
  </si>
  <si>
    <t xml:space="preserve">ж/б Коротченка,27а    </t>
  </si>
  <si>
    <t xml:space="preserve">ТК16   </t>
  </si>
  <si>
    <t xml:space="preserve">ж/д Лушпи,12     </t>
  </si>
  <si>
    <t xml:space="preserve">ТК 11 </t>
  </si>
  <si>
    <t xml:space="preserve"> ТК 15</t>
  </si>
  <si>
    <t xml:space="preserve">ТК 11     </t>
  </si>
  <si>
    <t xml:space="preserve">ТК 14      </t>
  </si>
  <si>
    <t xml:space="preserve">ТК 13    </t>
  </si>
  <si>
    <t xml:space="preserve">ж/б Коротченко,15   </t>
  </si>
  <si>
    <t xml:space="preserve">ж/б Коротченко,15 </t>
  </si>
  <si>
    <t xml:space="preserve"> ТК15   </t>
  </si>
  <si>
    <t xml:space="preserve"> ТК 15 </t>
  </si>
  <si>
    <t xml:space="preserve">ж/б Коротченка,19   </t>
  </si>
  <si>
    <t xml:space="preserve">ж/б Коротченка,15а   </t>
  </si>
  <si>
    <t xml:space="preserve"> ТК1</t>
  </si>
  <si>
    <t xml:space="preserve">ТК 2     </t>
  </si>
  <si>
    <t xml:space="preserve">ж/б Коротченка,17а    </t>
  </si>
  <si>
    <t xml:space="preserve">ТК 12 </t>
  </si>
  <si>
    <t xml:space="preserve">ж/б Коротченка,21     </t>
  </si>
  <si>
    <t xml:space="preserve"> ТК 7 </t>
  </si>
  <si>
    <t xml:space="preserve">ж/б Лушпи,10а      </t>
  </si>
  <si>
    <t xml:space="preserve">ТК 6   </t>
  </si>
  <si>
    <t xml:space="preserve">ж/б Коротченка,15б    </t>
  </si>
  <si>
    <t xml:space="preserve">ж/б Коротченко,19/1  </t>
  </si>
  <si>
    <t xml:space="preserve"> ТК </t>
  </si>
  <si>
    <t xml:space="preserve">теплиця    </t>
  </si>
  <si>
    <t xml:space="preserve">ж/б Лушпи,10г     </t>
  </si>
  <si>
    <t xml:space="preserve"> ТК7</t>
  </si>
  <si>
    <t xml:space="preserve">ж/б Лушпи,10б    </t>
  </si>
  <si>
    <t>ТК 20</t>
  </si>
  <si>
    <t xml:space="preserve">ТК 21    </t>
  </si>
  <si>
    <t>ТК 13</t>
  </si>
  <si>
    <t xml:space="preserve">ТК 15    </t>
  </si>
  <si>
    <t xml:space="preserve">ж/б Коротченка,35а    </t>
  </si>
  <si>
    <t xml:space="preserve"> ТК 23</t>
  </si>
  <si>
    <t xml:space="preserve">ТК 24    </t>
  </si>
  <si>
    <t xml:space="preserve"> ТК3а</t>
  </si>
  <si>
    <t xml:space="preserve">ТК17   </t>
  </si>
  <si>
    <t>ТК 7</t>
  </si>
  <si>
    <t xml:space="preserve">ТК 8    </t>
  </si>
  <si>
    <t xml:space="preserve">д/садок,8    </t>
  </si>
  <si>
    <t xml:space="preserve">ж/б Лушпи,26    </t>
  </si>
  <si>
    <t xml:space="preserve">ж/б Коротченка,35в    </t>
  </si>
  <si>
    <t xml:space="preserve">ТК 3а    </t>
  </si>
  <si>
    <t xml:space="preserve">ТК17     </t>
  </si>
  <si>
    <t xml:space="preserve">ТК 18    </t>
  </si>
  <si>
    <t>ТК 23</t>
  </si>
  <si>
    <t xml:space="preserve"> ж/б Інтернаціоналістів,15а    </t>
  </si>
  <si>
    <t xml:space="preserve">ж/б  Коротченка,35б    </t>
  </si>
  <si>
    <t xml:space="preserve"> ж/б Інтернаціоналістів,17   </t>
  </si>
  <si>
    <t xml:space="preserve">ж/б Лушпи,32а   </t>
  </si>
  <si>
    <t xml:space="preserve"> ЦТП №15</t>
  </si>
  <si>
    <t xml:space="preserve">ТК 13   </t>
  </si>
  <si>
    <t>ТК 3а</t>
  </si>
  <si>
    <t xml:space="preserve">ТК 16  </t>
  </si>
  <si>
    <t xml:space="preserve"> ТК 24</t>
  </si>
  <si>
    <t xml:space="preserve">ж/б Інтернаціоналістів,15б   </t>
  </si>
  <si>
    <t xml:space="preserve"> ж/б Інтернаціоналістів,25г    </t>
  </si>
  <si>
    <t xml:space="preserve">ж/б Інтернаціоналістів,25г    </t>
  </si>
  <si>
    <t xml:space="preserve">ТК 25   </t>
  </si>
  <si>
    <t>ТК19</t>
  </si>
  <si>
    <t xml:space="preserve">ТК 20   </t>
  </si>
  <si>
    <t xml:space="preserve">ТК 6    </t>
  </si>
  <si>
    <t xml:space="preserve"> ТК 26</t>
  </si>
  <si>
    <t xml:space="preserve">ТК 28    </t>
  </si>
  <si>
    <t>ТК 25</t>
  </si>
  <si>
    <t xml:space="preserve">ТК 26    </t>
  </si>
  <si>
    <t xml:space="preserve">ТК 27   </t>
  </si>
  <si>
    <t>ТК 21</t>
  </si>
  <si>
    <t xml:space="preserve">Лушпи,32б   </t>
  </si>
  <si>
    <t xml:space="preserve">ТК 23    </t>
  </si>
  <si>
    <t>ТК17</t>
  </si>
  <si>
    <t xml:space="preserve">ж/бЛушпи, 28     </t>
  </si>
  <si>
    <t xml:space="preserve"> ТК11</t>
  </si>
  <si>
    <t xml:space="preserve">ТК12   </t>
  </si>
  <si>
    <t xml:space="preserve">ж/б Інтернаціоналістів,25д    </t>
  </si>
  <si>
    <t xml:space="preserve">ж/бІнтернаціоналістів,23    </t>
  </si>
  <si>
    <t>ТК 26</t>
  </si>
  <si>
    <t xml:space="preserve">ж/бІнтернаціоналістів,15в    </t>
  </si>
  <si>
    <t xml:space="preserve">ж/б Коротченка,33б    </t>
  </si>
  <si>
    <t>ТК6</t>
  </si>
  <si>
    <t xml:space="preserve">ж/бКоротченка,33/1    </t>
  </si>
  <si>
    <t xml:space="preserve"> ТК 27</t>
  </si>
  <si>
    <t xml:space="preserve">ж/бІнтернаціоналістів,15г   </t>
  </si>
  <si>
    <t xml:space="preserve">ж/б Коротченка,33а   </t>
  </si>
  <si>
    <t xml:space="preserve">ТК 7    </t>
  </si>
  <si>
    <t>ТК 27</t>
  </si>
  <si>
    <t xml:space="preserve">ж/б Лушпи,24    </t>
  </si>
  <si>
    <t xml:space="preserve"> ТК 18</t>
  </si>
  <si>
    <t xml:space="preserve">ж/б Лушпи,30    </t>
  </si>
  <si>
    <t xml:space="preserve">ТК 19   </t>
  </si>
  <si>
    <t xml:space="preserve">ТК2    </t>
  </si>
  <si>
    <t>ТК 28</t>
  </si>
  <si>
    <t xml:space="preserve">Універсам    </t>
  </si>
  <si>
    <t xml:space="preserve">ж/б Коротченка,41/1    </t>
  </si>
  <si>
    <t xml:space="preserve">ТК 17    </t>
  </si>
  <si>
    <t xml:space="preserve"> ТК 16</t>
  </si>
  <si>
    <t xml:space="preserve">ж/б Коротченка,37б    </t>
  </si>
  <si>
    <t xml:space="preserve">Школа 23   </t>
  </si>
  <si>
    <t xml:space="preserve">Д/садок 33  </t>
  </si>
  <si>
    <t xml:space="preserve">ж/бЛушпи,48  </t>
  </si>
  <si>
    <t xml:space="preserve">ж/б Лушпи,44    </t>
  </si>
  <si>
    <t xml:space="preserve">ТК 11   </t>
  </si>
  <si>
    <t xml:space="preserve">ж/бЛушпы,46     </t>
  </si>
  <si>
    <t xml:space="preserve">ж/б Коротченка,45    </t>
  </si>
  <si>
    <t xml:space="preserve">ж/б Коротченка,45б    </t>
  </si>
  <si>
    <t xml:space="preserve">ж/б Коротченка,45а   </t>
  </si>
  <si>
    <t xml:space="preserve">ж/б Лушпи,52    </t>
  </si>
  <si>
    <t xml:space="preserve">ж/б Черепіна,30  </t>
  </si>
  <si>
    <t xml:space="preserve">ж/б Коротченка,43  </t>
  </si>
  <si>
    <t xml:space="preserve">ТК 13     </t>
  </si>
  <si>
    <t xml:space="preserve">ж/б Лушпи,42    </t>
  </si>
  <si>
    <t xml:space="preserve">ж/б Коротченко,41  </t>
  </si>
  <si>
    <t xml:space="preserve">ж/б Коротченко,41 </t>
  </si>
  <si>
    <t xml:space="preserve">ТК16  </t>
  </si>
  <si>
    <t xml:space="preserve">ж/б Коротченка,37а    </t>
  </si>
  <si>
    <t xml:space="preserve">ж/б Лушпи,50    </t>
  </si>
  <si>
    <t xml:space="preserve">ТК 14   </t>
  </si>
  <si>
    <t xml:space="preserve">ж/б Коротченка,37    </t>
  </si>
  <si>
    <t xml:space="preserve">ТК1а     </t>
  </si>
  <si>
    <t xml:space="preserve"> ТК1а</t>
  </si>
  <si>
    <t xml:space="preserve">ТК3а      </t>
  </si>
  <si>
    <t>ТК3а</t>
  </si>
  <si>
    <t xml:space="preserve">ж/б М.Лушпи,38   </t>
  </si>
  <si>
    <t xml:space="preserve">ж/б М.Лушпи,40   </t>
  </si>
  <si>
    <t>ж/б Харьк,39</t>
  </si>
  <si>
    <t xml:space="preserve">ж/б Харьк,31 </t>
  </si>
  <si>
    <t xml:space="preserve">ТК3 </t>
  </si>
  <si>
    <t xml:space="preserve">ТК2 </t>
  </si>
  <si>
    <t xml:space="preserve">ж/б Харьк,41  </t>
  </si>
  <si>
    <t xml:space="preserve"> ТК4</t>
  </si>
  <si>
    <t xml:space="preserve">ж/б Харьк,43 </t>
  </si>
  <si>
    <t xml:space="preserve">ж/б Харківська, 33 </t>
  </si>
  <si>
    <t xml:space="preserve">ТК-3 </t>
  </si>
  <si>
    <t xml:space="preserve">ТК 11  </t>
  </si>
  <si>
    <t xml:space="preserve">ж/б Д.Коротченка,4   </t>
  </si>
  <si>
    <t xml:space="preserve">  ТК1</t>
  </si>
  <si>
    <t xml:space="preserve">ТК2   </t>
  </si>
  <si>
    <t xml:space="preserve">Школа,28  </t>
  </si>
  <si>
    <t xml:space="preserve">ТК 9  </t>
  </si>
  <si>
    <t xml:space="preserve">ж/б Коротченка,14     </t>
  </si>
  <si>
    <t xml:space="preserve">ж/б Коротченка,12   </t>
  </si>
  <si>
    <t xml:space="preserve">ж/б Д.Коротченка,18а    </t>
  </si>
  <si>
    <t xml:space="preserve">ж/б  Д.Коротченка,18а </t>
  </si>
  <si>
    <t xml:space="preserve"> дит.полікл. </t>
  </si>
  <si>
    <t xml:space="preserve">ж/б Д.Коротченка,16 </t>
  </si>
  <si>
    <t xml:space="preserve">Коротченка,10   </t>
  </si>
  <si>
    <t xml:space="preserve">ж/б Д.Коротченка,6    </t>
  </si>
  <si>
    <t xml:space="preserve"> ТК-2 </t>
  </si>
  <si>
    <t xml:space="preserve"> дит.садок, 58    </t>
  </si>
  <si>
    <t xml:space="preserve">ТК3     </t>
  </si>
  <si>
    <t xml:space="preserve">  ТК-3</t>
  </si>
  <si>
    <t xml:space="preserve">ж/д Коротченка,18б   </t>
  </si>
  <si>
    <t xml:space="preserve">ТК4     </t>
  </si>
  <si>
    <t>ТК-1</t>
  </si>
  <si>
    <t xml:space="preserve">ж/б Лушпи,7а     </t>
  </si>
  <si>
    <t xml:space="preserve">ТК15   </t>
  </si>
  <si>
    <t xml:space="preserve">ТК16     </t>
  </si>
  <si>
    <t xml:space="preserve"> ТК 9б     </t>
  </si>
  <si>
    <t xml:space="preserve"> ТК 9б</t>
  </si>
  <si>
    <t xml:space="preserve">ТК 28     </t>
  </si>
  <si>
    <t xml:space="preserve">ж/б Інтернаціоналістів,6б     </t>
  </si>
  <si>
    <t xml:space="preserve">ТК 17   </t>
  </si>
  <si>
    <t xml:space="preserve">ж/б Лушпи,9в    </t>
  </si>
  <si>
    <t xml:space="preserve"> ТК 17</t>
  </si>
  <si>
    <t xml:space="preserve">ж/б Інтернаціоналістів,6в     </t>
  </si>
  <si>
    <t>ж/б Інтернаціоналістів,4</t>
  </si>
  <si>
    <t xml:space="preserve">ж/б Інтернаціоналістів,6а     </t>
  </si>
  <si>
    <t xml:space="preserve">ж/б Лушпи,23а     </t>
  </si>
  <si>
    <t xml:space="preserve">ж/бЛушпи,23в     </t>
  </si>
  <si>
    <t xml:space="preserve">ж/б Лушпи,9а     </t>
  </si>
  <si>
    <t xml:space="preserve">ж/б Лушпи,9б    </t>
  </si>
  <si>
    <t xml:space="preserve">ж/б Лушпи,23б    </t>
  </si>
  <si>
    <t xml:space="preserve">ж/б Інтернаціоналістів,8    </t>
  </si>
  <si>
    <t xml:space="preserve">  ТК8</t>
  </si>
  <si>
    <t xml:space="preserve">ж/б -Д.Коротченко,3     </t>
  </si>
  <si>
    <t xml:space="preserve">ТК 30     </t>
  </si>
  <si>
    <t xml:space="preserve">ТК 21     </t>
  </si>
  <si>
    <t xml:space="preserve"> ТК 29</t>
  </si>
  <si>
    <t xml:space="preserve"> ТК 28</t>
  </si>
  <si>
    <t xml:space="preserve">ж/б Лушпи,15а     </t>
  </si>
  <si>
    <t xml:space="preserve">М.Лушпи,13(магазин)    </t>
  </si>
  <si>
    <t xml:space="preserve"> ТК 21</t>
  </si>
  <si>
    <t xml:space="preserve">ТК 29    </t>
  </si>
  <si>
    <t xml:space="preserve"> ТК 30</t>
  </si>
  <si>
    <t xml:space="preserve">ТК11  перемичка  </t>
  </si>
  <si>
    <t xml:space="preserve">ж/б -Лушпи,11а    </t>
  </si>
  <si>
    <t xml:space="preserve">д/садок, 82     </t>
  </si>
  <si>
    <t xml:space="preserve">ж/б Лушпи,11б    </t>
  </si>
  <si>
    <t xml:space="preserve">Лушпи,11г    </t>
  </si>
  <si>
    <t xml:space="preserve">Лушпи,11а    </t>
  </si>
  <si>
    <t xml:space="preserve">гуртож,Замостянська,7  </t>
  </si>
  <si>
    <t xml:space="preserve">ТК 1  </t>
  </si>
  <si>
    <t xml:space="preserve">ТК 2  </t>
  </si>
  <si>
    <t xml:space="preserve">ТК 5      </t>
  </si>
  <si>
    <t>ж.б. .Лушпи,29</t>
  </si>
  <si>
    <t xml:space="preserve">ж.б. Лушпи,43/2    </t>
  </si>
  <si>
    <t>ж.д. Лушпи,43/1</t>
  </si>
  <si>
    <t xml:space="preserve">ТК10  </t>
  </si>
  <si>
    <t>Школа №29 по вул. Заливна,25</t>
  </si>
  <si>
    <t xml:space="preserve">ж.б. Лушпи,39/2 </t>
  </si>
  <si>
    <t xml:space="preserve">ж.б. Лушпи,39/3     </t>
  </si>
  <si>
    <t xml:space="preserve">ж. б. Заливна,13    </t>
  </si>
  <si>
    <t>д/садок, 83</t>
  </si>
  <si>
    <t xml:space="preserve">магазин овощ,    </t>
  </si>
  <si>
    <t xml:space="preserve">ж.б. Лушпи,31б    </t>
  </si>
  <si>
    <t xml:space="preserve">ж.б. Лушпи,39/1    </t>
  </si>
  <si>
    <t xml:space="preserve">ж.б. по вул.Інтернаціоналістів,5   </t>
  </si>
  <si>
    <t xml:space="preserve">ж. б. Заливна,17    </t>
  </si>
  <si>
    <t>ж.б. Лушпи,35</t>
  </si>
  <si>
    <t xml:space="preserve">ж.б. Лушпи,27    </t>
  </si>
  <si>
    <t xml:space="preserve">ж.б. Лушпи,33    </t>
  </si>
  <si>
    <t xml:space="preserve">ж.б.Лушпи,39б </t>
  </si>
  <si>
    <t xml:space="preserve">ТК1    </t>
  </si>
  <si>
    <t>ж.б. Лушпи,39а</t>
  </si>
  <si>
    <t xml:space="preserve">ж.б. Черепіна,22    </t>
  </si>
  <si>
    <t xml:space="preserve">ж.б. Черепіна,20   </t>
  </si>
  <si>
    <t xml:space="preserve">ж.б. Лушпи,47В    </t>
  </si>
  <si>
    <t>ж.б. Лушпи,47</t>
  </si>
  <si>
    <t>ж.б. Лушпи,39</t>
  </si>
  <si>
    <t xml:space="preserve">ТК 14А  </t>
  </si>
  <si>
    <t xml:space="preserve">ж.б. Заливна,35    </t>
  </si>
  <si>
    <t xml:space="preserve">ж.б.Черепіна,4    </t>
  </si>
  <si>
    <t xml:space="preserve">ТК20     </t>
  </si>
  <si>
    <t xml:space="preserve">ТК21   </t>
  </si>
  <si>
    <t xml:space="preserve">ж.б. Заливна,31г    </t>
  </si>
  <si>
    <t xml:space="preserve">ж.б. Заливна,39     </t>
  </si>
  <si>
    <t xml:space="preserve">ж.б.Заливна,31в    </t>
  </si>
  <si>
    <t>ТК 19</t>
  </si>
  <si>
    <t xml:space="preserve">ж.б.Заливна,31б    </t>
  </si>
  <si>
    <t xml:space="preserve">ТК 18  </t>
  </si>
  <si>
    <t xml:space="preserve">ж.б.Заливна,31а    </t>
  </si>
  <si>
    <t xml:space="preserve">ж.б. Заливна,29     </t>
  </si>
  <si>
    <t xml:space="preserve">ж.б. Лушпы,49Б    </t>
  </si>
  <si>
    <t xml:space="preserve">ж.б. Лушпи,49А   </t>
  </si>
  <si>
    <t xml:space="preserve">ж.б. Черепіна,8    </t>
  </si>
  <si>
    <t xml:space="preserve">ж.б. Черепіна,10   </t>
  </si>
  <si>
    <t>ТК15</t>
  </si>
  <si>
    <t xml:space="preserve">ТК 13 </t>
  </si>
  <si>
    <t>ТК12</t>
  </si>
  <si>
    <t>ж.б.Лушпи,55</t>
  </si>
  <si>
    <t xml:space="preserve">ж.б.Лушпи,57 </t>
  </si>
  <si>
    <t xml:space="preserve">Д/садок, 84 </t>
  </si>
  <si>
    <t>ТК13</t>
  </si>
  <si>
    <t xml:space="preserve">ж.б. Заливна,33  </t>
  </si>
  <si>
    <t xml:space="preserve">ТК17    </t>
  </si>
  <si>
    <t>теплиця</t>
  </si>
  <si>
    <t>ТК14А</t>
  </si>
  <si>
    <t xml:space="preserve">ж.б. Лушпи,47Б  </t>
  </si>
  <si>
    <t xml:space="preserve">ж.б. Лушпи,51    </t>
  </si>
  <si>
    <t xml:space="preserve">ТК14Б    </t>
  </si>
  <si>
    <t>ТК14Б</t>
  </si>
  <si>
    <t xml:space="preserve">ж.б. Лушпи,47 </t>
  </si>
  <si>
    <t>ТК 24</t>
  </si>
  <si>
    <t>ж.б. Черепіна,26</t>
  </si>
  <si>
    <t>ж.б. Заливна,27</t>
  </si>
  <si>
    <t xml:space="preserve">ж.б. Черепіна,16 </t>
  </si>
  <si>
    <t xml:space="preserve">ж.б. Черепіна,18 </t>
  </si>
  <si>
    <t xml:space="preserve">ж.б. Черепіна,12   </t>
  </si>
  <si>
    <t xml:space="preserve">ТК 22   </t>
  </si>
  <si>
    <t xml:space="preserve">підстанція   </t>
  </si>
  <si>
    <t>ТК 22</t>
  </si>
  <si>
    <t xml:space="preserve">ж.б. Черепіна,14    </t>
  </si>
  <si>
    <t xml:space="preserve">ж.б. Черепіна,6    </t>
  </si>
  <si>
    <t>ТК4</t>
  </si>
  <si>
    <t xml:space="preserve">ж.б. Харківська,1/1а  </t>
  </si>
  <si>
    <t>ж.б. Харківська,3а</t>
  </si>
  <si>
    <t xml:space="preserve">ж.б. Харківська,3"б" </t>
  </si>
  <si>
    <t xml:space="preserve">ж.б. Харківська,1 </t>
  </si>
  <si>
    <t xml:space="preserve">ж.б. Харківська,1/1б </t>
  </si>
  <si>
    <t xml:space="preserve">ж.б. Харківська,3б </t>
  </si>
  <si>
    <t xml:space="preserve">ТК-28 </t>
  </si>
  <si>
    <t xml:space="preserve">ж.б. Черепіна,64 </t>
  </si>
  <si>
    <t xml:space="preserve">ТК-27 </t>
  </si>
  <si>
    <t xml:space="preserve">ж.б. Черепіна,62а   </t>
  </si>
  <si>
    <t xml:space="preserve">ТК 28 </t>
  </si>
  <si>
    <t>ТК-11</t>
  </si>
  <si>
    <t xml:space="preserve">ж.б. Черепіна,46б </t>
  </si>
  <si>
    <t xml:space="preserve">ТК-5 </t>
  </si>
  <si>
    <t xml:space="preserve">ж.б. Черепіна,36 б  </t>
  </si>
  <si>
    <t xml:space="preserve">ТК-19 </t>
  </si>
  <si>
    <t xml:space="preserve">ж.б. Черепіна,52   </t>
  </si>
  <si>
    <t xml:space="preserve">ж.б.Черепіна,36а </t>
  </si>
  <si>
    <t xml:space="preserve">ТК-14 </t>
  </si>
  <si>
    <t>ТК-15</t>
  </si>
  <si>
    <t>ТК-9</t>
  </si>
  <si>
    <t xml:space="preserve">д/сад,2 </t>
  </si>
  <si>
    <t xml:space="preserve">ТК-11 </t>
  </si>
  <si>
    <t>ТК-12</t>
  </si>
  <si>
    <t>ТК-13</t>
  </si>
  <si>
    <t>ТК-14</t>
  </si>
  <si>
    <t xml:space="preserve">ТК-26 </t>
  </si>
  <si>
    <t xml:space="preserve">ж.б. Черепіна,62б </t>
  </si>
  <si>
    <t>ТК-26</t>
  </si>
  <si>
    <t>ТК-5</t>
  </si>
  <si>
    <t xml:space="preserve">ТК-1 </t>
  </si>
  <si>
    <t xml:space="preserve">ТК-2  </t>
  </si>
  <si>
    <t xml:space="preserve">ТК-2 </t>
  </si>
  <si>
    <t>ТК-20</t>
  </si>
  <si>
    <t>ТК-21</t>
  </si>
  <si>
    <t xml:space="preserve">ж.б. Черепіна,54 </t>
  </si>
  <si>
    <t xml:space="preserve">ТК-21 </t>
  </si>
  <si>
    <t>ж.б. Черепіна,54б</t>
  </si>
  <si>
    <t xml:space="preserve">ТК-22 </t>
  </si>
  <si>
    <t>ТК-4</t>
  </si>
  <si>
    <t xml:space="preserve">ж.б. Черепіна,38а  </t>
  </si>
  <si>
    <t xml:space="preserve">ж.б. Черепіна,36в  </t>
  </si>
  <si>
    <t xml:space="preserve">ТК-10 </t>
  </si>
  <si>
    <t>ТК-17</t>
  </si>
  <si>
    <t xml:space="preserve">ТК-23 </t>
  </si>
  <si>
    <t>ТК-24</t>
  </si>
  <si>
    <t xml:space="preserve">ТК-15 </t>
  </si>
  <si>
    <t xml:space="preserve">ТК-16 </t>
  </si>
  <si>
    <t xml:space="preserve">ТК-8 </t>
  </si>
  <si>
    <t xml:space="preserve">ТК-13 </t>
  </si>
  <si>
    <t xml:space="preserve">ж.б. Черепіна,42а  </t>
  </si>
  <si>
    <t xml:space="preserve">ж.б. Черепіна,42 б  </t>
  </si>
  <si>
    <t xml:space="preserve">ТК-7 </t>
  </si>
  <si>
    <t>ж.б. Черепіна,40 а</t>
  </si>
  <si>
    <t xml:space="preserve">ТК-29 </t>
  </si>
  <si>
    <t xml:space="preserve">ж.б. Черепіна,44а  </t>
  </si>
  <si>
    <t xml:space="preserve">ТК-12 </t>
  </si>
  <si>
    <t xml:space="preserve">ж.б. Черепіна,42в  </t>
  </si>
  <si>
    <t>ТК-3</t>
  </si>
  <si>
    <t xml:space="preserve">ж.б. Черепіна,38б </t>
  </si>
  <si>
    <t>ТК-16</t>
  </si>
  <si>
    <t xml:space="preserve">ж.б. Черепіна,44 а </t>
  </si>
  <si>
    <t xml:space="preserve">ж.б. Черепіна,44 б     </t>
  </si>
  <si>
    <t xml:space="preserve">ТК-17 </t>
  </si>
  <si>
    <t xml:space="preserve">ТК-18    </t>
  </si>
  <si>
    <t>ТК-18</t>
  </si>
  <si>
    <t>ТК-19</t>
  </si>
  <si>
    <t>ТК10</t>
  </si>
  <si>
    <t xml:space="preserve">ЦТП Інтернаціоналістів,43 </t>
  </si>
  <si>
    <t xml:space="preserve">ж.б. Черепіна,50  </t>
  </si>
  <si>
    <t xml:space="preserve">ж.б. Черепіна,50в </t>
  </si>
  <si>
    <t>ТК-28</t>
  </si>
  <si>
    <t xml:space="preserve">ж.б. Черепіна,66 </t>
  </si>
  <si>
    <t xml:space="preserve">ТК-20 </t>
  </si>
  <si>
    <t xml:space="preserve">ТК-21  </t>
  </si>
  <si>
    <t xml:space="preserve">д/садок,2   </t>
  </si>
  <si>
    <t>ТК-6</t>
  </si>
  <si>
    <t xml:space="preserve">ТК-6 </t>
  </si>
  <si>
    <t xml:space="preserve">ж.б. Черепіна,38 в </t>
  </si>
  <si>
    <t xml:space="preserve">ТК 20 </t>
  </si>
  <si>
    <t>ТК-25</t>
  </si>
  <si>
    <t>ж.б. СКД 6</t>
  </si>
  <si>
    <t xml:space="preserve">ж.б. Париж.Комуни,52/б </t>
  </si>
  <si>
    <t xml:space="preserve">ж.б. Париж.Комуни,70/1  </t>
  </si>
  <si>
    <t xml:space="preserve">ж.б. Париж.КомуниС.Табали,52 </t>
  </si>
  <si>
    <t>ТК9</t>
  </si>
  <si>
    <t xml:space="preserve">Пож,депо </t>
  </si>
  <si>
    <t xml:space="preserve">д/с "Незабудка" </t>
  </si>
  <si>
    <t xml:space="preserve">ж.б. СКД 4  </t>
  </si>
  <si>
    <t xml:space="preserve">школа №24 Париж.Комуни, 20 </t>
  </si>
  <si>
    <t>ЗОШ №24 басейн</t>
  </si>
  <si>
    <t>ТК6- теплиці</t>
  </si>
  <si>
    <t xml:space="preserve">басейн ЗОШ №24 </t>
  </si>
  <si>
    <t xml:space="preserve">ж.б. Черепіна 84а </t>
  </si>
  <si>
    <t>ж.б. Черепіна 84б</t>
  </si>
  <si>
    <t xml:space="preserve">ТК 16 </t>
  </si>
  <si>
    <t xml:space="preserve">ТК 17 </t>
  </si>
  <si>
    <t xml:space="preserve"> ТК9 </t>
  </si>
  <si>
    <t xml:space="preserve">ж.б. Черепіна 80а </t>
  </si>
  <si>
    <t>ТК24</t>
  </si>
  <si>
    <t xml:space="preserve">ТК28 </t>
  </si>
  <si>
    <t>ТК28</t>
  </si>
  <si>
    <t>ТК29</t>
  </si>
  <si>
    <t xml:space="preserve">ТК30 </t>
  </si>
  <si>
    <t>ТК30</t>
  </si>
  <si>
    <t xml:space="preserve">ТК31 </t>
  </si>
  <si>
    <t xml:space="preserve">ж.б. Интернационал,61 </t>
  </si>
  <si>
    <t>ТК31</t>
  </si>
  <si>
    <t xml:space="preserve">ж.б.  Интернационал,59"б"  </t>
  </si>
  <si>
    <t xml:space="preserve">ТК32  </t>
  </si>
  <si>
    <t>ТК32</t>
  </si>
  <si>
    <t xml:space="preserve">ТК33   </t>
  </si>
  <si>
    <t>ТК33</t>
  </si>
  <si>
    <t>ТК34</t>
  </si>
  <si>
    <t>ТК35</t>
  </si>
  <si>
    <t>ТК36</t>
  </si>
  <si>
    <t xml:space="preserve">ж.б.  Интернационал,57б  </t>
  </si>
  <si>
    <t xml:space="preserve">ж.б.  Интернационал,57а  </t>
  </si>
  <si>
    <t xml:space="preserve">ТК19 </t>
  </si>
  <si>
    <t xml:space="preserve">ТК24  </t>
  </si>
  <si>
    <t xml:space="preserve">ТК25 </t>
  </si>
  <si>
    <t>ТК25</t>
  </si>
  <si>
    <t>ТК26</t>
  </si>
  <si>
    <t>ТК27</t>
  </si>
  <si>
    <t xml:space="preserve">ж.б.  Інтернаціонал,65"б" </t>
  </si>
  <si>
    <t xml:space="preserve">ж.б.  Інтернаціонал,65"а"  </t>
  </si>
  <si>
    <t xml:space="preserve">ж.б. Інтернаціонал,63"б"  </t>
  </si>
  <si>
    <t xml:space="preserve">ж.б.  Інтернаціонал,63"а"   </t>
  </si>
  <si>
    <t>ж.б. Черепіна 72а</t>
  </si>
  <si>
    <t>ж.б. Черепіна 78б  
 9 м</t>
  </si>
  <si>
    <t xml:space="preserve">ж.б. Черепіна 76 </t>
  </si>
  <si>
    <t xml:space="preserve"> ТК-5   </t>
  </si>
  <si>
    <t xml:space="preserve"> ТК 12 </t>
  </si>
  <si>
    <t xml:space="preserve">ж.б. Черепіна 80б </t>
  </si>
  <si>
    <t xml:space="preserve">ж.б. Черепіна 72б </t>
  </si>
  <si>
    <t xml:space="preserve"> ТК 11 </t>
  </si>
  <si>
    <t xml:space="preserve">ж.б. Черепіна 74а </t>
  </si>
  <si>
    <t xml:space="preserve">ж.б. Черепіна 78в </t>
  </si>
  <si>
    <t xml:space="preserve">ТК16 </t>
  </si>
  <si>
    <t xml:space="preserve">ТК25  </t>
  </si>
  <si>
    <t xml:space="preserve"> ТК 14  </t>
  </si>
  <si>
    <t xml:space="preserve">ж.б. Черепіна 70б </t>
  </si>
  <si>
    <t xml:space="preserve">ТК 21 </t>
  </si>
  <si>
    <t xml:space="preserve">ТК 22  </t>
  </si>
  <si>
    <t xml:space="preserve">ж.б. Черепіна 82б  </t>
  </si>
  <si>
    <t xml:space="preserve"> ТК23  </t>
  </si>
  <si>
    <t xml:space="preserve">ж.б. Черепіна 68а </t>
  </si>
  <si>
    <t xml:space="preserve">ж.б. Черепіна 74б </t>
  </si>
  <si>
    <t xml:space="preserve">ж.б. Черепіна 70а </t>
  </si>
  <si>
    <t xml:space="preserve">ж.б. Черепіна 82а </t>
  </si>
  <si>
    <t xml:space="preserve">ж.б. Черепіна 68б </t>
  </si>
  <si>
    <t xml:space="preserve">ж.б. Інтернаціоналістів,59а   </t>
  </si>
  <si>
    <t>ж.б. Заливна,11</t>
  </si>
  <si>
    <t>ж.б. Заливна,7</t>
  </si>
  <si>
    <t xml:space="preserve">ж.б. Заливна,1   </t>
  </si>
  <si>
    <t xml:space="preserve">ТК-4   </t>
  </si>
  <si>
    <t xml:space="preserve">ж.б. Лушпи,15в  </t>
  </si>
  <si>
    <t xml:space="preserve">ж.б. Лушпи,15б   </t>
  </si>
  <si>
    <t xml:space="preserve">ж.б. Лушпи,15г     </t>
  </si>
  <si>
    <t xml:space="preserve">ТК 20  </t>
  </si>
  <si>
    <t>ТК20</t>
  </si>
  <si>
    <t xml:space="preserve">Заливна,9    </t>
  </si>
  <si>
    <t>ж.б. Париж.Комуни,30</t>
  </si>
  <si>
    <t>ж.б. Красовицького,7</t>
  </si>
  <si>
    <t xml:space="preserve">ТК1  </t>
  </si>
  <si>
    <t>ж.б. Красовицького,9</t>
  </si>
  <si>
    <t xml:space="preserve"> ТК1  </t>
  </si>
  <si>
    <t>ж.б. Красовицького, 5</t>
  </si>
  <si>
    <t xml:space="preserve">ж.б. Красовицького,5 </t>
  </si>
  <si>
    <t xml:space="preserve">ТК2  </t>
  </si>
  <si>
    <t xml:space="preserve"> ТК2 </t>
  </si>
  <si>
    <t xml:space="preserve"> ТК3</t>
  </si>
  <si>
    <t xml:space="preserve"> ТК7 </t>
  </si>
  <si>
    <t xml:space="preserve">ж.б. Леваневского,22  </t>
  </si>
  <si>
    <t xml:space="preserve">ж.б. Леваневского,22 </t>
  </si>
  <si>
    <t>ж.б. Леваневского,26</t>
  </si>
  <si>
    <t xml:space="preserve">ж.б. Леваневского,26 </t>
  </si>
  <si>
    <t xml:space="preserve">ТК7 </t>
  </si>
  <si>
    <t xml:space="preserve">ж.б. Леванвського,16    </t>
  </si>
  <si>
    <t xml:space="preserve">ж.б. Леваневского,14   </t>
  </si>
  <si>
    <t xml:space="preserve">  ТК9       </t>
  </si>
  <si>
    <t xml:space="preserve">ж.б. Леваневского,28 </t>
  </si>
  <si>
    <t xml:space="preserve"> ТК6</t>
  </si>
  <si>
    <t xml:space="preserve">ж.б. Леваневского,16   </t>
  </si>
  <si>
    <t xml:space="preserve">буд.Шишкарівська,2   </t>
  </si>
  <si>
    <t xml:space="preserve">ТК 9а </t>
  </si>
  <si>
    <t xml:space="preserve"> буд.Малиновського,1  </t>
  </si>
  <si>
    <t>ж. б. Кондратьєва,46</t>
  </si>
  <si>
    <t xml:space="preserve"> буд.Кондратьєва,38   </t>
  </si>
  <si>
    <t xml:space="preserve">буд.Кондратьєва 54 </t>
  </si>
  <si>
    <t xml:space="preserve">буд Радянська,4  </t>
  </si>
  <si>
    <t xml:space="preserve">ж. б. .Радянська,4 </t>
  </si>
  <si>
    <t xml:space="preserve"> буд Радянська,2  </t>
  </si>
  <si>
    <t>ж. б.  Радянська,2</t>
  </si>
  <si>
    <t xml:space="preserve">буд.Кондратьєва 50 </t>
  </si>
  <si>
    <t>ж. б.  Радянська,4</t>
  </si>
  <si>
    <t xml:space="preserve"> буд.Радянська,6</t>
  </si>
  <si>
    <t xml:space="preserve">буд Радянська,5   </t>
  </si>
  <si>
    <t xml:space="preserve">ж. б. Радянська,5 </t>
  </si>
  <si>
    <t xml:space="preserve"> буд Радянська,1  </t>
  </si>
  <si>
    <t xml:space="preserve">ж. б. Радянська,1 </t>
  </si>
  <si>
    <t xml:space="preserve"> ТК10 </t>
  </si>
  <si>
    <t xml:space="preserve">буд.Кондратьєва, 48 </t>
  </si>
  <si>
    <t xml:space="preserve">ж. б. Малиновського,10 </t>
  </si>
  <si>
    <t xml:space="preserve"> буд.Малиновського,9  </t>
  </si>
  <si>
    <t>ж. б. .Малиновського,10</t>
  </si>
  <si>
    <t xml:space="preserve"> буд.Петропавл.107 </t>
  </si>
  <si>
    <t>ж. б. Радянська,5</t>
  </si>
  <si>
    <t xml:space="preserve"> Д/с №1  </t>
  </si>
  <si>
    <t xml:space="preserve"> буд.Кондратьєва,46 </t>
  </si>
  <si>
    <t>ТК5</t>
  </si>
  <si>
    <t xml:space="preserve">буд.Малиновського,2  </t>
  </si>
  <si>
    <t xml:space="preserve">ж. б. Малиновськ.,2 </t>
  </si>
  <si>
    <t xml:space="preserve">буд. Малиновськ.,10  </t>
  </si>
  <si>
    <t xml:space="preserve">буд.Петропавлівська 91 </t>
  </si>
  <si>
    <t xml:space="preserve">буд.Петропавлівська 93 </t>
  </si>
  <si>
    <t>буд.Петропавлівська, 117</t>
  </si>
  <si>
    <t xml:space="preserve">буд.Петропавлівська,111а </t>
  </si>
  <si>
    <t xml:space="preserve"> УЗ1 </t>
  </si>
  <si>
    <t xml:space="preserve">буд.Петропавлівська,111б </t>
  </si>
  <si>
    <t xml:space="preserve"> буд.Малиновського,10  </t>
  </si>
  <si>
    <t xml:space="preserve">буд.Петропавлівська 109 </t>
  </si>
  <si>
    <t xml:space="preserve">Мед библиотека </t>
  </si>
  <si>
    <t xml:space="preserve">ТК 7 </t>
  </si>
  <si>
    <t xml:space="preserve">буд.Петропавлівска 101 </t>
  </si>
  <si>
    <t>ж. б. Федько,7</t>
  </si>
  <si>
    <t xml:space="preserve">ТКЗ </t>
  </si>
  <si>
    <t xml:space="preserve"> кот.ПП108 </t>
  </si>
  <si>
    <t>ТКЗ</t>
  </si>
  <si>
    <t xml:space="preserve">ж. б.  Петропавлівська, 106 </t>
  </si>
  <si>
    <t xml:space="preserve">  кот.ПП108 ТКЗ </t>
  </si>
  <si>
    <t xml:space="preserve">ж. б. Малиновского,12 </t>
  </si>
  <si>
    <t xml:space="preserve"> Гаража </t>
  </si>
  <si>
    <t>ж.б. Малиновского,12</t>
  </si>
  <si>
    <t xml:space="preserve">д/сад "Барвинок" </t>
  </si>
  <si>
    <t xml:space="preserve">буд.Петроп,74   </t>
  </si>
  <si>
    <t xml:space="preserve"> буд.Антонова,3    </t>
  </si>
  <si>
    <t xml:space="preserve">ж.б. Антонова,3 </t>
  </si>
  <si>
    <t>буд.Антонова,3</t>
  </si>
  <si>
    <t xml:space="preserve">буд.Петропавлівська,72 </t>
  </si>
  <si>
    <t>Уз 2</t>
  </si>
  <si>
    <t>буд.Петропавлівська 68</t>
  </si>
  <si>
    <t>Уз 1</t>
  </si>
  <si>
    <t xml:space="preserve">буд.Антонова 10 </t>
  </si>
  <si>
    <t xml:space="preserve">буд.Петропавлівска 70 </t>
  </si>
  <si>
    <t xml:space="preserve">буд.Антонова 6 </t>
  </si>
  <si>
    <t xml:space="preserve">буд.Береста 13 </t>
  </si>
  <si>
    <t xml:space="preserve">буд.П.Павлівська,74    </t>
  </si>
  <si>
    <t>ж.б. П.Павлівська,74</t>
  </si>
  <si>
    <t>буд.П.Павлівська,74</t>
  </si>
  <si>
    <t xml:space="preserve">буд.Перекопська 17 </t>
  </si>
  <si>
    <t>ТК7</t>
  </si>
  <si>
    <t xml:space="preserve">буд.Покровська 23 </t>
  </si>
  <si>
    <t xml:space="preserve">буд.Перекопська,15   </t>
  </si>
  <si>
    <t>ж.б. Береста 13</t>
  </si>
  <si>
    <t xml:space="preserve"> буд.Шишкарівська,1</t>
  </si>
  <si>
    <t xml:space="preserve">буд.Петропавлівська,86 </t>
  </si>
  <si>
    <t xml:space="preserve">буд.Антонова 3/1 </t>
  </si>
  <si>
    <t xml:space="preserve"> ЦТП Інтернаціонал.43 </t>
  </si>
  <si>
    <t xml:space="preserve"> ТК1а </t>
  </si>
  <si>
    <t xml:space="preserve">ж.б. Інтернаціонал.43 </t>
  </si>
  <si>
    <t xml:space="preserve">Т/ж.б. Інтернаціонал.41а </t>
  </si>
  <si>
    <t>Т/ж.б. Інтернаціонал.41</t>
  </si>
  <si>
    <t>кот.ДОСААФ</t>
  </si>
  <si>
    <t xml:space="preserve"> ТК-6/1 </t>
  </si>
  <si>
    <t xml:space="preserve">ж.б. 20р Перемоги 4 </t>
  </si>
  <si>
    <t xml:space="preserve">буд. 20р Перемоги 3 </t>
  </si>
  <si>
    <t xml:space="preserve">ж.б. 20років Перемоги 4 </t>
  </si>
  <si>
    <t xml:space="preserve"> буд. Зої Космодем,11  </t>
  </si>
  <si>
    <t xml:space="preserve">ж.б. 20р Перемоги,9 </t>
  </si>
  <si>
    <t>ТК5/1</t>
  </si>
  <si>
    <t xml:space="preserve">ж.б. 20років Перемоги,4 </t>
  </si>
  <si>
    <t xml:space="preserve">до вихода  </t>
  </si>
  <si>
    <t>ж.б.  Зої  Космодем’янської,2,</t>
  </si>
  <si>
    <t xml:space="preserve"> ТК 6 </t>
  </si>
  <si>
    <t xml:space="preserve">ж.б. Зої Космодем’янської,6 </t>
  </si>
  <si>
    <t xml:space="preserve"> буд. Зої Космодем’янської,4   </t>
  </si>
  <si>
    <t xml:space="preserve">ж.б. П.Павлівська,127 </t>
  </si>
  <si>
    <t xml:space="preserve"> ТК 5  </t>
  </si>
  <si>
    <t xml:space="preserve"> буд.20р.Перемоги,4   </t>
  </si>
  <si>
    <t xml:space="preserve">буд.П.Павлівська,129   </t>
  </si>
  <si>
    <t xml:space="preserve">буд.Зої  Космодем’янської,10 </t>
  </si>
  <si>
    <t xml:space="preserve"> буд.Зої  Космодем’янської,6  </t>
  </si>
  <si>
    <t xml:space="preserve">буд.Зої  Косм,8  </t>
  </si>
  <si>
    <t xml:space="preserve">буд.Зої Космодем’янської,2 </t>
  </si>
  <si>
    <t xml:space="preserve">буд.П.Павлівська,125  </t>
  </si>
  <si>
    <t xml:space="preserve">буд.П.Павлівська,123   </t>
  </si>
  <si>
    <t xml:space="preserve">ТК9 </t>
  </si>
  <si>
    <t xml:space="preserve">буд.П.Павлівська,127  </t>
  </si>
  <si>
    <t xml:space="preserve">ЦТП   </t>
  </si>
  <si>
    <t xml:space="preserve">буд.Кондратьєва,129  </t>
  </si>
  <si>
    <t xml:space="preserve">ТК7   </t>
  </si>
  <si>
    <t>ТК4/1</t>
  </si>
  <si>
    <t xml:space="preserve"> Станція швидкої допомоги </t>
  </si>
  <si>
    <t xml:space="preserve">ВТ3 </t>
  </si>
  <si>
    <t xml:space="preserve"> ТК6/1 </t>
  </si>
  <si>
    <t>ВТ3</t>
  </si>
  <si>
    <t xml:space="preserve">ТК5А/1   </t>
  </si>
  <si>
    <t>ТК6/1</t>
  </si>
  <si>
    <t xml:space="preserve">ТК13/1 </t>
  </si>
  <si>
    <t>ТК8/1</t>
  </si>
  <si>
    <t xml:space="preserve">ТК12/1   </t>
  </si>
  <si>
    <t>ТК10/1</t>
  </si>
  <si>
    <t xml:space="preserve">майстерні  </t>
  </si>
  <si>
    <t>ТК12/1</t>
  </si>
  <si>
    <t xml:space="preserve">гл.корпус "Горсвет"  </t>
  </si>
  <si>
    <t xml:space="preserve">ТК9/1 </t>
  </si>
  <si>
    <t>Сумиліфт   2d89  25м</t>
  </si>
  <si>
    <t>ТК9/1</t>
  </si>
  <si>
    <t xml:space="preserve">майстерні "Сумиліфт"  </t>
  </si>
  <si>
    <t>ТК7/1</t>
  </si>
  <si>
    <t xml:space="preserve">ТК8/1 </t>
  </si>
  <si>
    <t xml:space="preserve"> ТК8/1 </t>
  </si>
  <si>
    <t xml:space="preserve">Культбытстрой   </t>
  </si>
  <si>
    <t>гостиниці</t>
  </si>
  <si>
    <t xml:space="preserve"> гостиниці до Уз.1 </t>
  </si>
  <si>
    <t xml:space="preserve">Уз.1 </t>
  </si>
  <si>
    <t xml:space="preserve">уч.корпуса </t>
  </si>
  <si>
    <t xml:space="preserve">ДОСААФ  </t>
  </si>
  <si>
    <t xml:space="preserve">ДЮСШ </t>
  </si>
  <si>
    <t xml:space="preserve">ТК5а/1 </t>
  </si>
  <si>
    <t>ТК5а/1</t>
  </si>
  <si>
    <t xml:space="preserve">ТК5/1 </t>
  </si>
  <si>
    <t>ТК14/1</t>
  </si>
  <si>
    <t xml:space="preserve">корпус ДОСААФ  </t>
  </si>
  <si>
    <t xml:space="preserve"> гостиниця </t>
  </si>
  <si>
    <t>ЦТП Ппавловская,125</t>
  </si>
  <si>
    <t xml:space="preserve">ТК-1   </t>
  </si>
  <si>
    <t xml:space="preserve">буд.Кондратьєва 4   </t>
  </si>
  <si>
    <t xml:space="preserve">буд. Кондратьєва 4 </t>
  </si>
  <si>
    <t>ТК-2</t>
  </si>
  <si>
    <t xml:space="preserve">буд.Кондратьєва,4 </t>
  </si>
  <si>
    <t xml:space="preserve">буд. Кондратьєва 6 </t>
  </si>
  <si>
    <t>буд.Кондратьєва 6</t>
  </si>
  <si>
    <t xml:space="preserve"> здания музея </t>
  </si>
  <si>
    <t xml:space="preserve"> ТК-2</t>
  </si>
  <si>
    <t xml:space="preserve"> ТК-3</t>
  </si>
  <si>
    <t xml:space="preserve"> буд.Петропавлівська,47  </t>
  </si>
  <si>
    <t xml:space="preserve">ТК5   </t>
  </si>
  <si>
    <t xml:space="preserve">ТК5 </t>
  </si>
  <si>
    <t xml:space="preserve"> ТК6 </t>
  </si>
  <si>
    <t xml:space="preserve">ТК6 </t>
  </si>
  <si>
    <t xml:space="preserve"> буд. П.Павлавл.49 </t>
  </si>
  <si>
    <t xml:space="preserve"> буд.П.Павл.51  </t>
  </si>
  <si>
    <t xml:space="preserve">буд. Кірова,8     </t>
  </si>
  <si>
    <t xml:space="preserve"> банківська академія</t>
  </si>
  <si>
    <t xml:space="preserve">Бюро Спутник   </t>
  </si>
  <si>
    <t>ввод ЦГБ</t>
  </si>
  <si>
    <t xml:space="preserve">ТК3а  </t>
  </si>
  <si>
    <t xml:space="preserve">ТК3а </t>
  </si>
  <si>
    <t xml:space="preserve">ввод ЦГБ   </t>
  </si>
  <si>
    <t>вул. 20 р.Перемоги,13 кот.</t>
  </si>
  <si>
    <t xml:space="preserve"> вул. 20 р.Перемоги,13 кот.</t>
  </si>
  <si>
    <t xml:space="preserve"> Станції швидкої допомоги   </t>
  </si>
  <si>
    <t>ЦТП пров.Громадянський,4а</t>
  </si>
  <si>
    <t>Сумська 
ТЕЦ</t>
  </si>
  <si>
    <t>Σ</t>
  </si>
  <si>
    <t>Котельня
пров. Березовий,28</t>
  </si>
  <si>
    <t>Котельня
вул. Косівщинська,96</t>
  </si>
  <si>
    <t>Котельня
вул. Нахімова,30</t>
  </si>
  <si>
    <t>ЛОЦ
"Чайка"</t>
  </si>
  <si>
    <t>Котельня
вул. Санаторна,3</t>
  </si>
  <si>
    <t xml:space="preserve"> Інформація щодо строку експлуатації трубопроводів ЦГВП
ТОВ "Сумитеплоенерго"
</t>
  </si>
  <si>
    <t>ПАТ" Сумське НВО"
дирекція "Котельня "Північного промислового вузла"</t>
  </si>
  <si>
    <t>ЦТП №1 КППВ</t>
  </si>
  <si>
    <t>ТК103</t>
  </si>
  <si>
    <t xml:space="preserve">ТК104  </t>
  </si>
  <si>
    <t xml:space="preserve"> ТК104 </t>
  </si>
  <si>
    <t>буд.Ковпака,15</t>
  </si>
  <si>
    <t>ТК104</t>
  </si>
  <si>
    <t>буд.Курская,127</t>
  </si>
  <si>
    <t xml:space="preserve">буд.Курская,127 </t>
  </si>
  <si>
    <t xml:space="preserve">ТК610/2 </t>
  </si>
  <si>
    <t xml:space="preserve"> ТК610/2</t>
  </si>
  <si>
    <t xml:space="preserve">Курская,127 </t>
  </si>
  <si>
    <t>ТК610/2</t>
  </si>
  <si>
    <t xml:space="preserve">Курская,123 </t>
  </si>
  <si>
    <t xml:space="preserve"> ТК100 </t>
  </si>
  <si>
    <t>ТК100</t>
  </si>
  <si>
    <t>ТК 101</t>
  </si>
  <si>
    <t>ТК 103</t>
  </si>
  <si>
    <t xml:space="preserve">Ковпака,11 </t>
  </si>
  <si>
    <t xml:space="preserve">буд.Ковпака,15 </t>
  </si>
  <si>
    <t xml:space="preserve"> буд.Курська,135 </t>
  </si>
  <si>
    <t xml:space="preserve">буд.Ковпака,13  </t>
  </si>
  <si>
    <t>буд. Ковпака, 25</t>
  </si>
  <si>
    <t>ТК-101</t>
  </si>
  <si>
    <t xml:space="preserve">буд. Ковпака, 27 </t>
  </si>
  <si>
    <t xml:space="preserve">буд. Ковпака,25 </t>
  </si>
  <si>
    <t>ЦТП №2 КППВ</t>
  </si>
  <si>
    <t xml:space="preserve"> буд.Р.Атаманюка,37</t>
  </si>
  <si>
    <t xml:space="preserve"> буд.Р.Атаманюка,37  </t>
  </si>
  <si>
    <t xml:space="preserve">буд.Р.Атаманюка,37 </t>
  </si>
  <si>
    <t xml:space="preserve"> буд.Р.Атаманюка,39 </t>
  </si>
  <si>
    <t>буд.Р.Атаманюка,37</t>
  </si>
  <si>
    <t xml:space="preserve">буд.Р.Атаманюка,39  </t>
  </si>
  <si>
    <t>буд.Р.Атаманюка,27</t>
  </si>
  <si>
    <t xml:space="preserve"> буд.Р.Атаманюка,25 </t>
  </si>
  <si>
    <t>буд.Р.Атаманюка,25</t>
  </si>
  <si>
    <t xml:space="preserve">буд.Р.Атаманюка,23 </t>
  </si>
  <si>
    <t>буд.Р.Атаманюка,55</t>
  </si>
  <si>
    <t xml:space="preserve"> буд.Р.Атаманюка,59 </t>
  </si>
  <si>
    <t xml:space="preserve"> буд.Р.Атаманюка,49 </t>
  </si>
  <si>
    <t xml:space="preserve">буд.Р.Атаманюка,31 </t>
  </si>
  <si>
    <t xml:space="preserve"> буд.Р.Атаманюка,31</t>
  </si>
  <si>
    <t xml:space="preserve"> буд.Р.Атаманюка,29 </t>
  </si>
  <si>
    <t xml:space="preserve">буд.Р.Атаманюка,53 </t>
  </si>
  <si>
    <t>буд.Р.Атаманюка,63</t>
  </si>
  <si>
    <t xml:space="preserve"> буд.Новорічна 8 </t>
  </si>
  <si>
    <t xml:space="preserve">буд.Р.Атаманюка,61 </t>
  </si>
  <si>
    <t xml:space="preserve">буд.Р.Атаманюка,63  </t>
  </si>
  <si>
    <t>буд.Р.Атаманюка,51</t>
  </si>
  <si>
    <t xml:space="preserve"> буд.Р.Атаманюка,37 </t>
  </si>
  <si>
    <t>буд.Р.Атаманюка,35</t>
  </si>
  <si>
    <t xml:space="preserve"> буд.Р.Атаманюка,27</t>
  </si>
  <si>
    <t>буд.Р.Атаманюка,39</t>
  </si>
  <si>
    <t>буд.Р.Атаманюка,49</t>
  </si>
  <si>
    <t xml:space="preserve">буд.Р.Атаманюка,39 </t>
  </si>
  <si>
    <t>буд.Р.Атаманюка,33</t>
  </si>
  <si>
    <t>буд.Р.Атаманюка,53</t>
  </si>
  <si>
    <t xml:space="preserve"> буд.Р.Атаманюка,55 </t>
  </si>
  <si>
    <t>ЦТП №3 КППВ</t>
  </si>
  <si>
    <t xml:space="preserve">буд.Ковпака,23  </t>
  </si>
  <si>
    <t xml:space="preserve"> буд.Ковпака,29/1 </t>
  </si>
  <si>
    <t>буд.Ковпака,35</t>
  </si>
  <si>
    <t xml:space="preserve"> буд.Ковпака,35 </t>
  </si>
  <si>
    <t xml:space="preserve">дит. будинок-інтернат </t>
  </si>
  <si>
    <t xml:space="preserve"> буд.Ковпака,29</t>
  </si>
  <si>
    <t xml:space="preserve">буд.Ковпака,23 </t>
  </si>
  <si>
    <t xml:space="preserve"> буд.Ковпака,29 </t>
  </si>
  <si>
    <t>буд.Ковпака,29/1</t>
  </si>
  <si>
    <t xml:space="preserve"> буд.Ковпака,33</t>
  </si>
  <si>
    <t xml:space="preserve"> буд.Ковпака,31/1 </t>
  </si>
  <si>
    <t xml:space="preserve"> ТК4 </t>
  </si>
  <si>
    <t>буд.Ковпака,31/2</t>
  </si>
  <si>
    <t>буд.Ковпака,17</t>
  </si>
  <si>
    <t>ЦТП №4 КППВ</t>
  </si>
  <si>
    <t>буд.Ковпака,43</t>
  </si>
  <si>
    <t xml:space="preserve"> буд.Ковпака,41  </t>
  </si>
  <si>
    <t xml:space="preserve">буд.Ковпака,47 </t>
  </si>
  <si>
    <t xml:space="preserve">буд.Ковпака,45 </t>
  </si>
  <si>
    <t>буд.Ковпака,55</t>
  </si>
  <si>
    <t xml:space="preserve">буд. Ковпака 43   </t>
  </si>
  <si>
    <t xml:space="preserve"> буд. Ковпака 47  </t>
  </si>
  <si>
    <t>буд. Ковпака,53</t>
  </si>
  <si>
    <t xml:space="preserve"> ТК3  </t>
  </si>
  <si>
    <t xml:space="preserve"> буд.Ковпака,53 </t>
  </si>
  <si>
    <t xml:space="preserve"> ЦТП   </t>
  </si>
  <si>
    <t xml:space="preserve">ТК6  </t>
  </si>
  <si>
    <t xml:space="preserve"> ТК2    </t>
  </si>
  <si>
    <t xml:space="preserve">школа №22    </t>
  </si>
  <si>
    <t xml:space="preserve">буд.Ковпака,41 </t>
  </si>
  <si>
    <t xml:space="preserve">буд.Р.Атаманюка,57   </t>
  </si>
  <si>
    <t>ЦТП №5 КППВ</t>
  </si>
  <si>
    <t xml:space="preserve">буд.Р.Атаманюка, 69  </t>
  </si>
  <si>
    <t xml:space="preserve"> буд.Р.Атаманюка, 69 </t>
  </si>
  <si>
    <t xml:space="preserve"> ТК5 </t>
  </si>
  <si>
    <t xml:space="preserve">буд.Чібісова 16/1 </t>
  </si>
  <si>
    <t xml:space="preserve">буд.Р.Атаманюка,65   </t>
  </si>
  <si>
    <t xml:space="preserve">ТК3  </t>
  </si>
  <si>
    <t>ТК0</t>
  </si>
  <si>
    <t xml:space="preserve"> буд.Р.Атаманюка,41  </t>
  </si>
  <si>
    <t>буд.Р.Атаманюка, 67</t>
  </si>
  <si>
    <t xml:space="preserve"> ТК12 </t>
  </si>
  <si>
    <t xml:space="preserve">ТК12 </t>
  </si>
  <si>
    <t xml:space="preserve"> буд.Р.Атаманюка, 67  </t>
  </si>
  <si>
    <t>буд.Р.Атаманюка,21/1</t>
  </si>
  <si>
    <t xml:space="preserve"> буд.Р.Атаманюка, 41 </t>
  </si>
  <si>
    <t xml:space="preserve"> буд.Р.Атаманюка,45 </t>
  </si>
  <si>
    <t>буд.Р.Атаманюка,13А</t>
  </si>
  <si>
    <t xml:space="preserve"> буд.Р.Атаманюка, 43   </t>
  </si>
  <si>
    <t xml:space="preserve">ТК10 </t>
  </si>
  <si>
    <t xml:space="preserve">буд.Р.Атаманюка, 28    </t>
  </si>
  <si>
    <t xml:space="preserve"> буд.Р.Атаманюка,24   </t>
  </si>
  <si>
    <t xml:space="preserve"> буд.Р.Атаманюка, 26  </t>
  </si>
  <si>
    <t>ЦТП №6 КППВ</t>
  </si>
  <si>
    <t xml:space="preserve">буд.Курська, 103/1   </t>
  </si>
  <si>
    <t xml:space="preserve">буд.Курська, 103/1а    </t>
  </si>
  <si>
    <t xml:space="preserve">буд.Курська, 103/2  </t>
  </si>
  <si>
    <t xml:space="preserve">буд.Курська, 103/2 </t>
  </si>
  <si>
    <t xml:space="preserve"> Кафе</t>
  </si>
  <si>
    <t xml:space="preserve">буд.Курська, 103/1б    </t>
  </si>
  <si>
    <t xml:space="preserve">ТК7    </t>
  </si>
  <si>
    <t xml:space="preserve">Л.Українки,4/1  </t>
  </si>
  <si>
    <t xml:space="preserve">Л.Українки,4  </t>
  </si>
  <si>
    <t>буд.Л.Українки, 2/1</t>
  </si>
  <si>
    <t xml:space="preserve"> ТК-5</t>
  </si>
  <si>
    <t xml:space="preserve"> ТК-1</t>
  </si>
  <si>
    <t>буд. блок №3</t>
  </si>
  <si>
    <t xml:space="preserve">буд. блок №1 </t>
  </si>
  <si>
    <t xml:space="preserve">буд.блок № 2 </t>
  </si>
  <si>
    <t xml:space="preserve">буд. блок №2 </t>
  </si>
  <si>
    <t>ЦТП №7 КППВ</t>
  </si>
  <si>
    <t xml:space="preserve">гол,корпус </t>
  </si>
  <si>
    <t xml:space="preserve"> ТК12</t>
  </si>
  <si>
    <t xml:space="preserve">ТК14  </t>
  </si>
  <si>
    <t xml:space="preserve"> ТК14</t>
  </si>
  <si>
    <t>ТК22</t>
  </si>
  <si>
    <t xml:space="preserve">ТК20  </t>
  </si>
  <si>
    <t xml:space="preserve"> ТК17</t>
  </si>
  <si>
    <t xml:space="preserve">будинок ветеранів </t>
  </si>
  <si>
    <t>поліклініка</t>
  </si>
  <si>
    <t>ТК14</t>
  </si>
  <si>
    <t xml:space="preserve">ДОБ </t>
  </si>
  <si>
    <t xml:space="preserve">корпус </t>
  </si>
  <si>
    <t xml:space="preserve">аграрний коледж   </t>
  </si>
  <si>
    <t xml:space="preserve">ТК18 </t>
  </si>
  <si>
    <t xml:space="preserve">Конно-спортивна база  </t>
  </si>
  <si>
    <t xml:space="preserve"> ТК10</t>
  </si>
  <si>
    <t xml:space="preserve">Гараж    </t>
  </si>
  <si>
    <t>харчоблок</t>
  </si>
  <si>
    <t xml:space="preserve"> ТК2</t>
  </si>
  <si>
    <t xml:space="preserve">харчоблок </t>
  </si>
  <si>
    <t>ЦТП №8 КППВ</t>
  </si>
  <si>
    <t xml:space="preserve">ТК5  </t>
  </si>
  <si>
    <t>буд.Курська,41/2</t>
  </si>
  <si>
    <t xml:space="preserve"> буд. Курська,43/1    </t>
  </si>
  <si>
    <t xml:space="preserve">ТК13 </t>
  </si>
  <si>
    <t xml:space="preserve"> буд.Курська,47   </t>
  </si>
  <si>
    <t xml:space="preserve">ТК9  </t>
  </si>
  <si>
    <t xml:space="preserve">Уз 1    </t>
  </si>
  <si>
    <t xml:space="preserve">  ТК9</t>
  </si>
  <si>
    <t xml:space="preserve">ТК10    </t>
  </si>
  <si>
    <t xml:space="preserve">ТК14 </t>
  </si>
  <si>
    <t xml:space="preserve">ТК8 </t>
  </si>
  <si>
    <t xml:space="preserve"> буд.Курська,45   </t>
  </si>
  <si>
    <t xml:space="preserve"> буд.Курська,45</t>
  </si>
  <si>
    <t xml:space="preserve"> ТК9</t>
  </si>
  <si>
    <t xml:space="preserve">Уз.2  </t>
  </si>
  <si>
    <t xml:space="preserve">д/сад Курська 49 </t>
  </si>
  <si>
    <t xml:space="preserve">ТК12  </t>
  </si>
  <si>
    <t xml:space="preserve">Уз.2   </t>
  </si>
  <si>
    <t xml:space="preserve">буд. Курська,45   </t>
  </si>
  <si>
    <t xml:space="preserve"> буд. Курская,41/1   </t>
  </si>
  <si>
    <t xml:space="preserve">буд.Курська,55   </t>
  </si>
  <si>
    <t xml:space="preserve"> буд Курська,39</t>
  </si>
  <si>
    <t xml:space="preserve">буд.Курська,39  </t>
  </si>
  <si>
    <t xml:space="preserve"> буд.Курська,51 </t>
  </si>
  <si>
    <t xml:space="preserve">буд.Курська,51 </t>
  </si>
  <si>
    <t xml:space="preserve">буд.Курська,33  </t>
  </si>
  <si>
    <t xml:space="preserve"> буд.Курська,33</t>
  </si>
  <si>
    <t xml:space="preserve">буд.Курська,53   </t>
  </si>
  <si>
    <t xml:space="preserve"> буд.Курська,53   </t>
  </si>
  <si>
    <t xml:space="preserve"> ТК5</t>
  </si>
  <si>
    <t xml:space="preserve"> буд. Курська,37  </t>
  </si>
  <si>
    <t xml:space="preserve"> буд. Курська,43/2   </t>
  </si>
  <si>
    <t>ЦТП №9 КППВ</t>
  </si>
  <si>
    <t xml:space="preserve">буд.Ковпака,73  </t>
  </si>
  <si>
    <t xml:space="preserve">буд.Ковпака,81 </t>
  </si>
  <si>
    <t xml:space="preserve">буд.Ковпака,77"а" </t>
  </si>
  <si>
    <t xml:space="preserve">буд.Ковпака 65 </t>
  </si>
  <si>
    <t xml:space="preserve">буд.Ковпака 65  </t>
  </si>
  <si>
    <t xml:space="preserve">буд.Ковпака,67 </t>
  </si>
  <si>
    <t xml:space="preserve">буд.Ковпака,61/1  </t>
  </si>
  <si>
    <t>буд.Ковпака,61/1</t>
  </si>
  <si>
    <t xml:space="preserve"> ТК11 </t>
  </si>
  <si>
    <t xml:space="preserve"> ТК20  </t>
  </si>
  <si>
    <t xml:space="preserve"> буд.Р.Атаманюка,43А  </t>
  </si>
  <si>
    <t xml:space="preserve"> буд.Р.Атаманюка,43"Б" </t>
  </si>
  <si>
    <t>Т/м від ТК2 до Ковпака,63  2d108,57,40  4 м</t>
  </si>
  <si>
    <t xml:space="preserve">ТК17 </t>
  </si>
  <si>
    <t xml:space="preserve">буд. Ковпака,81  </t>
  </si>
  <si>
    <t>ТК21</t>
  </si>
  <si>
    <t xml:space="preserve"> ТК17     </t>
  </si>
  <si>
    <t xml:space="preserve"> ТК21 </t>
  </si>
  <si>
    <t xml:space="preserve">буд. Ковпака,87   </t>
  </si>
  <si>
    <t xml:space="preserve"> ТК16 </t>
  </si>
  <si>
    <t xml:space="preserve">ТК21 </t>
  </si>
  <si>
    <t xml:space="preserve">буд.Ковпака,85  </t>
  </si>
  <si>
    <t xml:space="preserve">ТК15 </t>
  </si>
  <si>
    <t xml:space="preserve"> ТК14 </t>
  </si>
  <si>
    <t xml:space="preserve">буд. Ковпака,81"А" </t>
  </si>
  <si>
    <t>буд.Ковпака 65</t>
  </si>
  <si>
    <t xml:space="preserve"> ТК27   </t>
  </si>
  <si>
    <t xml:space="preserve">ТК27 </t>
  </si>
  <si>
    <t xml:space="preserve"> ТК28  </t>
  </si>
  <si>
    <t xml:space="preserve">буд. Ковпака,77"Б" </t>
  </si>
  <si>
    <t xml:space="preserve">буд.Ковпака,71 </t>
  </si>
  <si>
    <t xml:space="preserve"> ТК13   </t>
  </si>
  <si>
    <t>буд.Ковпака,89</t>
  </si>
  <si>
    <t xml:space="preserve">ТК22 </t>
  </si>
  <si>
    <t xml:space="preserve">буд.Ковпака,91 </t>
  </si>
  <si>
    <t xml:space="preserve">буд. Ковпака,81"В" </t>
  </si>
  <si>
    <t xml:space="preserve">ТК7  </t>
  </si>
  <si>
    <t xml:space="preserve">ТК8  </t>
  </si>
  <si>
    <t xml:space="preserve"> ТК8  </t>
  </si>
  <si>
    <t>буд. Ковпака,59</t>
  </si>
  <si>
    <t>буд.Ковпака,59</t>
  </si>
  <si>
    <t>буд. Ковпака,61</t>
  </si>
  <si>
    <t xml:space="preserve"> ТК8</t>
  </si>
  <si>
    <t xml:space="preserve"> ТК8 </t>
  </si>
  <si>
    <t>ТК18</t>
  </si>
  <si>
    <t xml:space="preserve">буд.Ковпака,81  </t>
  </si>
  <si>
    <t>буд.Ковпака,81</t>
  </si>
  <si>
    <t>ЦТП Металургов, 14 КППВ</t>
  </si>
  <si>
    <t xml:space="preserve"> ТК2   </t>
  </si>
  <si>
    <t xml:space="preserve">буд. Металургів,14 </t>
  </si>
  <si>
    <t xml:space="preserve">буд. Металургів,24  </t>
  </si>
  <si>
    <t xml:space="preserve"> ТК76  </t>
  </si>
  <si>
    <t xml:space="preserve"> буд.Металург.16 </t>
  </si>
  <si>
    <t xml:space="preserve">буд. Металлург.26 </t>
  </si>
  <si>
    <t>ЦТП Холодногорская,3 КППВ</t>
  </si>
  <si>
    <t xml:space="preserve">буд.Холодногірська,49 </t>
  </si>
  <si>
    <t xml:space="preserve"> ТК1   </t>
  </si>
  <si>
    <t>буд. Холодногірська,51</t>
  </si>
  <si>
    <t>буд.Холодногірська.47</t>
  </si>
  <si>
    <t xml:space="preserve"> ЦТП  </t>
  </si>
  <si>
    <t xml:space="preserve">буд.Холодногірська,45 </t>
  </si>
  <si>
    <t>ЦТП Лермонтова, 1 КППВ</t>
  </si>
  <si>
    <t xml:space="preserve"> буд.Лермонтова,15   </t>
  </si>
  <si>
    <t xml:space="preserve"> буд.Лермонтова,15</t>
  </si>
  <si>
    <t xml:space="preserve"> ТК3   </t>
  </si>
  <si>
    <t xml:space="preserve">буд.Лермонтова,1 </t>
  </si>
  <si>
    <t xml:space="preserve">буд.Лермонтова,1   </t>
  </si>
  <si>
    <t xml:space="preserve"> буд.Лермонтова,1   </t>
  </si>
  <si>
    <t xml:space="preserve">буд.Реміснича, 19  </t>
  </si>
  <si>
    <t xml:space="preserve"> буд.Реміснича 25</t>
  </si>
  <si>
    <t xml:space="preserve">буд.Реміснича 25  </t>
  </si>
  <si>
    <t xml:space="preserve">буд.Лермонтова, 3 </t>
  </si>
  <si>
    <t xml:space="preserve">буд.Лермонтова, 3  </t>
  </si>
  <si>
    <t xml:space="preserve">ТК11 </t>
  </si>
  <si>
    <t xml:space="preserve">ТК11  </t>
  </si>
  <si>
    <t xml:space="preserve">буд. Реміснича,35   </t>
  </si>
  <si>
    <t xml:space="preserve">  ТК13</t>
  </si>
  <si>
    <t xml:space="preserve">буд.Реміснича,35   </t>
  </si>
  <si>
    <t xml:space="preserve"> буд.Жукова,2/1 </t>
  </si>
  <si>
    <t xml:space="preserve">буд.Жукова,2/1 </t>
  </si>
  <si>
    <t xml:space="preserve">буд.Жукова,2/1   </t>
  </si>
  <si>
    <t xml:space="preserve"> ТК4  </t>
  </si>
  <si>
    <t xml:space="preserve"> ТК13 </t>
  </si>
  <si>
    <t xml:space="preserve">д/сад Лермонтова  </t>
  </si>
  <si>
    <t xml:space="preserve"> ТК13</t>
  </si>
  <si>
    <t xml:space="preserve">ТК14      </t>
  </si>
  <si>
    <t xml:space="preserve">ТК4   </t>
  </si>
  <si>
    <t>буд. Реміснича,35</t>
  </si>
  <si>
    <t xml:space="preserve">ТК15      </t>
  </si>
  <si>
    <t xml:space="preserve">буд.Реміснича,21   </t>
  </si>
  <si>
    <t xml:space="preserve">буд.Реміснича,21  </t>
  </si>
  <si>
    <t xml:space="preserve">ТК13а </t>
  </si>
  <si>
    <t xml:space="preserve"> буд. Жукова,3  </t>
  </si>
  <si>
    <t xml:space="preserve">буд. Жукова,3 </t>
  </si>
  <si>
    <t xml:space="preserve"> буд. Жукова,2   </t>
  </si>
  <si>
    <t xml:space="preserve"> ТК13а</t>
  </si>
  <si>
    <t xml:space="preserve"> буд.Жукова, 7   </t>
  </si>
  <si>
    <t xml:space="preserve">ТК13б </t>
  </si>
  <si>
    <t xml:space="preserve">буд.Жукова, 6   </t>
  </si>
  <si>
    <t xml:space="preserve"> школа №20 нов. корпус  </t>
  </si>
  <si>
    <t xml:space="preserve"> школа №20 ст. корпус </t>
  </si>
  <si>
    <t xml:space="preserve">буд.Реміснича,31  </t>
  </si>
  <si>
    <t xml:space="preserve">буд.Реміснича,31 </t>
  </si>
  <si>
    <t xml:space="preserve">буд. Реміснича,17 </t>
  </si>
  <si>
    <t xml:space="preserve">ТК-15  </t>
  </si>
  <si>
    <t>ЦТП Лермонтова, 2 КППВ</t>
  </si>
  <si>
    <t xml:space="preserve">буд.Лермонтова,17/1   </t>
  </si>
  <si>
    <t xml:space="preserve"> ТК2  </t>
  </si>
  <si>
    <t xml:space="preserve">буд.Лермонтова,17  </t>
  </si>
  <si>
    <t xml:space="preserve">буд. Лермонтова,17  </t>
  </si>
  <si>
    <t xml:space="preserve">  ЦТП</t>
  </si>
  <si>
    <t xml:space="preserve">буд.Лермантова,13 </t>
  </si>
  <si>
    <t>буд.Лермантова,13</t>
  </si>
  <si>
    <t xml:space="preserve">буд. Реміснича, 15а  </t>
  </si>
  <si>
    <t xml:space="preserve">буд.Реміснича, 15а  </t>
  </si>
  <si>
    <t xml:space="preserve">буд. Реміснича, 15б  </t>
  </si>
  <si>
    <t xml:space="preserve">буд.Ремісн, 15б  </t>
  </si>
  <si>
    <t xml:space="preserve">буд.Ремісн, 15б    </t>
  </si>
  <si>
    <t xml:space="preserve">буд.Лермонтова,15  </t>
  </si>
  <si>
    <t xml:space="preserve">  ТК7</t>
  </si>
  <si>
    <t xml:space="preserve">буд.Калініградська.6  </t>
  </si>
  <si>
    <t>ЦТП Шевченка,2 КППВ</t>
  </si>
  <si>
    <t xml:space="preserve">буд.Шевченка,2/1 </t>
  </si>
  <si>
    <t xml:space="preserve"> буд.Шевченко,2/1   </t>
  </si>
  <si>
    <t xml:space="preserve"> ТК-1 </t>
  </si>
  <si>
    <t xml:space="preserve">буд.Шевченко,2/1   </t>
  </si>
  <si>
    <t xml:space="preserve">буд.Шевченко,2 </t>
  </si>
  <si>
    <t xml:space="preserve"> ЦТП    </t>
  </si>
  <si>
    <t>ЦТП Іллінська,12 КППВ</t>
  </si>
  <si>
    <t xml:space="preserve">буд. Іллінська,12/2  </t>
  </si>
  <si>
    <t xml:space="preserve"> буд. Іллінська,12/1    </t>
  </si>
  <si>
    <t>ЦТП Засумська,13 КППВ</t>
  </si>
  <si>
    <t xml:space="preserve"> буд. Іллінська,№10 </t>
  </si>
  <si>
    <t xml:space="preserve">вул.Пролетарська,15  </t>
  </si>
  <si>
    <t xml:space="preserve">ж..вул.Засумська,16/5  </t>
  </si>
  <si>
    <t xml:space="preserve"> буд. Іллінська,10 </t>
  </si>
  <si>
    <t xml:space="preserve">буд. Вул.Шевченко,2/1
(перемичка) </t>
  </si>
  <si>
    <t>ж.б.вул. Засумська,14</t>
  </si>
  <si>
    <t xml:space="preserve">ТК-8  </t>
  </si>
  <si>
    <t xml:space="preserve">ж.б.вул. Засумська, 12-а </t>
  </si>
  <si>
    <t>ж.б.вул. Засумська, 12(лізхоз)</t>
  </si>
  <si>
    <t xml:space="preserve">ж.б.вул. Засумська, 10 </t>
  </si>
  <si>
    <t>ж.б.вул. Засумська, 12/1</t>
  </si>
  <si>
    <t>ж.б. Пролетарська,5</t>
  </si>
  <si>
    <t>ж.б. вул. Засумська,16</t>
  </si>
  <si>
    <t xml:space="preserve"> буд.вул.Засумська,12</t>
  </si>
  <si>
    <t xml:space="preserve"> буд.вул.Засумська,14</t>
  </si>
  <si>
    <t xml:space="preserve"> буд.вул.Засумська,16б</t>
  </si>
  <si>
    <t xml:space="preserve"> ТК2а </t>
  </si>
  <si>
    <t xml:space="preserve">буд.Пролетарська,25  </t>
  </si>
  <si>
    <t>буд.Пролетарська,35</t>
  </si>
  <si>
    <t>ЦТП Іллінська,51 КППВ</t>
  </si>
  <si>
    <t xml:space="preserve">школа №15     </t>
  </si>
  <si>
    <t xml:space="preserve">школа №15    </t>
  </si>
  <si>
    <t>буд.школа №15</t>
  </si>
  <si>
    <t xml:space="preserve">ж.б. вул.Іллінська,51/1 </t>
  </si>
  <si>
    <t xml:space="preserve">ж.б.вул. Калініна 55   </t>
  </si>
  <si>
    <t xml:space="preserve">ж.б.вул. Калініна 55    </t>
  </si>
  <si>
    <t xml:space="preserve">Колишня котельня </t>
  </si>
  <si>
    <t xml:space="preserve"> буд.школа №15 </t>
  </si>
  <si>
    <t xml:space="preserve">прибудови школи   </t>
  </si>
  <si>
    <t xml:space="preserve">вул.Іллінська,51"В"   </t>
  </si>
  <si>
    <t xml:space="preserve">вул.буд.Іллінська,51"В" </t>
  </si>
  <si>
    <t xml:space="preserve">буд.Іллінська,49    </t>
  </si>
  <si>
    <t xml:space="preserve">буд. Іллінська,51"В"   </t>
  </si>
  <si>
    <t xml:space="preserve">вул.Іллінська,51(магазин)    </t>
  </si>
  <si>
    <t>Т/м ТК5</t>
  </si>
  <si>
    <t xml:space="preserve">вул.Іллінська,51"г"    </t>
  </si>
  <si>
    <t xml:space="preserve">вул.Іллінська,51"в"   </t>
  </si>
  <si>
    <t>ЦТП Іллінська,52 КППВ</t>
  </si>
  <si>
    <t>ж.б. вул.Іллінська,52</t>
  </si>
  <si>
    <t>ЦТП Іллінська,52</t>
  </si>
  <si>
    <t>ЦТП Холодногорская,1 КППВ</t>
  </si>
  <si>
    <t xml:space="preserve"> буд. пл.Горького,5</t>
  </si>
  <si>
    <t xml:space="preserve">буд.Холодногірська,31 </t>
  </si>
  <si>
    <t>буд. пл.Горького,4</t>
  </si>
  <si>
    <t xml:space="preserve">буд.Горького, 25  </t>
  </si>
  <si>
    <t xml:space="preserve"> буд.Горького,2 </t>
  </si>
  <si>
    <t xml:space="preserve">буд.Горького, 21 </t>
  </si>
  <si>
    <t xml:space="preserve"> буд.пл.Горького,2 </t>
  </si>
  <si>
    <t xml:space="preserve">буд.Горького 23/2 </t>
  </si>
  <si>
    <t xml:space="preserve">пл.Горького,6   </t>
  </si>
  <si>
    <t xml:space="preserve">буд. Холодногірська,37 </t>
  </si>
  <si>
    <t>буд. Н.Холодногірська,8</t>
  </si>
  <si>
    <t>буд.Холодногірська,41</t>
  </si>
  <si>
    <t>буд.Холодногірська, 39</t>
  </si>
  <si>
    <t xml:space="preserve">TK7 </t>
  </si>
  <si>
    <t>буд.Холодногірська,35</t>
  </si>
  <si>
    <t xml:space="preserve"> ТК6  </t>
  </si>
  <si>
    <t>буд.Холодногірська,33/1</t>
  </si>
  <si>
    <t xml:space="preserve">буд.Горького, 23   </t>
  </si>
  <si>
    <t>ТК1/1</t>
  </si>
  <si>
    <t xml:space="preserve">церква </t>
  </si>
  <si>
    <t>буд.Горького, 23</t>
  </si>
  <si>
    <t xml:space="preserve">буд. Горького, 23/1  </t>
  </si>
  <si>
    <t xml:space="preserve">буд. Горького 23/1  </t>
  </si>
  <si>
    <t>буд.Н.Холодногірська,10</t>
  </si>
  <si>
    <t xml:space="preserve">буд.Н.Холодногірська,10 </t>
  </si>
  <si>
    <t>2008-1999</t>
  </si>
  <si>
    <t>2019-2009</t>
  </si>
  <si>
    <t>1998-1989</t>
  </si>
  <si>
    <t>1988 ˂</t>
  </si>
  <si>
    <t>Разом</t>
  </si>
  <si>
    <t>РЕЄСТР   МЕРЕЖ  ГВП від ТЕЦ  ТОВ "Сумитеплоенерго"</t>
  </si>
  <si>
    <t>Від джерела</t>
  </si>
  <si>
    <t>№</t>
  </si>
  <si>
    <t>Джерело тепла</t>
  </si>
  <si>
    <t>Найменування
об'єкта</t>
  </si>
  <si>
    <t>Найменування дільниці  т/м,ТК</t>
  </si>
  <si>
    <t>Інформація про пошкодження</t>
  </si>
  <si>
    <t>Т/м ТК 11 - ТК 12</t>
  </si>
  <si>
    <t>Т/м ТК3-Школа№24</t>
  </si>
  <si>
    <t>Т/м ТК8-ТК10</t>
  </si>
  <si>
    <t>порив подавального. тр-да</t>
  </si>
  <si>
    <t>Т/м ЦТП-М.Лушпи,10</t>
  </si>
  <si>
    <t>ТК 9 - ТК 10</t>
  </si>
  <si>
    <t>Т/м ТК1-Коротченко,41</t>
  </si>
  <si>
    <t>Т/м ТК-15- Лушпи,22</t>
  </si>
  <si>
    <t>Т/м ТК-1- Харківська, 46</t>
  </si>
  <si>
    <t>Т/м ТК-9- ТК10</t>
  </si>
  <si>
    <t xml:space="preserve">ТК 9 - ж/б Інтернаціоналістів,22а    </t>
  </si>
  <si>
    <t>Т/м ТК-3- ТК4</t>
  </si>
  <si>
    <t>Т/м ТК-4- ТК5</t>
  </si>
  <si>
    <t>Т/м ТК9-Харківська,12</t>
  </si>
  <si>
    <t>Т/м ТК3-Харківська,34</t>
  </si>
  <si>
    <t>Т/м ТК2-Харківська,34</t>
  </si>
  <si>
    <t>Т/м ТК2 - ТК 8</t>
  </si>
  <si>
    <t>Т/м ТК-1-ж.б.Харківська,25</t>
  </si>
  <si>
    <t>Т/м ТК-1-ж.б.Харківська,23</t>
  </si>
  <si>
    <t>Т/м в ТК-3 по вул. Харківська,7/1</t>
  </si>
  <si>
    <t>Т/м ТК11- ТК13 по вул.пр.М.Лушпи</t>
  </si>
  <si>
    <t>Т/м ТК-2- ТК3-по вул.Харківська</t>
  </si>
  <si>
    <t>Т/м ТК14 б -ТК15 по вул.пр.М.Лушпи</t>
  </si>
  <si>
    <t>Т/м ТК6 -пр.М.Лушпи,39/1</t>
  </si>
  <si>
    <t>Т/м ТК15-І.Сірка,15</t>
  </si>
  <si>
    <t xml:space="preserve"> ТК 8 - І. Сірка, 17</t>
  </si>
  <si>
    <t>Т/м ТК2-ТК3 по вул. Г. Крут</t>
  </si>
  <si>
    <t>Т/м ТК17- ж.б. Лушпи, 22</t>
  </si>
  <si>
    <t>Т/м ТК18-ТК19 по вул.Заливній</t>
  </si>
  <si>
    <t>Т/м ТК11-ТК14 а по впр.М.Лушпи</t>
  </si>
  <si>
    <t>Т/м ТК32-ТК33 по вул. Інтернаціоналістів</t>
  </si>
  <si>
    <t>Т/м ТК15-ТК16 по вул. І. Сірка</t>
  </si>
  <si>
    <t xml:space="preserve">ТК 7 - ж/б Лушпи,52    </t>
  </si>
  <si>
    <t>Т/м ТК14-ТК15 по вул. І. Сірка</t>
  </si>
  <si>
    <t>Т/м в ТК34 - ТК 35  по вул.Інтернаціоналістів</t>
  </si>
  <si>
    <t>Т/м ТК7- Лушпи, 39/3</t>
  </si>
  <si>
    <t>Т/м ТК13-ТК14 по вул.І.Сірка</t>
  </si>
  <si>
    <t>Т/м ТК7- Лушпи, 39/2</t>
  </si>
  <si>
    <t xml:space="preserve"> ТК 1 - Заливна 13</t>
  </si>
  <si>
    <t>ТК3 - ТК4</t>
  </si>
  <si>
    <t>ТК1-ТК2</t>
  </si>
  <si>
    <t>ТК8 - Харківська 14</t>
  </si>
  <si>
    <t>ТК2-ТК3</t>
  </si>
  <si>
    <t xml:space="preserve"> ТК3- І. Сірка, 17</t>
  </si>
  <si>
    <t xml:space="preserve">ТК 25 - ТК 27  </t>
  </si>
  <si>
    <t xml:space="preserve"> ТК 26 - ТК 28    </t>
  </si>
  <si>
    <t>ТК4 - Зеленко 10</t>
  </si>
  <si>
    <t xml:space="preserve"> ТК 27 - ж/б Інтернаціоналістів,15г   </t>
  </si>
  <si>
    <t xml:space="preserve"> ТК 7 - ТК 8    </t>
  </si>
  <si>
    <t xml:space="preserve">ТК 1 - ТК 2 </t>
  </si>
  <si>
    <t>ТК-4 - Харківська 6/2</t>
  </si>
  <si>
    <t xml:space="preserve"> в ТК 14 в сторону Сірка, 29</t>
  </si>
  <si>
    <t xml:space="preserve"> ТК 15- Сірка 19 </t>
  </si>
  <si>
    <t>ЦТП Н.С. 52 ЗТД</t>
  </si>
  <si>
    <t>буд.Н.Сироватська,52 до ТК2</t>
  </si>
  <si>
    <t xml:space="preserve">ж.б..Н.Сироватська,37   - ТК2  </t>
  </si>
  <si>
    <t>ТК 35 - ТК 36</t>
  </si>
  <si>
    <t xml:space="preserve">ТК 13 - Лушпи, 23 </t>
  </si>
  <si>
    <t>ТК 2 - ж.б. Харківська, 3Б</t>
  </si>
  <si>
    <t>d89,76,89,57 мм - 47м</t>
  </si>
  <si>
    <t>ж.б. СКД 42 - ж.б. Харківська, 38</t>
  </si>
  <si>
    <t xml:space="preserve">ТК-4 - ж.б. Черепіна,38а </t>
  </si>
  <si>
    <t>ТК 1 - ТК 9</t>
  </si>
  <si>
    <t xml:space="preserve"> ТК 16 - ТК 17    </t>
  </si>
  <si>
    <t xml:space="preserve"> ТК 6 - ТК 7    </t>
  </si>
  <si>
    <t xml:space="preserve">ТК 2 - ТК 3  </t>
  </si>
  <si>
    <t>ТК5-ТК6</t>
  </si>
  <si>
    <t xml:space="preserve">ж/б Прокоф’єва, 25 - ж/б Прокоф’єва,25 2блок  </t>
  </si>
  <si>
    <t xml:space="preserve"> ТК 9 -  ТК 9б     </t>
  </si>
  <si>
    <t xml:space="preserve"> ТК 15 - ж/б Інтернаціоналістів,6а     </t>
  </si>
  <si>
    <t xml:space="preserve"> ТК 10 - ТК 12    </t>
  </si>
  <si>
    <t xml:space="preserve">ТК 11 - ж.б. Лушпи,47В    </t>
  </si>
  <si>
    <t xml:space="preserve">ТК 10 - ж.б. Г. Крут, 10    </t>
  </si>
  <si>
    <t xml:space="preserve">ТК 11 - ТК 12  </t>
  </si>
  <si>
    <t>ЦТП Лермонтова, 1 КТД</t>
  </si>
  <si>
    <t>Т/м Жук,2-Жук,3</t>
  </si>
  <si>
    <t>d57   60 м прокладання  т-да - підземна,канальна, 
ізоляція т-да - мин.вата</t>
  </si>
  <si>
    <t>ЦТП№5 КТД</t>
  </si>
  <si>
    <t>Т/м ТК5-ТК6  вул. Г Чібісова</t>
  </si>
  <si>
    <t>ЦТП Засум.13 КТД</t>
  </si>
  <si>
    <t>Т/м ТК7 -Засумская,16/5</t>
  </si>
  <si>
    <t>Т/мТК1-Засумская,16Б</t>
  </si>
  <si>
    <t>Кот. Нахімова, 30</t>
  </si>
  <si>
    <t>Т/мТК5-ТК11</t>
  </si>
  <si>
    <t>ЦТП Іллінська,51 КТД</t>
  </si>
  <si>
    <t>Т/м ТК1- ТК4 по вул.Іллінська</t>
  </si>
  <si>
    <t>ЦТП№4 КТД</t>
  </si>
  <si>
    <t xml:space="preserve">буд.Ковпака,55 - ТК5 </t>
  </si>
  <si>
    <t>3d133,76мм;   L=32м прокладання  т-да - підземна,канальна, 
ізоляція т-да - мин.вата</t>
  </si>
  <si>
    <t>Т/м ТК-3- Школа № 22 по вул.Ковпака, 57</t>
  </si>
  <si>
    <t>Т/м  ТК5-Іллінська,51В</t>
  </si>
  <si>
    <t>ЦТП№8 КТД</t>
  </si>
  <si>
    <t>Т/м ТК14-Курский,33</t>
  </si>
  <si>
    <t>ЦТП Іллінська,12 КТД</t>
  </si>
  <si>
    <t xml:space="preserve">ТК1 - ТК2  </t>
  </si>
  <si>
    <t>ЦТП№6 КТД</t>
  </si>
  <si>
    <t>Т/м басейн-корпус по вул.Л.Українки</t>
  </si>
  <si>
    <t>Т/м П - ТК4</t>
  </si>
  <si>
    <t>d89 14 м прокладання  т-да - підземна,канальна, 
ізоляція т-да - мин.вата</t>
  </si>
  <si>
    <t>Т/м ЦТП - ТК1 по вул.Матюшенко</t>
  </si>
  <si>
    <t>ЦТП№3 КТД</t>
  </si>
  <si>
    <t>Т/м Ковпака,29/1-Ковпака,29
в(Ковпака,29)</t>
  </si>
  <si>
    <t>ЦТП№1 КТД</t>
  </si>
  <si>
    <t>ТК 102 -  Ковпака, 27 (д/с "Золотий ключик")</t>
  </si>
  <si>
    <t>ЦТП Холодногірська, 1 КТД</t>
  </si>
  <si>
    <t xml:space="preserve">ТК 5 -  Горького, 25 </t>
  </si>
  <si>
    <t>ЦТП Холодногірська, 3 КТД</t>
  </si>
  <si>
    <t>ЦТП -ТК1</t>
  </si>
  <si>
    <t>ЦТП№9 КТД</t>
  </si>
  <si>
    <t xml:space="preserve">ЦТП  -  ТК 1 </t>
  </si>
  <si>
    <t xml:space="preserve"> ТК16  - ТК21 </t>
  </si>
  <si>
    <t xml:space="preserve">ТК 10 -  ТК 12 </t>
  </si>
  <si>
    <t>ТК 103 -ж.б. Ковпака 11</t>
  </si>
  <si>
    <t xml:space="preserve">ТК10 - Уз.2  </t>
  </si>
  <si>
    <t>ЦТП Леваневського,26 КТД</t>
  </si>
  <si>
    <t>ТК2 - ТК3</t>
  </si>
  <si>
    <t>В ТК 1</t>
  </si>
  <si>
    <t xml:space="preserve"> ТК 1 - ТК 2</t>
  </si>
  <si>
    <t>ЦТП Шевченка, 2 КТД</t>
  </si>
  <si>
    <t>ТК 1 -ТК 2</t>
  </si>
  <si>
    <t>ТК 1- ТК 4</t>
  </si>
  <si>
    <t xml:space="preserve">ТК1 - ТК2 </t>
  </si>
  <si>
    <t xml:space="preserve"> ТК 2 -ТК3</t>
  </si>
  <si>
    <t xml:space="preserve">ТК4  - ТК5   </t>
  </si>
  <si>
    <t xml:space="preserve"> ТК 1 -ТК 2</t>
  </si>
  <si>
    <t>кот. Косовщинська,96</t>
  </si>
  <si>
    <t xml:space="preserve"> ТК6 - ж.б.Косовщинська, 96/4 </t>
  </si>
  <si>
    <t>Кот. Березовий, 28</t>
  </si>
  <si>
    <t xml:space="preserve"> Кот. Березовий 28 - школа інтернат (ТК2-ТК1)</t>
  </si>
  <si>
    <t>ТК4 - ТК10</t>
  </si>
  <si>
    <t xml:space="preserve">ТК10 - ТК11 </t>
  </si>
  <si>
    <t xml:space="preserve"> ТК6 - TK7 </t>
  </si>
  <si>
    <t xml:space="preserve">  ТК14 - буд. Н.Холодногірська,8</t>
  </si>
  <si>
    <t xml:space="preserve"> ТК13 -  ТК14 </t>
  </si>
  <si>
    <t>Інформація про пориви мереж ГВП ТОВ "Сумитеплоенерго" за 2018рік</t>
  </si>
  <si>
    <t>порив цирк. тр-д</t>
  </si>
  <si>
    <t>ЦТП№13</t>
  </si>
  <si>
    <t>ЦТП№25</t>
  </si>
  <si>
    <t xml:space="preserve">ЦТП№25 </t>
  </si>
  <si>
    <t>свищ</t>
  </si>
  <si>
    <t>перелом</t>
  </si>
  <si>
    <t>тріщіна</t>
  </si>
  <si>
    <t>Середньо зважений
тиск, м.вод.ст.</t>
  </si>
  <si>
    <t xml:space="preserve"> ТК 9 - ж/б І. Сірка,6    </t>
  </si>
  <si>
    <r>
      <t>Площа перерізу за типом руйнування 
трубопроводу, м</t>
    </r>
    <r>
      <rPr>
        <b/>
        <i/>
        <vertAlign val="superscript"/>
        <sz val="12"/>
        <rFont val="Times New Roman"/>
        <family val="1"/>
        <charset val="204"/>
      </rPr>
      <t>2</t>
    </r>
  </si>
  <si>
    <t>d89 мм L= 78м прокладання  т-да - підземна,канальна, 
ізоляція т-да - мин.вата</t>
  </si>
  <si>
    <t xml:space="preserve">  d133;89     107м прокладання  т-да - підземна,канальна, 
ізоляція т-да - мин.вата</t>
  </si>
  <si>
    <t xml:space="preserve"> d76,57 мм L=11,9м</t>
  </si>
  <si>
    <t>d108;57   69м прокладання  т-да - підземна,канальна, 
ізоляція т-да - мин.вата</t>
  </si>
  <si>
    <t>d133,89 L= 65м прокладання  т-да - підземна,канальна, 
ізоляція т-да - мин.вата</t>
  </si>
  <si>
    <t>d219;159   52м прокладання  т-да - підземна,канальна, 
ізоляція т-да - мин.вата</t>
  </si>
  <si>
    <t>d89;57    47м прокладання  т-да - підземна,канальна, 
ізоляція т-да - мин.вата</t>
  </si>
  <si>
    <t>d159,89 мм L= 32м прокладання  т-да - підземна,канальна, 
ізоляція т-да - мин.вата</t>
  </si>
  <si>
    <t>d159;108    101м прокладання  т-да - підземна,канальна, 
ізоляція т-да - мин.вата</t>
  </si>
  <si>
    <t>d89,57 мм L = 34м прокладання  т-да - підземна,канальна, 
ізоляція т-да - мин.вата</t>
  </si>
  <si>
    <t>d219,133 мм L= 106 м прокладання  т-да - підземна,канальна, 
ізоляція т-да - мин.вата</t>
  </si>
  <si>
    <t>d159,108 мм  L=   103 м прокладання  т-да - підземна,канальна, 
ізоляція т-да - мин.вата</t>
  </si>
  <si>
    <t>d108,57 мм L= 89  м прокладання  т-да - підземна,канальна, 
ізоляція т-да - мин.вата</t>
  </si>
  <si>
    <t>d108,57 мм L=  50м прокладання  т-да - підземна,канальна, 
ізоляція т-да - мин.вата</t>
  </si>
  <si>
    <t>d133,76 мм L=  38м прокладання  т-да - підземна,канальна, 
ізоляція т-да - мин.вата</t>
  </si>
  <si>
    <t>d108,89 мм L= 74м  мпрокладання  т-да - підземна,канальна, 
ізоляція т-да - мин.вата</t>
  </si>
  <si>
    <r>
      <t xml:space="preserve"> d159,108 мм - 158м прокладання  т-да - підземна,кана</t>
    </r>
    <r>
      <rPr>
        <sz val="11"/>
        <rFont val="Times New Roman"/>
        <family val="1"/>
        <charset val="204"/>
      </rPr>
      <t>л</t>
    </r>
    <r>
      <rPr>
        <sz val="12"/>
        <rFont val="Times New Roman"/>
        <family val="1"/>
        <charset val="204"/>
      </rPr>
      <t>ьна, 
ізоляція т-да - мин.вата</t>
    </r>
  </si>
  <si>
    <t>d159,108 мм - 71м прокладання  т-да - підземна,канальна, 
ізоляція т-да - мин.вата</t>
  </si>
  <si>
    <t>d159,108 мм - 48м прокладання  т-да - підземна,канальна, 
ізоляція т-да - мин.вата</t>
  </si>
  <si>
    <t>d159;76      66м прокладання  т-да - підземна,канальна, 
ізоляція т-да - мин.вата</t>
  </si>
  <si>
    <t>d159; d89    56 м прокладання  т-да - підземна,канальна, 
ізоляція т-да - мин.вата</t>
  </si>
  <si>
    <t>d108,76 мм L= 28м прокладання  т-да - підземна,канальна, 
ізоляція т-да - мин.вата</t>
  </si>
  <si>
    <t xml:space="preserve"> d76,57 мм - 40м прокладання  т-да - підземна,канальна, 
ізоляція т-да - мин.вата</t>
  </si>
  <si>
    <t>d159 d108   86м прокладання  т-да - підземна,канальна, 
ізоляція т-да - мин.вата</t>
  </si>
  <si>
    <t xml:space="preserve">  d159,133 мм L= 80м прокладання  т-да - підземна,канальна, 
ізоляція т-да - мин.вата</t>
  </si>
  <si>
    <t xml:space="preserve">  d108,89 мм -  62м прокладання  т-да - підземна,канальна, 
ізоляція т-да - мин.вата</t>
  </si>
  <si>
    <t xml:space="preserve"> d108,89 мм L= 55м прокладання  т-да - підземна,канальна, 
ізоляція т-да - мин.вата</t>
  </si>
  <si>
    <t>d108,76 мм L= 62м прокладання  т-да - підземна,канальна, 
ізоляція т-да - мин.вата</t>
  </si>
  <si>
    <t>d159,133,108 мм L= 50м прокладання  т-да - підземна,канальна, 
ізоляція т-да - мин.вата</t>
  </si>
  <si>
    <t>Т/м ТК11-ТК14 а по пр.М.Лушпи</t>
  </si>
  <si>
    <t xml:space="preserve">  d219 d133   62м прокладання  т-да - підземна,канальна, 
ізоляція т-да - мин.вата</t>
  </si>
  <si>
    <t xml:space="preserve">  219,159    78м прокладання  т-да - підземна,канальна, 
ізоляція т-да - мин.вата</t>
  </si>
  <si>
    <t xml:space="preserve">   d108, 76 мм L= 52мпрокладання  т-да - підземна,канальна, </t>
  </si>
  <si>
    <t xml:space="preserve">   d108, 76 мм L= 72м прокладання  т-да - підземна,канальна, </t>
  </si>
  <si>
    <t>219,133    62 м прокладання  т-да - підземна,канальна, 
ізоляція т-да - мин.вата</t>
  </si>
  <si>
    <t>d57;76 мм L= 29м  ізоляція т-да - мин.вата</t>
  </si>
  <si>
    <t>d159,108    32м  ізоляція т-да - мин.вата</t>
  </si>
  <si>
    <t>d133.108=58м прокладання  т-да - підземна,канальна, 
ізоляція т-да - мин.вата</t>
  </si>
  <si>
    <t>d76,57 мм L= 29м  ізоляція т-да - мин.вата</t>
  </si>
  <si>
    <t>d108.133.89 =92м прокладання  т-да - підземна,канальна, 
ізоляція т-да - мин.вата</t>
  </si>
  <si>
    <t>d159.76=104m прокладання  т-да - підземна,канальна, 
ізоляція т-да - мин.вата</t>
  </si>
  <si>
    <t>d108,89 мм L= 72м прокладання  т-да - підземна,канальна, 
ізоляція т-да - мін.вата</t>
  </si>
  <si>
    <t>ТК 10 - ж/б Героїв Крут,30</t>
  </si>
  <si>
    <t>Ø133.108.89  L=55м прокладання  т-да - підземна,канальна, 
ізоляція т-да - мін.вата</t>
  </si>
  <si>
    <t>133; 76  L=16м прокладання  т-да - підземна,канальна, 
ізоляція т-да - мін.вата</t>
  </si>
  <si>
    <t>d219,159,108 мм  L= 251м прокладання  т-да - підземна,канальна, 
ізоляція т-да - мін.вата</t>
  </si>
  <si>
    <t>d159,89,76мм L=76м  прокладання  т-да - підземна,канальна, 
ізоляція т-да - мін.вата</t>
  </si>
  <si>
    <t>d89,76,57 мм L= 14м прокладання  т-да - підземна,канальна, 
ізоляція т-да - мин.вата</t>
  </si>
  <si>
    <t>d108,76 мм L= 52м  прокладання  т-да - підземна,канальна, 
ізоляція т-да - мін.вата</t>
  </si>
  <si>
    <t>d219,133 мм L= 100м прокладання  т-да - підземна,канальна, 
ізоляція т-да - мін.вата</t>
  </si>
  <si>
    <t>Ø108.89  L=55м прокладання  т-да - підземна,канальна, 
ізоляція т-да - мін.вата</t>
  </si>
  <si>
    <t>d133;108   16м  прокладання  т-да - підземна,канальна, 
ізоляція т-да - мін.вата</t>
  </si>
  <si>
    <t xml:space="preserve">d89,57мм L= 12м прокладання  т-да - підземна,канальна, </t>
  </si>
  <si>
    <t>d108,89 мм L= 102м прокладання  т-да - підземна,канальна, 
ізоляція т-да - мін.вата</t>
  </si>
  <si>
    <t>d159,108 мм L=68м прокладання  т-да - підземна,канальна, 
ізоляція т-да - мін.вата</t>
  </si>
  <si>
    <t xml:space="preserve"> d76,57 мм L= 91 м прокладання  т-да - підземна,канальна, 
ізоляція т-да - мін.вата</t>
  </si>
  <si>
    <t>d89;57    34м  прокладання  т-да - підземна,канальна, 
ізоляція т-да - мін.вата</t>
  </si>
  <si>
    <t xml:space="preserve">  d108;76 мм L= 137м прокладання  т-да - підземна,канальна, 
ізоляція т-да - мін.вата</t>
  </si>
  <si>
    <t>d108;76 мм L=   87м  прокладання  т-да - підземна,канальна, 
ізоляція т-да - мін.вата</t>
  </si>
  <si>
    <t>d108,89 мм L= 30м  прокладання  т-да - підземна,канальна, 
ізоляція т-да - мін.вата</t>
  </si>
  <si>
    <t>d133 d76 d57   52м</t>
  </si>
  <si>
    <t xml:space="preserve">ТК 13 - 
 ТК 14 </t>
  </si>
  <si>
    <t>d89,57 мм - 47м прокладання  т-да - підземна,канальна, 
ізоляція т-да - мин.вата</t>
  </si>
  <si>
    <t>d108,89 мм - 27м</t>
  </si>
  <si>
    <t>d133,108 мм L= 50м прокладання  т-да - підземна,канальна, 
ізоляція т-да - мин.вата</t>
  </si>
  <si>
    <t xml:space="preserve"> d108, 89 мм L= 59м прокладання  т-да - підземна,канальна, 
ізоляція т-да - мин.вата</t>
  </si>
  <si>
    <t>ТК 1 - 
Харківська, 3А</t>
  </si>
  <si>
    <t>d133;108;57    97м</t>
  </si>
  <si>
    <t>d89,2d40 мм L= 10м прокладання  т-да - підземна,канальна, 
ізоляція т-да - мин.вата</t>
  </si>
  <si>
    <t xml:space="preserve">ТК 20 -
 ТК 22 </t>
  </si>
  <si>
    <t>d273,159 мм L= 32м прокладання  т-да - підземна,канальна, 
ізоляція т-да - мин.вата</t>
  </si>
  <si>
    <t xml:space="preserve"> ТК 14 -
 ТК 15    </t>
  </si>
  <si>
    <t>d133,159,89 мм L= 68м прокладання  т-да - підземна,канальна, 
ізоляція т-да - мин.вата</t>
  </si>
  <si>
    <t>d89,57 мм L= 79 м прокладання  т-да - підземна,канальна, 
ізоляція т-да - мин.вата</t>
  </si>
  <si>
    <t>d108,76 мм L= 56м прокладання  т-да - підземна,канальна, 
ізоляція т-да - мин.вата</t>
  </si>
  <si>
    <t xml:space="preserve">ТК 13 -
  ТК 14 </t>
  </si>
  <si>
    <t>d108,89 мм L= 60м прокладання  т-да - підземна,канальна, 
ізоляція т-да - мин.вата</t>
  </si>
  <si>
    <t>d89,76мм L=76м  прокладання  т-да - підземна,канальна, 
ізоляція т-да - мін.вата</t>
  </si>
  <si>
    <t>d159,133,89 мм L=  75м прокладання  т-да - підземна,канальна, 
ізоляція т-да - мін.вата</t>
  </si>
  <si>
    <t>d89,57 мм L= 56м прокладання  т-да - підземна,канальна, 
ізоляція т-да - мин.вата</t>
  </si>
  <si>
    <t xml:space="preserve"> d273,159 мм L= 38м прокладання  т-да - підземна,канальна, 
ізоляція т-да - мин.вата</t>
  </si>
  <si>
    <t>d76,57,25 мм L= 18м прокладання  т-да - підземна,канальна, 
ізоляція т-да - мин.вата</t>
  </si>
  <si>
    <t>d219,133 мм L= 49м прокладання  т-да - підземна,канальна, 
ізоляція т-да - мин.вата</t>
  </si>
  <si>
    <t>d108,57,40 мм L= 48м прокладання  т-да - підземна,канальна, 
ізоляція т-да - мин.вата</t>
  </si>
  <si>
    <t>d57,32 мм L= 60м прокладання  т-да - підземна,канальна, 
ізоляція т-да - мин.вата</t>
  </si>
  <si>
    <t xml:space="preserve"> d108,76 мм L= 68 м прокладання  т-да - підземна,канальна, 
ізоляція т-да - мин.вата</t>
  </si>
  <si>
    <t>d57мм;   L=61м;  прокладання  т-да - підземна,канальна, 
ізоляція т-да - мин.вата</t>
  </si>
  <si>
    <t>d57,d40    45 м прокладання  т-да - підземна,канальна, 
ізоляція т-да - мин.вата</t>
  </si>
  <si>
    <t>2d108  110м прокладання  т-да - підземна,канальна, 
ізоляція т-да - мин.вата</t>
  </si>
  <si>
    <t>d89,57  211м прокладання  т-да - підземна,канальна, 
ізоляція т-да - мин.вата</t>
  </si>
  <si>
    <t>d219,159    76м прокладання  т-да - підземна,канальна, 
ізоляція т-да - мин.вата</t>
  </si>
  <si>
    <t xml:space="preserve">    d108;76    57м прокладання  т-да - підземна,канальна, 
ізоляція т-да - мин.вата</t>
  </si>
  <si>
    <t>d  89;57 ;   32п/м прокладання  т-да - підземна,канальна, 
ізоляція т-да - мин.вата</t>
  </si>
  <si>
    <t>d76   41м прокладання  т-да - підземна,канальна, 
ізоляція т-да - мин.вата</t>
  </si>
  <si>
    <t>d159;108 мм L=28 м прокладання  т-да - підземна,канальна, 
ізоляція т-да - мин.вата</t>
  </si>
  <si>
    <t>d89;57,57    23м прокладання  т-да - підземна,канальна, 
ізоляція т-да - мин.вата</t>
  </si>
  <si>
    <t>d133;108    58м прокладання  т-да - підземна,канальна, 
ізоляція т-да - мин.вата</t>
  </si>
  <si>
    <t>d108,89 мм - 16м прокладання  т-да - підземна,канальна, 
ізоляція т-да - мин.вата</t>
  </si>
  <si>
    <t xml:space="preserve"> d89, d 57   25 м  прокладання  т-да - підземна,канальна, 
ізоляція т-да - мин.вата</t>
  </si>
  <si>
    <t>d159 d108;57 - 15м   прокладання  т-да - підземна,канальна, 
ізоляція т-да - мин.вата</t>
  </si>
  <si>
    <t>d159,133  67 м м  прокладання  т-да - підземна,канальна, 
ізоляція т-да - мин.вата</t>
  </si>
  <si>
    <t>d219;133мм;   L=8м  прокладання  т-да - підземна,канальна, 
ізоляція т-да - мин.вата</t>
  </si>
  <si>
    <t>d133,89мм;   L=32м прокладання  т-да - підземна,канальна, 
ізоляція т-да - мин.вата</t>
  </si>
  <si>
    <t>d159,108  109 м  прокладання  т-да - підземна,канальна, 
ізоляція т-да - мин.вата</t>
  </si>
  <si>
    <t>d 108;d 76, 90 п/м  прокладання  т-да - підземна,канальна, 
ізоляція т-да - мин.вата</t>
  </si>
  <si>
    <t>d57;40 мм L=56м  п/м  прокладання  т-да - підземна,канальна, 
ізоляція т-да - мин.вата</t>
  </si>
  <si>
    <t xml:space="preserve"> 2d57мм;   L= 91м прокладання  т-да - підземна,канальна, 
ізоляція т-да - мин.вата</t>
  </si>
  <si>
    <t>d133,89мм;   L=66м прокладання  т-да - підземна,канальна, 
ізоляція т-да - мин.вата</t>
  </si>
  <si>
    <t>d76;108мм;   L=55м прокладання  т-да - підземна,канальна, 
ізоляція т-да - мин.вата</t>
  </si>
  <si>
    <t xml:space="preserve"> ТК12 -  
буд.Курська,51 </t>
  </si>
  <si>
    <t>ТК-9  - 
ТК 10</t>
  </si>
  <si>
    <t xml:space="preserve"> d219; 133 мм;   L=57 м  прокладання  т-да - підземна,канальна, 
ізоляція т-да - мин.вата</t>
  </si>
  <si>
    <t>d133;89 - 105м  прокладання  т-да - підземна,канальна, 
ізоляція т-да - мін.вата</t>
  </si>
  <si>
    <t>d114;76 - 210 м - прокладання  т-да - підземна,канальна, 
ізоляція т-да - мін.вата</t>
  </si>
  <si>
    <t>ТК 2 - ж/б.
 Шевченка, 2</t>
  </si>
  <si>
    <t>d108;89;57    5м   прокладання  т-да - підземна,канальна, 
ізоляція т-да - мін.вата</t>
  </si>
  <si>
    <t xml:space="preserve"> d89;57    40м  прокладання  т-да - підземна,канальна, 
ізоляція т-да - мін.вата</t>
  </si>
  <si>
    <t>ТК13а -
 Бикова, 2/1</t>
  </si>
  <si>
    <t>Ø108, 89  L=63м  прокладання  т-да - підземна,канальна, 
ізоляція т-да - мін.вата</t>
  </si>
  <si>
    <t xml:space="preserve"> d159,89мм   L=72м прокладання  т-да - підземна,канальна, 
ізоляція т-да - мін.вата</t>
  </si>
  <si>
    <t>d159,108мм   L=16м прокладання  т-да - підземна,канальна, 
ізоляція т-да - мін.вата</t>
  </si>
  <si>
    <t xml:space="preserve">  d89;57мм   L=9мпрокладання  т-да - підземна,канальна, 
ізоляція т-да - мін.вата</t>
  </si>
  <si>
    <t xml:space="preserve">ТК4 - 
д/сад Лермонтова  </t>
  </si>
  <si>
    <t xml:space="preserve">ТК4 -
буд. Бикова,2/1  </t>
  </si>
  <si>
    <t>d  133;89мм   L=114м прокладання  т-да - підземна,канальна, 
ізоляція т-да - мін.вата</t>
  </si>
  <si>
    <t>d 133;89мм   L=114м прокладання  т-да - підземна,канальна, 
ізоляція т-да - мін.вата</t>
  </si>
  <si>
    <t>ТК4 -
буд. Бикова,2/2</t>
  </si>
  <si>
    <t>d159,133   28 м  прокладання  т-да - підземна,канальна, 
ізоляція т-да - мін.вата</t>
  </si>
  <si>
    <t>d108,89мм L=11 м прокладання  т-да - підземна,канальна, 
ізоляція т-да - мін.вата</t>
  </si>
  <si>
    <t>d159,133мм L=39 м  прокладання  т-да - підземна,канальна, 
ізоляція т-да - мін.вата</t>
  </si>
  <si>
    <t>d40;25 мм L=69 м прокладання  т-да - підземна,канальна, 
ізоляція т-да - мін.вата</t>
  </si>
  <si>
    <t>d40,40    46м- прокладання  т-да - підземна,канальна, 
ізоляція т-да - мін.вата</t>
  </si>
  <si>
    <t>d57мм;   L=61м; d40мм;   L=318м прокладання  т-да - підземна,канальна, 
ізоляція т-да - мин.вата</t>
  </si>
  <si>
    <t xml:space="preserve"> d108;57 - 15м   прокладання  т-да - підземна,канальна, 
ізоляція т-да - мин.вата</t>
  </si>
  <si>
    <t xml:space="preserve"> d133d89мм   L=86м прокладання  т-да - підземна,канальна, 
ізоляція т-да - мин.вата</t>
  </si>
  <si>
    <t>d133d89мм   L=40м прокладання  т-да - підземна,канальна, 
ізоляція т-да - мин.вата</t>
  </si>
  <si>
    <t>d159;89мм   L=63 м прокладання  т-да - підземна,канальна, 
ізоляція т-да - мин.вата</t>
  </si>
  <si>
    <t>d89;57мм   L=9 м прокладання  т-да - підземна,канальна, 
ізоляція т-да - мин.вата</t>
  </si>
  <si>
    <t>d89;57мм   L=46м  прокладання  т-да - підземна,канальна, 
ізоляція т-да - мин.вата</t>
  </si>
  <si>
    <t>d 76;.57     64м прокладання  
т-да - підземна,канальна, 
ізоляція т-да - мин.вата</t>
  </si>
  <si>
    <t>Час витікання 
до локалізації аварії, год</t>
  </si>
  <si>
    <t xml:space="preserve">ЦТП№13 </t>
  </si>
  <si>
    <t xml:space="preserve">ЦТП№14 </t>
  </si>
  <si>
    <t xml:space="preserve">ЦТП№15 </t>
  </si>
  <si>
    <t xml:space="preserve">ЦТП№16 </t>
  </si>
  <si>
    <t xml:space="preserve">ЦТП№18 </t>
  </si>
  <si>
    <t xml:space="preserve">ЦТП№1 </t>
  </si>
  <si>
    <t xml:space="preserve">ЦТП№10 </t>
  </si>
  <si>
    <t>ТК-1 - Прокоф'єва 24</t>
  </si>
  <si>
    <t xml:space="preserve">ЦТП№11 </t>
  </si>
  <si>
    <t>Прокоф'єва 31 - ТК1</t>
  </si>
  <si>
    <t xml:space="preserve">ЦТП№19 
</t>
  </si>
  <si>
    <t xml:space="preserve">ЦТП№19
 </t>
  </si>
  <si>
    <t xml:space="preserve">ЦТП№19
</t>
  </si>
  <si>
    <t xml:space="preserve">ЦТП№19 </t>
  </si>
  <si>
    <t xml:space="preserve">ЦТП№2 </t>
  </si>
  <si>
    <t xml:space="preserve">ЦТП№21 </t>
  </si>
  <si>
    <t xml:space="preserve">ЦТП№22 </t>
  </si>
  <si>
    <t>ЦТП№23</t>
  </si>
  <si>
    <t xml:space="preserve">ЦТП№23 </t>
  </si>
  <si>
    <t xml:space="preserve">ЦТП№23
 </t>
  </si>
  <si>
    <t xml:space="preserve">ЦТП№24
</t>
  </si>
  <si>
    <t xml:space="preserve">ЦТП№24 
</t>
  </si>
  <si>
    <t xml:space="preserve">ЦТП№26 </t>
  </si>
  <si>
    <t xml:space="preserve">ЦТП№26 
</t>
  </si>
  <si>
    <t xml:space="preserve">ЦТП№3 
</t>
  </si>
  <si>
    <t xml:space="preserve">ЦТП№5 </t>
  </si>
  <si>
    <t xml:space="preserve">ЦТП№6 </t>
  </si>
  <si>
    <t xml:space="preserve">ЦТП№7 </t>
  </si>
  <si>
    <t xml:space="preserve">ЦТП№8 </t>
  </si>
  <si>
    <t xml:space="preserve">ЦТП№9 </t>
  </si>
  <si>
    <t>ТК103-Ковпака,11</t>
  </si>
  <si>
    <t xml:space="preserve"> d 108;d 57, 91 м  прокладання  т-да - підземна,канальна, 
ізоляція т-да - мин.вата</t>
  </si>
  <si>
    <t>№6 КТД</t>
  </si>
  <si>
    <t>ТК 610/4 до
 буд. Курська, 123</t>
  </si>
  <si>
    <t>Я. Мудрого, 64 до 
буд. Я. Мудрого, 6</t>
  </si>
  <si>
    <r>
      <t>Об'єм
витікання, м</t>
    </r>
    <r>
      <rPr>
        <b/>
        <i/>
        <vertAlign val="superscript"/>
        <sz val="12"/>
        <rFont val="Times New Roman"/>
        <family val="1"/>
        <charset val="204"/>
      </rPr>
      <t>3</t>
    </r>
    <r>
      <rPr>
        <b/>
        <i/>
        <sz val="12"/>
        <rFont val="Times New Roman"/>
        <family val="1"/>
        <charset val="204"/>
      </rPr>
      <t>/тис. м</t>
    </r>
    <r>
      <rPr>
        <b/>
        <i/>
        <vertAlign val="superscript"/>
        <sz val="12"/>
        <rFont val="Times New Roman"/>
        <family val="1"/>
        <charset val="204"/>
      </rPr>
      <t>3</t>
    </r>
  </si>
  <si>
    <t>Характеристика дільниі ГВП</t>
  </si>
  <si>
    <t>Довжина,
 м</t>
  </si>
  <si>
    <t>d 108.76=32 м прокладання  т-да - підземна,канальна, 
ізоляція т-да - мин.вата</t>
  </si>
  <si>
    <t>d89.57=29м   прокладання  т-да - підземна,канальна, 
ізоляція т-да - мін.вата</t>
  </si>
  <si>
    <t>d219.133=45м</t>
  </si>
  <si>
    <t>d133,108=58м прокладання  т-да - підземна,канальна, 
ізоляція т-да - мин.вата</t>
  </si>
  <si>
    <t>d89,57мм;   L=17мпрокладання  т-да - підземна,канальна, 
ізоляція т-да - мин.вата</t>
  </si>
  <si>
    <t>ТК4  - буд.
Курська,41/2</t>
  </si>
  <si>
    <r>
      <t>Об'єм
заповнення, м</t>
    </r>
    <r>
      <rPr>
        <b/>
        <i/>
        <vertAlign val="superscript"/>
        <sz val="12"/>
        <rFont val="Times New Roman"/>
        <family val="1"/>
        <charset val="204"/>
      </rPr>
      <t>3</t>
    </r>
    <r>
      <rPr>
        <b/>
        <i/>
        <sz val="12"/>
        <rFont val="Times New Roman"/>
        <family val="1"/>
        <charset val="204"/>
      </rPr>
      <t>/тис. м</t>
    </r>
    <r>
      <rPr>
        <b/>
        <i/>
        <vertAlign val="superscript"/>
        <sz val="12"/>
        <rFont val="Times New Roman"/>
        <family val="1"/>
        <charset val="204"/>
      </rPr>
      <t>3</t>
    </r>
  </si>
  <si>
    <t>ДУ
тр-да, мм</t>
  </si>
  <si>
    <t xml:space="preserve"> Інформація щодо діаметрів   трубопроводів ЦГВП
ТОВ "Сумитеплоенерго"
</t>
  </si>
  <si>
    <t>Довжина трубопроводу ЦГВП від терміну експлуатації, м</t>
  </si>
  <si>
    <r>
      <t>Допустимий 
рівень втрат
Додаток 1
g</t>
    </r>
    <r>
      <rPr>
        <b/>
        <vertAlign val="subscript"/>
        <sz val="11"/>
        <color theme="1"/>
        <rFont val="Times New Roman"/>
        <family val="1"/>
        <charset val="204"/>
      </rPr>
      <t>i</t>
    </r>
  </si>
  <si>
    <t>2,1</t>
  </si>
  <si>
    <r>
      <t>К * L</t>
    </r>
    <r>
      <rPr>
        <b/>
        <vertAlign val="subscript"/>
        <sz val="11"/>
        <color theme="1"/>
        <rFont val="Times New Roman"/>
        <family val="1"/>
        <charset val="204"/>
      </rPr>
      <t>j</t>
    </r>
    <r>
      <rPr>
        <b/>
        <sz val="11"/>
        <color theme="1"/>
        <rFont val="Times New Roman"/>
        <family val="1"/>
        <charset val="204"/>
      </rPr>
      <t>*gi/1000</t>
    </r>
  </si>
  <si>
    <r>
      <t>м</t>
    </r>
    <r>
      <rPr>
        <vertAlign val="superscript"/>
        <sz val="12"/>
        <color theme="1"/>
        <rFont val="Times New Roman"/>
        <family val="1"/>
        <charset val="204"/>
      </rPr>
      <t>3</t>
    </r>
    <r>
      <rPr>
        <sz val="12"/>
        <color theme="1"/>
        <rFont val="Times New Roman"/>
        <family val="1"/>
        <charset val="204"/>
      </rPr>
      <t>/тис. м</t>
    </r>
    <r>
      <rPr>
        <vertAlign val="superscript"/>
        <sz val="12"/>
        <color theme="1"/>
        <rFont val="Times New Roman"/>
        <family val="1"/>
        <charset val="204"/>
      </rPr>
      <t>3</t>
    </r>
  </si>
  <si>
    <t>(найменування підприємства)</t>
  </si>
  <si>
    <t xml:space="preserve">Складові поточного ІТНВПВ на централізоване гаряче водопостачання   </t>
  </si>
  <si>
    <t>холодної води</t>
  </si>
  <si>
    <t>гарячої води</t>
  </si>
  <si>
    <t>Технологічні витрати води при виробництві та транспортуванні гарячої води:</t>
  </si>
  <si>
    <t xml:space="preserve">на теплогенеруючих установках </t>
  </si>
  <si>
    <t>на установках кондиціювання гарячої води</t>
  </si>
  <si>
    <t>на роботу насосно-компресорного устаткування</t>
  </si>
  <si>
    <t>на транспортування гарячої води</t>
  </si>
  <si>
    <t>Втрати гарячої води з системи ЦПГВ, у тому числі:</t>
  </si>
  <si>
    <t xml:space="preserve"> з резервуарів гарячої води</t>
  </si>
  <si>
    <t>комерційні втрати</t>
  </si>
  <si>
    <t xml:space="preserve">Витрати води на господарсько-питні потреби працівників </t>
  </si>
  <si>
    <t>Усього:</t>
  </si>
  <si>
    <t>Поточний ІТНВП для підприємства:</t>
  </si>
  <si>
    <t xml:space="preserve">Кількість стічних вод, що потрапляє в каналізацію населеного пункту </t>
  </si>
  <si>
    <r>
      <t xml:space="preserve">                                                                                                        </t>
    </r>
    <r>
      <rPr>
        <sz val="10"/>
        <color theme="1"/>
        <rFont val="Times New Roman"/>
        <family val="1"/>
        <charset val="204"/>
      </rPr>
      <t>(підпис)                 (ініціали, прізвище</t>
    </r>
    <r>
      <rPr>
        <sz val="11"/>
        <color theme="1"/>
        <rFont val="Times New Roman"/>
        <family val="1"/>
        <charset val="204"/>
      </rPr>
      <t>)</t>
    </r>
  </si>
  <si>
    <t>№
з/п</t>
  </si>
  <si>
    <t>холодної
 води</t>
  </si>
  <si>
    <t>гарячої
 води</t>
  </si>
  <si>
    <t>ПОТОЧНІ  ІНДИВІДУАЛЬНІ ТЕХНОЛОГІЧНІ НОРМАТИВИ</t>
  </si>
  <si>
    <r>
      <t xml:space="preserve"> по </t>
    </r>
    <r>
      <rPr>
        <b/>
        <u/>
        <sz val="11"/>
        <color theme="1"/>
        <rFont val="Times New Roman"/>
        <family val="1"/>
        <charset val="204"/>
      </rPr>
      <t xml:space="preserve"> ТОВ "СУМИТЕПЛОЕНЕРГО"</t>
    </r>
  </si>
  <si>
    <t>Необліковані витрати гарячої води з системи ЦГВ, у тому числі:</t>
  </si>
  <si>
    <t>ВИКОРИСТАННЯ    ВОДИ  ДЛЯ ВИРОБНИЦТВА ТА ПОСТАЧАННЯ В СИСТЕМУ 
ЦЕНТРАЛІЗОВАНОГО ПОСТАЧАННЯ  ГАРЯЧОЇ  ВОДИ</t>
  </si>
  <si>
    <r>
      <t>тис. м</t>
    </r>
    <r>
      <rPr>
        <b/>
        <vertAlign val="superscript"/>
        <sz val="11"/>
        <color theme="1"/>
        <rFont val="Times New Roman"/>
        <family val="1"/>
        <charset val="204"/>
      </rPr>
      <t>3</t>
    </r>
    <r>
      <rPr>
        <b/>
        <sz val="11"/>
        <color theme="1"/>
        <rFont val="Times New Roman"/>
        <family val="1"/>
        <charset val="204"/>
      </rPr>
      <t xml:space="preserve">/рік </t>
    </r>
  </si>
  <si>
    <r>
      <t>м</t>
    </r>
    <r>
      <rPr>
        <b/>
        <vertAlign val="superscript"/>
        <sz val="11"/>
        <color theme="1"/>
        <rFont val="Times New Roman"/>
        <family val="1"/>
        <charset val="204"/>
      </rPr>
      <t>3</t>
    </r>
    <r>
      <rPr>
        <b/>
        <sz val="11"/>
        <color theme="1"/>
        <rFont val="Times New Roman"/>
        <family val="1"/>
        <charset val="204"/>
      </rPr>
      <t>/1000 м</t>
    </r>
    <r>
      <rPr>
        <b/>
        <vertAlign val="superscript"/>
        <sz val="11"/>
        <color theme="1"/>
        <rFont val="Times New Roman"/>
        <family val="1"/>
        <charset val="204"/>
      </rPr>
      <t>3</t>
    </r>
    <r>
      <rPr>
        <b/>
        <sz val="11"/>
        <color theme="1"/>
        <rFont val="Times New Roman"/>
        <family val="1"/>
        <charset val="204"/>
      </rPr>
      <t xml:space="preserve"> поданої гарячої води</t>
    </r>
  </si>
  <si>
    <t>1.1</t>
  </si>
  <si>
    <t>1</t>
  </si>
  <si>
    <t>необліковані вузлами комерційного обліку</t>
  </si>
  <si>
    <t>2</t>
  </si>
  <si>
    <t>промивання та заповнення
 мереж після  ліквідації аварій</t>
  </si>
  <si>
    <t>3</t>
  </si>
  <si>
    <t>4</t>
  </si>
  <si>
    <t xml:space="preserve">Поточний ІТНВВ </t>
  </si>
  <si>
    <t>невиявлені витоки</t>
  </si>
  <si>
    <t>через пошкодження зовнішніх мереж</t>
  </si>
  <si>
    <t xml:space="preserve">Посада та телефон посадової особи,  що відповідає за водокористування:  </t>
  </si>
  <si>
    <t>ВИКОРИСТАННЯ    ВОДИ  ДЛЯ ВИРОБНИЦТВА ТА ПОСТАЧАННЯ В СИСТЕМУ  ЦЕНТРАЛІЗОВАНОГО ПОСТАЧАННЯ  ГАРЯЧОЇ  ВОДИ</t>
  </si>
  <si>
    <t xml:space="preserve">Реквізити водокористувача        </t>
  </si>
  <si>
    <t>ТОВ "Сумитеплоенерго"</t>
  </si>
  <si>
    <r>
      <t xml:space="preserve">Найменування водокористувача : </t>
    </r>
    <r>
      <rPr>
        <b/>
        <sz val="12"/>
        <color theme="1"/>
        <rFont val="Times New Roman"/>
        <family val="1"/>
        <charset val="204"/>
      </rPr>
      <t xml:space="preserve"> 
товариство з обмеженою відповідальністю</t>
    </r>
    <r>
      <rPr>
        <sz val="12"/>
        <color theme="1"/>
        <rFont val="Times New Roman"/>
        <family val="1"/>
        <charset val="204"/>
      </rPr>
      <t xml:space="preserve"> </t>
    </r>
    <r>
      <rPr>
        <b/>
        <sz val="14"/>
        <color theme="1"/>
        <rFont val="Times New Roman"/>
        <family val="1"/>
        <charset val="204"/>
      </rPr>
      <t xml:space="preserve"> "Сумитеплоенерго"</t>
    </r>
  </si>
  <si>
    <t>Місце знаходження водокористувача: </t>
  </si>
  <si>
    <t>вул. 2-а Залізнична, буд. 10, м. Суми</t>
  </si>
  <si>
    <r>
      <rPr>
        <u/>
        <sz val="12"/>
        <color theme="1"/>
        <rFont val="Times New Roman"/>
        <family val="1"/>
        <charset val="204"/>
      </rPr>
      <t xml:space="preserve">Область, район       Сумська обл., Сумський  район  </t>
    </r>
    <r>
      <rPr>
        <sz val="12"/>
        <color theme="1"/>
        <rFont val="Times New Roman"/>
        <family val="1"/>
        <charset val="204"/>
      </rPr>
      <t xml:space="preserve">                     </t>
    </r>
  </si>
  <si>
    <t>МП</t>
  </si>
  <si>
    <r>
      <t xml:space="preserve">Код галузі народного господарства згідно з КВЕД         </t>
    </r>
    <r>
      <rPr>
        <u/>
        <sz val="12"/>
        <color theme="1"/>
        <rFont val="Times New Roman"/>
        <family val="1"/>
        <charset val="204"/>
      </rPr>
      <t xml:space="preserve">  40.30.10.200</t>
    </r>
  </si>
  <si>
    <t xml:space="preserve">Технологічні нормативи витрат холодної та гарячої води виробника
 послуг з ЦПГВ (Wвир) </t>
  </si>
  <si>
    <t xml:space="preserve">                                                               ВСТУП               </t>
  </si>
  <si>
    <r>
      <t>Розрахунок</t>
    </r>
    <r>
      <rPr>
        <b/>
        <sz val="12"/>
        <color theme="1"/>
        <rFont val="Times New Roman"/>
        <family val="1"/>
        <charset val="204"/>
      </rPr>
      <t xml:space="preserve"> 
 </t>
    </r>
    <r>
      <rPr>
        <b/>
        <sz val="14"/>
        <color theme="1"/>
        <rFont val="Times New Roman"/>
        <family val="1"/>
        <charset val="204"/>
      </rPr>
      <t>індивідуальних поточних  технологічних нормативів використання  води</t>
    </r>
  </si>
  <si>
    <t>Визначення термінів</t>
  </si>
  <si>
    <t xml:space="preserve">       Втрати води  ТОВ "Сумитеплоенерго" у системах централізованого гарячого  водопостачання включають:</t>
  </si>
  <si>
    <t>-         витоки води з трубопроводів при аваріях;</t>
  </si>
  <si>
    <t>-         витоки води через нещільності арматури;</t>
  </si>
  <si>
    <t>-         сховані витоки води з трубопроводів;</t>
  </si>
  <si>
    <t>2) необліковані втрати питної води, у тому числі:</t>
  </si>
  <si>
    <t>1) витоки  води, у тому числі:</t>
  </si>
  <si>
    <t xml:space="preserve">   -  втрати, пов’язані з несанкціонованим відбором води з мережі;</t>
  </si>
  <si>
    <t xml:space="preserve">   -  втрати води, які не зареєстровані засобами вимірювальної техніки;</t>
  </si>
  <si>
    <t xml:space="preserve">  -  втрати, пов’язані з невідповідністю норм водоспоживання до
       фактичної кількості спожитої води;</t>
  </si>
  <si>
    <r>
      <t>Виконавець послуги з ЦПГВ</t>
    </r>
    <r>
      <rPr>
        <sz val="14"/>
        <color theme="1"/>
        <rFont val="Times New Roman"/>
        <family val="1"/>
        <charset val="204"/>
      </rPr>
      <t xml:space="preserve"> - суб’єкт господарювання, предметом діяльності якого є надання  послуги з ЦПГВ споживачам відповідно до умов договору;</t>
    </r>
  </si>
  <si>
    <r>
      <t>індивідуальні технологічні нормативи використання води (далі - індивідуальні ТНВВ)</t>
    </r>
    <r>
      <rPr>
        <sz val="14"/>
        <color theme="1"/>
        <rFont val="Times New Roman"/>
        <family val="1"/>
        <charset val="204"/>
      </rPr>
      <t xml:space="preserve"> - технологічні нормативи використання води для її виробництва та постачання в систему ЦПГВ, установлені для кожного суб’єкта господарювання окремо;</t>
    </r>
  </si>
  <si>
    <r>
      <t>необліковані втрати води</t>
    </r>
    <r>
      <rPr>
        <sz val="14"/>
        <color theme="1"/>
        <rFont val="Times New Roman"/>
        <family val="1"/>
        <charset val="204"/>
      </rPr>
      <t xml:space="preserve"> - втрати води, які виникають внаслідок недосконалості
 роботи  обладнання або відсутності вузлів комерційного обліку;</t>
    </r>
  </si>
  <si>
    <r>
      <t>витоки води</t>
    </r>
    <r>
      <rPr>
        <sz val="14"/>
        <color theme="1"/>
        <rFont val="Times New Roman"/>
        <family val="1"/>
        <charset val="204"/>
      </rPr>
      <t xml:space="preserve"> - мимовільне витікання води з різних частин мережі гарячого
 водопостачання при порушенні її цілісності або герметичності;</t>
    </r>
  </si>
  <si>
    <r>
      <t>втрати води</t>
    </r>
    <r>
      <rPr>
        <sz val="14"/>
        <color theme="1"/>
        <rFont val="Times New Roman"/>
        <family val="1"/>
        <charset val="204"/>
      </rPr>
      <t xml:space="preserve"> - сукупність усіх видів витоків при виробництві, транспортуванні та постачанні гарячої води, у тому числі явних та невиявлених, а також необлікованих втрат гарячої води.</t>
    </r>
  </si>
  <si>
    <r>
      <t>виробник послуг з ЦПГВ</t>
    </r>
    <r>
      <rPr>
        <sz val="14"/>
        <color theme="1"/>
        <rFont val="Times New Roman"/>
        <family val="1"/>
        <charset val="204"/>
      </rPr>
      <t xml:space="preserve"> - суб’єкт господарювання, який виробляє
 послугу з ЦПГВ;</t>
    </r>
  </si>
  <si>
    <t xml:space="preserve">    При визначенні ІПТНВВ усі їх складові приведено  до 1000 м3 загального обсягу води,  що надійшов до системи ЦПГВ за фактичними даними надання послуг з ЦПГВ за 2018 рік .</t>
  </si>
  <si>
    <r>
      <t xml:space="preserve">  /підприємства, організації,   установи/</t>
    </r>
    <r>
      <rPr>
        <sz val="12"/>
        <color theme="1"/>
        <rFont val="Times New Roman"/>
        <family val="1"/>
        <charset val="204"/>
      </rPr>
      <t xml:space="preserve">                       </t>
    </r>
    <r>
      <rPr>
        <vertAlign val="superscript"/>
        <sz val="12"/>
        <color theme="1"/>
        <rFont val="Times New Roman"/>
        <family val="1"/>
        <charset val="204"/>
      </rPr>
      <t>/код водокористувача за ЄДРПОУ/</t>
    </r>
  </si>
  <si>
    <r>
      <t xml:space="preserve">      Розрахунок індивідуальних поточних  технологічних нормативів
 використання води (надалі - ІПТНВВ) для ТОВ  «Сумитеплоенерго» виконаний відповідно до  </t>
    </r>
    <r>
      <rPr>
        <b/>
        <sz val="14"/>
        <color theme="1"/>
        <rFont val="Times New Roman"/>
        <family val="1"/>
        <charset val="204"/>
      </rPr>
      <t xml:space="preserve">« </t>
    </r>
    <r>
      <rPr>
        <sz val="14"/>
        <color theme="1"/>
        <rFont val="Times New Roman"/>
        <family val="1"/>
        <charset val="204"/>
      </rPr>
      <t>Методики визначення технологічних нормативів витрат та втрат гарячої води у системах централізованого постачання гарячої води» затвердженої наказом  Міністерства регіонального розвитку, будівництва та житлово-комунального господарства України 10 квітня 2018 року № 86, зареєстровано в Міністерстві юстиції України 11 липня 2018 р. за № 804/32256.</t>
    </r>
  </si>
  <si>
    <t xml:space="preserve">    Для зменшення втрат і  витрат гарячої та холодної  води при виробництві
 у центральних теплових  пунктах  та котельних, транспортуванні ,   наданні послуг з ЦПГВ   в ТОВ "Сумитеплоенерго"  запроваджуються  заходи спрямовані на підвищення ефективності використання води:
- заміна  фізично зношених трубопроводів  ГВП;
- оперативне  реагування та усунення аварійної ситуації; 
- заміна несправної запірної арматури;
- постійний контроль за станом водопідігрівачів, визначення жорсткості води;
- зменшення надмірного тиску  в мережах ЦПГВ шляхом його регулювання ;
- контроль за роботою комерційних приладів обліку ГВП споживачів, що включає  своечасне проведення повірки,  відповідність діапазону витрати  лічильника фактичному водоспоживанню,   класу точності засобу вимірювальної техніки  вимогам «Технічний  регламент  законодавчорегульованих засобів вимірювальної техніки» (затверджено Постановою  КМУ № 94 від 13.01.16р. ) ; 
- запровадження комерційного обліку води  відповідно до  Закону України «Про комерційний облік теплової енергії, води та водовідведення у сфері комунальних послуг» .</t>
  </si>
  <si>
    <r>
      <t xml:space="preserve">      В даній роботі наведені розрахунки поточних  індивідуальних
 технологічних</t>
    </r>
    <r>
      <rPr>
        <sz val="14"/>
        <color theme="1"/>
        <rFont val="Calibri"/>
        <family val="2"/>
        <charset val="204"/>
        <scheme val="minor"/>
      </rPr>
      <t xml:space="preserve"> </t>
    </r>
    <r>
      <rPr>
        <sz val="14"/>
        <color theme="1"/>
        <rFont val="Times New Roman"/>
        <family val="1"/>
        <charset val="204"/>
      </rPr>
      <t>нормативів використання  води по технологічним витратам та втратам води по ТОВ "Сумитеплоенерго".</t>
    </r>
  </si>
  <si>
    <t xml:space="preserve">       Впровадження ІПТНВВ  дозволить  забезпечити  раціональне використання водних ресурсів, стимулювання діяльності ТОВ «Сумитеплоенерго» до зменшення втрат води при виробництві гарячої води у центральних теплових пунктах та котельних, транспортуванні та наданні послуг з  централізованого постачання гарячої води (ЦПГВ), оптимізації собівартості послуг з гарячого водопостачання.</t>
  </si>
  <si>
    <t>Технологічні нормативи втрат гарячої води через ущільнення арматури при несправностях (WГВарм1) розраховуються за формулою</t>
  </si>
  <si>
    <r>
      <t>поріг чутливості комерційного засобу обліку i-го калібру,     ДУ 20             м</t>
    </r>
    <r>
      <rPr>
        <vertAlign val="superscript"/>
        <sz val="12"/>
        <color theme="1"/>
        <rFont val="Times New Roman"/>
        <family val="1"/>
        <charset val="204"/>
      </rPr>
      <t>3</t>
    </r>
    <r>
      <rPr>
        <sz val="12"/>
        <color theme="1"/>
        <rFont val="Times New Roman"/>
        <family val="1"/>
        <charset val="204"/>
      </rPr>
      <t>/год;</t>
    </r>
  </si>
  <si>
    <t>кількість вузлів комерційного обліку i-го калібру, од.; ДУ20</t>
  </si>
  <si>
    <t xml:space="preserve">   Визначити фактичні витрати   холодної та гарячої води  для власних господарсько - побутових потреб  по приладам обліку працівників, які безпосередньо задіяні в процесі виробництва та постачання води, не можливо.</t>
  </si>
  <si>
    <t xml:space="preserve">   Окремі прилади обліку , що враховують  безпосередьо витрату води на господарсько 
- побутові потреби працівників задіяних в процесі виробництва та постачання гарячої води відсутні.</t>
  </si>
  <si>
    <t>Марка</t>
  </si>
  <si>
    <t>кіл-кість калачів</t>
  </si>
  <si>
    <t>пластинчатий</t>
  </si>
  <si>
    <t xml:space="preserve"> - </t>
  </si>
  <si>
    <t>ОСТ-16</t>
  </si>
  <si>
    <t>ОСТ-10</t>
  </si>
  <si>
    <t>ЦТП Іллїнська 52</t>
  </si>
  <si>
    <t>пластинч</t>
  </si>
  <si>
    <t>ЦТП Холодногірська 3</t>
  </si>
  <si>
    <t>ЦТП Металургів 14</t>
  </si>
  <si>
    <r>
      <t>V води бойлера, м</t>
    </r>
    <r>
      <rPr>
        <vertAlign val="superscript"/>
        <sz val="12"/>
        <color theme="1"/>
        <rFont val="Times New Roman"/>
        <family val="1"/>
        <charset val="204"/>
      </rPr>
      <t>3</t>
    </r>
  </si>
  <si>
    <r>
      <t>V води шлангів, м</t>
    </r>
    <r>
      <rPr>
        <vertAlign val="superscript"/>
        <sz val="12"/>
        <color theme="1"/>
        <rFont val="Times New Roman"/>
        <family val="1"/>
        <charset val="204"/>
      </rPr>
      <t>3</t>
    </r>
  </si>
  <si>
    <r>
      <t>V води бачка, м</t>
    </r>
    <r>
      <rPr>
        <vertAlign val="superscript"/>
        <sz val="12"/>
        <color theme="1"/>
        <rFont val="Times New Roman"/>
        <family val="1"/>
        <charset val="204"/>
      </rPr>
      <t>3</t>
    </r>
  </si>
  <si>
    <r>
      <t>V води промивк, м</t>
    </r>
    <r>
      <rPr>
        <vertAlign val="superscript"/>
        <sz val="12"/>
        <color theme="1"/>
        <rFont val="Times New Roman"/>
        <family val="1"/>
        <charset val="204"/>
      </rPr>
      <t>3</t>
    </r>
  </si>
  <si>
    <r>
      <t>V загальн, м</t>
    </r>
    <r>
      <rPr>
        <vertAlign val="superscript"/>
        <sz val="12"/>
        <color theme="1"/>
        <rFont val="Times New Roman"/>
        <family val="1"/>
        <charset val="204"/>
      </rPr>
      <t>3</t>
    </r>
  </si>
  <si>
    <t>ЦТП 
Н.Сироватська, 52</t>
  </si>
  <si>
    <t>РАЗОМ:</t>
  </si>
  <si>
    <t>Котельня
Косівщинська, 96</t>
  </si>
  <si>
    <t>Котельня 
Санаторна, 3</t>
  </si>
  <si>
    <t>Інформація
 щодо промивання водопідігрівачів в становлених в ЦТП та котельних  ТОВ "Сумитеплоенерго"
 в 2018р.</t>
  </si>
  <si>
    <t>ЦТП Інтернаціон., 43</t>
  </si>
  <si>
    <t>№
п/п</t>
  </si>
  <si>
    <r>
      <t>V води мех очистка, м</t>
    </r>
    <r>
      <rPr>
        <vertAlign val="superscript"/>
        <sz val="12"/>
        <color theme="1"/>
        <rFont val="Times New Roman"/>
        <family val="1"/>
        <charset val="204"/>
      </rPr>
      <t>3</t>
    </r>
  </si>
  <si>
    <r>
      <t>V води хім.очистка, м</t>
    </r>
    <r>
      <rPr>
        <vertAlign val="superscript"/>
        <sz val="12"/>
        <color theme="1"/>
        <rFont val="Times New Roman"/>
        <family val="1"/>
        <charset val="204"/>
      </rPr>
      <t>3</t>
    </r>
  </si>
  <si>
    <t>d бойлера, м</t>
  </si>
  <si>
    <t>d трубок, м</t>
  </si>
  <si>
    <t>L трубок, м</t>
  </si>
  <si>
    <t>кількість трубок секції, шт</t>
  </si>
  <si>
    <t>кількість секцій,шт</t>
  </si>
  <si>
    <t>ЦТП№2КТД</t>
  </si>
  <si>
    <t>ЦТП№1КТД</t>
  </si>
  <si>
    <t>ЦТП №7 ЗТД</t>
  </si>
  <si>
    <t>ЦТП №13 ЗТД</t>
  </si>
  <si>
    <t>ЦТП №22 ЗТД</t>
  </si>
  <si>
    <t>ЦТП №24 ЗТД</t>
  </si>
  <si>
    <t>ЦТП №9 ЗТД</t>
  </si>
  <si>
    <t>ЦТП №18 ЗТД</t>
  </si>
  <si>
    <t>ЦТП №7 КТД</t>
  </si>
  <si>
    <t>ЦТП№3 ЗТД</t>
  </si>
  <si>
    <t>ЦТП№6  ЗТД</t>
  </si>
  <si>
    <t>ЦТП№10 ЗТД</t>
  </si>
  <si>
    <t>ЦТП№12 ЗТД</t>
  </si>
  <si>
    <t>ЦТП№27 ЗТД</t>
  </si>
  <si>
    <t>ЦТП №8 КТД</t>
  </si>
  <si>
    <t>ЦТП №9 КТД</t>
  </si>
  <si>
    <t>ЦТП вул. Лермонтова,2</t>
  </si>
  <si>
    <t>ЦТП №23 ЗТД</t>
  </si>
  <si>
    <t>ЦТП Леваневського,26</t>
  </si>
  <si>
    <t>лист 
 бойлера</t>
  </si>
  <si>
    <r>
      <t>загальний обсяг води, що надійшов до системи ЦПГВ,тис. м</t>
    </r>
    <r>
      <rPr>
        <vertAlign val="superscript"/>
        <sz val="12"/>
        <color theme="1"/>
        <rFont val="Times New Roman"/>
        <family val="1"/>
        <charset val="204"/>
      </rPr>
      <t>3</t>
    </r>
    <r>
      <rPr>
        <sz val="12"/>
        <color theme="1"/>
        <rFont val="Times New Roman"/>
        <family val="1"/>
        <charset val="204"/>
      </rPr>
      <t xml:space="preserve">/рік.                     </t>
    </r>
  </si>
  <si>
    <r>
      <t>загальний обсяг води, що надійшов до системи ЦПГВ, тис. м</t>
    </r>
    <r>
      <rPr>
        <vertAlign val="superscript"/>
        <sz val="12"/>
        <color theme="1"/>
        <rFont val="Times New Roman"/>
        <family val="1"/>
        <charset val="204"/>
      </rPr>
      <t>3</t>
    </r>
    <r>
      <rPr>
        <sz val="12"/>
        <color theme="1"/>
        <rFont val="Times New Roman"/>
        <family val="1"/>
        <charset val="204"/>
      </rPr>
      <t xml:space="preserve">/рік                        </t>
    </r>
  </si>
  <si>
    <r>
      <t>загальний обсяг води, що надійшов до системи ЦПГВ,тис. м</t>
    </r>
    <r>
      <rPr>
        <vertAlign val="superscript"/>
        <sz val="12"/>
        <color theme="1"/>
        <rFont val="Times New Roman"/>
        <family val="1"/>
        <charset val="204"/>
      </rPr>
      <t>3</t>
    </r>
    <r>
      <rPr>
        <sz val="12"/>
        <color theme="1"/>
        <rFont val="Times New Roman"/>
        <family val="1"/>
        <charset val="204"/>
      </rPr>
      <t xml:space="preserve">/рік.                 </t>
    </r>
  </si>
  <si>
    <r>
      <t>загальний обсяг води, що надійшов до системи ЦПГВ,тис. м</t>
    </r>
    <r>
      <rPr>
        <vertAlign val="superscript"/>
        <sz val="12"/>
        <color theme="1"/>
        <rFont val="Times New Roman"/>
        <family val="1"/>
        <charset val="204"/>
      </rPr>
      <t>3</t>
    </r>
    <r>
      <rPr>
        <sz val="12"/>
        <color theme="1"/>
        <rFont val="Times New Roman"/>
        <family val="1"/>
        <charset val="204"/>
      </rPr>
      <t xml:space="preserve">/рік.                </t>
    </r>
  </si>
  <si>
    <r>
      <t>м</t>
    </r>
    <r>
      <rPr>
        <vertAlign val="superscript"/>
        <sz val="11"/>
        <color theme="1"/>
        <rFont val="Times New Roman"/>
        <family val="1"/>
        <charset val="204"/>
      </rPr>
      <t>3</t>
    </r>
    <r>
      <rPr>
        <sz val="11"/>
        <color theme="1"/>
        <rFont val="Times New Roman"/>
        <family val="1"/>
        <charset val="204"/>
      </rPr>
      <t>/тис. м</t>
    </r>
    <r>
      <rPr>
        <vertAlign val="superscript"/>
        <sz val="11"/>
        <color theme="1"/>
        <rFont val="Times New Roman"/>
        <family val="1"/>
        <charset val="204"/>
      </rPr>
      <t>3</t>
    </r>
  </si>
  <si>
    <t>Технологічні нормативи витрат гарячої води на протікання через сальникові ущільнення (WнГВ) розраховуються за формулою</t>
  </si>
  <si>
    <t xml:space="preserve">Li </t>
  </si>
  <si>
    <t>протяжність промивної ділянки в однотрубному вимірі, м</t>
  </si>
  <si>
    <t>d 0,2</t>
  </si>
  <si>
    <t>d 0,15</t>
  </si>
  <si>
    <t>d 0,1</t>
  </si>
  <si>
    <t>d 0,08</t>
  </si>
  <si>
    <t>Термін
 експлуатації, років</t>
  </si>
  <si>
    <t>Загальна 
г.в.п., м</t>
  </si>
  <si>
    <t>Зовн. діаметр,
мм</t>
  </si>
  <si>
    <t>загальна 
г.в.п., м</t>
  </si>
  <si>
    <t>Зовн. діаметр, мм</t>
  </si>
  <si>
    <t>котельня по вул Веретинівка (школа-інтернат)</t>
  </si>
  <si>
    <t xml:space="preserve"> Котельна</t>
  </si>
  <si>
    <t xml:space="preserve">общежитие   </t>
  </si>
  <si>
    <t xml:space="preserve">медпункт   </t>
  </si>
  <si>
    <t xml:space="preserve"> ТК7   </t>
  </si>
  <si>
    <t xml:space="preserve">Столовая  </t>
  </si>
  <si>
    <t xml:space="preserve">ж/б №31  </t>
  </si>
  <si>
    <t xml:space="preserve"> Мастерская </t>
  </si>
  <si>
    <t xml:space="preserve">ТК9    </t>
  </si>
  <si>
    <t xml:space="preserve"> ж/б №30  2d32     17м</t>
  </si>
  <si>
    <t>Всього</t>
  </si>
  <si>
    <t xml:space="preserve"> кот. Косовщинська,96</t>
  </si>
  <si>
    <t xml:space="preserve">мастерские  </t>
  </si>
  <si>
    <t xml:space="preserve">ж.б.Косовщинська,96/17  </t>
  </si>
  <si>
    <t xml:space="preserve">У1 </t>
  </si>
  <si>
    <t>У1</t>
  </si>
  <si>
    <t xml:space="preserve">Косовщинска,20   </t>
  </si>
  <si>
    <t xml:space="preserve">ТК13  </t>
  </si>
  <si>
    <t xml:space="preserve">Косовщинська,19   </t>
  </si>
  <si>
    <t xml:space="preserve">ж.б.Косовщинська,96/20  </t>
  </si>
  <si>
    <t xml:space="preserve">PORT ROYAL  </t>
  </si>
  <si>
    <t xml:space="preserve">  ТК3</t>
  </si>
  <si>
    <t xml:space="preserve">У2  </t>
  </si>
  <si>
    <t>У2</t>
  </si>
  <si>
    <t xml:space="preserve">ж.б.Косівщинська,10 </t>
  </si>
  <si>
    <t xml:space="preserve">ж.б.Косівщинська,96/4  </t>
  </si>
  <si>
    <t xml:space="preserve">У3  </t>
  </si>
  <si>
    <t>У3</t>
  </si>
  <si>
    <t xml:space="preserve">ж.б.Косівщинська,7 </t>
  </si>
  <si>
    <t xml:space="preserve"> У3</t>
  </si>
  <si>
    <t xml:space="preserve">ж.б.Косівщинська,96/12  </t>
  </si>
  <si>
    <t xml:space="preserve">У4  </t>
  </si>
  <si>
    <t xml:space="preserve">Баня  </t>
  </si>
  <si>
    <t>ж.б.Косовщинська,96/3</t>
  </si>
  <si>
    <t xml:space="preserve">ж.б.Косовщинська,96/4 </t>
  </si>
  <si>
    <t xml:space="preserve">  ТК5</t>
  </si>
  <si>
    <t xml:space="preserve">ж.б.Косівщинська,96/2  </t>
  </si>
  <si>
    <t xml:space="preserve">ж.б.Косівщинська,96/1  </t>
  </si>
  <si>
    <t>котельня по вул кот. Нахімова, 30</t>
  </si>
  <si>
    <t xml:space="preserve">ж.б.Нахимова,21 </t>
  </si>
  <si>
    <t>Т/м ТК6</t>
  </si>
  <si>
    <t xml:space="preserve">Т/м ТК6 </t>
  </si>
  <si>
    <t xml:space="preserve">ж.б. Баумана,14  </t>
  </si>
  <si>
    <t xml:space="preserve">ж.б.9Января,9  </t>
  </si>
  <si>
    <t>Т/м котельня</t>
  </si>
  <si>
    <t xml:space="preserve">ТК11   </t>
  </si>
  <si>
    <t xml:space="preserve">Т/м ТК5 </t>
  </si>
  <si>
    <t xml:space="preserve"> Нахімова,17(ДНЗ №15)</t>
  </si>
  <si>
    <t xml:space="preserve">ж.б.Нахимова,40    </t>
  </si>
  <si>
    <t xml:space="preserve">ж.б.Нахимова,38    </t>
  </si>
  <si>
    <t xml:space="preserve">ж.б. 9 января,9/1 </t>
  </si>
  <si>
    <t xml:space="preserve">Кот. </t>
  </si>
  <si>
    <t xml:space="preserve"> корпус №1</t>
  </si>
  <si>
    <t xml:space="preserve">Столова </t>
  </si>
  <si>
    <t xml:space="preserve"> корпус №2</t>
  </si>
  <si>
    <t xml:space="preserve"> Кот. </t>
  </si>
  <si>
    <t>столова</t>
  </si>
  <si>
    <t xml:space="preserve">столова </t>
  </si>
  <si>
    <t>корпус №5</t>
  </si>
  <si>
    <t xml:space="preserve"> Корпус №1</t>
  </si>
  <si>
    <t xml:space="preserve">корпус №2 </t>
  </si>
  <si>
    <t>Корпус №1</t>
  </si>
  <si>
    <t xml:space="preserve"> корпус №3</t>
  </si>
  <si>
    <t xml:space="preserve"> корпус №5</t>
  </si>
  <si>
    <t>леч.корпус №2</t>
  </si>
  <si>
    <t xml:space="preserve">    Котельня </t>
  </si>
  <si>
    <t>гол.корпус роддома</t>
  </si>
  <si>
    <t xml:space="preserve"> хозяйств.корпус</t>
  </si>
  <si>
    <t xml:space="preserve"> Узел 2</t>
  </si>
  <si>
    <t xml:space="preserve">Узел 1 </t>
  </si>
  <si>
    <t>Узел 1</t>
  </si>
  <si>
    <t>блок "Б"</t>
  </si>
  <si>
    <t xml:space="preserve">  ТК5 </t>
  </si>
  <si>
    <t>корпус Б</t>
  </si>
  <si>
    <t xml:space="preserve"> гуртожиток №3</t>
  </si>
  <si>
    <t>АБК СумДУ</t>
  </si>
  <si>
    <t>майстерні</t>
  </si>
  <si>
    <t>Коорпус "Б"</t>
  </si>
  <si>
    <t>корпус"В"</t>
  </si>
  <si>
    <t>ЛОЦ "Чайка"</t>
  </si>
  <si>
    <t>Косівщинська,96</t>
  </si>
  <si>
    <t>Санаторна,3</t>
  </si>
  <si>
    <t>загальна 
г.в.п.,м</t>
  </si>
  <si>
    <t xml:space="preserve">ж..Нахимова,
40/1  </t>
  </si>
  <si>
    <t xml:space="preserve">ж.б.Нахимова,
36   </t>
  </si>
  <si>
    <t xml:space="preserve">буд.Нахімова,
34   </t>
  </si>
  <si>
    <t xml:space="preserve">ж.б.Нахимова,19  </t>
  </si>
  <si>
    <r>
      <t>ТОВ "Сумитеплоенерго" здійснює транспортування гарячої води
 споживачам  ПАТ "Сумське НВО" в  зоні  відповідальності дирекції "Котельня "Північного промислового вузла" .
  Загальний обсяг води,  що  надійшов до системи ЦПГВ в 2018 році    становить -  2018,281 тис. м</t>
    </r>
    <r>
      <rPr>
        <vertAlign val="superscript"/>
        <sz val="14"/>
        <color theme="1"/>
        <rFont val="Times New Roman"/>
        <family val="1"/>
        <charset val="204"/>
      </rPr>
      <t>3</t>
    </r>
    <r>
      <rPr>
        <sz val="14"/>
        <color theme="1"/>
        <rFont val="Times New Roman"/>
        <family val="1"/>
        <charset val="204"/>
      </rPr>
      <t>/рік</t>
    </r>
    <r>
      <rPr>
        <vertAlign val="superscript"/>
        <sz val="14"/>
        <color theme="1"/>
        <rFont val="Times New Roman"/>
        <family val="1"/>
        <charset val="204"/>
      </rPr>
      <t xml:space="preserve"> </t>
    </r>
    <r>
      <rPr>
        <sz val="14"/>
        <color theme="1"/>
        <rFont val="Times New Roman"/>
        <family val="1"/>
        <charset val="204"/>
      </rPr>
      <t>та складається з фактичних даних надання послуг з ЦПГВ в зоні ТОВ "Сумитеплоенерго" - 1483,82 тис. м</t>
    </r>
    <r>
      <rPr>
        <vertAlign val="superscript"/>
        <sz val="14"/>
        <color theme="1"/>
        <rFont val="Times New Roman"/>
        <family val="1"/>
        <charset val="204"/>
      </rPr>
      <t>3</t>
    </r>
    <r>
      <rPr>
        <sz val="14"/>
        <color theme="1"/>
        <rFont val="Times New Roman"/>
        <family val="1"/>
        <charset val="204"/>
      </rPr>
      <t xml:space="preserve"> /рік  та ПАТ "Сумське НВО" - 534,461 тис. м</t>
    </r>
    <r>
      <rPr>
        <vertAlign val="superscript"/>
        <sz val="14"/>
        <color theme="1"/>
        <rFont val="Times New Roman"/>
        <family val="1"/>
        <charset val="204"/>
      </rPr>
      <t>3</t>
    </r>
    <r>
      <rPr>
        <sz val="14"/>
        <color theme="1"/>
        <rFont val="Times New Roman"/>
        <family val="1"/>
        <charset val="204"/>
      </rPr>
      <t xml:space="preserve">/рік . </t>
    </r>
  </si>
  <si>
    <t>Таблиця 1</t>
  </si>
  <si>
    <t>Таблиця 2</t>
  </si>
  <si>
    <t>Таблиця 3</t>
  </si>
  <si>
    <t xml:space="preserve">РЕЄСТР   МЕРЕЖ  ГВП   ТОВ "Сумитеплоенерго" від ПАТ "Сумське НВО"  </t>
  </si>
  <si>
    <t>Таблиця 4</t>
  </si>
  <si>
    <t>РЕЄСТР   МЕРЕЖ  ГВП від котельних  ТОВ "Сумитеплоенерго"</t>
  </si>
  <si>
    <t>Таблиця 5</t>
  </si>
  <si>
    <t>Таблиця 6</t>
  </si>
  <si>
    <t>Таблиця 7</t>
  </si>
  <si>
    <t>таблиця 6</t>
  </si>
  <si>
    <t>КСПУ</t>
  </si>
  <si>
    <t xml:space="preserve">МП                                                      “ ____” __________ 2019 р.  </t>
  </si>
  <si>
    <r>
      <t xml:space="preserve">Керівник підприємства  </t>
    </r>
    <r>
      <rPr>
        <u/>
        <sz val="12"/>
        <color theme="1"/>
        <rFont val="Times New Roman"/>
        <family val="1"/>
        <charset val="204"/>
      </rPr>
      <t xml:space="preserve"> </t>
    </r>
    <r>
      <rPr>
        <b/>
        <u/>
        <sz val="12"/>
        <color theme="1"/>
        <rFont val="Times New Roman"/>
        <family val="1"/>
        <charset val="204"/>
      </rPr>
      <t xml:space="preserve">   </t>
    </r>
    <r>
      <rPr>
        <u/>
        <sz val="12"/>
        <color theme="1"/>
        <rFont val="Times New Roman"/>
        <family val="1"/>
        <charset val="204"/>
      </rPr>
      <t xml:space="preserve">                                               </t>
    </r>
    <r>
      <rPr>
        <sz val="12"/>
        <color theme="1"/>
        <rFont val="Times New Roman"/>
        <family val="1"/>
        <charset val="204"/>
      </rPr>
      <t xml:space="preserve"> / </t>
    </r>
    <r>
      <rPr>
        <b/>
        <sz val="12"/>
        <color theme="1"/>
        <rFont val="Times New Roman"/>
        <family val="1"/>
        <charset val="204"/>
      </rPr>
      <t xml:space="preserve">Д.Г.  Васюнін   </t>
    </r>
    <r>
      <rPr>
        <sz val="12"/>
        <color theme="1"/>
        <rFont val="Times New Roman"/>
        <family val="1"/>
        <charset val="204"/>
      </rPr>
      <t xml:space="preserve">      /</t>
    </r>
  </si>
  <si>
    <r>
      <t>Головний інженер</t>
    </r>
    <r>
      <rPr>
        <i/>
        <sz val="12"/>
        <color theme="1"/>
        <rFont val="Times New Roman"/>
        <family val="1"/>
        <charset val="204"/>
      </rPr>
      <t xml:space="preserve">  </t>
    </r>
    <r>
      <rPr>
        <sz val="12"/>
        <color theme="1"/>
        <rFont val="Times New Roman"/>
        <family val="1"/>
        <charset val="204"/>
      </rPr>
      <t xml:space="preserve">проекту </t>
    </r>
    <r>
      <rPr>
        <b/>
        <i/>
        <sz val="12"/>
        <color theme="1"/>
        <rFont val="Times New Roman"/>
        <family val="1"/>
        <charset val="204"/>
      </rPr>
      <t xml:space="preserve"> Демиденко В.М. ,  тел. 0503070712</t>
    </r>
  </si>
  <si>
    <t>Матеріальна 
характеристика</t>
  </si>
  <si>
    <t>Головний інженер проекту</t>
  </si>
  <si>
    <t>В.М. Демиденко</t>
  </si>
  <si>
    <t>(підпис)</t>
  </si>
  <si>
    <t>(ініціали, призвище)</t>
  </si>
  <si>
    <t>Додаток 
до Рішення 
від                                         № ___</t>
  </si>
  <si>
    <t>встановлені               "_____"  _________________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</si>
</sst>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
    <numFmt numFmtId="165" formatCode="0.000"/>
    <numFmt numFmtId="166" formatCode="0.0000"/>
    <numFmt numFmtId="167" formatCode="0.0"/>
    <numFmt numFmtId="168" formatCode="_-* #,##0.00\ _г_р_н_._-;\-* #,##0.00\ _г_р_н_._-;_-* &quot;-&quot;??\ _г_р_н_._-;_-@_-"/>
    <numFmt numFmtId="169" formatCode="_(&quot;$&quot;* #,##0.00_);_(&quot;$&quot;* \(#,##0.00\);_(&quot;$&quot;* &quot;-&quot;??_);_(@_)"/>
    <numFmt numFmtId="170" formatCode="0.000000"/>
  </numFmts>
  <fonts count="52" x14ac:knownFonts="1">
    <font>
      <sz val="11"/>
      <color theme="1"/>
      <name val="Calibri"/>
      <family val="2"/>
      <scheme val="minor"/>
    </font>
    <font>
      <b/>
      <sz val="11"/>
      <color theme="1"/>
      <name val="Calibri"/>
      <family val="2"/>
      <charset val="204"/>
      <scheme val="minor"/>
    </font>
    <font>
      <sz val="10"/>
      <color theme="1"/>
      <name val="Times New Roman"/>
      <family val="1"/>
      <charset val="204"/>
    </font>
    <font>
      <sz val="12"/>
      <color theme="1"/>
      <name val="Times New Roman"/>
      <family val="1"/>
      <charset val="204"/>
    </font>
    <font>
      <vertAlign val="superscript"/>
      <sz val="12"/>
      <color theme="1"/>
      <name val="Times New Roman"/>
      <family val="1"/>
      <charset val="204"/>
    </font>
    <font>
      <b/>
      <sz val="12"/>
      <color theme="1"/>
      <name val="Times New Roman"/>
      <family val="1"/>
      <charset val="204"/>
    </font>
    <font>
      <vertAlign val="superscript"/>
      <sz val="11"/>
      <color theme="1"/>
      <name val="Calibri"/>
      <family val="2"/>
      <charset val="204"/>
      <scheme val="minor"/>
    </font>
    <font>
      <sz val="12"/>
      <name val="Times New Roman"/>
      <family val="1"/>
      <charset val="204"/>
    </font>
    <font>
      <u/>
      <sz val="12"/>
      <color theme="1"/>
      <name val="Times New Roman"/>
      <family val="1"/>
      <charset val="204"/>
    </font>
    <font>
      <u/>
      <sz val="11"/>
      <color theme="10"/>
      <name val="Calibri"/>
      <family val="2"/>
      <scheme val="minor"/>
    </font>
    <font>
      <b/>
      <u/>
      <sz val="12"/>
      <color theme="1"/>
      <name val="Times New Roman"/>
      <family val="1"/>
      <charset val="204"/>
    </font>
    <font>
      <sz val="11"/>
      <color theme="1"/>
      <name val="Times New Roman"/>
      <family val="1"/>
      <charset val="204"/>
    </font>
    <font>
      <b/>
      <sz val="11"/>
      <color theme="1"/>
      <name val="Times New Roman"/>
      <family val="1"/>
      <charset val="204"/>
    </font>
    <font>
      <sz val="11"/>
      <color theme="1"/>
      <name val="Calibri"/>
      <family val="2"/>
      <scheme val="minor"/>
    </font>
    <font>
      <sz val="10"/>
      <name val="Arial"/>
      <family val="2"/>
      <charset val="204"/>
    </font>
    <font>
      <sz val="11"/>
      <name val="Times New Roman"/>
      <family val="1"/>
      <charset val="204"/>
    </font>
    <font>
      <b/>
      <sz val="11"/>
      <name val="Times New Roman"/>
      <family val="1"/>
      <charset val="204"/>
    </font>
    <font>
      <sz val="10"/>
      <name val="Arial Cyr"/>
      <charset val="204"/>
    </font>
    <font>
      <b/>
      <sz val="12"/>
      <name val="Times New Roman"/>
      <family val="1"/>
      <charset val="204"/>
    </font>
    <font>
      <b/>
      <sz val="11"/>
      <color indexed="10"/>
      <name val="Times New Roman"/>
      <family val="1"/>
      <charset val="204"/>
    </font>
    <font>
      <sz val="11"/>
      <name val="Arial Cyr"/>
      <charset val="204"/>
    </font>
    <font>
      <sz val="12"/>
      <color indexed="8"/>
      <name val="Times New Roman"/>
      <family val="1"/>
      <charset val="204"/>
    </font>
    <font>
      <b/>
      <i/>
      <sz val="11"/>
      <color indexed="10"/>
      <name val="Times New Roman"/>
      <family val="1"/>
      <charset val="204"/>
    </font>
    <font>
      <i/>
      <sz val="11"/>
      <name val="Times New Roman"/>
      <family val="1"/>
      <charset val="204"/>
    </font>
    <font>
      <sz val="11"/>
      <color rgb="FFFF0000"/>
      <name val="Arial Cyr"/>
      <charset val="204"/>
    </font>
    <font>
      <b/>
      <sz val="12"/>
      <color theme="1"/>
      <name val="Calibri"/>
      <family val="2"/>
      <charset val="204"/>
    </font>
    <font>
      <b/>
      <i/>
      <sz val="12"/>
      <name val="Times New Roman"/>
      <family val="1"/>
      <charset val="204"/>
    </font>
    <font>
      <b/>
      <sz val="12"/>
      <color rgb="FFFF0000"/>
      <name val="Times New Roman"/>
      <family val="1"/>
      <charset val="204"/>
    </font>
    <font>
      <b/>
      <sz val="10"/>
      <color theme="1"/>
      <name val="Times New Roman"/>
      <family val="1"/>
      <charset val="204"/>
    </font>
    <font>
      <b/>
      <sz val="12"/>
      <color indexed="8"/>
      <name val="Times New Roman"/>
      <family val="1"/>
      <charset val="204"/>
    </font>
    <font>
      <b/>
      <i/>
      <sz val="12"/>
      <color indexed="8"/>
      <name val="Times New Roman"/>
      <family val="1"/>
      <charset val="204"/>
    </font>
    <font>
      <b/>
      <i/>
      <vertAlign val="superscript"/>
      <sz val="12"/>
      <name val="Times New Roman"/>
      <family val="1"/>
      <charset val="204"/>
    </font>
    <font>
      <b/>
      <vertAlign val="subscript"/>
      <sz val="11"/>
      <color theme="1"/>
      <name val="Times New Roman"/>
      <family val="1"/>
      <charset val="204"/>
    </font>
    <font>
      <b/>
      <sz val="14"/>
      <color theme="1"/>
      <name val="Times New Roman"/>
      <family val="1"/>
      <charset val="204"/>
    </font>
    <font>
      <sz val="9"/>
      <color theme="1"/>
      <name val="Times New Roman"/>
      <family val="1"/>
      <charset val="204"/>
    </font>
    <font>
      <b/>
      <u/>
      <sz val="11"/>
      <color theme="1"/>
      <name val="Times New Roman"/>
      <family val="1"/>
      <charset val="204"/>
    </font>
    <font>
      <i/>
      <sz val="8"/>
      <color theme="1"/>
      <name val="Times New Roman"/>
      <family val="1"/>
      <charset val="204"/>
    </font>
    <font>
      <b/>
      <vertAlign val="superscript"/>
      <sz val="11"/>
      <color theme="1"/>
      <name val="Times New Roman"/>
      <family val="1"/>
      <charset val="204"/>
    </font>
    <font>
      <i/>
      <sz val="12"/>
      <color theme="1"/>
      <name val="Times New Roman"/>
      <family val="1"/>
      <charset val="204"/>
    </font>
    <font>
      <sz val="12"/>
      <color theme="1"/>
      <name val="Calibri"/>
      <family val="2"/>
      <scheme val="minor"/>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4"/>
      <color rgb="FF000000"/>
      <name val="Calibri"/>
      <family val="2"/>
      <charset val="204"/>
      <scheme val="minor"/>
    </font>
    <font>
      <sz val="14"/>
      <color theme="1"/>
      <name val="Calibri"/>
      <family val="2"/>
      <scheme val="minor"/>
    </font>
    <font>
      <vertAlign val="superscript"/>
      <sz val="14"/>
      <color theme="1"/>
      <name val="Times New Roman"/>
      <family val="1"/>
      <charset val="204"/>
    </font>
    <font>
      <sz val="11"/>
      <color rgb="FFFF0000"/>
      <name val="Calibri"/>
      <family val="2"/>
      <scheme val="minor"/>
    </font>
    <font>
      <vertAlign val="superscript"/>
      <sz val="11"/>
      <color theme="1"/>
      <name val="Times New Roman"/>
      <family val="1"/>
      <charset val="204"/>
    </font>
    <font>
      <b/>
      <sz val="12"/>
      <color theme="1"/>
      <name val="Calibri"/>
      <family val="2"/>
      <charset val="204"/>
      <scheme val="minor"/>
    </font>
    <font>
      <b/>
      <i/>
      <sz val="12"/>
      <color theme="1"/>
      <name val="Times New Roman"/>
      <family val="1"/>
      <charset val="204"/>
    </font>
    <font>
      <sz val="10"/>
      <color theme="1"/>
      <name val="Calibri"/>
      <family val="2"/>
      <scheme val="minor"/>
    </font>
    <font>
      <sz val="9"/>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9"/>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7">
    <xf numFmtId="0" fontId="0" fillId="0" borderId="0"/>
    <xf numFmtId="0" fontId="9" fillId="0" borderId="0" applyNumberFormat="0" applyFill="0" applyBorder="0" applyAlignment="0" applyProtection="0"/>
    <xf numFmtId="0" fontId="14" fillId="0" borderId="0"/>
    <xf numFmtId="0" fontId="13" fillId="0" borderId="0"/>
    <xf numFmtId="0" fontId="17" fillId="0" borderId="0"/>
    <xf numFmtId="168" fontId="17" fillId="0" borderId="0" applyFont="0" applyFill="0" applyBorder="0" applyAlignment="0" applyProtection="0"/>
    <xf numFmtId="169" fontId="14" fillId="0" borderId="0" applyFont="0" applyFill="0" applyBorder="0" applyAlignment="0" applyProtection="0"/>
  </cellStyleXfs>
  <cellXfs count="624">
    <xf numFmtId="0" fontId="0" fillId="0" borderId="0" xfId="0"/>
    <xf numFmtId="0" fontId="3" fillId="0" borderId="0" xfId="0" applyFont="1" applyAlignment="1">
      <alignment vertical="center" wrapText="1"/>
    </xf>
    <xf numFmtId="0" fontId="3" fillId="0" borderId="0" xfId="0" applyFont="1"/>
    <xf numFmtId="0" fontId="3" fillId="0" borderId="1" xfId="0" applyFont="1" applyBorder="1" applyAlignment="1">
      <alignment vertical="center" wrapText="1"/>
    </xf>
    <xf numFmtId="165" fontId="0" fillId="0" borderId="0" xfId="0" applyNumberFormat="1"/>
    <xf numFmtId="0" fontId="0" fillId="0" borderId="0" xfId="0" applyAlignment="1"/>
    <xf numFmtId="0" fontId="1"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vertical="center"/>
    </xf>
    <xf numFmtId="0" fontId="8" fillId="0" borderId="0" xfId="0" applyFont="1" applyAlignment="1">
      <alignment vertical="center"/>
    </xf>
    <xf numFmtId="0" fontId="3" fillId="0" borderId="0" xfId="0" applyFont="1" applyAlignment="1">
      <alignment vertical="center" wrapText="1"/>
    </xf>
    <xf numFmtId="0" fontId="10" fillId="0" borderId="0" xfId="0" applyFont="1"/>
    <xf numFmtId="0" fontId="0" fillId="0" borderId="0" xfId="0" applyFill="1"/>
    <xf numFmtId="0" fontId="11" fillId="0" borderId="1" xfId="0" applyFont="1" applyBorder="1"/>
    <xf numFmtId="0" fontId="3" fillId="0" borderId="1" xfId="0" applyFont="1" applyBorder="1"/>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left" vertical="center" wrapText="1"/>
    </xf>
    <xf numFmtId="0" fontId="0" fillId="0" borderId="8" xfId="0" applyBorder="1" applyAlignment="1"/>
    <xf numFmtId="0" fontId="0" fillId="0" borderId="1" xfId="0" applyBorder="1" applyAlignment="1">
      <alignment horizontal="center"/>
    </xf>
    <xf numFmtId="0" fontId="0" fillId="0" borderId="0" xfId="0" applyAlignment="1">
      <alignment vertic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166" fontId="3" fillId="0" borderId="1" xfId="0" applyNumberFormat="1" applyFont="1" applyBorder="1" applyAlignment="1">
      <alignment vertical="center" wrapText="1"/>
    </xf>
    <xf numFmtId="0" fontId="5" fillId="0" borderId="1" xfId="0" applyFont="1" applyBorder="1"/>
    <xf numFmtId="0" fontId="7" fillId="0" borderId="1" xfId="0" applyFont="1" applyBorder="1" applyAlignment="1">
      <alignment vertical="top" wrapText="1"/>
    </xf>
    <xf numFmtId="9" fontId="0" fillId="0" borderId="0" xfId="0" applyNumberFormat="1"/>
    <xf numFmtId="0" fontId="7" fillId="0" borderId="0" xfId="0" applyFont="1" applyBorder="1" applyAlignment="1">
      <alignment vertical="top" wrapText="1"/>
    </xf>
    <xf numFmtId="0" fontId="3" fillId="0" borderId="0" xfId="0" applyFont="1" applyBorder="1" applyAlignment="1">
      <alignment vertical="center" wrapText="1"/>
    </xf>
    <xf numFmtId="0" fontId="5" fillId="0" borderId="0" xfId="0" applyFont="1" applyBorder="1" applyAlignment="1">
      <alignment horizontal="center" vertical="center" wrapText="1"/>
    </xf>
    <xf numFmtId="0" fontId="7" fillId="0" borderId="1" xfId="0" applyFont="1" applyBorder="1" applyAlignment="1">
      <alignment horizontal="center" wrapText="1"/>
    </xf>
    <xf numFmtId="0" fontId="11" fillId="0" borderId="0" xfId="0" applyFont="1" applyBorder="1"/>
    <xf numFmtId="1" fontId="7" fillId="0" borderId="1" xfId="2" applyNumberFormat="1" applyFont="1" applyFill="1" applyBorder="1" applyAlignment="1">
      <alignment horizontal="center" vertical="center" wrapText="1"/>
    </xf>
    <xf numFmtId="0" fontId="5" fillId="0" borderId="1" xfId="0" applyFont="1" applyBorder="1" applyAlignment="1">
      <alignment horizontal="center" vertical="center"/>
    </xf>
    <xf numFmtId="1" fontId="7" fillId="0" borderId="12" xfId="2" applyNumberFormat="1"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7" fillId="0" borderId="0" xfId="4" applyNumberFormat="1" applyFont="1" applyFill="1" applyAlignment="1">
      <alignment horizontal="center" vertical="center"/>
    </xf>
    <xf numFmtId="0" fontId="18" fillId="0" borderId="0" xfId="4" applyNumberFormat="1" applyFont="1" applyBorder="1" applyAlignment="1">
      <alignment horizontal="center" vertical="center"/>
    </xf>
    <xf numFmtId="0" fontId="19" fillId="0" borderId="0" xfId="4" applyNumberFormat="1" applyFont="1" applyBorder="1" applyAlignment="1">
      <alignment horizontal="center" vertical="center"/>
    </xf>
    <xf numFmtId="0" fontId="20" fillId="0" borderId="0" xfId="4" applyNumberFormat="1" applyFont="1" applyBorder="1" applyAlignment="1">
      <alignment horizontal="center" vertical="center"/>
    </xf>
    <xf numFmtId="0" fontId="20" fillId="0" borderId="0" xfId="4" applyFont="1" applyBorder="1"/>
    <xf numFmtId="0" fontId="20" fillId="0" borderId="0" xfId="4" applyFont="1"/>
    <xf numFmtId="0" fontId="7" fillId="0" borderId="1" xfId="4" applyNumberFormat="1" applyFont="1" applyFill="1" applyBorder="1" applyAlignment="1">
      <alignment vertical="center"/>
    </xf>
    <xf numFmtId="0" fontId="7" fillId="0" borderId="3" xfId="4" applyNumberFormat="1" applyFont="1" applyFill="1" applyBorder="1" applyAlignment="1">
      <alignment horizontal="center" vertical="center"/>
    </xf>
    <xf numFmtId="0" fontId="16" fillId="0" borderId="0" xfId="4" applyNumberFormat="1" applyFont="1" applyBorder="1" applyAlignment="1">
      <alignment horizontal="center" vertical="center"/>
    </xf>
    <xf numFmtId="0" fontId="7" fillId="0" borderId="1" xfId="4" applyNumberFormat="1" applyFont="1" applyFill="1" applyBorder="1" applyAlignment="1">
      <alignment horizontal="center" vertical="center"/>
    </xf>
    <xf numFmtId="0" fontId="7" fillId="0" borderId="1" xfId="4" applyNumberFormat="1" applyFont="1" applyFill="1" applyBorder="1" applyAlignment="1">
      <alignment horizontal="center" vertical="center" wrapText="1"/>
    </xf>
    <xf numFmtId="0" fontId="7" fillId="0" borderId="13" xfId="4" applyNumberFormat="1" applyFont="1" applyFill="1" applyBorder="1" applyAlignment="1">
      <alignment horizontal="center" vertical="center"/>
    </xf>
    <xf numFmtId="2" fontId="7" fillId="0" borderId="1" xfId="4" applyNumberFormat="1" applyFont="1" applyFill="1" applyBorder="1" applyAlignment="1">
      <alignment horizontal="center" vertical="center" wrapText="1"/>
    </xf>
    <xf numFmtId="0" fontId="7" fillId="0" borderId="13" xfId="4" applyNumberFormat="1" applyFont="1" applyFill="1" applyBorder="1" applyAlignment="1">
      <alignment vertical="center"/>
    </xf>
    <xf numFmtId="167" fontId="7" fillId="0" borderId="1" xfId="4" applyNumberFormat="1" applyFont="1" applyFill="1" applyBorder="1" applyAlignment="1">
      <alignment horizontal="center" vertical="center"/>
    </xf>
    <xf numFmtId="0" fontId="16" fillId="0" borderId="0" xfId="4" applyNumberFormat="1" applyFont="1" applyFill="1" applyBorder="1" applyAlignment="1">
      <alignment horizontal="center"/>
    </xf>
    <xf numFmtId="0" fontId="15" fillId="0" borderId="0" xfId="4" applyNumberFormat="1" applyFont="1" applyFill="1" applyAlignment="1">
      <alignment horizontal="center"/>
    </xf>
    <xf numFmtId="0" fontId="20" fillId="0" borderId="0" xfId="4" applyNumberFormat="1" applyFont="1" applyFill="1" applyBorder="1"/>
    <xf numFmtId="0" fontId="20" fillId="0" borderId="0" xfId="4" applyNumberFormat="1" applyFont="1" applyFill="1"/>
    <xf numFmtId="0" fontId="7" fillId="0" borderId="14" xfId="4" applyNumberFormat="1" applyFont="1" applyFill="1" applyBorder="1" applyAlignment="1">
      <alignment vertical="center"/>
    </xf>
    <xf numFmtId="0" fontId="20" fillId="0" borderId="1" xfId="4" applyNumberFormat="1" applyFont="1" applyFill="1" applyBorder="1"/>
    <xf numFmtId="0" fontId="7" fillId="0" borderId="12" xfId="4" applyNumberFormat="1" applyFont="1" applyFill="1" applyBorder="1" applyAlignment="1">
      <alignment vertical="center"/>
    </xf>
    <xf numFmtId="0" fontId="15" fillId="4" borderId="0" xfId="4" applyNumberFormat="1" applyFont="1" applyFill="1" applyAlignment="1">
      <alignment horizontal="center"/>
    </xf>
    <xf numFmtId="0" fontId="20" fillId="4" borderId="0" xfId="4" applyNumberFormat="1" applyFont="1" applyFill="1" applyBorder="1"/>
    <xf numFmtId="0" fontId="20" fillId="4" borderId="0" xfId="4" applyNumberFormat="1" applyFont="1" applyFill="1"/>
    <xf numFmtId="0" fontId="22" fillId="0" borderId="0" xfId="4" applyNumberFormat="1" applyFont="1" applyFill="1" applyBorder="1" applyAlignment="1">
      <alignment horizontal="center"/>
    </xf>
    <xf numFmtId="0" fontId="23" fillId="0" borderId="0" xfId="4" applyNumberFormat="1" applyFont="1" applyFill="1" applyBorder="1" applyAlignment="1">
      <alignment horizontal="center"/>
    </xf>
    <xf numFmtId="0" fontId="15" fillId="0" borderId="0" xfId="4" applyNumberFormat="1" applyFont="1" applyFill="1" applyBorder="1" applyAlignment="1">
      <alignment horizontal="center"/>
    </xf>
    <xf numFmtId="0" fontId="20" fillId="0" borderId="0" xfId="4" applyNumberFormat="1" applyFont="1" applyBorder="1"/>
    <xf numFmtId="0" fontId="20" fillId="0" borderId="0" xfId="4" applyNumberFormat="1" applyFont="1"/>
    <xf numFmtId="0" fontId="7" fillId="0" borderId="1" xfId="4" applyNumberFormat="1" applyFont="1" applyBorder="1" applyAlignment="1">
      <alignment horizontal="center" vertical="center" wrapText="1"/>
    </xf>
    <xf numFmtId="0" fontId="7" fillId="4" borderId="13" xfId="4" applyNumberFormat="1" applyFont="1" applyFill="1" applyBorder="1" applyAlignment="1">
      <alignment vertical="center"/>
    </xf>
    <xf numFmtId="0" fontId="7" fillId="4" borderId="14" xfId="4" applyNumberFormat="1" applyFont="1" applyFill="1" applyBorder="1" applyAlignment="1">
      <alignment vertical="center"/>
    </xf>
    <xf numFmtId="0" fontId="7" fillId="4" borderId="1" xfId="4" applyNumberFormat="1" applyFont="1" applyFill="1" applyBorder="1" applyAlignment="1">
      <alignment vertical="center"/>
    </xf>
    <xf numFmtId="0" fontId="7" fillId="4" borderId="13" xfId="4" applyNumberFormat="1" applyFont="1" applyFill="1" applyBorder="1" applyAlignment="1">
      <alignment vertical="center" wrapText="1"/>
    </xf>
    <xf numFmtId="167" fontId="7" fillId="0" borderId="1" xfId="4" applyNumberFormat="1" applyFont="1" applyFill="1" applyBorder="1" applyAlignment="1">
      <alignment horizontal="center" vertical="center" wrapText="1"/>
    </xf>
    <xf numFmtId="0" fontId="7" fillId="4" borderId="1" xfId="4" applyNumberFormat="1" applyFont="1" applyFill="1" applyBorder="1" applyAlignment="1">
      <alignment vertical="center" wrapText="1"/>
    </xf>
    <xf numFmtId="2" fontId="7" fillId="0" borderId="1" xfId="4" applyNumberFormat="1" applyFont="1" applyBorder="1" applyAlignment="1">
      <alignment horizontal="center" vertical="center" wrapText="1"/>
    </xf>
    <xf numFmtId="0" fontId="7" fillId="4" borderId="12" xfId="4" applyNumberFormat="1" applyFont="1" applyFill="1" applyBorder="1" applyAlignment="1">
      <alignment vertical="center" wrapText="1"/>
    </xf>
    <xf numFmtId="0" fontId="7" fillId="5" borderId="13" xfId="4" applyNumberFormat="1" applyFont="1" applyFill="1" applyBorder="1" applyAlignment="1">
      <alignment vertical="center"/>
    </xf>
    <xf numFmtId="0" fontId="7" fillId="5" borderId="1" xfId="4" applyNumberFormat="1" applyFont="1" applyFill="1" applyBorder="1" applyAlignment="1">
      <alignment vertical="center"/>
    </xf>
    <xf numFmtId="0" fontId="7" fillId="5" borderId="14" xfId="4" applyNumberFormat="1" applyFont="1" applyFill="1" applyBorder="1" applyAlignment="1">
      <alignment vertical="center"/>
    </xf>
    <xf numFmtId="0" fontId="7" fillId="5" borderId="12" xfId="4" applyNumberFormat="1" applyFont="1" applyFill="1" applyBorder="1" applyAlignment="1">
      <alignment vertical="center"/>
    </xf>
    <xf numFmtId="0" fontId="7" fillId="0" borderId="6" xfId="0" applyNumberFormat="1" applyFont="1" applyFill="1" applyBorder="1" applyAlignment="1">
      <alignment horizontal="center" vertical="center" wrapText="1"/>
    </xf>
    <xf numFmtId="0" fontId="7" fillId="4" borderId="12" xfId="4" applyNumberFormat="1" applyFont="1" applyFill="1" applyBorder="1" applyAlignment="1">
      <alignment vertical="center"/>
    </xf>
    <xf numFmtId="0" fontId="7" fillId="4" borderId="1" xfId="4" applyNumberFormat="1" applyFont="1" applyFill="1" applyBorder="1" applyAlignment="1">
      <alignment horizontal="center" vertical="center" wrapText="1"/>
    </xf>
    <xf numFmtId="2" fontId="7" fillId="4" borderId="1" xfId="4" applyNumberFormat="1" applyFont="1" applyFill="1" applyBorder="1" applyAlignment="1">
      <alignment horizontal="center" vertical="center" wrapText="1"/>
    </xf>
    <xf numFmtId="2" fontId="7" fillId="0" borderId="1" xfId="4"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20" fillId="4" borderId="0" xfId="4" applyFont="1" applyFill="1"/>
    <xf numFmtId="0" fontId="20" fillId="2" borderId="0" xfId="4" applyFont="1" applyFill="1"/>
    <xf numFmtId="0" fontId="7" fillId="3" borderId="13" xfId="0" applyNumberFormat="1" applyFont="1" applyFill="1" applyBorder="1" applyAlignment="1">
      <alignment horizontal="center" vertical="center" wrapText="1"/>
    </xf>
    <xf numFmtId="0" fontId="20" fillId="0" borderId="0" xfId="4" applyFont="1" applyFill="1"/>
    <xf numFmtId="0" fontId="7" fillId="0" borderId="13"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67" fontId="7" fillId="0" borderId="0" xfId="4" applyNumberFormat="1" applyFont="1" applyFill="1" applyAlignment="1">
      <alignment horizontal="center" vertical="center"/>
    </xf>
    <xf numFmtId="0" fontId="20" fillId="0" borderId="1" xfId="4" applyFont="1" applyFill="1" applyBorder="1"/>
    <xf numFmtId="0" fontId="18" fillId="0" borderId="0" xfId="4" applyNumberFormat="1" applyFont="1" applyFill="1" applyBorder="1" applyAlignment="1">
      <alignment horizontal="center" vertical="center"/>
    </xf>
    <xf numFmtId="0" fontId="19" fillId="0" borderId="0" xfId="4" applyNumberFormat="1" applyFont="1" applyFill="1" applyBorder="1" applyAlignment="1">
      <alignment horizontal="center" vertical="center"/>
    </xf>
    <xf numFmtId="0" fontId="20" fillId="0" borderId="0" xfId="4" applyNumberFormat="1" applyFont="1" applyFill="1" applyBorder="1" applyAlignment="1">
      <alignment horizontal="center" vertical="center"/>
    </xf>
    <xf numFmtId="0" fontId="20" fillId="0" borderId="0" xfId="4" applyFont="1" applyFill="1" applyBorder="1"/>
    <xf numFmtId="0" fontId="18" fillId="0" borderId="0" xfId="4" applyNumberFormat="1" applyFont="1" applyFill="1" applyAlignment="1">
      <alignment horizontal="center" vertical="center"/>
    </xf>
    <xf numFmtId="0" fontId="24" fillId="0" borderId="0" xfId="4" applyFont="1" applyFill="1"/>
    <xf numFmtId="0" fontId="18" fillId="0" borderId="13" xfId="4" applyNumberFormat="1" applyFont="1" applyFill="1" applyBorder="1" applyAlignment="1">
      <alignment horizontal="center" vertical="center"/>
    </xf>
    <xf numFmtId="0" fontId="7" fillId="0" borderId="0" xfId="4" applyNumberFormat="1" applyFont="1" applyFill="1" applyAlignment="1">
      <alignment vertical="center"/>
    </xf>
    <xf numFmtId="0" fontId="7" fillId="0" borderId="1" xfId="4" applyNumberFormat="1" applyFont="1" applyFill="1" applyBorder="1" applyAlignment="1">
      <alignment vertical="center" wrapText="1"/>
    </xf>
    <xf numFmtId="0" fontId="7" fillId="0" borderId="1" xfId="4" applyNumberFormat="1" applyFont="1" applyBorder="1" applyAlignment="1">
      <alignment vertical="center" wrapText="1"/>
    </xf>
    <xf numFmtId="0" fontId="18" fillId="0" borderId="1" xfId="4" applyNumberFormat="1" applyFont="1" applyFill="1" applyBorder="1" applyAlignment="1">
      <alignment vertical="center" wrapText="1"/>
    </xf>
    <xf numFmtId="0" fontId="18" fillId="0" borderId="1" xfId="4" applyNumberFormat="1" applyFont="1" applyFill="1" applyBorder="1" applyAlignment="1">
      <alignment vertical="center"/>
    </xf>
    <xf numFmtId="0" fontId="18" fillId="0" borderId="0" xfId="4" applyNumberFormat="1" applyFont="1" applyFill="1" applyAlignment="1">
      <alignment vertical="center"/>
    </xf>
    <xf numFmtId="0" fontId="20" fillId="0" borderId="1" xfId="4" applyNumberFormat="1" applyFont="1" applyFill="1" applyBorder="1" applyAlignment="1"/>
    <xf numFmtId="0" fontId="7" fillId="0" borderId="1" xfId="0" applyNumberFormat="1" applyFont="1" applyFill="1" applyBorder="1" applyAlignment="1">
      <alignment vertical="center"/>
    </xf>
    <xf numFmtId="0" fontId="7" fillId="0" borderId="1" xfId="0" applyNumberFormat="1" applyFont="1" applyFill="1" applyBorder="1" applyAlignment="1">
      <alignment vertical="center" wrapText="1"/>
    </xf>
    <xf numFmtId="0" fontId="7" fillId="0" borderId="13" xfId="0" applyNumberFormat="1" applyFont="1" applyFill="1" applyBorder="1" applyAlignment="1">
      <alignment vertical="center"/>
    </xf>
    <xf numFmtId="167" fontId="7" fillId="4" borderId="1" xfId="4" applyNumberFormat="1" applyFont="1" applyFill="1" applyBorder="1" applyAlignment="1">
      <alignment horizontal="center" vertical="center" wrapText="1"/>
    </xf>
    <xf numFmtId="167" fontId="7" fillId="0" borderId="1" xfId="4" applyNumberFormat="1" applyFont="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4" borderId="1"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xf>
    <xf numFmtId="1" fontId="7" fillId="0" borderId="1" xfId="4" applyNumberFormat="1" applyFont="1" applyBorder="1" applyAlignment="1">
      <alignment horizontal="center" vertical="center" wrapText="1"/>
    </xf>
    <xf numFmtId="1" fontId="7" fillId="0" borderId="0" xfId="4" applyNumberFormat="1" applyFont="1" applyFill="1" applyAlignment="1">
      <alignment horizontal="center" vertical="center"/>
    </xf>
    <xf numFmtId="1" fontId="7" fillId="0" borderId="1" xfId="5" applyNumberFormat="1" applyFont="1" applyFill="1" applyBorder="1" applyAlignment="1">
      <alignment horizontal="center" vertical="center"/>
    </xf>
    <xf numFmtId="0" fontId="7" fillId="0" borderId="1" xfId="5" applyNumberFormat="1" applyFont="1" applyFill="1" applyBorder="1" applyAlignment="1">
      <alignment horizontal="center" vertical="center"/>
    </xf>
    <xf numFmtId="2" fontId="7" fillId="0" borderId="1" xfId="5" applyNumberFormat="1" applyFont="1" applyFill="1" applyBorder="1" applyAlignment="1">
      <alignment horizontal="center" vertical="center"/>
    </xf>
    <xf numFmtId="0" fontId="3" fillId="0" borderId="1" xfId="0" applyFont="1" applyBorder="1" applyAlignment="1">
      <alignment horizontal="center"/>
    </xf>
    <xf numFmtId="0" fontId="11" fillId="0" borderId="0" xfId="0" applyFont="1"/>
    <xf numFmtId="0" fontId="2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3" fillId="0" borderId="1" xfId="0" applyFont="1" applyFill="1" applyBorder="1"/>
    <xf numFmtId="0" fontId="12"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xf>
    <xf numFmtId="0" fontId="15" fillId="0" borderId="0" xfId="4" applyNumberFormat="1" applyFont="1" applyFill="1" applyAlignment="1">
      <alignment horizontal="center" vertical="center"/>
    </xf>
    <xf numFmtId="0" fontId="18" fillId="0" borderId="3" xfId="4" applyNumberFormat="1" applyFont="1" applyFill="1" applyBorder="1" applyAlignment="1">
      <alignment vertical="center" wrapText="1"/>
    </xf>
    <xf numFmtId="0" fontId="18" fillId="0" borderId="4" xfId="4" applyNumberFormat="1" applyFont="1" applyFill="1" applyBorder="1" applyAlignment="1">
      <alignment vertical="center" wrapText="1"/>
    </xf>
    <xf numFmtId="0" fontId="19" fillId="0" borderId="0" xfId="4" applyNumberFormat="1" applyFont="1" applyFill="1" applyAlignment="1">
      <alignment horizontal="center"/>
    </xf>
    <xf numFmtId="0" fontId="18" fillId="2" borderId="1" xfId="4" applyNumberFormat="1" applyFont="1" applyFill="1" applyBorder="1" applyAlignment="1">
      <alignment horizontal="center" vertical="center" wrapText="1"/>
    </xf>
    <xf numFmtId="0" fontId="18" fillId="2" borderId="1" xfId="4"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8" fillId="0" borderId="1" xfId="4" applyNumberFormat="1" applyFont="1" applyFill="1" applyBorder="1" applyAlignment="1">
      <alignment horizontal="center" vertical="center"/>
    </xf>
    <xf numFmtId="0" fontId="18" fillId="2" borderId="1" xfId="5" applyNumberFormat="1" applyFont="1" applyFill="1" applyBorder="1" applyAlignment="1">
      <alignment horizontal="center" vertical="center"/>
    </xf>
    <xf numFmtId="0" fontId="18" fillId="0" borderId="1" xfId="4" applyNumberFormat="1" applyFont="1" applyFill="1" applyBorder="1" applyAlignment="1">
      <alignment horizontal="center" vertical="center" wrapText="1"/>
    </xf>
    <xf numFmtId="0" fontId="18" fillId="2" borderId="11" xfId="0" applyNumberFormat="1" applyFont="1" applyFill="1" applyBorder="1" applyAlignment="1">
      <alignment horizontal="center" vertical="center" wrapText="1"/>
    </xf>
    <xf numFmtId="0" fontId="18" fillId="2" borderId="6" xfId="0" applyNumberFormat="1" applyFont="1" applyFill="1" applyBorder="1" applyAlignment="1">
      <alignment horizontal="center" vertical="center" wrapText="1"/>
    </xf>
    <xf numFmtId="0" fontId="18" fillId="2" borderId="4" xfId="4" applyNumberFormat="1" applyFont="1" applyFill="1" applyBorder="1" applyAlignment="1">
      <alignment horizontal="center" vertical="center" wrapText="1"/>
    </xf>
    <xf numFmtId="0" fontId="18" fillId="2" borderId="4" xfId="4" applyNumberFormat="1" applyFont="1" applyFill="1" applyBorder="1" applyAlignment="1">
      <alignment horizontal="center" vertical="center"/>
    </xf>
    <xf numFmtId="0" fontId="7" fillId="0" borderId="11" xfId="0" applyNumberFormat="1" applyFont="1" applyFill="1" applyBorder="1" applyAlignment="1">
      <alignment horizontal="center" vertical="center" wrapText="1"/>
    </xf>
    <xf numFmtId="0" fontId="7" fillId="6" borderId="1" xfId="4" applyNumberFormat="1" applyFont="1" applyFill="1" applyBorder="1" applyAlignment="1">
      <alignment horizontal="center" vertical="center" wrapText="1"/>
    </xf>
    <xf numFmtId="0" fontId="18" fillId="0" borderId="1" xfId="5" applyNumberFormat="1" applyFont="1" applyFill="1" applyBorder="1" applyAlignment="1">
      <alignment horizontal="center" vertical="center"/>
    </xf>
    <xf numFmtId="0" fontId="26" fillId="0" borderId="3" xfId="4" applyNumberFormat="1" applyFont="1" applyFill="1" applyBorder="1" applyAlignment="1">
      <alignment vertical="center"/>
    </xf>
    <xf numFmtId="0" fontId="26" fillId="0" borderId="4" xfId="4" applyNumberFormat="1" applyFont="1" applyFill="1" applyBorder="1" applyAlignment="1">
      <alignment vertical="center"/>
    </xf>
    <xf numFmtId="0" fontId="26" fillId="0" borderId="1" xfId="4" applyNumberFormat="1" applyFont="1" applyFill="1" applyBorder="1" applyAlignment="1">
      <alignment horizontal="center" vertical="center"/>
    </xf>
    <xf numFmtId="0" fontId="7" fillId="2" borderId="0" xfId="4" applyNumberFormat="1" applyFont="1" applyFill="1" applyAlignment="1">
      <alignment horizontal="center" vertical="center"/>
    </xf>
    <xf numFmtId="0" fontId="7" fillId="0" borderId="4" xfId="4" applyNumberFormat="1" applyFont="1" applyFill="1" applyBorder="1" applyAlignment="1">
      <alignment horizontal="center" vertical="center"/>
    </xf>
    <xf numFmtId="0" fontId="27" fillId="0" borderId="3" xfId="4" applyNumberFormat="1" applyFont="1" applyFill="1" applyBorder="1" applyAlignment="1">
      <alignment vertical="center" wrapText="1"/>
    </xf>
    <xf numFmtId="0" fontId="27" fillId="0" borderId="4" xfId="4" applyNumberFormat="1" applyFont="1" applyFill="1" applyBorder="1" applyAlignment="1">
      <alignment vertical="center" wrapText="1"/>
    </xf>
    <xf numFmtId="0" fontId="3" fillId="2" borderId="1" xfId="0" applyFont="1" applyFill="1" applyBorder="1" applyAlignment="1">
      <alignment horizontal="center"/>
    </xf>
    <xf numFmtId="0" fontId="3" fillId="2" borderId="1" xfId="0" applyFont="1" applyFill="1" applyBorder="1"/>
    <xf numFmtId="0" fontId="5" fillId="2" borderId="1" xfId="0" applyFont="1" applyFill="1" applyBorder="1"/>
    <xf numFmtId="0" fontId="12" fillId="2" borderId="1" xfId="0" applyFont="1" applyFill="1" applyBorder="1"/>
    <xf numFmtId="0" fontId="11" fillId="2" borderId="1" xfId="0" applyFont="1" applyFill="1" applyBorder="1"/>
    <xf numFmtId="0" fontId="3" fillId="2" borderId="1" xfId="0" applyFont="1" applyFill="1" applyBorder="1" applyAlignment="1">
      <alignment horizontal="center" vertical="center"/>
    </xf>
    <xf numFmtId="0" fontId="28" fillId="0" borderId="1" xfId="0" applyFont="1" applyBorder="1" applyAlignment="1">
      <alignment horizontal="center" vertical="center"/>
    </xf>
    <xf numFmtId="49" fontId="28" fillId="0" borderId="1" xfId="0" applyNumberFormat="1" applyFont="1" applyBorder="1" applyAlignment="1">
      <alignment horizontal="center" vertical="center"/>
    </xf>
    <xf numFmtId="0" fontId="28" fillId="0" borderId="1" xfId="0" applyNumberFormat="1" applyFont="1" applyBorder="1" applyAlignment="1">
      <alignment horizontal="center" vertical="center"/>
    </xf>
    <xf numFmtId="0" fontId="12" fillId="0" borderId="1" xfId="0" applyFont="1" applyBorder="1" applyAlignment="1">
      <alignment horizontal="center"/>
    </xf>
    <xf numFmtId="0" fontId="21" fillId="0" borderId="0"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21" fillId="4" borderId="13"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4" borderId="0"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4" borderId="0" xfId="0" applyFont="1" applyFill="1" applyAlignment="1">
      <alignment vertical="center"/>
    </xf>
    <xf numFmtId="0" fontId="18" fillId="0" borderId="0" xfId="0" applyFont="1" applyFill="1" applyBorder="1" applyAlignment="1">
      <alignment horizontal="center" vertical="center"/>
    </xf>
    <xf numFmtId="0" fontId="7" fillId="0" borderId="0" xfId="0" applyFont="1"/>
    <xf numFmtId="0" fontId="26" fillId="0" borderId="13" xfId="0" applyFont="1" applyFill="1" applyBorder="1" applyAlignment="1">
      <alignment horizontal="center" vertical="center" wrapText="1"/>
    </xf>
    <xf numFmtId="0" fontId="26" fillId="0" borderId="13" xfId="0" applyFont="1" applyFill="1" applyBorder="1" applyAlignment="1">
      <alignment horizontal="center" vertical="center"/>
    </xf>
    <xf numFmtId="0" fontId="7" fillId="0" borderId="0" xfId="0" applyFont="1" applyFill="1"/>
    <xf numFmtId="0" fontId="7" fillId="0" borderId="0" xfId="0" applyFont="1" applyFill="1" applyBorder="1" applyAlignment="1">
      <alignment wrapText="1"/>
    </xf>
    <xf numFmtId="0" fontId="7" fillId="0" borderId="1" xfId="0" applyFont="1" applyFill="1" applyBorder="1"/>
    <xf numFmtId="0" fontId="7" fillId="4" borderId="1" xfId="0" applyFont="1" applyFill="1" applyBorder="1"/>
    <xf numFmtId="164" fontId="7" fillId="4" borderId="1" xfId="0" applyNumberFormat="1" applyFont="1" applyFill="1" applyBorder="1"/>
    <xf numFmtId="0" fontId="7" fillId="4" borderId="0" xfId="0" applyFont="1" applyFill="1"/>
    <xf numFmtId="0" fontId="7" fillId="4" borderId="0" xfId="0" applyFont="1" applyFill="1" applyBorder="1" applyAlignment="1">
      <alignment wrapText="1"/>
    </xf>
    <xf numFmtId="0" fontId="7" fillId="4" borderId="1" xfId="0" applyFont="1" applyFill="1" applyBorder="1" applyAlignment="1">
      <alignment wrapText="1"/>
    </xf>
    <xf numFmtId="0" fontId="29" fillId="0" borderId="0" xfId="0" applyFont="1" applyFill="1" applyBorder="1" applyAlignment="1">
      <alignment horizontal="left"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0" xfId="0" applyFont="1" applyFill="1" applyBorder="1" applyAlignment="1">
      <alignment horizontal="center" vertical="center"/>
    </xf>
    <xf numFmtId="0" fontId="7" fillId="4" borderId="1" xfId="0" applyFont="1" applyFill="1" applyBorder="1" applyAlignment="1">
      <alignment horizontal="justify"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xf>
    <xf numFmtId="166" fontId="7" fillId="4" borderId="1" xfId="0" applyNumberFormat="1" applyFont="1" applyFill="1" applyBorder="1"/>
    <xf numFmtId="0" fontId="3" fillId="4" borderId="3"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1" xfId="0" applyFont="1" applyFill="1" applyBorder="1" applyAlignment="1">
      <alignment vertical="center" wrapText="1"/>
    </xf>
    <xf numFmtId="0" fontId="21" fillId="0" borderId="3" xfId="0" applyFont="1" applyFill="1" applyBorder="1" applyAlignment="1">
      <alignment horizontal="center" vertical="center" wrapText="1"/>
    </xf>
    <xf numFmtId="0" fontId="29" fillId="4" borderId="1" xfId="0" applyFont="1" applyFill="1" applyBorder="1" applyAlignment="1">
      <alignment vertical="center" wrapText="1"/>
    </xf>
    <xf numFmtId="0" fontId="21" fillId="4" borderId="1" xfId="0" applyFont="1" applyFill="1" applyBorder="1" applyAlignment="1">
      <alignment vertical="center" wrapText="1"/>
    </xf>
    <xf numFmtId="0" fontId="7" fillId="4" borderId="1" xfId="0" applyFont="1" applyFill="1" applyBorder="1" applyAlignment="1">
      <alignment vertical="center"/>
    </xf>
    <xf numFmtId="0" fontId="7" fillId="4" borderId="13" xfId="0" applyFont="1" applyFill="1" applyBorder="1" applyAlignment="1">
      <alignment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xf>
    <xf numFmtId="0" fontId="26" fillId="0" borderId="9" xfId="0" applyFont="1" applyFill="1" applyBorder="1" applyAlignment="1">
      <alignment horizontal="center" vertical="center"/>
    </xf>
    <xf numFmtId="0" fontId="21" fillId="4" borderId="3" xfId="0" applyFont="1" applyFill="1" applyBorder="1" applyAlignment="1">
      <alignment horizontal="center" vertical="center" wrapText="1"/>
    </xf>
    <xf numFmtId="0" fontId="0" fillId="0" borderId="0" xfId="0" applyAlignment="1">
      <alignment horizontal="left"/>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2" borderId="1" xfId="0" applyFont="1" applyFill="1" applyBorder="1" applyAlignment="1">
      <alignment vertical="center" wrapText="1"/>
    </xf>
    <xf numFmtId="170" fontId="7" fillId="4" borderId="1" xfId="0" applyNumberFormat="1" applyFont="1" applyFill="1" applyBorder="1"/>
    <xf numFmtId="1" fontId="7" fillId="4" borderId="1" xfId="0" applyNumberFormat="1" applyFont="1" applyFill="1" applyBorder="1"/>
    <xf numFmtId="166" fontId="18" fillId="4" borderId="1" xfId="0" applyNumberFormat="1" applyFont="1" applyFill="1" applyBorder="1"/>
    <xf numFmtId="0" fontId="30"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3" xfId="0" applyFont="1" applyFill="1" applyBorder="1" applyAlignment="1">
      <alignment vertical="center" wrapText="1"/>
    </xf>
    <xf numFmtId="0" fontId="7" fillId="0" borderId="1" xfId="0" applyFont="1" applyFill="1" applyBorder="1" applyAlignment="1">
      <alignment horizontal="center" vertical="center" wrapText="1"/>
    </xf>
    <xf numFmtId="0" fontId="3" fillId="0" borderId="5" xfId="0" applyFont="1" applyFill="1" applyBorder="1" applyAlignment="1">
      <alignment vertical="center"/>
    </xf>
    <xf numFmtId="166" fontId="7" fillId="0" borderId="1" xfId="0" applyNumberFormat="1" applyFont="1" applyFill="1" applyBorder="1"/>
    <xf numFmtId="0" fontId="7" fillId="4" borderId="1" xfId="0" applyFont="1" applyFill="1" applyBorder="1" applyAlignment="1">
      <alignment horizontal="center" wrapText="1"/>
    </xf>
    <xf numFmtId="0" fontId="7" fillId="4"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0" xfId="0" applyFont="1" applyBorder="1"/>
    <xf numFmtId="0" fontId="12" fillId="0" borderId="0" xfId="0" applyFont="1" applyAlignment="1">
      <alignment vertical="top"/>
    </xf>
    <xf numFmtId="0" fontId="11" fillId="0" borderId="5" xfId="0" applyFont="1" applyBorder="1"/>
    <xf numFmtId="2" fontId="7" fillId="0" borderId="1" xfId="2" applyNumberFormat="1" applyFont="1" applyFill="1" applyBorder="1" applyAlignment="1">
      <alignment horizontal="center" vertical="center" wrapText="1"/>
    </xf>
    <xf numFmtId="165" fontId="7" fillId="0" borderId="1" xfId="2" applyNumberFormat="1" applyFont="1" applyFill="1" applyBorder="1" applyAlignment="1">
      <alignment horizontal="center" vertical="center" wrapText="1"/>
    </xf>
    <xf numFmtId="166" fontId="7" fillId="0" borderId="1" xfId="2" applyNumberFormat="1" applyFont="1" applyFill="1" applyBorder="1" applyAlignment="1">
      <alignment horizontal="center" vertical="center" wrapText="1"/>
    </xf>
    <xf numFmtId="2" fontId="11" fillId="0" borderId="1" xfId="0" applyNumberFormat="1" applyFont="1" applyBorder="1"/>
    <xf numFmtId="170" fontId="11" fillId="0" borderId="0" xfId="0" applyNumberFormat="1" applyFont="1"/>
    <xf numFmtId="0" fontId="3" fillId="0" borderId="1" xfId="0" applyFont="1" applyBorder="1" applyAlignment="1">
      <alignment vertical="center" wrapText="1"/>
    </xf>
    <xf numFmtId="0" fontId="5" fillId="0" borderId="6" xfId="0" applyFont="1" applyBorder="1"/>
    <xf numFmtId="0" fontId="0" fillId="0" borderId="6" xfId="0" applyBorder="1"/>
    <xf numFmtId="0" fontId="3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49" fontId="34" fillId="0" borderId="0" xfId="0" applyNumberFormat="1" applyFont="1" applyAlignment="1">
      <alignment horizontal="center" vertical="center"/>
    </xf>
    <xf numFmtId="49" fontId="3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2" fillId="0" borderId="0" xfId="0" applyNumberFormat="1" applyFont="1" applyAlignment="1">
      <alignment horizontal="justify" vertical="center"/>
    </xf>
    <xf numFmtId="49" fontId="11" fillId="0" borderId="0" xfId="0" applyNumberFormat="1" applyFont="1" applyAlignment="1">
      <alignment vertical="center"/>
    </xf>
    <xf numFmtId="49" fontId="28" fillId="0" borderId="0" xfId="0" applyNumberFormat="1" applyFont="1" applyAlignment="1">
      <alignment horizontal="justify" vertical="center"/>
    </xf>
    <xf numFmtId="49" fontId="0" fillId="0" borderId="0" xfId="0" applyNumberFormat="1"/>
    <xf numFmtId="49" fontId="0" fillId="0" borderId="0" xfId="0" applyNumberFormat="1" applyAlignment="1">
      <alignment horizontal="left"/>
    </xf>
    <xf numFmtId="0" fontId="2" fillId="0" borderId="3" xfId="0" applyFont="1" applyBorder="1" applyAlignment="1">
      <alignment wrapText="1"/>
    </xf>
    <xf numFmtId="0" fontId="11" fillId="0" borderId="0" xfId="0" applyFont="1" applyBorder="1" applyAlignment="1">
      <alignment vertical="center"/>
    </xf>
    <xf numFmtId="0" fontId="12" fillId="0" borderId="0" xfId="0" applyFont="1" applyBorder="1" applyAlignment="1">
      <alignment vertical="center"/>
    </xf>
    <xf numFmtId="0" fontId="34" fillId="0" borderId="0" xfId="0" applyFont="1" applyBorder="1" applyAlignment="1">
      <alignment vertical="center"/>
    </xf>
    <xf numFmtId="0" fontId="2" fillId="0" borderId="0" xfId="0" applyFont="1" applyBorder="1" applyAlignment="1"/>
    <xf numFmtId="0" fontId="5" fillId="0" borderId="0" xfId="0" applyFont="1" applyBorder="1" applyAlignment="1">
      <alignment horizontal="justify" vertical="center"/>
    </xf>
    <xf numFmtId="165" fontId="2" fillId="0" borderId="1" xfId="0" applyNumberFormat="1" applyFont="1" applyBorder="1" applyAlignment="1">
      <alignment horizontal="center" vertical="center" wrapText="1"/>
    </xf>
    <xf numFmtId="165" fontId="2" fillId="0" borderId="1" xfId="0" applyNumberFormat="1" applyFont="1" applyBorder="1" applyAlignment="1"/>
    <xf numFmtId="165" fontId="2" fillId="0" borderId="1" xfId="0" applyNumberFormat="1" applyFont="1" applyBorder="1" applyAlignment="1">
      <alignment horizontal="center"/>
    </xf>
    <xf numFmtId="165" fontId="28" fillId="0" borderId="1" xfId="0" applyNumberFormat="1" applyFont="1" applyBorder="1" applyAlignment="1">
      <alignment horizontal="center" vertical="center" wrapText="1"/>
    </xf>
    <xf numFmtId="166" fontId="28" fillId="0" borderId="1" xfId="0" applyNumberFormat="1" applyFont="1" applyBorder="1" applyAlignment="1">
      <alignment horizontal="center" vertical="center" wrapText="1"/>
    </xf>
    <xf numFmtId="0" fontId="4" fillId="0" borderId="0" xfId="0" applyFont="1" applyAlignment="1">
      <alignment vertical="center"/>
    </xf>
    <xf numFmtId="0" fontId="39" fillId="0" borderId="0" xfId="0" applyFont="1"/>
    <xf numFmtId="0" fontId="3" fillId="0" borderId="0" xfId="0" applyFont="1" applyAlignment="1"/>
    <xf numFmtId="0" fontId="1" fillId="0" borderId="0" xfId="0" applyFont="1" applyAlignment="1"/>
    <xf numFmtId="0" fontId="44" fillId="0" borderId="0" xfId="0" applyFont="1"/>
    <xf numFmtId="0" fontId="0" fillId="0" borderId="0" xfId="0" applyAlignment="1">
      <alignment horizontal="center"/>
    </xf>
    <xf numFmtId="0" fontId="5" fillId="0" borderId="1" xfId="0" applyFont="1" applyBorder="1" applyAlignment="1">
      <alignment horizont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2" fontId="0" fillId="0" borderId="0" xfId="0" applyNumberFormat="1" applyAlignment="1">
      <alignment horizontal="left" vertical="center"/>
    </xf>
    <xf numFmtId="0" fontId="3" fillId="0" borderId="1" xfId="0" applyFont="1" applyFill="1" applyBorder="1" applyAlignment="1">
      <alignment wrapText="1"/>
    </xf>
    <xf numFmtId="0" fontId="3" fillId="0" borderId="1" xfId="0" applyFont="1" applyFill="1" applyBorder="1" applyAlignment="1">
      <alignment horizontal="center" wrapText="1"/>
    </xf>
    <xf numFmtId="2"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Fill="1" applyBorder="1" applyAlignment="1">
      <alignment horizontal="left" vertical="top"/>
    </xf>
    <xf numFmtId="2" fontId="3" fillId="0" borderId="1" xfId="0" applyNumberFormat="1" applyFont="1" applyBorder="1"/>
    <xf numFmtId="0" fontId="3" fillId="0" borderId="1" xfId="0" applyFont="1" applyFill="1" applyBorder="1" applyAlignment="1"/>
    <xf numFmtId="0" fontId="3" fillId="0" borderId="1" xfId="0" applyFont="1" applyFill="1" applyBorder="1" applyAlignment="1">
      <alignment horizontal="left"/>
    </xf>
    <xf numFmtId="2" fontId="3" fillId="0" borderId="1" xfId="0" applyNumberFormat="1"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center"/>
    </xf>
    <xf numFmtId="165" fontId="3" fillId="0" borderId="1" xfId="0" applyNumberFormat="1" applyFont="1" applyBorder="1" applyAlignment="1">
      <alignment horizontal="center" vertical="center"/>
    </xf>
    <xf numFmtId="0" fontId="3" fillId="0" borderId="1" xfId="0" applyFont="1" applyFill="1" applyBorder="1" applyAlignment="1">
      <alignment vertical="top"/>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2" fontId="5" fillId="2" borderId="1" xfId="0" applyNumberFormat="1" applyFont="1" applyFill="1" applyBorder="1"/>
    <xf numFmtId="0" fontId="3"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1" fillId="0" borderId="1" xfId="0" applyFont="1" applyBorder="1" applyAlignment="1">
      <alignment wrapText="1"/>
    </xf>
    <xf numFmtId="0" fontId="3" fillId="0" borderId="1" xfId="0" applyFont="1" applyFill="1" applyBorder="1" applyAlignment="1">
      <alignment horizontal="center" vertical="top"/>
    </xf>
    <xf numFmtId="0" fontId="11" fillId="0" borderId="1" xfId="0" applyFont="1" applyBorder="1" applyAlignment="1">
      <alignment horizont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3" fillId="0" borderId="1" xfId="0" applyFont="1" applyBorder="1" applyAlignment="1">
      <alignment horizontal="center" vertical="center" wrapText="1"/>
    </xf>
    <xf numFmtId="167" fontId="0" fillId="0" borderId="0" xfId="0" applyNumberFormat="1" applyBorder="1"/>
    <xf numFmtId="165" fontId="5" fillId="0" borderId="1" xfId="0" applyNumberFormat="1" applyFont="1" applyFill="1" applyBorder="1"/>
    <xf numFmtId="0" fontId="3" fillId="0" borderId="5" xfId="0" applyFont="1" applyBorder="1" applyAlignment="1">
      <alignment horizontal="center" vertical="center" wrapText="1"/>
    </xf>
    <xf numFmtId="0" fontId="3" fillId="0" borderId="0" xfId="0" applyFont="1" applyAlignment="1">
      <alignment horizontal="left"/>
    </xf>
    <xf numFmtId="0" fontId="12" fillId="0" borderId="0" xfId="0" applyFont="1" applyAlignment="1">
      <alignment horizontal="center" vertical="top" wrapText="1"/>
    </xf>
    <xf numFmtId="0" fontId="3" fillId="0" borderId="0" xfId="0" applyFont="1" applyAlignment="1">
      <alignment horizontal="center" vertical="center"/>
    </xf>
    <xf numFmtId="0" fontId="0" fillId="0" borderId="0" xfId="0" applyAlignment="1">
      <alignment horizontal="left"/>
    </xf>
    <xf numFmtId="0" fontId="7" fillId="0" borderId="1" xfId="4" applyNumberFormat="1" applyFont="1" applyFill="1" applyBorder="1" applyAlignment="1">
      <alignment horizontal="center" vertical="center"/>
    </xf>
    <xf numFmtId="0" fontId="7" fillId="0" borderId="3" xfId="4" applyNumberFormat="1" applyFont="1" applyFill="1" applyBorder="1" applyAlignment="1">
      <alignment horizontal="center" vertical="center"/>
    </xf>
    <xf numFmtId="0" fontId="7" fillId="0" borderId="1" xfId="4" applyNumberFormat="1" applyFont="1" applyFill="1" applyBorder="1" applyAlignment="1">
      <alignment vertical="center" wrapText="1"/>
    </xf>
    <xf numFmtId="0" fontId="7" fillId="0" borderId="1" xfId="4"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Alignment="1">
      <alignment horizontal="center"/>
    </xf>
    <xf numFmtId="0" fontId="25" fillId="0" borderId="1" xfId="0" applyFont="1" applyBorder="1" applyAlignment="1">
      <alignment horizontal="center"/>
    </xf>
    <xf numFmtId="0" fontId="7" fillId="0" borderId="13"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3" fillId="0" borderId="0" xfId="0" applyFont="1" applyBorder="1" applyAlignment="1"/>
    <xf numFmtId="0" fontId="18" fillId="0" borderId="1" xfId="4" applyNumberFormat="1" applyFont="1" applyBorder="1" applyAlignment="1">
      <alignment horizontal="center" vertical="center"/>
    </xf>
    <xf numFmtId="0" fontId="16" fillId="0" borderId="1" xfId="4" applyNumberFormat="1" applyFont="1" applyFill="1" applyBorder="1" applyAlignment="1">
      <alignment horizontal="center"/>
    </xf>
    <xf numFmtId="0" fontId="16" fillId="4" borderId="1" xfId="4" applyNumberFormat="1" applyFont="1" applyFill="1" applyBorder="1" applyAlignment="1">
      <alignment horizontal="center"/>
    </xf>
    <xf numFmtId="0" fontId="16" fillId="0" borderId="1" xfId="4" applyNumberFormat="1" applyFont="1" applyBorder="1" applyAlignment="1">
      <alignment horizontal="center"/>
    </xf>
    <xf numFmtId="0" fontId="20" fillId="0" borderId="1" xfId="4" applyFont="1" applyBorder="1"/>
    <xf numFmtId="0" fontId="20" fillId="4" borderId="1" xfId="4" applyFont="1" applyFill="1" applyBorder="1"/>
    <xf numFmtId="0" fontId="15" fillId="0" borderId="1" xfId="4" applyNumberFormat="1" applyFont="1" applyFill="1" applyBorder="1" applyAlignment="1">
      <alignment horizontal="center"/>
    </xf>
    <xf numFmtId="0" fontId="7" fillId="0" borderId="9" xfId="4" applyNumberFormat="1" applyFont="1" applyFill="1" applyBorder="1" applyAlignment="1">
      <alignment vertical="center"/>
    </xf>
    <xf numFmtId="0" fontId="18" fillId="2" borderId="3" xfId="4"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15" fillId="0" borderId="1" xfId="4" applyFont="1" applyFill="1" applyBorder="1" applyAlignment="1">
      <alignment horizontal="center"/>
    </xf>
    <xf numFmtId="0" fontId="7" fillId="0" borderId="1" xfId="4" applyNumberFormat="1" applyFont="1" applyFill="1" applyBorder="1" applyAlignment="1">
      <alignment horizontal="center"/>
    </xf>
    <xf numFmtId="0" fontId="7" fillId="0" borderId="1" xfId="4" applyFont="1" applyFill="1" applyBorder="1" applyAlignment="1">
      <alignment horizontal="center" vertical="center"/>
    </xf>
    <xf numFmtId="0" fontId="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8" fillId="0" borderId="1" xfId="4" applyFont="1" applyFill="1" applyBorder="1" applyAlignment="1">
      <alignment horizontal="center" vertical="center"/>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6" fillId="8" borderId="1" xfId="4" applyFont="1" applyFill="1" applyBorder="1" applyAlignment="1">
      <alignment horizontal="center"/>
    </xf>
    <xf numFmtId="167" fontId="16" fillId="8" borderId="1" xfId="4" applyNumberFormat="1" applyFont="1" applyFill="1" applyBorder="1" applyAlignment="1">
      <alignment horizontal="center"/>
    </xf>
    <xf numFmtId="2" fontId="16" fillId="8" borderId="1" xfId="4" applyNumberFormat="1" applyFont="1" applyFill="1" applyBorder="1" applyAlignment="1">
      <alignment horizontal="center"/>
    </xf>
    <xf numFmtId="0" fontId="26" fillId="0" borderId="3" xfId="4" applyFont="1" applyFill="1" applyBorder="1" applyAlignment="1"/>
    <xf numFmtId="0" fontId="26" fillId="0" borderId="4" xfId="4" applyFont="1" applyFill="1" applyBorder="1" applyAlignment="1"/>
    <xf numFmtId="0" fontId="7" fillId="0" borderId="3" xfId="4" applyFont="1" applyFill="1" applyBorder="1" applyAlignment="1">
      <alignment horizontal="center" vertical="center"/>
    </xf>
    <xf numFmtId="0" fontId="7" fillId="0" borderId="3" xfId="4" applyFont="1" applyFill="1" applyBorder="1" applyAlignment="1">
      <alignment horizontal="center"/>
    </xf>
    <xf numFmtId="2" fontId="16" fillId="8" borderId="3" xfId="4" applyNumberFormat="1" applyFont="1" applyFill="1" applyBorder="1" applyAlignment="1">
      <alignment horizontal="center"/>
    </xf>
    <xf numFmtId="0" fontId="7" fillId="7" borderId="1" xfId="0" applyFont="1" applyFill="1" applyBorder="1" applyAlignment="1">
      <alignment horizontal="left" wrapText="1"/>
    </xf>
    <xf numFmtId="0" fontId="7" fillId="7" borderId="1" xfId="0" applyFont="1" applyFill="1" applyBorder="1" applyAlignment="1">
      <alignment wrapText="1"/>
    </xf>
    <xf numFmtId="0" fontId="7" fillId="7" borderId="13" xfId="0" applyFont="1" applyFill="1" applyBorder="1" applyAlignment="1">
      <alignment wrapText="1"/>
    </xf>
    <xf numFmtId="0" fontId="7" fillId="0" borderId="1" xfId="0" applyFont="1" applyFill="1" applyBorder="1" applyAlignment="1">
      <alignment horizontal="left" wrapText="1"/>
    </xf>
    <xf numFmtId="0" fontId="18" fillId="8" borderId="1" xfId="4" applyFont="1" applyFill="1" applyBorder="1" applyAlignment="1">
      <alignment horizontal="center"/>
    </xf>
    <xf numFmtId="0" fontId="7" fillId="8" borderId="1" xfId="0" applyFont="1" applyFill="1" applyBorder="1" applyAlignment="1">
      <alignment horizontal="center" wrapText="1"/>
    </xf>
    <xf numFmtId="0" fontId="7" fillId="0" borderId="14" xfId="0" applyFont="1" applyFill="1" applyBorder="1" applyAlignment="1">
      <alignment horizontal="center" vertical="center" wrapText="1"/>
    </xf>
    <xf numFmtId="0" fontId="3" fillId="0" borderId="3" xfId="0" applyFont="1" applyBorder="1"/>
    <xf numFmtId="0" fontId="48" fillId="0" borderId="0" xfId="0" applyFont="1"/>
    <xf numFmtId="0" fontId="18" fillId="8" borderId="0" xfId="4" applyFont="1" applyFill="1" applyBorder="1" applyAlignment="1">
      <alignment horizontal="center"/>
    </xf>
    <xf numFmtId="0" fontId="5" fillId="0" borderId="0" xfId="0" applyFont="1" applyBorder="1"/>
    <xf numFmtId="0" fontId="3" fillId="0" borderId="0" xfId="0" applyFont="1" applyBorder="1"/>
    <xf numFmtId="0" fontId="0" fillId="0" borderId="0" xfId="0" applyAlignment="1">
      <alignment horizontal="center"/>
    </xf>
    <xf numFmtId="0" fontId="7" fillId="0" borderId="0" xfId="4" applyNumberFormat="1" applyFont="1" applyFill="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right" vertical="center" wrapText="1"/>
    </xf>
    <xf numFmtId="0" fontId="0" fillId="0" borderId="0" xfId="0" applyFill="1" applyAlignment="1"/>
    <xf numFmtId="0" fontId="3" fillId="0" borderId="0" xfId="0" applyFont="1" applyFill="1" applyBorder="1" applyAlignment="1">
      <alignment horizontal="center" vertical="center" wrapText="1"/>
    </xf>
    <xf numFmtId="0" fontId="11" fillId="0" borderId="0" xfId="0" applyFont="1" applyFill="1" applyBorder="1"/>
    <xf numFmtId="0" fontId="5" fillId="0" borderId="0" xfId="0" applyFont="1" applyFill="1" applyAlignment="1">
      <alignment horizontal="center" vertical="center"/>
    </xf>
    <xf numFmtId="0" fontId="12"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xf>
    <xf numFmtId="0" fontId="5" fillId="0" borderId="1" xfId="0" applyFont="1" applyFill="1" applyBorder="1"/>
    <xf numFmtId="166" fontId="5" fillId="0" borderId="1" xfId="0" applyNumberFormat="1" applyFont="1" applyFill="1" applyBorder="1"/>
    <xf numFmtId="164" fontId="5" fillId="0" borderId="1" xfId="0" applyNumberFormat="1" applyFont="1" applyFill="1" applyBorder="1"/>
    <xf numFmtId="0" fontId="3" fillId="0" borderId="0" xfId="0" applyFont="1" applyFill="1" applyAlignment="1"/>
    <xf numFmtId="0" fontId="30" fillId="0" borderId="12"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165" fontId="5" fillId="0" borderId="0" xfId="0" applyNumberFormat="1" applyFont="1" applyFill="1" applyBorder="1"/>
    <xf numFmtId="165" fontId="12" fillId="0" borderId="1" xfId="0" applyNumberFormat="1" applyFont="1" applyFill="1" applyBorder="1"/>
    <xf numFmtId="165" fontId="12" fillId="0" borderId="1" xfId="0" applyNumberFormat="1" applyFont="1" applyFill="1" applyBorder="1" applyAlignment="1">
      <alignment vertical="center"/>
    </xf>
    <xf numFmtId="165" fontId="12" fillId="0" borderId="1" xfId="0" applyNumberFormat="1" applyFont="1" applyBorder="1" applyAlignment="1">
      <alignment vertical="center"/>
    </xf>
    <xf numFmtId="0" fontId="11" fillId="0" borderId="0" xfId="0" applyFont="1" applyFill="1"/>
    <xf numFmtId="0" fontId="11" fillId="0" borderId="0" xfId="0" applyFont="1" applyFill="1" applyAlignment="1"/>
    <xf numFmtId="0" fontId="12" fillId="0" borderId="1" xfId="0" applyFont="1" applyFill="1" applyBorder="1" applyAlignment="1">
      <alignment horizontal="center" vertical="center" wrapText="1"/>
    </xf>
    <xf numFmtId="164" fontId="11" fillId="0" borderId="0" xfId="0" applyNumberFormat="1" applyFont="1" applyFill="1" applyBorder="1"/>
    <xf numFmtId="0" fontId="11" fillId="0" borderId="6" xfId="0" applyFont="1" applyFill="1" applyBorder="1"/>
    <xf numFmtId="0" fontId="12" fillId="0" borderId="1" xfId="0" applyFont="1" applyFill="1" applyBorder="1"/>
    <xf numFmtId="0" fontId="12" fillId="0" borderId="1" xfId="0" applyFont="1" applyFill="1" applyBorder="1" applyAlignment="1">
      <alignment horizontal="right"/>
    </xf>
    <xf numFmtId="0" fontId="12" fillId="0" borderId="1" xfId="0" applyFont="1" applyFill="1" applyBorder="1" applyAlignment="1"/>
    <xf numFmtId="0" fontId="12" fillId="0" borderId="1" xfId="0" applyFont="1" applyFill="1" applyBorder="1" applyAlignment="1">
      <alignment vertical="center"/>
    </xf>
    <xf numFmtId="0" fontId="12" fillId="0" borderId="1" xfId="0" applyFont="1" applyFill="1" applyBorder="1" applyAlignment="1">
      <alignment horizontal="right" vertical="center"/>
    </xf>
    <xf numFmtId="165" fontId="12" fillId="0" borderId="1" xfId="0" applyNumberFormat="1" applyFont="1" applyFill="1" applyBorder="1" applyAlignment="1">
      <alignment horizontal="right" vertical="center"/>
    </xf>
    <xf numFmtId="0" fontId="12" fillId="0" borderId="0" xfId="0" applyFont="1" applyFill="1" applyBorder="1"/>
    <xf numFmtId="166" fontId="12" fillId="0" borderId="1" xfId="0" applyNumberFormat="1" applyFont="1" applyFill="1" applyBorder="1"/>
    <xf numFmtId="0" fontId="12" fillId="0" borderId="1" xfId="0" applyFont="1" applyFill="1" applyBorder="1" applyAlignment="1">
      <alignment horizontal="center"/>
    </xf>
    <xf numFmtId="167" fontId="12" fillId="0" borderId="1" xfId="0" applyNumberFormat="1" applyFont="1" applyFill="1" applyBorder="1" applyAlignment="1">
      <alignment horizontal="right" vertical="center"/>
    </xf>
    <xf numFmtId="165" fontId="5" fillId="0" borderId="0" xfId="0" applyNumberFormat="1" applyFont="1" applyFill="1" applyBorder="1" applyAlignment="1">
      <alignment horizontal="left"/>
    </xf>
    <xf numFmtId="165" fontId="5" fillId="0" borderId="0" xfId="0" applyNumberFormat="1" applyFont="1" applyFill="1" applyAlignment="1">
      <alignment horizontal="left"/>
    </xf>
    <xf numFmtId="165" fontId="5" fillId="0" borderId="0" xfId="0" applyNumberFormat="1" applyFont="1" applyFill="1" applyBorder="1" applyAlignment="1">
      <alignment horizontal="left" vertical="center" wrapText="1"/>
    </xf>
    <xf numFmtId="165" fontId="12" fillId="0" borderId="0" xfId="0" applyNumberFormat="1" applyFont="1" applyFill="1" applyBorder="1" applyAlignment="1">
      <alignment horizontal="left"/>
    </xf>
    <xf numFmtId="165" fontId="12" fillId="0" borderId="0" xfId="0" applyNumberFormat="1" applyFont="1" applyFill="1" applyBorder="1" applyAlignment="1">
      <alignment horizontal="left" vertical="center"/>
    </xf>
    <xf numFmtId="165" fontId="1" fillId="0" borderId="0" xfId="0" applyNumberFormat="1" applyFont="1" applyFill="1" applyBorder="1" applyAlignment="1">
      <alignment horizontal="left"/>
    </xf>
    <xf numFmtId="0" fontId="5" fillId="0" borderId="1" xfId="0" applyFont="1" applyFill="1" applyBorder="1" applyAlignment="1">
      <alignment horizontal="right" vertical="center" wrapText="1"/>
    </xf>
    <xf numFmtId="0" fontId="5" fillId="0" borderId="12" xfId="0" applyFont="1" applyFill="1" applyBorder="1" applyAlignment="1">
      <alignment horizontal="right" vertical="center" wrapText="1"/>
    </xf>
    <xf numFmtId="166" fontId="5" fillId="0" borderId="1" xfId="0" applyNumberFormat="1" applyFont="1" applyFill="1" applyBorder="1" applyAlignment="1">
      <alignment vertical="center" wrapText="1"/>
    </xf>
    <xf numFmtId="166" fontId="5" fillId="0" borderId="1" xfId="0" applyNumberFormat="1" applyFont="1" applyBorder="1" applyAlignment="1">
      <alignment vertical="center" wrapText="1"/>
    </xf>
    <xf numFmtId="0" fontId="5" fillId="0" borderId="1" xfId="0" applyFont="1" applyBorder="1" applyAlignment="1">
      <alignment horizontal="left" vertical="center" wrapText="1"/>
    </xf>
    <xf numFmtId="165" fontId="5" fillId="0" borderId="1" xfId="0" applyNumberFormat="1" applyFont="1" applyFill="1" applyBorder="1" applyAlignment="1">
      <alignment horizontal="right"/>
    </xf>
    <xf numFmtId="0" fontId="5" fillId="0" borderId="1" xfId="0" applyFont="1" applyBorder="1" applyAlignment="1">
      <alignment horizontal="right" vertical="center" wrapText="1"/>
    </xf>
    <xf numFmtId="167" fontId="5" fillId="0" borderId="1" xfId="0" applyNumberFormat="1" applyFont="1" applyBorder="1" applyAlignment="1">
      <alignment horizontal="right" vertical="center" wrapText="1"/>
    </xf>
    <xf numFmtId="0" fontId="5" fillId="0" borderId="1" xfId="0" applyFont="1" applyFill="1" applyBorder="1" applyAlignment="1">
      <alignment horizontal="right" vertical="center"/>
    </xf>
    <xf numFmtId="165" fontId="5" fillId="0" borderId="1" xfId="0" applyNumberFormat="1" applyFont="1" applyFill="1" applyBorder="1" applyAlignment="1">
      <alignment horizontal="right" vertical="center"/>
    </xf>
    <xf numFmtId="2" fontId="12" fillId="0" borderId="1"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11" fillId="0" borderId="1" xfId="0" applyFont="1" applyFill="1" applyBorder="1" applyAlignment="1">
      <alignment horizontal="left" vertical="center"/>
    </xf>
    <xf numFmtId="0" fontId="51" fillId="0" borderId="0" xfId="0" applyFont="1" applyAlignment="1">
      <alignment horizontal="center" vertical="center"/>
    </xf>
    <xf numFmtId="0" fontId="5" fillId="0" borderId="0" xfId="0" applyFont="1" applyAlignment="1">
      <alignment horizontal="center" vertical="center" wrapText="1"/>
    </xf>
    <xf numFmtId="0" fontId="3" fillId="0" borderId="6" xfId="0" applyFont="1" applyBorder="1" applyAlignment="1">
      <alignment horizontal="center"/>
    </xf>
    <xf numFmtId="0" fontId="8" fillId="0" borderId="0" xfId="0" applyFont="1" applyAlignment="1">
      <alignment horizontal="left"/>
    </xf>
    <xf numFmtId="0" fontId="3" fillId="0" borderId="0" xfId="0" applyFont="1" applyAlignment="1">
      <alignment horizontal="left"/>
    </xf>
    <xf numFmtId="0" fontId="5" fillId="0" borderId="6" xfId="0" applyFont="1" applyBorder="1" applyAlignment="1">
      <alignment horizontal="center" vertical="center"/>
    </xf>
    <xf numFmtId="0" fontId="3"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top" wrapText="1"/>
    </xf>
    <xf numFmtId="0" fontId="3" fillId="0" borderId="0" xfId="0" applyFont="1" applyAlignment="1">
      <alignment horizontal="center" vertical="center"/>
    </xf>
    <xf numFmtId="0" fontId="12" fillId="0" borderId="0" xfId="0" applyFont="1" applyAlignment="1">
      <alignment horizontal="center" vertical="center" wrapText="1"/>
    </xf>
    <xf numFmtId="0" fontId="36" fillId="0" borderId="0" xfId="0" applyFont="1" applyAlignment="1">
      <alignment horizontal="center" vertical="center"/>
    </xf>
    <xf numFmtId="0" fontId="2" fillId="0" borderId="1" xfId="0" applyFont="1" applyBorder="1" applyAlignment="1">
      <alignment vertical="center" wrapText="1"/>
    </xf>
    <xf numFmtId="165"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0" xfId="0" applyFont="1" applyAlignment="1">
      <alignment horizontal="left" vertical="center"/>
    </xf>
    <xf numFmtId="0" fontId="1" fillId="0" borderId="6" xfId="0" applyFont="1" applyBorder="1" applyAlignment="1">
      <alignment horizont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1" fillId="0" borderId="0" xfId="0" applyFont="1" applyFill="1" applyAlignment="1">
      <alignment horizontal="left" vertical="center"/>
    </xf>
    <xf numFmtId="0" fontId="2" fillId="0" borderId="1" xfId="0" applyFont="1" applyBorder="1" applyAlignment="1">
      <alignment horizontal="justify" vertical="center" wrapText="1"/>
    </xf>
    <xf numFmtId="49" fontId="12" fillId="0" borderId="0" xfId="0" applyNumberFormat="1" applyFont="1" applyFill="1" applyAlignment="1">
      <alignment horizontal="left"/>
    </xf>
    <xf numFmtId="0" fontId="50" fillId="0" borderId="2" xfId="0" applyFont="1" applyBorder="1" applyAlignment="1">
      <alignment horizontal="center"/>
    </xf>
    <xf numFmtId="0" fontId="40" fillId="0" borderId="0" xfId="0" applyFont="1" applyAlignment="1">
      <alignment horizontal="left" vertical="top" wrapText="1"/>
    </xf>
    <xf numFmtId="0" fontId="40" fillId="0" borderId="0" xfId="0" applyFont="1" applyAlignment="1">
      <alignment horizontal="left" vertical="top"/>
    </xf>
    <xf numFmtId="0" fontId="33" fillId="0" borderId="0" xfId="0" applyFont="1" applyAlignment="1">
      <alignment horizontal="left" wrapText="1"/>
    </xf>
    <xf numFmtId="0" fontId="33" fillId="0" borderId="0" xfId="0" applyFont="1" applyAlignment="1">
      <alignment horizontal="left"/>
    </xf>
    <xf numFmtId="0" fontId="40" fillId="0" borderId="0" xfId="0" applyFont="1" applyAlignment="1">
      <alignment horizontal="left" wrapText="1"/>
    </xf>
    <xf numFmtId="0" fontId="40" fillId="0" borderId="0" xfId="0" applyFont="1" applyAlignment="1">
      <alignment horizontal="left"/>
    </xf>
    <xf numFmtId="0" fontId="33"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horizontal="left" vertical="center"/>
    </xf>
    <xf numFmtId="49" fontId="42" fillId="0" borderId="0" xfId="0" applyNumberFormat="1" applyFont="1" applyAlignment="1">
      <alignment horizontal="left" vertical="center" wrapText="1"/>
    </xf>
    <xf numFmtId="49" fontId="43" fillId="0" borderId="0" xfId="0" applyNumberFormat="1" applyFont="1" applyAlignment="1">
      <alignment horizontal="left" vertical="center"/>
    </xf>
    <xf numFmtId="49" fontId="42" fillId="0" borderId="0" xfId="0" applyNumberFormat="1" applyFont="1" applyAlignment="1">
      <alignment horizontal="left" vertical="center"/>
    </xf>
    <xf numFmtId="49" fontId="42" fillId="0" borderId="0" xfId="0" applyNumberFormat="1" applyFont="1" applyAlignment="1">
      <alignment horizontal="left" vertical="center" indent="1"/>
    </xf>
    <xf numFmtId="0" fontId="42" fillId="0" borderId="0" xfId="0" applyFont="1" applyAlignment="1">
      <alignment horizontal="left" vertical="center"/>
    </xf>
    <xf numFmtId="0" fontId="33" fillId="0" borderId="0" xfId="0" applyFont="1" applyAlignment="1">
      <alignment horizontal="center"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0" xfId="0" applyFont="1" applyAlignment="1">
      <alignment horizontal="center" wrapText="1"/>
    </xf>
    <xf numFmtId="0" fontId="46" fillId="0" borderId="0" xfId="0" applyFont="1" applyAlignment="1">
      <alignment horizontal="center" vertical="top"/>
    </xf>
    <xf numFmtId="0" fontId="3" fillId="0" borderId="1" xfId="0" applyFont="1" applyBorder="1" applyAlignment="1">
      <alignment horizontal="left"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left"/>
    </xf>
    <xf numFmtId="0" fontId="5" fillId="0" borderId="0" xfId="0" applyFont="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0" xfId="0" applyFont="1" applyAlignment="1">
      <alignment horizontal="left" vertical="center"/>
    </xf>
    <xf numFmtId="0" fontId="5" fillId="0" borderId="1" xfId="0" applyFont="1" applyBorder="1" applyAlignment="1">
      <alignment horizontal="center"/>
    </xf>
    <xf numFmtId="0" fontId="3" fillId="0" borderId="1" xfId="0" applyFont="1" applyFill="1" applyBorder="1" applyAlignment="1">
      <alignment horizontal="left" vertical="center" wrapText="1"/>
    </xf>
    <xf numFmtId="0" fontId="5" fillId="0" borderId="2" xfId="0" applyFont="1" applyBorder="1" applyAlignment="1">
      <alignment horizontal="center" vertical="center"/>
    </xf>
    <xf numFmtId="0" fontId="3" fillId="0" borderId="1" xfId="0" applyFont="1" applyBorder="1" applyAlignment="1">
      <alignment horizontal="center" vertical="center" wrapText="1"/>
    </xf>
    <xf numFmtId="0" fontId="0" fillId="0" borderId="13" xfId="0" applyBorder="1" applyAlignment="1">
      <alignment horizontal="center"/>
    </xf>
    <xf numFmtId="0" fontId="0" fillId="0" borderId="12" xfId="0" applyBorder="1" applyAlignment="1">
      <alignment horizontal="center"/>
    </xf>
    <xf numFmtId="165" fontId="12" fillId="0" borderId="1" xfId="0" applyNumberFormat="1" applyFont="1" applyFill="1" applyBorder="1" applyAlignment="1">
      <alignment horizontal="right" vertical="center"/>
    </xf>
    <xf numFmtId="0" fontId="5"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vertical="center" wrapText="1"/>
    </xf>
    <xf numFmtId="0" fontId="7" fillId="0" borderId="1" xfId="1" applyFont="1" applyBorder="1" applyAlignment="1">
      <alignment horizontal="left" wrapText="1"/>
    </xf>
    <xf numFmtId="0" fontId="0" fillId="0" borderId="0" xfId="0"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0" fontId="5" fillId="0" borderId="0" xfId="0" applyFont="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3" fillId="0" borderId="0" xfId="0" applyFont="1" applyAlignment="1">
      <alignment horizontal="center" vertical="center" wrapText="1"/>
    </xf>
    <xf numFmtId="0" fontId="3" fillId="0" borderId="1" xfId="0" applyFont="1" applyBorder="1" applyAlignment="1">
      <alignment horizontal="left"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Fill="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xf>
    <xf numFmtId="0" fontId="5" fillId="0" borderId="6" xfId="0" applyFont="1" applyBorder="1" applyAlignment="1">
      <alignment horizontal="center" vertical="top" wrapText="1"/>
    </xf>
    <xf numFmtId="0" fontId="3" fillId="0" borderId="1" xfId="0" applyFont="1" applyBorder="1" applyAlignment="1">
      <alignment horizontal="center" vertical="center"/>
    </xf>
    <xf numFmtId="0" fontId="25" fillId="0" borderId="1" xfId="0" applyFont="1" applyBorder="1" applyAlignment="1">
      <alignment horizontal="center" vertical="center"/>
    </xf>
    <xf numFmtId="0" fontId="12"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7" fillId="0" borderId="0" xfId="4" applyNumberFormat="1" applyFont="1" applyFill="1" applyAlignment="1">
      <alignment horizontal="center" vertical="center"/>
    </xf>
    <xf numFmtId="0" fontId="7" fillId="0" borderId="13"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3" xfId="4" applyNumberFormat="1" applyFont="1" applyFill="1" applyBorder="1" applyAlignment="1">
      <alignment horizontal="center" vertical="center"/>
    </xf>
    <xf numFmtId="0" fontId="7" fillId="0" borderId="12" xfId="4" applyNumberFormat="1" applyFont="1" applyFill="1" applyBorder="1" applyAlignment="1">
      <alignment horizontal="center" vertical="center"/>
    </xf>
    <xf numFmtId="0" fontId="7" fillId="0" borderId="13" xfId="4" applyNumberFormat="1" applyFont="1" applyFill="1" applyBorder="1" applyAlignment="1">
      <alignment horizontal="center" vertical="center" wrapText="1"/>
    </xf>
    <xf numFmtId="0" fontId="7" fillId="0" borderId="12" xfId="4"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xf>
    <xf numFmtId="0" fontId="7" fillId="0" borderId="12" xfId="0" applyNumberFormat="1" applyFont="1" applyFill="1" applyBorder="1" applyAlignment="1">
      <alignment horizontal="left" vertical="center" wrapText="1"/>
    </xf>
    <xf numFmtId="0" fontId="7" fillId="3" borderId="13"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4" xfId="0" applyNumberFormat="1" applyFont="1" applyFill="1" applyBorder="1" applyAlignment="1">
      <alignment horizontal="left" vertical="center" wrapText="1"/>
    </xf>
    <xf numFmtId="0" fontId="7" fillId="3" borderId="13" xfId="0" applyNumberFormat="1" applyFont="1" applyFill="1" applyBorder="1" applyAlignment="1">
      <alignment horizontal="left" vertical="center" wrapText="1"/>
    </xf>
    <xf numFmtId="0" fontId="7" fillId="3" borderId="14" xfId="0" applyNumberFormat="1" applyFont="1" applyFill="1" applyBorder="1" applyAlignment="1">
      <alignment horizontal="left" vertical="center" wrapText="1"/>
    </xf>
    <xf numFmtId="0" fontId="7" fillId="3" borderId="12" xfId="0" applyNumberFormat="1" applyFont="1" applyFill="1" applyBorder="1" applyAlignment="1">
      <alignment horizontal="left" vertical="center" wrapText="1"/>
    </xf>
    <xf numFmtId="0" fontId="7" fillId="0" borderId="14" xfId="4" applyNumberFormat="1" applyFont="1" applyFill="1" applyBorder="1" applyAlignment="1">
      <alignment horizontal="center" vertical="center" wrapText="1"/>
    </xf>
    <xf numFmtId="0" fontId="7" fillId="0" borderId="13" xfId="4" applyNumberFormat="1" applyFont="1" applyFill="1" applyBorder="1" applyAlignment="1">
      <alignment horizontal="left" vertical="center" wrapText="1"/>
    </xf>
    <xf numFmtId="0" fontId="7" fillId="0" borderId="14" xfId="4" applyNumberFormat="1" applyFont="1" applyFill="1" applyBorder="1" applyAlignment="1">
      <alignment horizontal="left" vertical="center" wrapText="1"/>
    </xf>
    <xf numFmtId="0" fontId="7" fillId="0" borderId="12" xfId="4" applyNumberFormat="1" applyFont="1" applyFill="1" applyBorder="1" applyAlignment="1">
      <alignment horizontal="left" vertical="center" wrapText="1"/>
    </xf>
    <xf numFmtId="0" fontId="7" fillId="4" borderId="13" xfId="0" applyNumberFormat="1" applyFont="1" applyFill="1" applyBorder="1" applyAlignment="1">
      <alignment horizontal="center" vertical="center" wrapText="1"/>
    </xf>
    <xf numFmtId="0" fontId="7" fillId="4" borderId="14" xfId="0" applyNumberFormat="1" applyFont="1" applyFill="1" applyBorder="1" applyAlignment="1">
      <alignment horizontal="center" vertical="center" wrapText="1"/>
    </xf>
    <xf numFmtId="0" fontId="7" fillId="4" borderId="12" xfId="0" applyNumberFormat="1" applyFont="1" applyFill="1" applyBorder="1" applyAlignment="1">
      <alignment horizontal="center" vertical="center" wrapText="1"/>
    </xf>
    <xf numFmtId="0" fontId="7" fillId="4" borderId="13" xfId="0" applyNumberFormat="1" applyFont="1" applyFill="1" applyBorder="1" applyAlignment="1">
      <alignment horizontal="left" vertical="center" wrapText="1"/>
    </xf>
    <xf numFmtId="0" fontId="7" fillId="4" borderId="14" xfId="0" applyNumberFormat="1" applyFont="1" applyFill="1" applyBorder="1" applyAlignment="1">
      <alignment horizontal="left" vertical="center" wrapText="1"/>
    </xf>
    <xf numFmtId="0" fontId="7" fillId="4" borderId="12" xfId="0" applyNumberFormat="1" applyFont="1" applyFill="1" applyBorder="1" applyAlignment="1">
      <alignment horizontal="left" vertical="center" wrapText="1"/>
    </xf>
    <xf numFmtId="0" fontId="7" fillId="2" borderId="13"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21" fillId="0" borderId="13" xfId="0" applyNumberFormat="1"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7" fillId="0" borderId="1" xfId="4" applyNumberFormat="1" applyFont="1" applyFill="1" applyBorder="1" applyAlignment="1">
      <alignment horizontal="center" vertical="center"/>
    </xf>
    <xf numFmtId="0" fontId="7" fillId="0" borderId="1" xfId="4" applyNumberFormat="1" applyFont="1" applyFill="1" applyBorder="1" applyAlignment="1">
      <alignment horizontal="center" vertical="center" wrapText="1"/>
    </xf>
    <xf numFmtId="0" fontId="7" fillId="0" borderId="1" xfId="4" applyNumberFormat="1" applyFont="1" applyBorder="1" applyAlignment="1">
      <alignment horizontal="center" vertical="center" wrapText="1"/>
    </xf>
    <xf numFmtId="0" fontId="7" fillId="0" borderId="1" xfId="4" applyNumberFormat="1" applyFont="1" applyBorder="1" applyAlignment="1">
      <alignment horizontal="center" vertical="center"/>
    </xf>
    <xf numFmtId="0" fontId="15" fillId="0" borderId="0" xfId="4" applyNumberFormat="1" applyFont="1" applyFill="1" applyAlignment="1">
      <alignment horizontal="center" vertical="center"/>
    </xf>
    <xf numFmtId="0" fontId="18" fillId="0" borderId="6" xfId="4" applyNumberFormat="1" applyFont="1" applyFill="1" applyBorder="1" applyAlignment="1">
      <alignment horizontal="center" vertical="center"/>
    </xf>
    <xf numFmtId="0" fontId="7" fillId="7" borderId="13" xfId="0" applyFont="1" applyFill="1" applyBorder="1" applyAlignment="1">
      <alignment horizontal="center" wrapText="1"/>
    </xf>
    <xf numFmtId="0" fontId="7" fillId="7" borderId="14" xfId="0" applyFont="1" applyFill="1" applyBorder="1" applyAlignment="1">
      <alignment horizontal="center" wrapText="1"/>
    </xf>
    <xf numFmtId="0" fontId="7" fillId="7" borderId="12" xfId="0" applyFont="1" applyFill="1" applyBorder="1" applyAlignment="1">
      <alignment horizontal="center" wrapText="1"/>
    </xf>
    <xf numFmtId="0" fontId="7" fillId="0" borderId="1" xfId="4" applyFont="1" applyFill="1" applyBorder="1" applyAlignment="1">
      <alignment horizontal="center" vertical="center"/>
    </xf>
    <xf numFmtId="2" fontId="7" fillId="0" borderId="13" xfId="4" applyNumberFormat="1" applyFont="1" applyFill="1" applyBorder="1" applyAlignment="1">
      <alignment horizontal="center" vertical="center" wrapText="1"/>
    </xf>
    <xf numFmtId="2" fontId="7" fillId="0" borderId="12"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26" fillId="0" borderId="3" xfId="4" applyFont="1" applyFill="1" applyBorder="1" applyAlignment="1">
      <alignment horizontal="center"/>
    </xf>
    <xf numFmtId="0" fontId="26" fillId="0" borderId="4" xfId="4" applyFont="1" applyFill="1" applyBorder="1" applyAlignment="1">
      <alignment horizontal="center"/>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7" borderId="13" xfId="0" applyFont="1" applyFill="1" applyBorder="1" applyAlignment="1">
      <alignment horizontal="center"/>
    </xf>
    <xf numFmtId="0" fontId="7" fillId="7" borderId="14" xfId="0" applyFont="1" applyFill="1" applyBorder="1" applyAlignment="1">
      <alignment horizontal="center"/>
    </xf>
    <xf numFmtId="0" fontId="7" fillId="7" borderId="12" xfId="0" applyFont="1" applyFill="1" applyBorder="1" applyAlignment="1">
      <alignment horizontal="center"/>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4" applyFont="1" applyFill="1" applyBorder="1" applyAlignment="1">
      <alignment horizontal="center" vertical="center"/>
    </xf>
    <xf numFmtId="0" fontId="7" fillId="0" borderId="11" xfId="4"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12" xfId="0" applyFont="1" applyBorder="1" applyAlignment="1">
      <alignment horizontal="center" vertical="center"/>
    </xf>
    <xf numFmtId="0" fontId="30" fillId="0" borderId="1" xfId="0" applyFont="1" applyFill="1" applyBorder="1" applyAlignment="1">
      <alignment horizontal="center" vertical="center" wrapText="1"/>
    </xf>
    <xf numFmtId="0" fontId="7" fillId="0" borderId="0" xfId="0" applyFont="1" applyAlignment="1">
      <alignment horizontal="center"/>
    </xf>
    <xf numFmtId="0" fontId="29" fillId="0" borderId="0" xfId="0" applyFont="1" applyFill="1" applyBorder="1" applyAlignment="1">
      <alignment horizontal="left" wrapText="1"/>
    </xf>
    <xf numFmtId="0" fontId="18" fillId="0" borderId="6"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xf>
    <xf numFmtId="0" fontId="30" fillId="0" borderId="13"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1" fillId="4" borderId="1" xfId="0" applyFont="1" applyFill="1" applyBorder="1" applyAlignment="1">
      <alignment horizontal="center" vertical="center" wrapText="1"/>
    </xf>
    <xf numFmtId="0" fontId="0" fillId="0" borderId="0" xfId="0" applyFill="1" applyAlignment="1">
      <alignment horizontal="center"/>
    </xf>
    <xf numFmtId="0" fontId="3" fillId="0" borderId="1" xfId="0" applyFont="1" applyFill="1" applyBorder="1" applyAlignment="1">
      <alignment horizontal="center"/>
    </xf>
    <xf numFmtId="0" fontId="33" fillId="0" borderId="0" xfId="0" applyFont="1" applyAlignment="1">
      <alignment horizontal="center" wrapText="1"/>
    </xf>
    <xf numFmtId="0" fontId="33" fillId="0" borderId="0" xfId="0" applyFont="1" applyAlignment="1">
      <alignment horizontal="center"/>
    </xf>
    <xf numFmtId="0" fontId="3" fillId="0" borderId="1" xfId="0" applyFont="1" applyFill="1" applyBorder="1" applyAlignment="1">
      <alignment horizontal="center" vertical="center"/>
    </xf>
  </cellXfs>
  <cellStyles count="7">
    <cellStyle name="Гиперссылка" xfId="1" builtinId="8"/>
    <cellStyle name="Денежный 2" xfId="6"/>
    <cellStyle name="Обычный" xfId="0" builtinId="0"/>
    <cellStyle name="Обычный 3 2" xfId="2"/>
    <cellStyle name="Обычный 4" xfId="4"/>
    <cellStyle name="Обычный 5" xfId="3"/>
    <cellStyle name="Финансовый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hyperlink" Target="https://zakon.rada.gov.ua/laws/file/imgs/65/p476631n103-21.bmp" TargetMode="External"/><Relationship Id="rId18" Type="http://schemas.openxmlformats.org/officeDocument/2006/relationships/image" Target="../media/image9.gif"/><Relationship Id="rId26" Type="http://schemas.openxmlformats.org/officeDocument/2006/relationships/image" Target="../media/image13.gif"/><Relationship Id="rId39" Type="http://schemas.openxmlformats.org/officeDocument/2006/relationships/hyperlink" Target="https://zakon.rada.gov.ua/laws/file/imgs/65/p476631n160-37.emf" TargetMode="External"/><Relationship Id="rId21" Type="http://schemas.openxmlformats.org/officeDocument/2006/relationships/hyperlink" Target="https://zakon.rada.gov.ua/laws/file/imgs/65/p476631n125-26.bmp" TargetMode="External"/><Relationship Id="rId34" Type="http://schemas.openxmlformats.org/officeDocument/2006/relationships/image" Target="../media/image17.gif"/><Relationship Id="rId42" Type="http://schemas.openxmlformats.org/officeDocument/2006/relationships/image" Target="../media/image21.gif"/><Relationship Id="rId47" Type="http://schemas.openxmlformats.org/officeDocument/2006/relationships/hyperlink" Target="https://zakon.rada.gov.ua/laws/file/imgs/65/p476631n73-5.emf" TargetMode="External"/><Relationship Id="rId50" Type="http://schemas.openxmlformats.org/officeDocument/2006/relationships/image" Target="../media/image25.gif"/><Relationship Id="rId55" Type="http://schemas.openxmlformats.org/officeDocument/2006/relationships/hyperlink" Target="https://zakon.rada.gov.ua/laws/file/imgs/65/p476631n78-9.bmp" TargetMode="External"/><Relationship Id="rId63" Type="http://schemas.openxmlformats.org/officeDocument/2006/relationships/hyperlink" Target="https://zakon.rada.gov.ua/laws/file/imgs/65/p476631n85-13.emf" TargetMode="External"/><Relationship Id="rId7" Type="http://schemas.openxmlformats.org/officeDocument/2006/relationships/hyperlink" Target="https://zakon.rada.gov.ua/laws/file/imgs/65/p476631n90-17.bmp" TargetMode="External"/><Relationship Id="rId2" Type="http://schemas.openxmlformats.org/officeDocument/2006/relationships/image" Target="../media/image1.gif"/><Relationship Id="rId16" Type="http://schemas.openxmlformats.org/officeDocument/2006/relationships/image" Target="../media/image8.gif"/><Relationship Id="rId20" Type="http://schemas.openxmlformats.org/officeDocument/2006/relationships/image" Target="../media/image10.gif"/><Relationship Id="rId29" Type="http://schemas.openxmlformats.org/officeDocument/2006/relationships/hyperlink" Target="https://zakon.rada.gov.ua/laws/file/imgs/65/p476631n145-32.bmp" TargetMode="External"/><Relationship Id="rId41" Type="http://schemas.openxmlformats.org/officeDocument/2006/relationships/hyperlink" Target="https://zakon.rada.gov.ua/laws/file/imgs/65/p476631n136-29.bmp" TargetMode="External"/><Relationship Id="rId54" Type="http://schemas.openxmlformats.org/officeDocument/2006/relationships/image" Target="../media/image27.gif"/><Relationship Id="rId62" Type="http://schemas.openxmlformats.org/officeDocument/2006/relationships/image" Target="../media/image31.gif"/><Relationship Id="rId1" Type="http://schemas.openxmlformats.org/officeDocument/2006/relationships/hyperlink" Target="https://zakon.rada.gov.ua/laws/file/imgs/65/p476631n86-14.bmp" TargetMode="External"/><Relationship Id="rId6" Type="http://schemas.openxmlformats.org/officeDocument/2006/relationships/image" Target="../media/image3.gif"/><Relationship Id="rId11" Type="http://schemas.openxmlformats.org/officeDocument/2006/relationships/hyperlink" Target="https://zakon.rada.gov.ua/laws/file/imgs/65/p476631n100-20.bmp" TargetMode="External"/><Relationship Id="rId24" Type="http://schemas.openxmlformats.org/officeDocument/2006/relationships/image" Target="../media/image12.gif"/><Relationship Id="rId32" Type="http://schemas.openxmlformats.org/officeDocument/2006/relationships/image" Target="../media/image16.gif"/><Relationship Id="rId37" Type="http://schemas.openxmlformats.org/officeDocument/2006/relationships/hyperlink" Target="https://zakon.rada.gov.ua/laws/file/imgs/65/p476631n159-36.bmp" TargetMode="External"/><Relationship Id="rId40" Type="http://schemas.openxmlformats.org/officeDocument/2006/relationships/image" Target="../media/image20.gif"/><Relationship Id="rId45" Type="http://schemas.openxmlformats.org/officeDocument/2006/relationships/hyperlink" Target="https://zakon.rada.gov.ua/laws/file/imgs/65/p476631n73-4.emf" TargetMode="External"/><Relationship Id="rId53" Type="http://schemas.openxmlformats.org/officeDocument/2006/relationships/hyperlink" Target="https://zakon.rada.gov.ua/laws/file/imgs/65/p476631n75-8.emf" TargetMode="External"/><Relationship Id="rId58" Type="http://schemas.openxmlformats.org/officeDocument/2006/relationships/image" Target="../media/image29.gif"/><Relationship Id="rId66" Type="http://schemas.openxmlformats.org/officeDocument/2006/relationships/image" Target="../media/image33.gif"/><Relationship Id="rId5" Type="http://schemas.openxmlformats.org/officeDocument/2006/relationships/hyperlink" Target="https://zakon.rada.gov.ua/laws/file/imgs/65/p476631n87-16.emf" TargetMode="External"/><Relationship Id="rId15" Type="http://schemas.openxmlformats.org/officeDocument/2006/relationships/hyperlink" Target="https://zakon.rada.gov.ua/laws/file/imgs/65/p476631n114-22.bmp" TargetMode="External"/><Relationship Id="rId23" Type="http://schemas.openxmlformats.org/officeDocument/2006/relationships/hyperlink" Target="https://zakon.rada.gov.ua/laws/file/imgs/65/p476631n129-27.bmp" TargetMode="External"/><Relationship Id="rId28" Type="http://schemas.openxmlformats.org/officeDocument/2006/relationships/image" Target="../media/image14.gif"/><Relationship Id="rId36" Type="http://schemas.openxmlformats.org/officeDocument/2006/relationships/image" Target="../media/image18.gif"/><Relationship Id="rId49" Type="http://schemas.openxmlformats.org/officeDocument/2006/relationships/hyperlink" Target="https://zakon.rada.gov.ua/laws/file/imgs/65/p476631n74-6.bmp" TargetMode="External"/><Relationship Id="rId57" Type="http://schemas.openxmlformats.org/officeDocument/2006/relationships/hyperlink" Target="https://zakon.rada.gov.ua/laws/file/imgs/65/p476631n81-10.bmp" TargetMode="External"/><Relationship Id="rId61" Type="http://schemas.openxmlformats.org/officeDocument/2006/relationships/hyperlink" Target="https://zakon.rada.gov.ua/laws/file/imgs/65/p476631n85-12.emf" TargetMode="External"/><Relationship Id="rId10" Type="http://schemas.openxmlformats.org/officeDocument/2006/relationships/image" Target="../media/image5.gif"/><Relationship Id="rId19" Type="http://schemas.openxmlformats.org/officeDocument/2006/relationships/hyperlink" Target="https://zakon.rada.gov.ua/laws/file/imgs/65/p476631n122-25.bmp" TargetMode="External"/><Relationship Id="rId31" Type="http://schemas.openxmlformats.org/officeDocument/2006/relationships/hyperlink" Target="https://zakon.rada.gov.ua/laws/file/imgs/65/p476631n147-33.emf" TargetMode="External"/><Relationship Id="rId44" Type="http://schemas.openxmlformats.org/officeDocument/2006/relationships/image" Target="../media/image22.gif"/><Relationship Id="rId52" Type="http://schemas.openxmlformats.org/officeDocument/2006/relationships/image" Target="../media/image26.gif"/><Relationship Id="rId60" Type="http://schemas.openxmlformats.org/officeDocument/2006/relationships/image" Target="../media/image30.gif"/><Relationship Id="rId65" Type="http://schemas.openxmlformats.org/officeDocument/2006/relationships/hyperlink" Target="https://zakon.rada.gov.ua/laws/file/imgs/65/p476631n72-2.bmp" TargetMode="External"/><Relationship Id="rId4" Type="http://schemas.openxmlformats.org/officeDocument/2006/relationships/image" Target="../media/image2.gif"/><Relationship Id="rId9" Type="http://schemas.openxmlformats.org/officeDocument/2006/relationships/hyperlink" Target="https://zakon.rada.gov.ua/laws/file/imgs/65/p476631n93-18.bmp" TargetMode="External"/><Relationship Id="rId14" Type="http://schemas.openxmlformats.org/officeDocument/2006/relationships/image" Target="../media/image7.gif"/><Relationship Id="rId22" Type="http://schemas.openxmlformats.org/officeDocument/2006/relationships/image" Target="../media/image11.gif"/><Relationship Id="rId27" Type="http://schemas.openxmlformats.org/officeDocument/2006/relationships/hyperlink" Target="https://zakon.rada.gov.ua/laws/file/imgs/65/p476631n140-30.bmp" TargetMode="External"/><Relationship Id="rId30" Type="http://schemas.openxmlformats.org/officeDocument/2006/relationships/image" Target="../media/image15.gif"/><Relationship Id="rId35" Type="http://schemas.openxmlformats.org/officeDocument/2006/relationships/hyperlink" Target="https://zakon.rada.gov.ua/laws/file/imgs/65/p476631n154-35.bmp" TargetMode="External"/><Relationship Id="rId43" Type="http://schemas.openxmlformats.org/officeDocument/2006/relationships/hyperlink" Target="https://zakon.rada.gov.ua/laws/file/imgs/65/p476631n73-3.emf" TargetMode="External"/><Relationship Id="rId48" Type="http://schemas.openxmlformats.org/officeDocument/2006/relationships/image" Target="../media/image24.gif"/><Relationship Id="rId56" Type="http://schemas.openxmlformats.org/officeDocument/2006/relationships/image" Target="../media/image28.gif"/><Relationship Id="rId64" Type="http://schemas.openxmlformats.org/officeDocument/2006/relationships/image" Target="../media/image32.gif"/><Relationship Id="rId8" Type="http://schemas.openxmlformats.org/officeDocument/2006/relationships/image" Target="../media/image4.gif"/><Relationship Id="rId51" Type="http://schemas.openxmlformats.org/officeDocument/2006/relationships/hyperlink" Target="https://zakon.rada.gov.ua/laws/file/imgs/65/p476631n75-7.emf" TargetMode="External"/><Relationship Id="rId3" Type="http://schemas.openxmlformats.org/officeDocument/2006/relationships/hyperlink" Target="https://zakon.rada.gov.ua/laws/file/imgs/65/p476631n87-15.emf" TargetMode="External"/><Relationship Id="rId12" Type="http://schemas.openxmlformats.org/officeDocument/2006/relationships/image" Target="../media/image6.gif"/><Relationship Id="rId17" Type="http://schemas.openxmlformats.org/officeDocument/2006/relationships/hyperlink" Target="https://zakon.rada.gov.ua/laws/file/imgs/65/p476631n120-24.bmp" TargetMode="External"/><Relationship Id="rId25" Type="http://schemas.openxmlformats.org/officeDocument/2006/relationships/hyperlink" Target="https://zakon.rada.gov.ua/laws/file/imgs/65/p476631n132-28.bmp" TargetMode="External"/><Relationship Id="rId33" Type="http://schemas.openxmlformats.org/officeDocument/2006/relationships/hyperlink" Target="https://zakon.rada.gov.ua/laws/file/imgs/65/p476631n151-34.bmp" TargetMode="External"/><Relationship Id="rId38" Type="http://schemas.openxmlformats.org/officeDocument/2006/relationships/image" Target="../media/image19.gif"/><Relationship Id="rId46" Type="http://schemas.openxmlformats.org/officeDocument/2006/relationships/image" Target="../media/image23.gif"/><Relationship Id="rId59" Type="http://schemas.openxmlformats.org/officeDocument/2006/relationships/hyperlink" Target="https://zakon.rada.gov.ua/laws/file/imgs/65/p476631n84-11.bmp" TargetMode="External"/></Relationships>
</file>

<file path=xl/drawings/drawing1.xml><?xml version="1.0" encoding="utf-8"?>
<xdr:wsDr xmlns:xdr="http://schemas.openxmlformats.org/drawingml/2006/spreadsheetDrawing" xmlns:a="http://schemas.openxmlformats.org/drawingml/2006/main">
  <xdr:twoCellAnchor>
    <xdr:from>
      <xdr:col>1</xdr:col>
      <xdr:colOff>448880</xdr:colOff>
      <xdr:row>62</xdr:row>
      <xdr:rowOff>44049</xdr:rowOff>
    </xdr:from>
    <xdr:to>
      <xdr:col>5</xdr:col>
      <xdr:colOff>315420</xdr:colOff>
      <xdr:row>62</xdr:row>
      <xdr:rowOff>387391</xdr:rowOff>
    </xdr:to>
    <xdr:pic>
      <xdr:nvPicPr>
        <xdr:cNvPr id="6" name="Рисунок 18" descr="https://zakon.rada.gov.ua/laws/file/imgs/65/p476631n86-14.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552" y="24699566"/>
          <a:ext cx="2318954" cy="34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76638</xdr:colOff>
      <xdr:row>64</xdr:row>
      <xdr:rowOff>76639</xdr:rowOff>
    </xdr:from>
    <xdr:to>
      <xdr:col>0</xdr:col>
      <xdr:colOff>410013</xdr:colOff>
      <xdr:row>64</xdr:row>
      <xdr:rowOff>437932</xdr:rowOff>
    </xdr:to>
    <xdr:pic>
      <xdr:nvPicPr>
        <xdr:cNvPr id="7" name="Рисунок 19" descr="https://zakon.rada.gov.ua/laws/file/imgs/65/p476631n87-15.gif">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638" y="25356208"/>
          <a:ext cx="333375" cy="36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54741</xdr:colOff>
      <xdr:row>65</xdr:row>
      <xdr:rowOff>109483</xdr:rowOff>
    </xdr:from>
    <xdr:to>
      <xdr:col>0</xdr:col>
      <xdr:colOff>416691</xdr:colOff>
      <xdr:row>65</xdr:row>
      <xdr:rowOff>459828</xdr:rowOff>
    </xdr:to>
    <xdr:pic>
      <xdr:nvPicPr>
        <xdr:cNvPr id="8" name="Рисунок 20" descr="https://zakon.rada.gov.ua/laws/file/imgs/65/p476631n87-16.gif">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741" y="25903621"/>
          <a:ext cx="361950" cy="350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21897</xdr:colOff>
      <xdr:row>68</xdr:row>
      <xdr:rowOff>189954</xdr:rowOff>
    </xdr:from>
    <xdr:ext cx="3484467" cy="429390"/>
    <xdr:pic>
      <xdr:nvPicPr>
        <xdr:cNvPr id="9" name="Рисунок 8" descr="https://zakon.rada.gov.ua/laws/file/imgs/65/p476631n90-17.gif">
          <a:hlinkClick xmlns:r="http://schemas.openxmlformats.org/officeDocument/2006/relationships" r:id="rId7"/>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14569" y="27494954"/>
          <a:ext cx="3484467" cy="429390"/>
        </a:xfrm>
        <a:prstGeom prst="rect">
          <a:avLst/>
        </a:prstGeom>
        <a:noFill/>
        <a:ln>
          <a:noFill/>
        </a:ln>
      </xdr:spPr>
    </xdr:pic>
    <xdr:clientData/>
  </xdr:oneCellAnchor>
  <xdr:oneCellAnchor>
    <xdr:from>
      <xdr:col>1</xdr:col>
      <xdr:colOff>109484</xdr:colOff>
      <xdr:row>83</xdr:row>
      <xdr:rowOff>21896</xdr:rowOff>
    </xdr:from>
    <xdr:ext cx="2763931" cy="443023"/>
    <xdr:pic>
      <xdr:nvPicPr>
        <xdr:cNvPr id="10" name="Рисунок 9" descr="https://zakon.rada.gov.ua/laws/file/imgs/65/p476631n93-18.gif">
          <a:hlinkClick xmlns:r="http://schemas.openxmlformats.org/officeDocument/2006/relationships" r:id="rId9"/>
        </xdr:cNvPr>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2156" y="31520086"/>
          <a:ext cx="2763931" cy="443023"/>
        </a:xfrm>
        <a:prstGeom prst="rect">
          <a:avLst/>
        </a:prstGeom>
        <a:noFill/>
        <a:ln>
          <a:noFill/>
        </a:ln>
      </xdr:spPr>
    </xdr:pic>
    <xdr:clientData/>
  </xdr:oneCellAnchor>
  <xdr:oneCellAnchor>
    <xdr:from>
      <xdr:col>2</xdr:col>
      <xdr:colOff>175172</xdr:colOff>
      <xdr:row>97</xdr:row>
      <xdr:rowOff>65689</xdr:rowOff>
    </xdr:from>
    <xdr:ext cx="2115536" cy="357570"/>
    <xdr:pic>
      <xdr:nvPicPr>
        <xdr:cNvPr id="12" name="Рисунок 11" descr="https://zakon.rada.gov.ua/laws/file/imgs/65/p476631n100-20.gif">
          <a:hlinkClick xmlns:r="http://schemas.openxmlformats.org/officeDocument/2006/relationships" r:id="rId11"/>
        </xdr:cNvPr>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80948" y="35899396"/>
          <a:ext cx="2115536" cy="357570"/>
        </a:xfrm>
        <a:prstGeom prst="rect">
          <a:avLst/>
        </a:prstGeom>
        <a:noFill/>
        <a:ln>
          <a:noFill/>
        </a:ln>
      </xdr:spPr>
    </xdr:pic>
    <xdr:clientData/>
  </xdr:oneCellAnchor>
  <xdr:oneCellAnchor>
    <xdr:from>
      <xdr:col>1</xdr:col>
      <xdr:colOff>569310</xdr:colOff>
      <xdr:row>105</xdr:row>
      <xdr:rowOff>32846</xdr:rowOff>
    </xdr:from>
    <xdr:ext cx="2248886" cy="457966"/>
    <xdr:pic>
      <xdr:nvPicPr>
        <xdr:cNvPr id="13" name="Рисунок 12" descr="https://zakon.rada.gov.ua/laws/file/imgs/65/p476631n103-21.gif">
          <a:hlinkClick xmlns:r="http://schemas.openxmlformats.org/officeDocument/2006/relationships" r:id="rId13"/>
        </xdr:cNvPr>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1982" y="38581725"/>
          <a:ext cx="2248886" cy="457966"/>
        </a:xfrm>
        <a:prstGeom prst="rect">
          <a:avLst/>
        </a:prstGeom>
        <a:noFill/>
        <a:ln>
          <a:noFill/>
        </a:ln>
      </xdr:spPr>
    </xdr:pic>
    <xdr:clientData/>
  </xdr:oneCellAnchor>
  <xdr:oneCellAnchor>
    <xdr:from>
      <xdr:col>1</xdr:col>
      <xdr:colOff>208017</xdr:colOff>
      <xdr:row>123</xdr:row>
      <xdr:rowOff>87586</xdr:rowOff>
    </xdr:from>
    <xdr:ext cx="3267758" cy="490971"/>
    <xdr:pic>
      <xdr:nvPicPr>
        <xdr:cNvPr id="14" name="Рисунок 13" descr="https://zakon.rada.gov.ua/laws/file/imgs/65/p476631n114-22.gif">
          <a:hlinkClick xmlns:r="http://schemas.openxmlformats.org/officeDocument/2006/relationships" r:id="rId15"/>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00689" y="44121552"/>
          <a:ext cx="3267758" cy="490971"/>
        </a:xfrm>
        <a:prstGeom prst="rect">
          <a:avLst/>
        </a:prstGeom>
        <a:noFill/>
        <a:ln>
          <a:noFill/>
        </a:ln>
      </xdr:spPr>
    </xdr:pic>
    <xdr:clientData/>
  </xdr:oneCellAnchor>
  <xdr:twoCellAnchor>
    <xdr:from>
      <xdr:col>0</xdr:col>
      <xdr:colOff>10948</xdr:colOff>
      <xdr:row>134</xdr:row>
      <xdr:rowOff>733536</xdr:rowOff>
    </xdr:from>
    <xdr:to>
      <xdr:col>1</xdr:col>
      <xdr:colOff>563398</xdr:colOff>
      <xdr:row>136</xdr:row>
      <xdr:rowOff>35255</xdr:rowOff>
    </xdr:to>
    <xdr:pic>
      <xdr:nvPicPr>
        <xdr:cNvPr id="18" name="Рисунок 28" descr="https://zakon.rada.gov.ua/laws/file/imgs/65/p476631n120-24.gif">
          <a:hlinkClick xmlns:r="http://schemas.openxmlformats.org/officeDocument/2006/relationships" r:id="rId17"/>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948" y="47614053"/>
          <a:ext cx="1045122" cy="243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164224</xdr:colOff>
      <xdr:row>138</xdr:row>
      <xdr:rowOff>120431</xdr:rowOff>
    </xdr:from>
    <xdr:ext cx="2021464" cy="245486"/>
    <xdr:pic>
      <xdr:nvPicPr>
        <xdr:cNvPr id="19" name="Рисунок 18" descr="https://zakon.rada.gov.ua/laws/file/imgs/65/p476631n122-25.gif">
          <a:hlinkClick xmlns:r="http://schemas.openxmlformats.org/officeDocument/2006/relationships" r:id="rId19"/>
        </xdr:cNvPr>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64224" y="48325690"/>
          <a:ext cx="2021464" cy="245486"/>
        </a:xfrm>
        <a:prstGeom prst="rect">
          <a:avLst/>
        </a:prstGeom>
        <a:noFill/>
        <a:ln>
          <a:noFill/>
        </a:ln>
      </xdr:spPr>
    </xdr:pic>
    <xdr:clientData/>
  </xdr:oneCellAnchor>
  <xdr:oneCellAnchor>
    <xdr:from>
      <xdr:col>0</xdr:col>
      <xdr:colOff>284655</xdr:colOff>
      <xdr:row>143</xdr:row>
      <xdr:rowOff>21896</xdr:rowOff>
    </xdr:from>
    <xdr:ext cx="1560318" cy="255011"/>
    <xdr:pic>
      <xdr:nvPicPr>
        <xdr:cNvPr id="20" name="Рисунок 19" descr="https://zakon.rada.gov.ua/laws/file/imgs/65/p476631n125-26.gif">
          <a:hlinkClick xmlns:r="http://schemas.openxmlformats.org/officeDocument/2006/relationships" r:id="rId21"/>
        </xdr:cNvPr>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84655" y="49179655"/>
          <a:ext cx="1560318" cy="255011"/>
        </a:xfrm>
        <a:prstGeom prst="rect">
          <a:avLst/>
        </a:prstGeom>
        <a:noFill/>
        <a:ln>
          <a:noFill/>
        </a:ln>
      </xdr:spPr>
    </xdr:pic>
    <xdr:clientData/>
  </xdr:oneCellAnchor>
  <xdr:oneCellAnchor>
    <xdr:from>
      <xdr:col>0</xdr:col>
      <xdr:colOff>372243</xdr:colOff>
      <xdr:row>148</xdr:row>
      <xdr:rowOff>32846</xdr:rowOff>
    </xdr:from>
    <xdr:ext cx="3172357" cy="538598"/>
    <xdr:pic>
      <xdr:nvPicPr>
        <xdr:cNvPr id="21" name="Рисунок 20" descr="https://zakon.rada.gov.ua/laws/file/imgs/65/p476631n129-27.gif">
          <a:hlinkClick xmlns:r="http://schemas.openxmlformats.org/officeDocument/2006/relationships" r:id="rId23"/>
        </xdr:cNvPr>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72243" y="51281725"/>
          <a:ext cx="3172357" cy="538598"/>
        </a:xfrm>
        <a:prstGeom prst="rect">
          <a:avLst/>
        </a:prstGeom>
        <a:noFill/>
        <a:ln>
          <a:noFill/>
        </a:ln>
      </xdr:spPr>
    </xdr:pic>
    <xdr:clientData/>
  </xdr:oneCellAnchor>
  <xdr:oneCellAnchor>
    <xdr:from>
      <xdr:col>1</xdr:col>
      <xdr:colOff>437930</xdr:colOff>
      <xdr:row>167</xdr:row>
      <xdr:rowOff>21896</xdr:rowOff>
    </xdr:from>
    <xdr:ext cx="2749461" cy="481448"/>
    <xdr:pic>
      <xdr:nvPicPr>
        <xdr:cNvPr id="22" name="Рисунок 21" descr="https://zakon.rada.gov.ua/laws/file/imgs/65/p476631n132-28.gif">
          <a:hlinkClick xmlns:r="http://schemas.openxmlformats.org/officeDocument/2006/relationships" r:id="rId25"/>
        </xdr:cNvPr>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30602" y="56733965"/>
          <a:ext cx="2749461" cy="481448"/>
        </a:xfrm>
        <a:prstGeom prst="rect">
          <a:avLst/>
        </a:prstGeom>
        <a:noFill/>
        <a:ln>
          <a:noFill/>
        </a:ln>
      </xdr:spPr>
    </xdr:pic>
    <xdr:clientData/>
  </xdr:oneCellAnchor>
  <xdr:oneCellAnchor>
    <xdr:from>
      <xdr:col>0</xdr:col>
      <xdr:colOff>109483</xdr:colOff>
      <xdr:row>193</xdr:row>
      <xdr:rowOff>76638</xdr:rowOff>
    </xdr:from>
    <xdr:ext cx="3957354" cy="462397"/>
    <xdr:pic>
      <xdr:nvPicPr>
        <xdr:cNvPr id="24" name="Рисунок 23" descr="https://zakon.rada.gov.ua/laws/file/imgs/65/p476631n140-30.gif">
          <a:hlinkClick xmlns:r="http://schemas.openxmlformats.org/officeDocument/2006/relationships" r:id="rId27"/>
        </xdr:cNvPr>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9483" y="65941466"/>
          <a:ext cx="3957354" cy="462397"/>
        </a:xfrm>
        <a:prstGeom prst="rect">
          <a:avLst/>
        </a:prstGeom>
        <a:noFill/>
        <a:ln>
          <a:noFill/>
        </a:ln>
      </xdr:spPr>
    </xdr:pic>
    <xdr:clientData/>
  </xdr:oneCellAnchor>
  <xdr:oneCellAnchor>
    <xdr:from>
      <xdr:col>1</xdr:col>
      <xdr:colOff>10949</xdr:colOff>
      <xdr:row>205</xdr:row>
      <xdr:rowOff>153276</xdr:rowOff>
    </xdr:from>
    <xdr:ext cx="1646043" cy="229915"/>
    <xdr:pic>
      <xdr:nvPicPr>
        <xdr:cNvPr id="26" name="Рисунок 25" descr="https://zakon.rada.gov.ua/laws/file/imgs/65/p476631n145-32.gif">
          <a:hlinkClick xmlns:r="http://schemas.openxmlformats.org/officeDocument/2006/relationships" r:id="rId29"/>
        </xdr:cNvPr>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03621" y="69674828"/>
          <a:ext cx="1646043" cy="229915"/>
        </a:xfrm>
        <a:prstGeom prst="rect">
          <a:avLst/>
        </a:prstGeom>
        <a:noFill/>
        <a:ln>
          <a:noFill/>
        </a:ln>
      </xdr:spPr>
    </xdr:pic>
    <xdr:clientData/>
  </xdr:oneCellAnchor>
  <xdr:oneCellAnchor>
    <xdr:from>
      <xdr:col>1</xdr:col>
      <xdr:colOff>426984</xdr:colOff>
      <xdr:row>211</xdr:row>
      <xdr:rowOff>175172</xdr:rowOff>
    </xdr:from>
    <xdr:ext cx="1426968" cy="514569"/>
    <xdr:pic>
      <xdr:nvPicPr>
        <xdr:cNvPr id="27" name="Рисунок 26" descr="https://zakon.rada.gov.ua/laws/file/imgs/65/p476631n147-33.gif">
          <a:hlinkClick xmlns:r="http://schemas.openxmlformats.org/officeDocument/2006/relationships" r:id="rId31"/>
        </xdr:cNvPr>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9656" y="72094396"/>
          <a:ext cx="1426968" cy="514569"/>
        </a:xfrm>
        <a:prstGeom prst="rect">
          <a:avLst/>
        </a:prstGeom>
        <a:noFill/>
        <a:ln>
          <a:noFill/>
        </a:ln>
      </xdr:spPr>
    </xdr:pic>
    <xdr:clientData/>
  </xdr:oneCellAnchor>
  <xdr:oneCellAnchor>
    <xdr:from>
      <xdr:col>0</xdr:col>
      <xdr:colOff>175174</xdr:colOff>
      <xdr:row>225</xdr:row>
      <xdr:rowOff>10948</xdr:rowOff>
    </xdr:from>
    <xdr:ext cx="2425461" cy="437931"/>
    <xdr:pic>
      <xdr:nvPicPr>
        <xdr:cNvPr id="28" name="Рисунок 27" descr="https://zakon.rada.gov.ua/laws/file/imgs/65/p476631n151-34.gif">
          <a:hlinkClick xmlns:r="http://schemas.openxmlformats.org/officeDocument/2006/relationships" r:id="rId33"/>
        </xdr:cNvPr>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75174" y="75597845"/>
          <a:ext cx="2425461" cy="437931"/>
        </a:xfrm>
        <a:prstGeom prst="rect">
          <a:avLst/>
        </a:prstGeom>
        <a:noFill/>
        <a:ln>
          <a:noFill/>
        </a:ln>
      </xdr:spPr>
    </xdr:pic>
    <xdr:clientData/>
  </xdr:oneCellAnchor>
  <xdr:oneCellAnchor>
    <xdr:from>
      <xdr:col>0</xdr:col>
      <xdr:colOff>492671</xdr:colOff>
      <xdr:row>235</xdr:row>
      <xdr:rowOff>76639</xdr:rowOff>
    </xdr:from>
    <xdr:ext cx="2211964" cy="514569"/>
    <xdr:pic>
      <xdr:nvPicPr>
        <xdr:cNvPr id="29" name="Рисунок 28" descr="https://zakon.rada.gov.ua/laws/file/imgs/65/p476631n154-35.gif">
          <a:hlinkClick xmlns:r="http://schemas.openxmlformats.org/officeDocument/2006/relationships" r:id="rId35"/>
        </xdr:cNvPr>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2671" y="79626811"/>
          <a:ext cx="2211964" cy="514569"/>
        </a:xfrm>
        <a:prstGeom prst="rect">
          <a:avLst/>
        </a:prstGeom>
        <a:noFill/>
        <a:ln>
          <a:noFill/>
        </a:ln>
      </xdr:spPr>
    </xdr:pic>
    <xdr:clientData/>
  </xdr:oneCellAnchor>
  <xdr:oneCellAnchor>
    <xdr:from>
      <xdr:col>0</xdr:col>
      <xdr:colOff>426983</xdr:colOff>
      <xdr:row>257</xdr:row>
      <xdr:rowOff>43792</xdr:rowOff>
    </xdr:from>
    <xdr:ext cx="2972332" cy="536466"/>
    <xdr:pic>
      <xdr:nvPicPr>
        <xdr:cNvPr id="30" name="Рисунок 29" descr="https://zakon.rada.gov.ua/laws/file/imgs/65/p476631n159-36.gif">
          <a:hlinkClick xmlns:r="http://schemas.openxmlformats.org/officeDocument/2006/relationships" r:id="rId37"/>
        </xdr:cNvPr>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26983" y="86743189"/>
          <a:ext cx="2972332" cy="536466"/>
        </a:xfrm>
        <a:prstGeom prst="rect">
          <a:avLst/>
        </a:prstGeom>
        <a:noFill/>
        <a:ln>
          <a:noFill/>
        </a:ln>
      </xdr:spPr>
    </xdr:pic>
    <xdr:clientData/>
  </xdr:oneCellAnchor>
  <xdr:twoCellAnchor>
    <xdr:from>
      <xdr:col>0</xdr:col>
      <xdr:colOff>87587</xdr:colOff>
      <xdr:row>279</xdr:row>
      <xdr:rowOff>208126</xdr:rowOff>
    </xdr:from>
    <xdr:to>
      <xdr:col>0</xdr:col>
      <xdr:colOff>382862</xdr:colOff>
      <xdr:row>279</xdr:row>
      <xdr:rowOff>455776</xdr:rowOff>
    </xdr:to>
    <xdr:pic>
      <xdr:nvPicPr>
        <xdr:cNvPr id="31" name="Рисунок 41" descr="https://zakon.rada.gov.ua/laws/file/imgs/65/p476631n160-37.gif">
          <a:hlinkClick xmlns:r="http://schemas.openxmlformats.org/officeDocument/2006/relationships" r:id="rId39"/>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87587" y="97702523"/>
          <a:ext cx="2952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306552</xdr:colOff>
      <xdr:row>177</xdr:row>
      <xdr:rowOff>131379</xdr:rowOff>
    </xdr:from>
    <xdr:ext cx="4081179" cy="519547"/>
    <xdr:pic>
      <xdr:nvPicPr>
        <xdr:cNvPr id="32" name="Рисунок 31" descr="https://zakon.rada.gov.ua/laws/file/imgs/65/p476631n136-29.gif">
          <a:hlinkClick xmlns:r="http://schemas.openxmlformats.org/officeDocument/2006/relationships" r:id="rId41"/>
        </xdr:cNvPr>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06552" y="60357845"/>
          <a:ext cx="4081179" cy="519547"/>
        </a:xfrm>
        <a:prstGeom prst="rect">
          <a:avLst/>
        </a:prstGeom>
        <a:noFill/>
        <a:ln>
          <a:noFill/>
        </a:ln>
      </xdr:spPr>
    </xdr:pic>
    <xdr:clientData/>
  </xdr:oneCellAnchor>
  <xdr:twoCellAnchor>
    <xdr:from>
      <xdr:col>0</xdr:col>
      <xdr:colOff>85652</xdr:colOff>
      <xdr:row>6</xdr:row>
      <xdr:rowOff>32844</xdr:rowOff>
    </xdr:from>
    <xdr:to>
      <xdr:col>0</xdr:col>
      <xdr:colOff>416033</xdr:colOff>
      <xdr:row>6</xdr:row>
      <xdr:rowOff>328449</xdr:rowOff>
    </xdr:to>
    <xdr:pic>
      <xdr:nvPicPr>
        <xdr:cNvPr id="34" name="Рисунок 5" descr="https://zakon.rada.gov.ua/laws/file/imgs/65/p476631n73-3.gif">
          <a:hlinkClick xmlns:r="http://schemas.openxmlformats.org/officeDocument/2006/relationships" r:id="rId43"/>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85652" y="1981637"/>
          <a:ext cx="330381" cy="295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87586</xdr:colOff>
      <xdr:row>7</xdr:row>
      <xdr:rowOff>44066</xdr:rowOff>
    </xdr:from>
    <xdr:to>
      <xdr:col>0</xdr:col>
      <xdr:colOff>429063</xdr:colOff>
      <xdr:row>7</xdr:row>
      <xdr:rowOff>394136</xdr:rowOff>
    </xdr:to>
    <xdr:pic>
      <xdr:nvPicPr>
        <xdr:cNvPr id="35" name="Рисунок 6" descr="https://zakon.rada.gov.ua/laws/file/imgs/65/p476631n73-4.gif">
          <a:hlinkClick xmlns:r="http://schemas.openxmlformats.org/officeDocument/2006/relationships" r:id="rId45"/>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87586" y="2529325"/>
          <a:ext cx="341477" cy="350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36433</xdr:colOff>
      <xdr:row>8</xdr:row>
      <xdr:rowOff>120431</xdr:rowOff>
    </xdr:from>
    <xdr:to>
      <xdr:col>0</xdr:col>
      <xdr:colOff>416034</xdr:colOff>
      <xdr:row>8</xdr:row>
      <xdr:rowOff>525517</xdr:rowOff>
    </xdr:to>
    <xdr:pic>
      <xdr:nvPicPr>
        <xdr:cNvPr id="36" name="Рисунок 8" descr="https://zakon.rada.gov.ua/laws/file/imgs/65/p476631n73-5.gif">
          <a:hlinkClick xmlns:r="http://schemas.openxmlformats.org/officeDocument/2006/relationships" r:id="rId47"/>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6433" y="3109310"/>
          <a:ext cx="379601" cy="405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164225</xdr:colOff>
      <xdr:row>10</xdr:row>
      <xdr:rowOff>32845</xdr:rowOff>
    </xdr:from>
    <xdr:ext cx="2657475" cy="323850"/>
    <xdr:pic>
      <xdr:nvPicPr>
        <xdr:cNvPr id="37" name="Рисунок 36" descr="https://zakon.rada.gov.ua/laws/file/imgs/65/p476631n74-6.gif">
          <a:hlinkClick xmlns:r="http://schemas.openxmlformats.org/officeDocument/2006/relationships" r:id="rId49"/>
        </xdr:cNvPr>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656897" y="3799052"/>
          <a:ext cx="2657475" cy="323850"/>
        </a:xfrm>
        <a:prstGeom prst="rect">
          <a:avLst/>
        </a:prstGeom>
        <a:noFill/>
        <a:ln>
          <a:noFill/>
        </a:ln>
      </xdr:spPr>
    </xdr:pic>
    <xdr:clientData/>
  </xdr:oneCellAnchor>
  <xdr:twoCellAnchor>
    <xdr:from>
      <xdr:col>0</xdr:col>
      <xdr:colOff>43793</xdr:colOff>
      <xdr:row>14</xdr:row>
      <xdr:rowOff>98534</xdr:rowOff>
    </xdr:from>
    <xdr:to>
      <xdr:col>0</xdr:col>
      <xdr:colOff>437931</xdr:colOff>
      <xdr:row>14</xdr:row>
      <xdr:rowOff>416034</xdr:rowOff>
    </xdr:to>
    <xdr:pic>
      <xdr:nvPicPr>
        <xdr:cNvPr id="38" name="Рисунок 11" descr="https://zakon.rada.gov.ua/laws/file/imgs/65/p476631n75-7.gif">
          <a:hlinkClick xmlns:r="http://schemas.openxmlformats.org/officeDocument/2006/relationships" r:id="rId51"/>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3793" y="4609224"/>
          <a:ext cx="394138"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76638</xdr:colOff>
      <xdr:row>15</xdr:row>
      <xdr:rowOff>142327</xdr:rowOff>
    </xdr:from>
    <xdr:to>
      <xdr:col>0</xdr:col>
      <xdr:colOff>438588</xdr:colOff>
      <xdr:row>15</xdr:row>
      <xdr:rowOff>503619</xdr:rowOff>
    </xdr:to>
    <xdr:pic>
      <xdr:nvPicPr>
        <xdr:cNvPr id="39" name="Рисунок 12" descr="https://zakon.rada.gov.ua/laws/file/imgs/65/p476631n75-8.gif">
          <a:hlinkClick xmlns:r="http://schemas.openxmlformats.org/officeDocument/2006/relationships" r:id="rId53"/>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76638" y="5123793"/>
          <a:ext cx="361950" cy="361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87587</xdr:colOff>
      <xdr:row>18</xdr:row>
      <xdr:rowOff>10947</xdr:rowOff>
    </xdr:from>
    <xdr:ext cx="4631121" cy="514350"/>
    <xdr:pic>
      <xdr:nvPicPr>
        <xdr:cNvPr id="40" name="Рисунок 39" descr="https://zakon.rada.gov.ua/laws/file/imgs/65/p476631n78-9.gif">
          <a:hlinkClick xmlns:r="http://schemas.openxmlformats.org/officeDocument/2006/relationships" r:id="rId55"/>
        </xdr:cNvPr>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87587" y="6382844"/>
          <a:ext cx="4631121" cy="514350"/>
        </a:xfrm>
        <a:prstGeom prst="rect">
          <a:avLst/>
        </a:prstGeom>
        <a:noFill/>
        <a:ln>
          <a:noFill/>
        </a:ln>
      </xdr:spPr>
    </xdr:pic>
    <xdr:clientData/>
  </xdr:oneCellAnchor>
  <xdr:oneCellAnchor>
    <xdr:from>
      <xdr:col>1</xdr:col>
      <xdr:colOff>32844</xdr:colOff>
      <xdr:row>31</xdr:row>
      <xdr:rowOff>76637</xdr:rowOff>
    </xdr:from>
    <xdr:ext cx="4335517" cy="504825"/>
    <xdr:pic>
      <xdr:nvPicPr>
        <xdr:cNvPr id="41" name="Рисунок 40" descr="https://zakon.rada.gov.ua/laws/file/imgs/65/p476631n81-10.gif">
          <a:hlinkClick xmlns:r="http://schemas.openxmlformats.org/officeDocument/2006/relationships" r:id="rId57"/>
        </xdr:cNvPr>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25516" y="11725603"/>
          <a:ext cx="4335517" cy="504825"/>
        </a:xfrm>
        <a:prstGeom prst="rect">
          <a:avLst/>
        </a:prstGeom>
        <a:noFill/>
        <a:ln>
          <a:noFill/>
        </a:ln>
      </xdr:spPr>
    </xdr:pic>
    <xdr:clientData/>
  </xdr:oneCellAnchor>
  <xdr:oneCellAnchor>
    <xdr:from>
      <xdr:col>1</xdr:col>
      <xdr:colOff>10949</xdr:colOff>
      <xdr:row>57</xdr:row>
      <xdr:rowOff>470776</xdr:rowOff>
    </xdr:from>
    <xdr:ext cx="2495550" cy="361950"/>
    <xdr:pic>
      <xdr:nvPicPr>
        <xdr:cNvPr id="42" name="Рисунок 41" descr="https://zakon.rada.gov.ua/laws/file/imgs/65/p476631n84-11.gif">
          <a:hlinkClick xmlns:r="http://schemas.openxmlformats.org/officeDocument/2006/relationships" r:id="rId59"/>
        </xdr:cNvPr>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03621" y="22881897"/>
          <a:ext cx="2495550" cy="361950"/>
        </a:xfrm>
        <a:prstGeom prst="rect">
          <a:avLst/>
        </a:prstGeom>
        <a:noFill/>
        <a:ln>
          <a:noFill/>
        </a:ln>
      </xdr:spPr>
    </xdr:pic>
    <xdr:clientData/>
  </xdr:oneCellAnchor>
  <xdr:twoCellAnchor>
    <xdr:from>
      <xdr:col>0</xdr:col>
      <xdr:colOff>131379</xdr:colOff>
      <xdr:row>59</xdr:row>
      <xdr:rowOff>153274</xdr:rowOff>
    </xdr:from>
    <xdr:to>
      <xdr:col>0</xdr:col>
      <xdr:colOff>474279</xdr:colOff>
      <xdr:row>59</xdr:row>
      <xdr:rowOff>416033</xdr:rowOff>
    </xdr:to>
    <xdr:pic>
      <xdr:nvPicPr>
        <xdr:cNvPr id="43" name="Рисунок 16" descr="https://zakon.rada.gov.ua/laws/file/imgs/65/p476631n85-12.gif">
          <a:hlinkClick xmlns:r="http://schemas.openxmlformats.org/officeDocument/2006/relationships" r:id="rId61"/>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131379" y="23527843"/>
          <a:ext cx="342900" cy="262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65690</xdr:colOff>
      <xdr:row>60</xdr:row>
      <xdr:rowOff>142327</xdr:rowOff>
    </xdr:from>
    <xdr:to>
      <xdr:col>0</xdr:col>
      <xdr:colOff>408590</xdr:colOff>
      <xdr:row>60</xdr:row>
      <xdr:rowOff>470776</xdr:rowOff>
    </xdr:to>
    <xdr:pic>
      <xdr:nvPicPr>
        <xdr:cNvPr id="44" name="Рисунок 17" descr="https://zakon.rada.gov.ua/laws/file/imgs/65/p476631n85-13.gif">
          <a:hlinkClick xmlns:r="http://schemas.openxmlformats.org/officeDocument/2006/relationships" r:id="rId63"/>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65690" y="23998620"/>
          <a:ext cx="342900" cy="328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164223</xdr:colOff>
      <xdr:row>1</xdr:row>
      <xdr:rowOff>656896</xdr:rowOff>
    </xdr:from>
    <xdr:ext cx="3324225" cy="352425"/>
    <xdr:pic>
      <xdr:nvPicPr>
        <xdr:cNvPr id="48" name="Рисунок 47" descr="https://zakon.rada.gov.ua/laws/file/imgs/65/p476631n72-2.gif">
          <a:hlinkClick xmlns:r="http://schemas.openxmlformats.org/officeDocument/2006/relationships" r:id="rId65"/>
        </xdr:cNvPr>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56895" y="1138620"/>
          <a:ext cx="3324225" cy="352425"/>
        </a:xfrm>
        <a:prstGeom prst="rect">
          <a:avLst/>
        </a:prstGeom>
        <a:noFill/>
        <a:ln>
          <a:noFill/>
        </a:ln>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zakon.rada.gov.ua/laws/show/z0804-1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1"/>
  <sheetViews>
    <sheetView tabSelected="1" topLeftCell="A7" zoomScaleNormal="100" workbookViewId="0">
      <selection activeCell="L13" sqref="L13"/>
    </sheetView>
  </sheetViews>
  <sheetFormatPr defaultRowHeight="15" x14ac:dyDescent="0.25"/>
  <cols>
    <col min="1" max="1" width="4.28515625" customWidth="1"/>
  </cols>
  <sheetData>
    <row r="1" spans="2:11" ht="74.25" customHeight="1" x14ac:dyDescent="0.25">
      <c r="F1" s="423" t="s">
        <v>2093</v>
      </c>
      <c r="G1" s="423"/>
      <c r="H1" s="423"/>
      <c r="I1" s="423"/>
      <c r="J1" s="423"/>
    </row>
    <row r="5" spans="2:11" ht="33.75" customHeight="1" x14ac:dyDescent="0.25">
      <c r="B5" s="429" t="s">
        <v>1864</v>
      </c>
      <c r="C5" s="429"/>
      <c r="D5" s="429"/>
      <c r="E5" s="429"/>
      <c r="F5" s="429"/>
      <c r="G5" s="429"/>
      <c r="H5" s="429"/>
      <c r="I5" s="429"/>
      <c r="J5" s="429"/>
    </row>
    <row r="6" spans="2:11" ht="42" customHeight="1" x14ac:dyDescent="0.25">
      <c r="B6" s="430" t="s">
        <v>1881</v>
      </c>
      <c r="C6" s="430"/>
      <c r="D6" s="430"/>
      <c r="E6" s="430"/>
      <c r="F6" s="430"/>
      <c r="G6" s="430"/>
      <c r="H6" s="430"/>
      <c r="I6" s="430"/>
      <c r="J6" s="430"/>
    </row>
    <row r="7" spans="2:11" ht="3.75" customHeight="1" x14ac:dyDescent="0.25">
      <c r="B7" s="313"/>
      <c r="C7" s="313"/>
      <c r="D7" s="313"/>
      <c r="E7" s="313"/>
      <c r="F7" s="313"/>
      <c r="G7" s="313"/>
      <c r="H7" s="313"/>
      <c r="I7" s="313"/>
      <c r="J7" s="313"/>
    </row>
    <row r="8" spans="2:11" ht="50.25" customHeight="1" x14ac:dyDescent="0.25">
      <c r="B8" s="431" t="s">
        <v>2094</v>
      </c>
      <c r="C8" s="431"/>
      <c r="D8" s="431"/>
      <c r="E8" s="431"/>
      <c r="F8" s="431"/>
      <c r="G8" s="431"/>
      <c r="H8" s="431"/>
      <c r="I8" s="431"/>
      <c r="J8" s="431"/>
    </row>
    <row r="9" spans="2:11" ht="53.25" customHeight="1" x14ac:dyDescent="0.25">
      <c r="B9" s="428" t="s">
        <v>1884</v>
      </c>
      <c r="C9" s="428"/>
      <c r="D9" s="428"/>
      <c r="E9" s="428"/>
      <c r="F9" s="428"/>
      <c r="G9" s="428"/>
      <c r="H9" s="428"/>
      <c r="I9" s="428"/>
      <c r="J9" s="428"/>
    </row>
    <row r="10" spans="2:11" s="273" customFormat="1" ht="33" customHeight="1" x14ac:dyDescent="0.25">
      <c r="B10" s="11" t="s">
        <v>1882</v>
      </c>
    </row>
    <row r="11" spans="2:11" s="273" customFormat="1" ht="15.75" x14ac:dyDescent="0.25">
      <c r="B11" s="427" t="s">
        <v>1883</v>
      </c>
      <c r="C11" s="427"/>
      <c r="D11" s="427"/>
      <c r="E11" s="427"/>
      <c r="F11" s="424">
        <v>33698892</v>
      </c>
      <c r="G11" s="424"/>
      <c r="H11" s="424"/>
      <c r="I11" s="325"/>
      <c r="J11" s="325"/>
    </row>
    <row r="12" spans="2:11" ht="20.25" customHeight="1" x14ac:dyDescent="0.25">
      <c r="B12" s="272" t="s">
        <v>1910</v>
      </c>
      <c r="F12" s="5"/>
      <c r="G12" s="5"/>
      <c r="H12" s="5"/>
      <c r="I12" s="5"/>
      <c r="J12" s="5"/>
      <c r="K12" s="5"/>
    </row>
    <row r="13" spans="2:11" ht="30.75" customHeight="1" x14ac:dyDescent="0.25">
      <c r="B13" s="274" t="s">
        <v>1889</v>
      </c>
      <c r="C13" s="5"/>
      <c r="D13" s="5"/>
      <c r="E13" s="5"/>
      <c r="F13" s="5"/>
      <c r="G13" s="5"/>
      <c r="H13" s="5"/>
      <c r="I13" s="5"/>
      <c r="J13" s="5"/>
    </row>
    <row r="14" spans="2:11" ht="26.25" customHeight="1" x14ac:dyDescent="0.25">
      <c r="B14" s="426" t="s">
        <v>1887</v>
      </c>
      <c r="C14" s="426"/>
      <c r="D14" s="426"/>
      <c r="E14" s="426"/>
      <c r="F14" s="426"/>
      <c r="G14" s="426"/>
      <c r="H14" s="426"/>
      <c r="I14" s="426"/>
      <c r="J14" s="426"/>
    </row>
    <row r="15" spans="2:11" ht="28.5" customHeight="1" x14ac:dyDescent="0.25">
      <c r="B15" s="274" t="s">
        <v>1885</v>
      </c>
      <c r="C15" s="274"/>
      <c r="D15" s="274"/>
      <c r="E15" s="274"/>
      <c r="F15" s="274"/>
      <c r="G15" s="274"/>
      <c r="H15" s="274"/>
      <c r="I15" s="274"/>
      <c r="J15" s="274"/>
    </row>
    <row r="16" spans="2:11" ht="28.5" customHeight="1" x14ac:dyDescent="0.25">
      <c r="B16" s="425" t="s">
        <v>1886</v>
      </c>
      <c r="C16" s="425"/>
      <c r="D16" s="425"/>
      <c r="E16" s="425"/>
      <c r="F16" s="425"/>
      <c r="G16" s="425"/>
      <c r="H16" s="425"/>
      <c r="I16" s="425"/>
      <c r="J16" s="425"/>
    </row>
    <row r="17" spans="2:10" ht="33.75" customHeight="1" x14ac:dyDescent="0.25">
      <c r="B17" s="312" t="s">
        <v>1880</v>
      </c>
      <c r="C17" s="315"/>
      <c r="D17" s="315"/>
      <c r="E17" s="315"/>
      <c r="F17" s="315"/>
      <c r="G17" s="315"/>
      <c r="H17" s="315"/>
      <c r="I17" s="315"/>
    </row>
    <row r="18" spans="2:10" ht="30.75" customHeight="1" x14ac:dyDescent="0.25">
      <c r="B18" s="381" t="s">
        <v>2087</v>
      </c>
      <c r="C18" s="372"/>
      <c r="D18" s="372"/>
      <c r="E18" s="372"/>
      <c r="F18" s="372"/>
      <c r="G18" s="372"/>
      <c r="H18" s="372"/>
      <c r="I18" s="372"/>
    </row>
    <row r="19" spans="2:10" ht="35.25" customHeight="1" x14ac:dyDescent="0.25">
      <c r="B19" s="274" t="s">
        <v>2086</v>
      </c>
      <c r="C19" s="5"/>
      <c r="D19" s="275"/>
      <c r="E19" s="275"/>
      <c r="F19" s="275"/>
      <c r="G19" s="5"/>
      <c r="H19" s="5"/>
      <c r="I19" s="5"/>
      <c r="J19" s="5"/>
    </row>
    <row r="20" spans="2:10" ht="51.75" customHeight="1" x14ac:dyDescent="0.25">
      <c r="B20" s="314" t="s">
        <v>2085</v>
      </c>
    </row>
    <row r="21" spans="2:10" x14ac:dyDescent="0.25">
      <c r="C21" t="s">
        <v>1888</v>
      </c>
    </row>
  </sheetData>
  <mergeCells count="9">
    <mergeCell ref="F1:J1"/>
    <mergeCell ref="F11:H11"/>
    <mergeCell ref="B16:J16"/>
    <mergeCell ref="B14:J14"/>
    <mergeCell ref="B11:E11"/>
    <mergeCell ref="B9:J9"/>
    <mergeCell ref="B5:J5"/>
    <mergeCell ref="B6:J6"/>
    <mergeCell ref="B8:J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T3" sqref="T3"/>
    </sheetView>
  </sheetViews>
  <sheetFormatPr defaultRowHeight="15" x14ac:dyDescent="0.25"/>
  <cols>
    <col min="1" max="1" width="4.85546875" style="128" customWidth="1"/>
    <col min="2" max="2" width="22.42578125" customWidth="1"/>
    <col min="3" max="3" width="8.42578125" customWidth="1"/>
    <col min="4" max="4" width="7.5703125" customWidth="1"/>
    <col min="5" max="5" width="7.140625" customWidth="1"/>
    <col min="6" max="6" width="7" style="277" customWidth="1"/>
    <col min="7" max="7" width="8.42578125" style="277" customWidth="1"/>
    <col min="8" max="8" width="7" customWidth="1"/>
    <col min="9" max="9" width="6.42578125" customWidth="1"/>
    <col min="10" max="10" width="8.28515625" style="282" customWidth="1"/>
    <col min="11" max="11" width="8.42578125" style="15" customWidth="1"/>
    <col min="12" max="12" width="7" customWidth="1"/>
    <col min="13" max="13" width="8" customWidth="1"/>
    <col min="14" max="14" width="6.85546875" customWidth="1"/>
    <col min="16" max="16" width="8" customWidth="1"/>
  </cols>
  <sheetData>
    <row r="1" spans="1:16" x14ac:dyDescent="0.25">
      <c r="F1" s="368"/>
      <c r="G1" s="368"/>
      <c r="K1" s="619" t="s">
        <v>2082</v>
      </c>
      <c r="L1" s="619"/>
      <c r="M1" s="619"/>
      <c r="N1" s="619"/>
      <c r="O1" s="619"/>
      <c r="P1" s="619"/>
    </row>
    <row r="2" spans="1:16" ht="54" customHeight="1" x14ac:dyDescent="0.3">
      <c r="B2" s="621" t="s">
        <v>1939</v>
      </c>
      <c r="C2" s="622"/>
      <c r="D2" s="622"/>
      <c r="E2" s="622"/>
      <c r="F2" s="622"/>
      <c r="G2" s="622"/>
      <c r="H2" s="622"/>
      <c r="I2" s="622"/>
      <c r="J2" s="622"/>
      <c r="K2" s="622"/>
      <c r="L2" s="622"/>
      <c r="M2" s="622"/>
      <c r="N2" s="622"/>
      <c r="O2" s="622"/>
      <c r="P2" s="622"/>
    </row>
    <row r="3" spans="1:16" ht="81.75" x14ac:dyDescent="0.25">
      <c r="A3" s="303" t="s">
        <v>1941</v>
      </c>
      <c r="B3" s="228" t="s">
        <v>256</v>
      </c>
      <c r="C3" s="293" t="s">
        <v>1920</v>
      </c>
      <c r="D3" s="297" t="s">
        <v>1944</v>
      </c>
      <c r="E3" s="297" t="s">
        <v>1945</v>
      </c>
      <c r="F3" s="297" t="s">
        <v>1946</v>
      </c>
      <c r="G3" s="284" t="s">
        <v>1947</v>
      </c>
      <c r="H3" s="284" t="s">
        <v>1948</v>
      </c>
      <c r="I3" s="284" t="s">
        <v>1921</v>
      </c>
      <c r="J3" s="285" t="s">
        <v>1930</v>
      </c>
      <c r="K3" s="285" t="s">
        <v>1931</v>
      </c>
      <c r="L3" s="306" t="s">
        <v>1932</v>
      </c>
      <c r="M3" s="285" t="s">
        <v>1942</v>
      </c>
      <c r="N3" s="285" t="s">
        <v>1943</v>
      </c>
      <c r="O3" s="285" t="s">
        <v>1933</v>
      </c>
      <c r="P3" s="285" t="s">
        <v>1934</v>
      </c>
    </row>
    <row r="4" spans="1:16" ht="15.75" x14ac:dyDescent="0.25">
      <c r="A4" s="305">
        <v>1</v>
      </c>
      <c r="B4" s="302" t="s">
        <v>1958</v>
      </c>
      <c r="C4" s="623" t="s">
        <v>1922</v>
      </c>
      <c r="D4" s="623"/>
      <c r="E4" s="293"/>
      <c r="F4" s="228"/>
      <c r="G4" s="228"/>
      <c r="H4" s="228"/>
      <c r="I4" s="228"/>
      <c r="J4" s="286">
        <v>9.2499999999999999E-2</v>
      </c>
      <c r="K4" s="228">
        <v>1.4E-2</v>
      </c>
      <c r="L4" s="280">
        <v>0.03</v>
      </c>
      <c r="M4" s="280" t="s">
        <v>1923</v>
      </c>
      <c r="N4" s="287">
        <f>J4+K4+L4</f>
        <v>0.13650000000000001</v>
      </c>
      <c r="O4" s="280">
        <f>2*(J4+K4+L4)</f>
        <v>0.27300000000000002</v>
      </c>
      <c r="P4" s="287">
        <f>N4+O4</f>
        <v>0.40950000000000003</v>
      </c>
    </row>
    <row r="5" spans="1:16" ht="15.75" x14ac:dyDescent="0.25">
      <c r="A5" s="305">
        <f>A4+1</f>
        <v>2</v>
      </c>
      <c r="B5" s="302" t="s">
        <v>1959</v>
      </c>
      <c r="C5" s="228" t="s">
        <v>1924</v>
      </c>
      <c r="D5" s="228">
        <v>0.3</v>
      </c>
      <c r="E5" s="293">
        <v>1.4E-2</v>
      </c>
      <c r="F5" s="228">
        <v>4</v>
      </c>
      <c r="G5" s="228">
        <v>151</v>
      </c>
      <c r="H5" s="228">
        <v>8</v>
      </c>
      <c r="I5" s="228">
        <f>H5-1</f>
        <v>7</v>
      </c>
      <c r="J5" s="286">
        <f>(E5*E5*3.14/4)*F5*G5*H5+(D5*D5*3.14/4)*1.1*I5</f>
        <v>1.2874565200000001</v>
      </c>
      <c r="K5" s="228">
        <v>0.12</v>
      </c>
      <c r="L5" s="228">
        <v>0.9</v>
      </c>
      <c r="M5" s="280">
        <f>0.02543*G5/2*H5</f>
        <v>15.359720000000001</v>
      </c>
      <c r="N5" s="287">
        <f t="shared" ref="N5:N10" si="0">J5+K5+L5</f>
        <v>2.3074565200000001</v>
      </c>
      <c r="O5" s="280">
        <f>2*(J5+K5+L5)</f>
        <v>4.6149130400000002</v>
      </c>
      <c r="P5" s="287">
        <f>M5+N5+O5</f>
        <v>22.282089560000003</v>
      </c>
    </row>
    <row r="6" spans="1:16" ht="15.75" x14ac:dyDescent="0.25">
      <c r="A6" s="305">
        <f t="shared" ref="A6:A30" si="1">A5+1</f>
        <v>3</v>
      </c>
      <c r="B6" s="302" t="s">
        <v>1960</v>
      </c>
      <c r="C6" s="623" t="s">
        <v>1922</v>
      </c>
      <c r="D6" s="623"/>
      <c r="E6" s="293"/>
      <c r="F6" s="228"/>
      <c r="G6" s="228"/>
      <c r="H6" s="228"/>
      <c r="I6" s="228"/>
      <c r="J6" s="286">
        <v>3.5999999999999997E-2</v>
      </c>
      <c r="K6" s="228">
        <v>1.4E-2</v>
      </c>
      <c r="L6" s="280">
        <v>0.03</v>
      </c>
      <c r="M6" s="280" t="s">
        <v>1923</v>
      </c>
      <c r="N6" s="287">
        <f t="shared" si="0"/>
        <v>7.9999999999999988E-2</v>
      </c>
      <c r="O6" s="295">
        <f>2*(J6+K6+L6)</f>
        <v>0.15999999999999998</v>
      </c>
      <c r="P6" s="287">
        <f t="shared" ref="P6:P8" si="2">N6+O6</f>
        <v>0.23999999999999996</v>
      </c>
    </row>
    <row r="7" spans="1:16" ht="15.75" x14ac:dyDescent="0.25">
      <c r="A7" s="305">
        <f t="shared" si="1"/>
        <v>4</v>
      </c>
      <c r="B7" s="302" t="s">
        <v>1961</v>
      </c>
      <c r="C7" s="623" t="s">
        <v>1922</v>
      </c>
      <c r="D7" s="623"/>
      <c r="E7" s="293"/>
      <c r="F7" s="228"/>
      <c r="G7" s="228"/>
      <c r="H7" s="228"/>
      <c r="I7" s="228"/>
      <c r="J7" s="286">
        <v>3.5999999999999997E-2</v>
      </c>
      <c r="K7" s="228">
        <v>1.4E-2</v>
      </c>
      <c r="L7" s="280">
        <v>0.03</v>
      </c>
      <c r="M7" s="280" t="s">
        <v>1923</v>
      </c>
      <c r="N7" s="287">
        <f t="shared" si="0"/>
        <v>7.9999999999999988E-2</v>
      </c>
      <c r="O7" s="295">
        <f t="shared" ref="O7:O8" si="3">2*(J7+K7+L7)</f>
        <v>0.15999999999999998</v>
      </c>
      <c r="P7" s="287">
        <f t="shared" si="2"/>
        <v>0.23999999999999996</v>
      </c>
    </row>
    <row r="8" spans="1:16" ht="15.75" x14ac:dyDescent="0.25">
      <c r="A8" s="305">
        <f t="shared" si="1"/>
        <v>5</v>
      </c>
      <c r="B8" s="302" t="s">
        <v>1962</v>
      </c>
      <c r="C8" s="623" t="s">
        <v>1922</v>
      </c>
      <c r="D8" s="623"/>
      <c r="E8" s="293"/>
      <c r="F8" s="228"/>
      <c r="G8" s="228"/>
      <c r="H8" s="228"/>
      <c r="I8" s="228"/>
      <c r="J8" s="301">
        <v>0.03</v>
      </c>
      <c r="K8" s="228">
        <v>1.4E-2</v>
      </c>
      <c r="L8" s="280">
        <v>0.03</v>
      </c>
      <c r="M8" s="280" t="s">
        <v>1923</v>
      </c>
      <c r="N8" s="287">
        <f t="shared" si="0"/>
        <v>7.3999999999999996E-2</v>
      </c>
      <c r="O8" s="295">
        <f t="shared" si="3"/>
        <v>0.14799999999999999</v>
      </c>
      <c r="P8" s="287">
        <f t="shared" si="2"/>
        <v>0.22199999999999998</v>
      </c>
    </row>
    <row r="9" spans="1:16" ht="31.5" x14ac:dyDescent="0.25">
      <c r="A9" s="305">
        <f t="shared" si="1"/>
        <v>6</v>
      </c>
      <c r="B9" s="279" t="s">
        <v>1935</v>
      </c>
      <c r="C9" s="228" t="s">
        <v>1925</v>
      </c>
      <c r="D9" s="228">
        <v>0.16</v>
      </c>
      <c r="E9" s="293">
        <v>1.4E-2</v>
      </c>
      <c r="F9" s="228">
        <v>4</v>
      </c>
      <c r="G9" s="228">
        <v>37</v>
      </c>
      <c r="H9" s="228">
        <v>8</v>
      </c>
      <c r="I9" s="228">
        <f>H9-1</f>
        <v>7</v>
      </c>
      <c r="J9" s="286">
        <f>(E9*E9*3.14/4)*F9*G9*H9+(D9*D9*3.14/4)*1.1*I9</f>
        <v>0.33690944000000012</v>
      </c>
      <c r="K9" s="228">
        <v>0.12</v>
      </c>
      <c r="L9" s="228">
        <v>0.9</v>
      </c>
      <c r="M9" s="280">
        <f>0.02543*G9/2*H9</f>
        <v>3.7636400000000001</v>
      </c>
      <c r="N9" s="287">
        <f t="shared" si="0"/>
        <v>1.3569094400000001</v>
      </c>
      <c r="O9" s="295">
        <f>2*(J9+K9+L9)</f>
        <v>2.7138188800000003</v>
      </c>
      <c r="P9" s="287">
        <f>M9+N9+O9</f>
        <v>7.8343683200000012</v>
      </c>
    </row>
    <row r="10" spans="1:16" ht="15.75" x14ac:dyDescent="0.25">
      <c r="A10" s="305">
        <f t="shared" si="1"/>
        <v>7</v>
      </c>
      <c r="B10" s="302" t="s">
        <v>1940</v>
      </c>
      <c r="C10" s="623" t="s">
        <v>1922</v>
      </c>
      <c r="D10" s="623"/>
      <c r="E10" s="293"/>
      <c r="F10" s="228"/>
      <c r="G10" s="228"/>
      <c r="H10" s="228"/>
      <c r="I10" s="228"/>
      <c r="J10" s="301">
        <v>0.03</v>
      </c>
      <c r="K10" s="228">
        <v>1.4E-2</v>
      </c>
      <c r="L10" s="280">
        <v>0.03</v>
      </c>
      <c r="M10" s="280" t="s">
        <v>1923</v>
      </c>
      <c r="N10" s="287">
        <f t="shared" si="0"/>
        <v>7.3999999999999996E-2</v>
      </c>
      <c r="O10" s="295">
        <f t="shared" ref="O10:O17" si="4">2*(J10+K10+L10)</f>
        <v>0.14799999999999999</v>
      </c>
      <c r="P10" s="287">
        <f>N10+O10</f>
        <v>0.22199999999999998</v>
      </c>
    </row>
    <row r="11" spans="1:16" ht="15.75" x14ac:dyDescent="0.25">
      <c r="A11" s="305">
        <f t="shared" si="1"/>
        <v>8</v>
      </c>
      <c r="B11" s="132" t="s">
        <v>1950</v>
      </c>
      <c r="C11" s="288" t="s">
        <v>1924</v>
      </c>
      <c r="D11" s="294">
        <v>0.3</v>
      </c>
      <c r="E11" s="296">
        <v>1.4E-2</v>
      </c>
      <c r="F11" s="294">
        <v>4</v>
      </c>
      <c r="G11" s="304">
        <v>151</v>
      </c>
      <c r="H11" s="228">
        <v>10</v>
      </c>
      <c r="I11" s="228">
        <f>H11-1</f>
        <v>9</v>
      </c>
      <c r="J11" s="286">
        <f>(E11*E11*3.14/4)*F11*G11*H11+(D11*D11*3.14/4)*1.1*I11</f>
        <v>1.6287494000000002</v>
      </c>
      <c r="K11" s="294">
        <v>0.12</v>
      </c>
      <c r="L11" s="228">
        <v>0.9</v>
      </c>
      <c r="M11" s="127">
        <f>0.02543*G11/2*H11</f>
        <v>19.199650000000002</v>
      </c>
      <c r="N11" s="289">
        <f t="shared" ref="N11:N16" si="5">J11+K11+L11</f>
        <v>2.6487494000000003</v>
      </c>
      <c r="O11" s="295">
        <f t="shared" si="4"/>
        <v>5.2974988000000005</v>
      </c>
      <c r="P11" s="287">
        <f t="shared" ref="P11:P13" si="6">M11+N11+O11</f>
        <v>27.145898200000001</v>
      </c>
    </row>
    <row r="12" spans="1:16" ht="15.75" x14ac:dyDescent="0.25">
      <c r="A12" s="305">
        <f t="shared" si="1"/>
        <v>9</v>
      </c>
      <c r="B12" s="132" t="s">
        <v>1949</v>
      </c>
      <c r="C12" s="288" t="s">
        <v>1924</v>
      </c>
      <c r="D12" s="294">
        <v>0.3</v>
      </c>
      <c r="E12" s="296">
        <v>1.4E-2</v>
      </c>
      <c r="F12" s="294">
        <v>4</v>
      </c>
      <c r="G12" s="304">
        <v>151</v>
      </c>
      <c r="H12" s="228">
        <v>10</v>
      </c>
      <c r="I12" s="228">
        <f>H12-1</f>
        <v>9</v>
      </c>
      <c r="J12" s="286">
        <f>(E12*E12*3.14/4)*F12*G12*H12+(D12*D12*3.14/4)*1.1*I12</f>
        <v>1.6287494000000002</v>
      </c>
      <c r="K12" s="294">
        <v>0.12</v>
      </c>
      <c r="L12" s="228">
        <v>0.9</v>
      </c>
      <c r="M12" s="127">
        <f>0.02543*G12/2*H12</f>
        <v>19.199650000000002</v>
      </c>
      <c r="N12" s="289">
        <f t="shared" si="5"/>
        <v>2.6487494000000003</v>
      </c>
      <c r="O12" s="295">
        <f t="shared" si="4"/>
        <v>5.2974988000000005</v>
      </c>
      <c r="P12" s="287">
        <f t="shared" si="6"/>
        <v>27.145898200000001</v>
      </c>
    </row>
    <row r="13" spans="1:16" ht="15.75" x14ac:dyDescent="0.25">
      <c r="A13" s="305">
        <f t="shared" si="1"/>
        <v>10</v>
      </c>
      <c r="B13" s="132" t="s">
        <v>1601</v>
      </c>
      <c r="C13" s="288" t="s">
        <v>1924</v>
      </c>
      <c r="D13" s="294">
        <v>0.3</v>
      </c>
      <c r="E13" s="296">
        <v>1.4E-2</v>
      </c>
      <c r="F13" s="294">
        <v>4</v>
      </c>
      <c r="G13" s="304">
        <v>151</v>
      </c>
      <c r="H13" s="228">
        <v>6</v>
      </c>
      <c r="I13" s="228">
        <f>H13-1</f>
        <v>5</v>
      </c>
      <c r="J13" s="286">
        <f>(E13*E13*3.14/4)*F13*G13*H13+(D13*D13*3.14/4)*1.1*I13</f>
        <v>0.94616364000000008</v>
      </c>
      <c r="K13" s="294">
        <v>0.12</v>
      </c>
      <c r="L13" s="228">
        <v>0.9</v>
      </c>
      <c r="M13" s="127">
        <f>0.02543*G13/2*H13</f>
        <v>11.51979</v>
      </c>
      <c r="N13" s="289">
        <f t="shared" si="5"/>
        <v>1.96616364</v>
      </c>
      <c r="O13" s="295">
        <f t="shared" si="4"/>
        <v>3.93232728</v>
      </c>
      <c r="P13" s="287">
        <f t="shared" si="6"/>
        <v>17.418280920000001</v>
      </c>
    </row>
    <row r="14" spans="1:16" ht="15.75" x14ac:dyDescent="0.25">
      <c r="A14" s="305">
        <f t="shared" si="1"/>
        <v>11</v>
      </c>
      <c r="B14" s="283" t="s">
        <v>1926</v>
      </c>
      <c r="C14" s="620" t="s">
        <v>1927</v>
      </c>
      <c r="D14" s="620"/>
      <c r="E14" s="290"/>
      <c r="F14" s="294"/>
      <c r="G14" s="294"/>
      <c r="H14" s="228"/>
      <c r="I14" s="290"/>
      <c r="J14" s="301">
        <v>0.03</v>
      </c>
      <c r="K14" s="228">
        <v>1.4E-2</v>
      </c>
      <c r="L14" s="280">
        <v>0.03</v>
      </c>
      <c r="M14" s="280" t="s">
        <v>1923</v>
      </c>
      <c r="N14" s="287">
        <f t="shared" si="5"/>
        <v>7.3999999999999996E-2</v>
      </c>
      <c r="O14" s="295">
        <f t="shared" si="4"/>
        <v>0.14799999999999999</v>
      </c>
      <c r="P14" s="287">
        <f>N14+O14</f>
        <v>0.22199999999999998</v>
      </c>
    </row>
    <row r="15" spans="1:16" ht="31.5" x14ac:dyDescent="0.25">
      <c r="A15" s="305">
        <f t="shared" si="1"/>
        <v>12</v>
      </c>
      <c r="B15" s="298" t="s">
        <v>1928</v>
      </c>
      <c r="C15" s="302" t="s">
        <v>1924</v>
      </c>
      <c r="D15" s="228">
        <v>0.3</v>
      </c>
      <c r="E15" s="293">
        <v>1.4E-2</v>
      </c>
      <c r="F15" s="228">
        <v>4</v>
      </c>
      <c r="G15" s="228">
        <v>151</v>
      </c>
      <c r="H15" s="228">
        <v>10</v>
      </c>
      <c r="I15" s="228">
        <f>H15-1</f>
        <v>9</v>
      </c>
      <c r="J15" s="286">
        <f>(E15*E15*3.14/4)*F15*G15*H15+(D15*D15*3.14/4)*1.1*I15</f>
        <v>1.6287494000000002</v>
      </c>
      <c r="K15" s="228">
        <v>0.12</v>
      </c>
      <c r="L15" s="228">
        <v>0.9</v>
      </c>
      <c r="M15" s="280">
        <f>0.02543*G15/2*H15</f>
        <v>19.199650000000002</v>
      </c>
      <c r="N15" s="307">
        <f t="shared" si="5"/>
        <v>2.6487494000000003</v>
      </c>
      <c r="O15" s="295">
        <f t="shared" si="4"/>
        <v>5.2974988000000005</v>
      </c>
      <c r="P15" s="287">
        <f t="shared" ref="P15:P16" si="7">M15+N15+O15</f>
        <v>27.145898200000001</v>
      </c>
    </row>
    <row r="16" spans="1:16" ht="15.75" x14ac:dyDescent="0.25">
      <c r="A16" s="305">
        <f t="shared" si="1"/>
        <v>13</v>
      </c>
      <c r="B16" s="298" t="s">
        <v>1929</v>
      </c>
      <c r="C16" s="291" t="s">
        <v>1924</v>
      </c>
      <c r="D16" s="294">
        <v>0.3</v>
      </c>
      <c r="E16" s="290">
        <v>1.4E-2</v>
      </c>
      <c r="F16" s="294">
        <v>4</v>
      </c>
      <c r="G16" s="294">
        <v>151</v>
      </c>
      <c r="H16" s="228">
        <v>14</v>
      </c>
      <c r="I16" s="228">
        <f>H16-1</f>
        <v>13</v>
      </c>
      <c r="J16" s="286">
        <f>(E16*E16*3.14/4)*F16*G16*H16+(D16*D16*3.14/4)*1.1*I16</f>
        <v>2.3113351600000005</v>
      </c>
      <c r="K16" s="294">
        <v>0.12</v>
      </c>
      <c r="L16" s="228">
        <v>0.9</v>
      </c>
      <c r="M16" s="17">
        <f>0.02543*G16/2*H16</f>
        <v>26.879510000000003</v>
      </c>
      <c r="N16" s="289">
        <f t="shared" si="5"/>
        <v>3.3313351600000005</v>
      </c>
      <c r="O16" s="295">
        <f t="shared" si="4"/>
        <v>6.662670320000001</v>
      </c>
      <c r="P16" s="287">
        <f t="shared" si="7"/>
        <v>36.873515480000009</v>
      </c>
    </row>
    <row r="17" spans="1:16" ht="31.5" x14ac:dyDescent="0.25">
      <c r="A17" s="305">
        <f t="shared" si="1"/>
        <v>14</v>
      </c>
      <c r="B17" s="283" t="s">
        <v>1937</v>
      </c>
      <c r="C17" s="620" t="s">
        <v>1927</v>
      </c>
      <c r="D17" s="620"/>
      <c r="E17" s="290"/>
      <c r="F17" s="294"/>
      <c r="G17" s="294"/>
      <c r="H17" s="228"/>
      <c r="I17" s="291"/>
      <c r="J17" s="301">
        <v>0.03</v>
      </c>
      <c r="K17" s="228">
        <v>1.4E-2</v>
      </c>
      <c r="L17" s="280">
        <v>0.03</v>
      </c>
      <c r="M17" s="280" t="s">
        <v>1923</v>
      </c>
      <c r="N17" s="287">
        <f>J17+K17+L17</f>
        <v>7.3999999999999996E-2</v>
      </c>
      <c r="O17" s="295">
        <f t="shared" si="4"/>
        <v>0.14799999999999999</v>
      </c>
      <c r="P17" s="287">
        <f>N17+O17</f>
        <v>0.22199999999999998</v>
      </c>
    </row>
    <row r="18" spans="1:16" ht="31.5" x14ac:dyDescent="0.25">
      <c r="A18" s="305"/>
      <c r="B18" s="283" t="s">
        <v>1938</v>
      </c>
      <c r="C18" s="228" t="s">
        <v>1924</v>
      </c>
      <c r="D18" s="228">
        <v>0.3</v>
      </c>
      <c r="E18" s="228">
        <v>1.4E-2</v>
      </c>
      <c r="F18" s="228">
        <v>4</v>
      </c>
      <c r="G18" s="228">
        <v>151</v>
      </c>
      <c r="H18" s="228">
        <v>8</v>
      </c>
      <c r="I18" s="228">
        <f t="shared" ref="I18:I24" si="8">H18-1</f>
        <v>7</v>
      </c>
      <c r="J18" s="286">
        <f t="shared" ref="J18:J24" si="9">(E18*E18*3.14/4)*F18*G18*H18+(D18*D18*3.14/4)*1.1*I18</f>
        <v>1.2874565200000001</v>
      </c>
      <c r="K18" s="228">
        <v>0.12</v>
      </c>
      <c r="L18" s="228">
        <v>0.9</v>
      </c>
      <c r="M18" s="280">
        <f t="shared" ref="M18:M24" si="10">0.02543*G18/2*H18</f>
        <v>15.359720000000001</v>
      </c>
      <c r="N18" s="287">
        <f>J18+K18+L18</f>
        <v>2.3074565200000001</v>
      </c>
      <c r="O18" s="295">
        <f t="shared" ref="O18" si="11">2*(J18+K18+L18)</f>
        <v>4.6149130400000002</v>
      </c>
      <c r="P18" s="287">
        <f t="shared" ref="P18:P30" si="12">M18+N18+O18</f>
        <v>22.282089560000003</v>
      </c>
    </row>
    <row r="19" spans="1:16" ht="15.75" x14ac:dyDescent="0.25">
      <c r="A19" s="305">
        <f>A17+1</f>
        <v>15</v>
      </c>
      <c r="B19" s="283" t="s">
        <v>1951</v>
      </c>
      <c r="C19" s="228" t="s">
        <v>1924</v>
      </c>
      <c r="D19" s="294">
        <v>0.3</v>
      </c>
      <c r="E19" s="296">
        <v>1.4E-2</v>
      </c>
      <c r="F19" s="294">
        <v>4</v>
      </c>
      <c r="G19" s="304">
        <v>151</v>
      </c>
      <c r="H19" s="228">
        <v>14</v>
      </c>
      <c r="I19" s="228">
        <f t="shared" si="8"/>
        <v>13</v>
      </c>
      <c r="J19" s="286">
        <f t="shared" si="9"/>
        <v>2.3113351600000005</v>
      </c>
      <c r="K19" s="294">
        <v>0.12</v>
      </c>
      <c r="L19" s="228">
        <v>0.9</v>
      </c>
      <c r="M19" s="127">
        <f t="shared" si="10"/>
        <v>26.879510000000003</v>
      </c>
      <c r="N19" s="289">
        <f t="shared" ref="N19" si="13">J19+K19+L19</f>
        <v>3.3313351600000005</v>
      </c>
      <c r="O19" s="295">
        <f t="shared" ref="O19" si="14">2*(J19+K19+L19)</f>
        <v>6.662670320000001</v>
      </c>
      <c r="P19" s="287">
        <f t="shared" si="12"/>
        <v>36.873515480000009</v>
      </c>
    </row>
    <row r="20" spans="1:16" ht="15.75" x14ac:dyDescent="0.25">
      <c r="A20" s="305">
        <f t="shared" si="1"/>
        <v>16</v>
      </c>
      <c r="B20" s="283" t="s">
        <v>1952</v>
      </c>
      <c r="C20" s="16" t="s">
        <v>1924</v>
      </c>
      <c r="D20" s="294">
        <v>0.3</v>
      </c>
      <c r="E20" s="296">
        <v>1.4E-2</v>
      </c>
      <c r="F20" s="294">
        <v>4</v>
      </c>
      <c r="G20" s="304">
        <v>151</v>
      </c>
      <c r="H20" s="228">
        <v>15</v>
      </c>
      <c r="I20" s="228">
        <f t="shared" si="8"/>
        <v>14</v>
      </c>
      <c r="J20" s="286">
        <f t="shared" si="9"/>
        <v>2.4819816000000001</v>
      </c>
      <c r="K20" s="294">
        <v>0.12</v>
      </c>
      <c r="L20" s="228">
        <v>0.9</v>
      </c>
      <c r="M20" s="17">
        <f t="shared" si="10"/>
        <v>28.799475000000001</v>
      </c>
      <c r="N20" s="289">
        <f t="shared" ref="N20" si="15">J20+K20+L20</f>
        <v>3.5019816000000001</v>
      </c>
      <c r="O20" s="295">
        <f t="shared" ref="O20" si="16">2*(J20+K20+L20)</f>
        <v>7.0039632000000003</v>
      </c>
      <c r="P20" s="287">
        <f t="shared" si="12"/>
        <v>39.305419800000003</v>
      </c>
    </row>
    <row r="21" spans="1:16" ht="15.75" x14ac:dyDescent="0.25">
      <c r="A21" s="305">
        <f t="shared" si="1"/>
        <v>17</v>
      </c>
      <c r="B21" s="283" t="s">
        <v>1953</v>
      </c>
      <c r="C21" s="16" t="s">
        <v>1924</v>
      </c>
      <c r="D21" s="294">
        <v>0.3</v>
      </c>
      <c r="E21" s="296">
        <v>1.4E-2</v>
      </c>
      <c r="F21" s="294">
        <v>4</v>
      </c>
      <c r="G21" s="304">
        <v>151</v>
      </c>
      <c r="H21" s="228">
        <v>13</v>
      </c>
      <c r="I21" s="228">
        <f t="shared" si="8"/>
        <v>12</v>
      </c>
      <c r="J21" s="286">
        <f t="shared" si="9"/>
        <v>2.1406887200000004</v>
      </c>
      <c r="K21" s="294">
        <v>0.12</v>
      </c>
      <c r="L21" s="228">
        <v>0.9</v>
      </c>
      <c r="M21" s="17">
        <f t="shared" si="10"/>
        <v>24.959545000000002</v>
      </c>
      <c r="N21" s="289">
        <f t="shared" ref="N21" si="17">J21+K21+L21</f>
        <v>3.1606887200000005</v>
      </c>
      <c r="O21" s="295">
        <f t="shared" ref="O21" si="18">2*(J21+K21+L21)</f>
        <v>6.3213774400000009</v>
      </c>
      <c r="P21" s="287">
        <f t="shared" si="12"/>
        <v>34.441611160000001</v>
      </c>
    </row>
    <row r="22" spans="1:16" ht="15.75" x14ac:dyDescent="0.25">
      <c r="A22" s="305">
        <f t="shared" si="1"/>
        <v>18</v>
      </c>
      <c r="B22" s="283" t="s">
        <v>1954</v>
      </c>
      <c r="C22" s="16" t="s">
        <v>1924</v>
      </c>
      <c r="D22" s="294">
        <v>0.3</v>
      </c>
      <c r="E22" s="296">
        <v>1.4E-2</v>
      </c>
      <c r="F22" s="294">
        <v>4</v>
      </c>
      <c r="G22" s="304">
        <v>151</v>
      </c>
      <c r="H22" s="228">
        <v>12</v>
      </c>
      <c r="I22" s="228">
        <f t="shared" si="8"/>
        <v>11</v>
      </c>
      <c r="J22" s="286">
        <f t="shared" si="9"/>
        <v>1.9700422800000004</v>
      </c>
      <c r="K22" s="294">
        <v>0.12</v>
      </c>
      <c r="L22" s="228">
        <v>0.9</v>
      </c>
      <c r="M22" s="17">
        <f t="shared" si="10"/>
        <v>23.039580000000001</v>
      </c>
      <c r="N22" s="289">
        <f t="shared" ref="N22:N25" si="19">J22+K22+L22</f>
        <v>2.9900422800000004</v>
      </c>
      <c r="O22" s="295">
        <f t="shared" ref="O22:O25" si="20">2*(J22+K22+L22)</f>
        <v>5.9800845600000008</v>
      </c>
      <c r="P22" s="287">
        <f t="shared" si="12"/>
        <v>32.00970684</v>
      </c>
    </row>
    <row r="23" spans="1:16" ht="15.75" x14ac:dyDescent="0.25">
      <c r="A23" s="305">
        <f t="shared" si="1"/>
        <v>19</v>
      </c>
      <c r="B23" s="283" t="s">
        <v>1955</v>
      </c>
      <c r="C23" s="288" t="s">
        <v>1924</v>
      </c>
      <c r="D23" s="294">
        <v>0.3</v>
      </c>
      <c r="E23" s="296">
        <v>1.4E-2</v>
      </c>
      <c r="F23" s="294">
        <v>4</v>
      </c>
      <c r="G23" s="304">
        <v>151</v>
      </c>
      <c r="H23" s="228">
        <v>10</v>
      </c>
      <c r="I23" s="228">
        <f t="shared" si="8"/>
        <v>9</v>
      </c>
      <c r="J23" s="286">
        <f t="shared" si="9"/>
        <v>1.6287494000000002</v>
      </c>
      <c r="K23" s="294">
        <v>0.12</v>
      </c>
      <c r="L23" s="228">
        <v>0.9</v>
      </c>
      <c r="M23" s="127">
        <f t="shared" si="10"/>
        <v>19.199650000000002</v>
      </c>
      <c r="N23" s="289">
        <f t="shared" si="19"/>
        <v>2.6487494000000003</v>
      </c>
      <c r="O23" s="295">
        <f t="shared" si="20"/>
        <v>5.2974988000000005</v>
      </c>
      <c r="P23" s="287">
        <f t="shared" si="12"/>
        <v>27.145898200000001</v>
      </c>
    </row>
    <row r="24" spans="1:16" ht="15.75" x14ac:dyDescent="0.25">
      <c r="A24" s="305">
        <f t="shared" si="1"/>
        <v>20</v>
      </c>
      <c r="B24" s="283" t="s">
        <v>1956</v>
      </c>
      <c r="C24" s="288" t="s">
        <v>1924</v>
      </c>
      <c r="D24" s="294">
        <v>0.3</v>
      </c>
      <c r="E24" s="296">
        <v>1.4E-2</v>
      </c>
      <c r="F24" s="294">
        <v>4</v>
      </c>
      <c r="G24" s="304">
        <v>151</v>
      </c>
      <c r="H24" s="228">
        <v>10</v>
      </c>
      <c r="I24" s="228">
        <f t="shared" si="8"/>
        <v>9</v>
      </c>
      <c r="J24" s="286">
        <f t="shared" si="9"/>
        <v>1.6287494000000002</v>
      </c>
      <c r="K24" s="294">
        <v>0.12</v>
      </c>
      <c r="L24" s="228">
        <v>0.9</v>
      </c>
      <c r="M24" s="127">
        <f t="shared" si="10"/>
        <v>19.199650000000002</v>
      </c>
      <c r="N24" s="289">
        <f t="shared" si="19"/>
        <v>2.6487494000000003</v>
      </c>
      <c r="O24" s="295">
        <f t="shared" si="20"/>
        <v>5.2974988000000005</v>
      </c>
      <c r="P24" s="287">
        <f t="shared" si="12"/>
        <v>27.145898200000001</v>
      </c>
    </row>
    <row r="25" spans="1:16" ht="15.75" x14ac:dyDescent="0.25">
      <c r="A25" s="305">
        <f t="shared" si="1"/>
        <v>21</v>
      </c>
      <c r="B25" s="283" t="s">
        <v>1957</v>
      </c>
      <c r="C25" s="291" t="s">
        <v>1924</v>
      </c>
      <c r="D25" s="294">
        <v>0.3</v>
      </c>
      <c r="E25" s="290">
        <v>1.4E-2</v>
      </c>
      <c r="F25" s="294">
        <v>4</v>
      </c>
      <c r="G25" s="294">
        <v>151</v>
      </c>
      <c r="H25" s="300">
        <v>14</v>
      </c>
      <c r="I25" s="300">
        <f>H25-1</f>
        <v>13</v>
      </c>
      <c r="J25" s="286">
        <f>(E25*E25*3.14/4)*F25*G25*H25+(D25*D25*3.14/4)*1.1*I25</f>
        <v>2.3113351600000005</v>
      </c>
      <c r="K25" s="294">
        <v>0.12</v>
      </c>
      <c r="L25" s="300">
        <v>0.9</v>
      </c>
      <c r="M25" s="17">
        <f>0.02543*G25/2*H25</f>
        <v>26.879510000000003</v>
      </c>
      <c r="N25" s="289">
        <f t="shared" si="19"/>
        <v>3.3313351600000005</v>
      </c>
      <c r="O25" s="295">
        <f t="shared" si="20"/>
        <v>6.662670320000001</v>
      </c>
      <c r="P25" s="287">
        <f t="shared" si="12"/>
        <v>36.873515480000009</v>
      </c>
    </row>
    <row r="26" spans="1:16" ht="15.75" x14ac:dyDescent="0.25">
      <c r="A26" s="305">
        <f t="shared" si="1"/>
        <v>22</v>
      </c>
      <c r="B26" s="283" t="s">
        <v>1963</v>
      </c>
      <c r="C26" s="291" t="s">
        <v>1924</v>
      </c>
      <c r="D26" s="294">
        <v>0.3</v>
      </c>
      <c r="E26" s="290">
        <v>1.4E-2</v>
      </c>
      <c r="F26" s="294">
        <v>4</v>
      </c>
      <c r="G26" s="294">
        <v>151</v>
      </c>
      <c r="H26" s="300">
        <v>12</v>
      </c>
      <c r="I26" s="300">
        <f t="shared" ref="I26" si="21">H26-1</f>
        <v>11</v>
      </c>
      <c r="J26" s="286">
        <f t="shared" ref="J26" si="22">(E26*E26*3.14/4)*F26*G26*H26+(D26*D26*3.14/4)*1.1*I26</f>
        <v>1.9700422800000004</v>
      </c>
      <c r="K26" s="294">
        <v>0.12</v>
      </c>
      <c r="L26" s="300">
        <v>0.9</v>
      </c>
      <c r="M26" s="17">
        <f t="shared" ref="M26" si="23">0.02543*G26/2*H26</f>
        <v>23.039580000000001</v>
      </c>
      <c r="N26" s="289">
        <f t="shared" ref="N26:N27" si="24">J26+K26+L26</f>
        <v>2.9900422800000004</v>
      </c>
      <c r="O26" s="295">
        <f t="shared" ref="O26:O27" si="25">2*(J26+K26+L26)</f>
        <v>5.9800845600000008</v>
      </c>
      <c r="P26" s="287">
        <f t="shared" si="12"/>
        <v>32.00970684</v>
      </c>
    </row>
    <row r="27" spans="1:16" ht="15.75" x14ac:dyDescent="0.25">
      <c r="A27" s="305">
        <f t="shared" si="1"/>
        <v>23</v>
      </c>
      <c r="B27" s="283" t="s">
        <v>1964</v>
      </c>
      <c r="C27" s="302" t="s">
        <v>1924</v>
      </c>
      <c r="D27" s="300">
        <v>0.3</v>
      </c>
      <c r="E27" s="293">
        <v>1.4E-2</v>
      </c>
      <c r="F27" s="300">
        <v>4</v>
      </c>
      <c r="G27" s="300">
        <v>151</v>
      </c>
      <c r="H27" s="300">
        <v>10</v>
      </c>
      <c r="I27" s="300">
        <f>H27-1</f>
        <v>9</v>
      </c>
      <c r="J27" s="286">
        <f>(E27*E27*3.14/4)*F27*G27*H27+(D27*D27*3.14/4)*1.1*I27</f>
        <v>1.6287494000000002</v>
      </c>
      <c r="K27" s="300">
        <v>0.12</v>
      </c>
      <c r="L27" s="300">
        <v>0.9</v>
      </c>
      <c r="M27" s="281">
        <f>0.02543*G27/2*H27</f>
        <v>19.199650000000002</v>
      </c>
      <c r="N27" s="307">
        <f t="shared" si="24"/>
        <v>2.6487494000000003</v>
      </c>
      <c r="O27" s="295">
        <f t="shared" si="25"/>
        <v>5.2974988000000005</v>
      </c>
      <c r="P27" s="287">
        <f t="shared" si="12"/>
        <v>27.145898200000001</v>
      </c>
    </row>
    <row r="28" spans="1:16" ht="31.5" x14ac:dyDescent="0.25">
      <c r="A28" s="305">
        <f t="shared" si="1"/>
        <v>24</v>
      </c>
      <c r="B28" s="283" t="s">
        <v>1965</v>
      </c>
      <c r="C28" s="302" t="s">
        <v>1924</v>
      </c>
      <c r="D28" s="300">
        <v>0.3</v>
      </c>
      <c r="E28" s="293">
        <v>1.4E-2</v>
      </c>
      <c r="F28" s="300">
        <v>4</v>
      </c>
      <c r="G28" s="300">
        <v>151</v>
      </c>
      <c r="H28" s="300">
        <v>12</v>
      </c>
      <c r="I28" s="300">
        <f>H28-1</f>
        <v>11</v>
      </c>
      <c r="J28" s="286">
        <f>(E28*E28*3.14/4)*F28*G28*H28+(D28*D28*3.14/4)*1.1*I28</f>
        <v>1.9700422800000004</v>
      </c>
      <c r="K28" s="300">
        <v>0.12</v>
      </c>
      <c r="L28" s="300">
        <v>0.9</v>
      </c>
      <c r="M28" s="281">
        <f>0.02543*G28/2*H28</f>
        <v>23.039580000000001</v>
      </c>
      <c r="N28" s="307">
        <f t="shared" ref="N28" si="26">J28+K28+L28</f>
        <v>2.9900422800000004</v>
      </c>
      <c r="O28" s="295">
        <f t="shared" ref="O28" si="27">2*(J28+K28+L28)</f>
        <v>5.9800845600000008</v>
      </c>
      <c r="P28" s="287">
        <f t="shared" si="12"/>
        <v>32.00970684</v>
      </c>
    </row>
    <row r="29" spans="1:16" ht="15.75" x14ac:dyDescent="0.25">
      <c r="A29" s="305">
        <f t="shared" si="1"/>
        <v>25</v>
      </c>
      <c r="B29" s="283" t="s">
        <v>1966</v>
      </c>
      <c r="C29" s="302" t="s">
        <v>1924</v>
      </c>
      <c r="D29" s="300">
        <v>0.3</v>
      </c>
      <c r="E29" s="293">
        <v>1.4E-2</v>
      </c>
      <c r="F29" s="300">
        <v>4</v>
      </c>
      <c r="G29" s="300">
        <v>151</v>
      </c>
      <c r="H29" s="300">
        <v>10</v>
      </c>
      <c r="I29" s="300">
        <f>H29-1</f>
        <v>9</v>
      </c>
      <c r="J29" s="286">
        <f>(E29*E29*3.14/4)*F29*G29*H29+(D29*D29*3.14/4)*1.1*I29</f>
        <v>1.6287494000000002</v>
      </c>
      <c r="K29" s="300">
        <v>0.12</v>
      </c>
      <c r="L29" s="300">
        <v>0.9</v>
      </c>
      <c r="M29" s="281">
        <f>0.02543*G29/2*H29</f>
        <v>19.199650000000002</v>
      </c>
      <c r="N29" s="307">
        <f t="shared" ref="N29" si="28">J29+K29+L29</f>
        <v>2.6487494000000003</v>
      </c>
      <c r="O29" s="295">
        <f t="shared" ref="O29" si="29">2*(J29+K29+L29)</f>
        <v>5.2974988000000005</v>
      </c>
      <c r="P29" s="287">
        <f t="shared" si="12"/>
        <v>27.145898200000001</v>
      </c>
    </row>
    <row r="30" spans="1:16" ht="31.5" x14ac:dyDescent="0.25">
      <c r="A30" s="305">
        <f t="shared" si="1"/>
        <v>26</v>
      </c>
      <c r="B30" s="283" t="s">
        <v>1967</v>
      </c>
      <c r="C30" s="302" t="s">
        <v>1924</v>
      </c>
      <c r="D30" s="300">
        <v>0.3</v>
      </c>
      <c r="E30" s="293">
        <v>1.4E-2</v>
      </c>
      <c r="F30" s="300">
        <v>4</v>
      </c>
      <c r="G30" s="300">
        <v>151</v>
      </c>
      <c r="H30" s="300">
        <v>10</v>
      </c>
      <c r="I30" s="300">
        <f>H30-1</f>
        <v>9</v>
      </c>
      <c r="J30" s="286">
        <f>(E30*E30*3.14/4)*F30*G30*H30+(D30*D30*3.14/4)*1.1*I30</f>
        <v>1.6287494000000002</v>
      </c>
      <c r="K30" s="300">
        <v>0.12</v>
      </c>
      <c r="L30" s="300">
        <v>0.9</v>
      </c>
      <c r="M30" s="281">
        <f>0.02543*G30/2*H30</f>
        <v>19.199650000000002</v>
      </c>
      <c r="N30" s="307">
        <f t="shared" ref="N30" si="30">J30+K30+L30</f>
        <v>2.6487494000000003</v>
      </c>
      <c r="O30" s="295">
        <f t="shared" ref="O30" si="31">2*(J30+K30+L30)</f>
        <v>5.2974988000000005</v>
      </c>
      <c r="P30" s="287">
        <f t="shared" si="12"/>
        <v>27.145898200000001</v>
      </c>
    </row>
    <row r="31" spans="1:16" ht="15.75" x14ac:dyDescent="0.25">
      <c r="A31" s="16"/>
      <c r="B31" s="278" t="s">
        <v>1936</v>
      </c>
      <c r="C31" s="17"/>
      <c r="D31" s="17"/>
      <c r="E31" s="17"/>
      <c r="F31" s="127"/>
      <c r="G31" s="127"/>
      <c r="H31" s="17"/>
      <c r="I31" s="17"/>
      <c r="J31" s="292"/>
      <c r="K31" s="132"/>
      <c r="L31" s="17"/>
      <c r="M31" s="17"/>
      <c r="N31" s="17"/>
      <c r="O31" s="17"/>
      <c r="P31" s="299">
        <f>SUM(P4:P30)</f>
        <v>569.15821187999995</v>
      </c>
    </row>
  </sheetData>
  <mergeCells count="9">
    <mergeCell ref="K1:P1"/>
    <mergeCell ref="C14:D14"/>
    <mergeCell ref="C17:D17"/>
    <mergeCell ref="B2:P2"/>
    <mergeCell ref="C4:D4"/>
    <mergeCell ref="C6:D6"/>
    <mergeCell ref="C7:D7"/>
    <mergeCell ref="C8:D8"/>
    <mergeCell ref="C10:D10"/>
  </mergeCells>
  <pageMargins left="0.31496062992125984" right="0.11811023622047245"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6"/>
  <sheetViews>
    <sheetView topLeftCell="A16" zoomScaleNormal="100" workbookViewId="0">
      <selection activeCell="K27" sqref="K27"/>
    </sheetView>
  </sheetViews>
  <sheetFormatPr defaultRowHeight="15" x14ac:dyDescent="0.25"/>
  <cols>
    <col min="1" max="1" width="4.85546875" style="259" customWidth="1"/>
    <col min="2" max="2" width="38.42578125" customWidth="1"/>
    <col min="3" max="3" width="10.7109375" customWidth="1"/>
    <col min="4" max="4" width="12" customWidth="1"/>
    <col min="5" max="5" width="13" customWidth="1"/>
    <col min="6" max="6" width="11.7109375" customWidth="1"/>
    <col min="7" max="9" width="9.140625" style="25"/>
  </cols>
  <sheetData>
    <row r="1" spans="1:8" x14ac:dyDescent="0.25">
      <c r="A1" s="429" t="s">
        <v>1864</v>
      </c>
      <c r="B1" s="429"/>
      <c r="C1" s="429"/>
      <c r="D1" s="429"/>
      <c r="E1" s="429"/>
      <c r="F1" s="429"/>
      <c r="G1" s="262"/>
      <c r="H1" s="262"/>
    </row>
    <row r="2" spans="1:8" ht="33.75" customHeight="1" x14ac:dyDescent="0.25">
      <c r="A2" s="432" t="s">
        <v>1867</v>
      </c>
      <c r="B2" s="429"/>
      <c r="C2" s="429"/>
      <c r="D2" s="429"/>
      <c r="E2" s="429"/>
      <c r="F2" s="429"/>
      <c r="G2" s="263"/>
      <c r="H2" s="263"/>
    </row>
    <row r="3" spans="1:8" x14ac:dyDescent="0.25">
      <c r="A3" s="429" t="s">
        <v>1865</v>
      </c>
      <c r="B3" s="429"/>
      <c r="C3" s="429"/>
      <c r="D3" s="429"/>
      <c r="E3" s="429"/>
      <c r="F3" s="429"/>
      <c r="G3" s="263"/>
      <c r="H3" s="263"/>
    </row>
    <row r="4" spans="1:8" x14ac:dyDescent="0.25">
      <c r="A4" s="433" t="s">
        <v>1844</v>
      </c>
      <c r="B4" s="433"/>
      <c r="C4" s="433"/>
      <c r="D4" s="433"/>
      <c r="E4" s="433"/>
      <c r="F4" s="433"/>
      <c r="G4" s="264"/>
      <c r="H4" s="264"/>
    </row>
    <row r="5" spans="1:8" ht="11.25" customHeight="1" x14ac:dyDescent="0.25">
      <c r="A5" s="252"/>
    </row>
    <row r="6" spans="1:8" ht="18" customHeight="1" x14ac:dyDescent="0.25">
      <c r="A6" s="443" t="s">
        <v>1861</v>
      </c>
      <c r="B6" s="440" t="s">
        <v>1845</v>
      </c>
      <c r="C6" s="437" t="s">
        <v>1877</v>
      </c>
      <c r="D6" s="437"/>
      <c r="E6" s="437"/>
      <c r="F6" s="437"/>
    </row>
    <row r="7" spans="1:8" ht="33" customHeight="1" x14ac:dyDescent="0.25">
      <c r="A7" s="444"/>
      <c r="B7" s="441"/>
      <c r="C7" s="437" t="s">
        <v>1868</v>
      </c>
      <c r="D7" s="437"/>
      <c r="E7" s="437" t="s">
        <v>1869</v>
      </c>
      <c r="F7" s="437"/>
    </row>
    <row r="8" spans="1:8" x14ac:dyDescent="0.25">
      <c r="A8" s="444"/>
      <c r="B8" s="441"/>
      <c r="C8" s="437" t="s">
        <v>1846</v>
      </c>
      <c r="D8" s="437" t="s">
        <v>1863</v>
      </c>
      <c r="E8" s="437" t="s">
        <v>1862</v>
      </c>
      <c r="F8" s="437" t="s">
        <v>1847</v>
      </c>
    </row>
    <row r="9" spans="1:8" x14ac:dyDescent="0.25">
      <c r="A9" s="445"/>
      <c r="B9" s="442"/>
      <c r="C9" s="437"/>
      <c r="D9" s="437"/>
      <c r="E9" s="437"/>
      <c r="F9" s="437"/>
    </row>
    <row r="10" spans="1:8" ht="13.5" customHeight="1" x14ac:dyDescent="0.25">
      <c r="A10" s="253">
        <v>1</v>
      </c>
      <c r="B10" s="247">
        <v>2</v>
      </c>
      <c r="C10" s="247">
        <v>3</v>
      </c>
      <c r="D10" s="247">
        <v>4</v>
      </c>
      <c r="E10" s="247">
        <v>5</v>
      </c>
      <c r="F10" s="247">
        <v>6</v>
      </c>
    </row>
    <row r="11" spans="1:8" ht="25.5" x14ac:dyDescent="0.25">
      <c r="A11" s="254" t="s">
        <v>1871</v>
      </c>
      <c r="B11" s="251" t="s">
        <v>1848</v>
      </c>
      <c r="C11" s="271">
        <f>C12+C13+C14+C15</f>
        <v>1.2155683223200002</v>
      </c>
      <c r="D11" s="271">
        <f t="shared" ref="D11:F11" si="0">D12+D13+D14+D15</f>
        <v>1.0906536</v>
      </c>
      <c r="E11" s="271">
        <f t="shared" si="0"/>
        <v>0.60227904460972104</v>
      </c>
      <c r="F11" s="271">
        <f t="shared" si="0"/>
        <v>0.54038740245752215</v>
      </c>
    </row>
    <row r="12" spans="1:8" x14ac:dyDescent="0.25">
      <c r="A12" s="254" t="s">
        <v>1870</v>
      </c>
      <c r="B12" s="249" t="s">
        <v>1849</v>
      </c>
      <c r="C12" s="248"/>
      <c r="D12" s="248"/>
      <c r="E12" s="248"/>
      <c r="F12" s="248"/>
    </row>
    <row r="13" spans="1:8" x14ac:dyDescent="0.25">
      <c r="A13" s="254"/>
      <c r="B13" s="249" t="s">
        <v>1850</v>
      </c>
      <c r="C13" s="248"/>
      <c r="D13" s="248"/>
      <c r="E13" s="248"/>
      <c r="F13" s="248"/>
    </row>
    <row r="14" spans="1:8" ht="25.5" x14ac:dyDescent="0.25">
      <c r="A14" s="254"/>
      <c r="B14" s="249" t="s">
        <v>1851</v>
      </c>
      <c r="C14" s="267"/>
      <c r="D14" s="267">
        <f>розрах!I99/1000*розрах!I103</f>
        <v>1.027728</v>
      </c>
      <c r="E14" s="248"/>
      <c r="F14" s="267">
        <f>розрах!I99</f>
        <v>0.50920958254102344</v>
      </c>
    </row>
    <row r="15" spans="1:8" x14ac:dyDescent="0.25">
      <c r="A15" s="254"/>
      <c r="B15" s="249" t="s">
        <v>1852</v>
      </c>
      <c r="C15" s="267">
        <f>розрах!I115*розрах!I112/1000+розрах!I118*розрах!I112/1000</f>
        <v>1.2155683223200002</v>
      </c>
      <c r="D15" s="267">
        <f>розрах!I116*розрах!I112/1000</f>
        <v>6.2925599999999998E-2</v>
      </c>
      <c r="E15" s="267">
        <f>розрах!I115+розрах!I118</f>
        <v>0.60227904460972104</v>
      </c>
      <c r="F15" s="267">
        <f>розрах!I116</f>
        <v>3.1177819916498744E-2</v>
      </c>
    </row>
    <row r="16" spans="1:8" ht="25.5" x14ac:dyDescent="0.25">
      <c r="A16" s="254" t="s">
        <v>1873</v>
      </c>
      <c r="B16" s="251" t="s">
        <v>1853</v>
      </c>
      <c r="C16" s="270">
        <f>C17+C18+C19+C20</f>
        <v>1.4026766220000002</v>
      </c>
      <c r="D16" s="270">
        <f t="shared" ref="D16:F16" si="1">D17+D18+D19+D20</f>
        <v>77.070163504515051</v>
      </c>
      <c r="E16" s="270">
        <f t="shared" si="1"/>
        <v>0.69498581057310194</v>
      </c>
      <c r="F16" s="270">
        <f t="shared" si="1"/>
        <v>38.186043179228868</v>
      </c>
    </row>
    <row r="17" spans="1:12" x14ac:dyDescent="0.25">
      <c r="A17" s="254"/>
      <c r="B17" s="249" t="s">
        <v>1879</v>
      </c>
      <c r="C17" s="248"/>
      <c r="D17" s="267">
        <f>розрах!I246/1000*розрах!I243</f>
        <v>7.5524450097475206</v>
      </c>
      <c r="E17" s="248"/>
      <c r="F17" s="267">
        <f>розрах!I246</f>
        <v>3.7420186767097618</v>
      </c>
    </row>
    <row r="18" spans="1:12" ht="26.25" x14ac:dyDescent="0.25">
      <c r="A18" s="254"/>
      <c r="B18" s="261" t="s">
        <v>1874</v>
      </c>
      <c r="C18" s="269">
        <f>розрах!I247*розрах!I243/1000</f>
        <v>1.4026766220000002</v>
      </c>
      <c r="D18" s="269">
        <f>розрах!I248*розрах!I243/1000</f>
        <v>8.3948087614999986E-2</v>
      </c>
      <c r="E18" s="269">
        <f>розрах!I247</f>
        <v>0.69498581057310194</v>
      </c>
      <c r="F18" s="269">
        <f>розрах!I248</f>
        <v>4.1593856204707277E-2</v>
      </c>
      <c r="G18" s="265"/>
      <c r="H18" s="265"/>
      <c r="I18" s="265"/>
    </row>
    <row r="19" spans="1:12" x14ac:dyDescent="0.25">
      <c r="A19" s="254"/>
      <c r="B19" s="261" t="s">
        <v>1878</v>
      </c>
      <c r="C19" s="268"/>
      <c r="D19" s="269">
        <f>(розрах!I249+розрах!I250+розрах!I252+розрах!I251)*розрах!I243/1000</f>
        <v>69.433770407152537</v>
      </c>
      <c r="E19" s="269"/>
      <c r="F19" s="269">
        <f>розрах!I249+розрах!I250+розрах!I251+розрах!I252</f>
        <v>34.4024306463144</v>
      </c>
      <c r="G19" s="265"/>
      <c r="H19" s="265"/>
      <c r="I19" s="265"/>
    </row>
    <row r="20" spans="1:12" x14ac:dyDescent="0.25">
      <c r="A20" s="254"/>
      <c r="B20" s="249" t="s">
        <v>1854</v>
      </c>
      <c r="C20" s="248"/>
      <c r="D20" s="248"/>
      <c r="E20" s="248"/>
      <c r="F20" s="248"/>
    </row>
    <row r="21" spans="1:12" ht="25.5" x14ac:dyDescent="0.25">
      <c r="A21" s="254" t="s">
        <v>1875</v>
      </c>
      <c r="B21" s="251" t="s">
        <v>1866</v>
      </c>
      <c r="C21" s="250">
        <f>C22+C23</f>
        <v>0</v>
      </c>
      <c r="D21" s="270">
        <f t="shared" ref="D21:F21" si="2">D22+D23</f>
        <v>224.04259799999997</v>
      </c>
      <c r="E21" s="250">
        <f t="shared" si="2"/>
        <v>0</v>
      </c>
      <c r="F21" s="270">
        <f t="shared" si="2"/>
        <v>111.00664553168379</v>
      </c>
    </row>
    <row r="22" spans="1:12" x14ac:dyDescent="0.25">
      <c r="A22" s="254"/>
      <c r="B22" s="249" t="s">
        <v>1872</v>
      </c>
      <c r="C22" s="248"/>
      <c r="D22" s="267">
        <f>розрах!I259/1000*розрах!I269</f>
        <v>224.04259799999997</v>
      </c>
      <c r="E22" s="248"/>
      <c r="F22" s="267">
        <f>розрах!I259</f>
        <v>111.00664553168379</v>
      </c>
    </row>
    <row r="23" spans="1:12" x14ac:dyDescent="0.25">
      <c r="A23" s="254"/>
      <c r="B23" s="249" t="s">
        <v>1855</v>
      </c>
      <c r="C23" s="248"/>
      <c r="D23" s="248"/>
      <c r="E23" s="248"/>
      <c r="F23" s="248"/>
    </row>
    <row r="24" spans="1:12" ht="25.5" x14ac:dyDescent="0.25">
      <c r="A24" s="254" t="s">
        <v>1876</v>
      </c>
      <c r="B24" s="251" t="s">
        <v>1856</v>
      </c>
      <c r="C24" s="270">
        <f>розрах!J20*розрах!I29/1000</f>
        <v>0.43454500000000001</v>
      </c>
      <c r="D24" s="270">
        <f>розрах!J32*розрах!I29/1000</f>
        <v>0.33402999999999999</v>
      </c>
      <c r="E24" s="270">
        <f>розрах!J20</f>
        <v>0.21530451446811708</v>
      </c>
      <c r="F24" s="270">
        <f>розрах!J32</f>
        <v>0.16550223099514466</v>
      </c>
    </row>
    <row r="25" spans="1:12" x14ac:dyDescent="0.25">
      <c r="A25" s="255"/>
      <c r="B25" s="251" t="s">
        <v>1857</v>
      </c>
      <c r="C25" s="270">
        <f>C11+C16+C21+C24</f>
        <v>3.0527899443200006</v>
      </c>
      <c r="D25" s="270">
        <f>D11+D16+D21+D24</f>
        <v>302.53744510451497</v>
      </c>
      <c r="E25" s="270">
        <f>E11+E16+E21+E24</f>
        <v>1.5125693696509401</v>
      </c>
      <c r="F25" s="270">
        <f>F11+F16+F21+F24</f>
        <v>149.89857834436532</v>
      </c>
    </row>
    <row r="26" spans="1:12" ht="32.25" customHeight="1" x14ac:dyDescent="0.25">
      <c r="A26" s="434" t="s">
        <v>1858</v>
      </c>
      <c r="B26" s="434"/>
      <c r="C26" s="435">
        <f>C25+D25</f>
        <v>305.59023504883498</v>
      </c>
      <c r="D26" s="436"/>
      <c r="E26" s="435">
        <f>E25+F25</f>
        <v>151.41114771401627</v>
      </c>
      <c r="F26" s="436"/>
      <c r="I26" s="309"/>
      <c r="L26" s="4"/>
    </row>
    <row r="27" spans="1:12" ht="34.5" customHeight="1" x14ac:dyDescent="0.25">
      <c r="A27" s="447" t="s">
        <v>1859</v>
      </c>
      <c r="B27" s="447"/>
      <c r="C27" s="435">
        <f>C24+D24+D14+розрах!I118*розрах!I133/1000+D21/1000</f>
        <v>2.5669997203200001</v>
      </c>
      <c r="D27" s="436"/>
      <c r="E27" s="435">
        <f>E24+F24+F14</f>
        <v>0.89001632800428521</v>
      </c>
      <c r="F27" s="436"/>
    </row>
    <row r="28" spans="1:12" x14ac:dyDescent="0.25">
      <c r="A28" s="256"/>
    </row>
    <row r="29" spans="1:12" ht="27.75" customHeight="1" x14ac:dyDescent="0.25">
      <c r="A29" s="446"/>
      <c r="B29" s="446"/>
      <c r="C29" s="446"/>
      <c r="D29" s="15"/>
    </row>
    <row r="30" spans="1:12" ht="21" customHeight="1" x14ac:dyDescent="0.25">
      <c r="A30" s="448" t="s">
        <v>2089</v>
      </c>
      <c r="B30" s="448"/>
      <c r="C30" s="448"/>
      <c r="D30" s="448"/>
      <c r="E30" s="439" t="s">
        <v>2090</v>
      </c>
      <c r="F30" s="439"/>
    </row>
    <row r="31" spans="1:12" x14ac:dyDescent="0.25">
      <c r="A31" s="257" t="s">
        <v>1860</v>
      </c>
      <c r="D31" s="422" t="s">
        <v>2091</v>
      </c>
      <c r="E31" s="449" t="s">
        <v>2092</v>
      </c>
      <c r="F31" s="449"/>
    </row>
    <row r="32" spans="1:12" x14ac:dyDescent="0.25">
      <c r="A32" s="258"/>
    </row>
    <row r="33" spans="1:7" ht="15.75" x14ac:dyDescent="0.25">
      <c r="A33" s="438"/>
      <c r="B33" s="438"/>
      <c r="C33" s="438"/>
      <c r="D33" s="438"/>
    </row>
    <row r="34" spans="1:7" ht="15.75" x14ac:dyDescent="0.25">
      <c r="A34" s="438"/>
      <c r="B34" s="438"/>
      <c r="C34" s="438"/>
      <c r="D34" s="438"/>
    </row>
    <row r="35" spans="1:7" ht="15.75" x14ac:dyDescent="0.25">
      <c r="A35" s="438"/>
      <c r="B35" s="438"/>
      <c r="C35" s="438"/>
      <c r="D35" s="438"/>
      <c r="G35" s="266"/>
    </row>
    <row r="36" spans="1:7" x14ac:dyDescent="0.25">
      <c r="A36" s="260"/>
      <c r="B36" s="220"/>
      <c r="C36" s="220"/>
      <c r="D36" s="220"/>
    </row>
  </sheetData>
  <mergeCells count="26">
    <mergeCell ref="A34:D34"/>
    <mergeCell ref="A35:D35"/>
    <mergeCell ref="E30:F30"/>
    <mergeCell ref="F8:F9"/>
    <mergeCell ref="B6:B9"/>
    <mergeCell ref="A6:A9"/>
    <mergeCell ref="D8:D9"/>
    <mergeCell ref="A33:D33"/>
    <mergeCell ref="A29:C29"/>
    <mergeCell ref="A27:B27"/>
    <mergeCell ref="C27:D27"/>
    <mergeCell ref="E27:F27"/>
    <mergeCell ref="A30:D30"/>
    <mergeCell ref="E31:F31"/>
    <mergeCell ref="A1:F1"/>
    <mergeCell ref="A2:F2"/>
    <mergeCell ref="A3:F3"/>
    <mergeCell ref="A4:F4"/>
    <mergeCell ref="A26:B26"/>
    <mergeCell ref="C26:D26"/>
    <mergeCell ref="E26:F26"/>
    <mergeCell ref="C6:F6"/>
    <mergeCell ref="C7:D7"/>
    <mergeCell ref="E7:F7"/>
    <mergeCell ref="C8:C9"/>
    <mergeCell ref="E8:E9"/>
  </mergeCells>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J24"/>
  <sheetViews>
    <sheetView zoomScale="62" zoomScaleNormal="62" workbookViewId="0">
      <selection activeCell="M22" sqref="M22"/>
    </sheetView>
  </sheetViews>
  <sheetFormatPr defaultRowHeight="15" x14ac:dyDescent="0.25"/>
  <sheetData>
    <row r="1" spans="1:10" ht="18.75" x14ac:dyDescent="0.25">
      <c r="A1" s="456" t="s">
        <v>1891</v>
      </c>
      <c r="B1" s="456"/>
      <c r="C1" s="456"/>
      <c r="D1" s="456"/>
      <c r="E1" s="456"/>
      <c r="F1" s="456"/>
      <c r="G1" s="456"/>
      <c r="H1" s="456"/>
      <c r="I1" s="456"/>
      <c r="J1" s="456"/>
    </row>
    <row r="2" spans="1:10" ht="168" customHeight="1" x14ac:dyDescent="0.25">
      <c r="A2" s="457" t="s">
        <v>1911</v>
      </c>
      <c r="B2" s="457"/>
      <c r="C2" s="457"/>
      <c r="D2" s="457"/>
      <c r="E2" s="457"/>
      <c r="F2" s="457"/>
      <c r="G2" s="457"/>
      <c r="H2" s="457"/>
      <c r="I2" s="457"/>
      <c r="J2" s="457"/>
    </row>
    <row r="3" spans="1:10" ht="64.5" customHeight="1" x14ac:dyDescent="0.25">
      <c r="A3" s="457" t="s">
        <v>1913</v>
      </c>
      <c r="B3" s="458"/>
      <c r="C3" s="458"/>
      <c r="D3" s="458"/>
      <c r="E3" s="458"/>
      <c r="F3" s="458"/>
      <c r="G3" s="458"/>
      <c r="H3" s="458"/>
      <c r="I3" s="458"/>
      <c r="J3" s="458"/>
    </row>
    <row r="4" spans="1:10" ht="117" customHeight="1" x14ac:dyDescent="0.25">
      <c r="A4" s="457" t="s">
        <v>1914</v>
      </c>
      <c r="B4" s="457"/>
      <c r="C4" s="457"/>
      <c r="D4" s="457"/>
      <c r="E4" s="457"/>
      <c r="F4" s="457"/>
      <c r="G4" s="457"/>
      <c r="H4" s="457"/>
      <c r="I4" s="457"/>
      <c r="J4" s="457"/>
    </row>
    <row r="5" spans="1:10" ht="33.75" customHeight="1" x14ac:dyDescent="0.25">
      <c r="A5" s="464" t="s">
        <v>1893</v>
      </c>
      <c r="B5" s="464"/>
      <c r="C5" s="464"/>
      <c r="D5" s="464"/>
      <c r="E5" s="464"/>
      <c r="F5" s="464"/>
      <c r="G5" s="464"/>
      <c r="H5" s="464"/>
      <c r="I5" s="464"/>
      <c r="J5" s="464"/>
    </row>
    <row r="6" spans="1:10" ht="64.5" customHeight="1" x14ac:dyDescent="0.25">
      <c r="A6" s="456" t="s">
        <v>1903</v>
      </c>
      <c r="B6" s="456"/>
      <c r="C6" s="456"/>
      <c r="D6" s="456"/>
      <c r="E6" s="456"/>
      <c r="F6" s="456"/>
      <c r="G6" s="456"/>
      <c r="H6" s="456"/>
      <c r="I6" s="456"/>
      <c r="J6" s="456"/>
    </row>
    <row r="7" spans="1:10" ht="48" customHeight="1" x14ac:dyDescent="0.3">
      <c r="A7" s="452" t="s">
        <v>1908</v>
      </c>
      <c r="B7" s="453"/>
      <c r="C7" s="453"/>
      <c r="D7" s="453"/>
      <c r="E7" s="453"/>
      <c r="F7" s="453"/>
      <c r="G7" s="453"/>
      <c r="H7" s="453"/>
      <c r="I7" s="453"/>
      <c r="J7" s="453"/>
    </row>
    <row r="8" spans="1:10" ht="96" customHeight="1" x14ac:dyDescent="0.25">
      <c r="A8" s="456" t="s">
        <v>1904</v>
      </c>
      <c r="B8" s="456"/>
      <c r="C8" s="456"/>
      <c r="D8" s="456"/>
      <c r="E8" s="456"/>
      <c r="F8" s="456"/>
      <c r="G8" s="456"/>
      <c r="H8" s="456"/>
      <c r="I8" s="456"/>
      <c r="J8" s="456"/>
    </row>
    <row r="9" spans="1:10" ht="67.5" customHeight="1" x14ac:dyDescent="0.25">
      <c r="A9" s="456" t="s">
        <v>1905</v>
      </c>
      <c r="B9" s="456"/>
      <c r="C9" s="456"/>
      <c r="D9" s="456"/>
      <c r="E9" s="456"/>
      <c r="F9" s="456"/>
      <c r="G9" s="456"/>
      <c r="H9" s="456"/>
      <c r="I9" s="456"/>
      <c r="J9" s="456"/>
    </row>
    <row r="10" spans="1:10" ht="48" customHeight="1" x14ac:dyDescent="0.25">
      <c r="A10" s="456" t="s">
        <v>1906</v>
      </c>
      <c r="B10" s="456"/>
      <c r="C10" s="456"/>
      <c r="D10" s="456"/>
      <c r="E10" s="456"/>
      <c r="F10" s="456"/>
      <c r="G10" s="456"/>
      <c r="H10" s="456"/>
      <c r="I10" s="456"/>
      <c r="J10" s="456"/>
    </row>
    <row r="11" spans="1:10" ht="66.75" customHeight="1" x14ac:dyDescent="0.25">
      <c r="A11" s="456" t="s">
        <v>1907</v>
      </c>
      <c r="B11" s="456"/>
      <c r="C11" s="456"/>
      <c r="D11" s="456"/>
      <c r="E11" s="456"/>
      <c r="F11" s="456"/>
      <c r="G11" s="456"/>
      <c r="H11" s="456"/>
      <c r="I11" s="456"/>
      <c r="J11" s="456"/>
    </row>
    <row r="12" spans="1:10" ht="51.75" customHeight="1" x14ac:dyDescent="0.25">
      <c r="A12" s="457" t="s">
        <v>1894</v>
      </c>
      <c r="B12" s="458"/>
      <c r="C12" s="458"/>
      <c r="D12" s="458"/>
      <c r="E12" s="458"/>
      <c r="F12" s="458"/>
      <c r="G12" s="458"/>
      <c r="H12" s="458"/>
      <c r="I12" s="458"/>
      <c r="J12" s="458"/>
    </row>
    <row r="13" spans="1:10" ht="25.5" customHeight="1" x14ac:dyDescent="0.25">
      <c r="A13" s="463" t="s">
        <v>1899</v>
      </c>
      <c r="B13" s="463"/>
      <c r="C13" s="463"/>
      <c r="D13" s="463"/>
      <c r="E13" s="463"/>
      <c r="F13" s="463"/>
      <c r="G13" s="463"/>
      <c r="H13" s="463"/>
      <c r="I13" s="463"/>
      <c r="J13" s="463"/>
    </row>
    <row r="14" spans="1:10" ht="18.75" x14ac:dyDescent="0.25">
      <c r="A14" s="462" t="s">
        <v>1895</v>
      </c>
      <c r="B14" s="462"/>
      <c r="C14" s="462"/>
      <c r="D14" s="462"/>
      <c r="E14" s="462"/>
      <c r="F14" s="462"/>
      <c r="G14" s="462"/>
      <c r="H14" s="462"/>
      <c r="I14" s="462"/>
      <c r="J14" s="462"/>
    </row>
    <row r="15" spans="1:10" ht="18.75" x14ac:dyDescent="0.25">
      <c r="A15" s="462" t="s">
        <v>1897</v>
      </c>
      <c r="B15" s="462"/>
      <c r="C15" s="462"/>
      <c r="D15" s="462"/>
      <c r="E15" s="462"/>
      <c r="F15" s="462"/>
      <c r="G15" s="462"/>
      <c r="H15" s="462"/>
      <c r="I15" s="462"/>
      <c r="J15" s="462"/>
    </row>
    <row r="16" spans="1:10" ht="18.75" x14ac:dyDescent="0.25">
      <c r="A16" s="462" t="s">
        <v>1896</v>
      </c>
      <c r="B16" s="462"/>
      <c r="C16" s="462"/>
      <c r="D16" s="462"/>
      <c r="E16" s="462"/>
      <c r="F16" s="462"/>
      <c r="G16" s="462"/>
      <c r="H16" s="462"/>
      <c r="I16" s="462"/>
      <c r="J16" s="462"/>
    </row>
    <row r="17" spans="1:10" ht="18.75" x14ac:dyDescent="0.25">
      <c r="A17" s="461" t="s">
        <v>1898</v>
      </c>
      <c r="B17" s="461"/>
      <c r="C17" s="461"/>
      <c r="D17" s="461"/>
      <c r="E17" s="461"/>
      <c r="F17" s="461"/>
      <c r="G17" s="461"/>
      <c r="H17" s="461"/>
      <c r="I17" s="461"/>
      <c r="J17" s="461"/>
    </row>
    <row r="18" spans="1:10" ht="18.75" x14ac:dyDescent="0.25">
      <c r="A18" s="461" t="s">
        <v>1901</v>
      </c>
      <c r="B18" s="460"/>
      <c r="C18" s="460"/>
      <c r="D18" s="460"/>
      <c r="E18" s="460"/>
      <c r="F18" s="460"/>
      <c r="G18" s="460"/>
      <c r="H18" s="460"/>
      <c r="I18" s="460"/>
      <c r="J18" s="460"/>
    </row>
    <row r="19" spans="1:10" ht="37.5" customHeight="1" x14ac:dyDescent="0.25">
      <c r="A19" s="459" t="s">
        <v>1902</v>
      </c>
      <c r="B19" s="460"/>
      <c r="C19" s="460"/>
      <c r="D19" s="460"/>
      <c r="E19" s="460"/>
      <c r="F19" s="460"/>
      <c r="G19" s="460"/>
      <c r="H19" s="460"/>
      <c r="I19" s="460"/>
      <c r="J19" s="460"/>
    </row>
    <row r="20" spans="1:10" ht="18.75" x14ac:dyDescent="0.25">
      <c r="A20" s="461" t="s">
        <v>1900</v>
      </c>
      <c r="B20" s="460"/>
      <c r="C20" s="460"/>
      <c r="D20" s="460"/>
      <c r="E20" s="460"/>
      <c r="F20" s="460"/>
      <c r="G20" s="460"/>
      <c r="H20" s="460"/>
      <c r="I20" s="460"/>
      <c r="J20" s="460"/>
    </row>
    <row r="21" spans="1:10" ht="3" customHeight="1" x14ac:dyDescent="0.3">
      <c r="A21" s="276"/>
      <c r="B21" s="276"/>
      <c r="C21" s="276"/>
      <c r="D21" s="276"/>
      <c r="E21" s="276"/>
      <c r="F21" s="276"/>
      <c r="G21" s="276"/>
      <c r="H21" s="276"/>
      <c r="I21" s="276"/>
      <c r="J21" s="276"/>
    </row>
    <row r="22" spans="1:10" ht="353.25" customHeight="1" x14ac:dyDescent="0.25">
      <c r="A22" s="450" t="s">
        <v>1912</v>
      </c>
      <c r="B22" s="451"/>
      <c r="C22" s="451"/>
      <c r="D22" s="451"/>
      <c r="E22" s="451"/>
      <c r="F22" s="451"/>
      <c r="G22" s="451"/>
      <c r="H22" s="451"/>
      <c r="I22" s="451"/>
      <c r="J22" s="451"/>
    </row>
    <row r="23" spans="1:10" ht="63" customHeight="1" x14ac:dyDescent="0.3">
      <c r="A23" s="454" t="s">
        <v>1909</v>
      </c>
      <c r="B23" s="454"/>
      <c r="C23" s="454"/>
      <c r="D23" s="454"/>
      <c r="E23" s="454"/>
      <c r="F23" s="454"/>
      <c r="G23" s="454"/>
      <c r="H23" s="454"/>
      <c r="I23" s="454"/>
      <c r="J23" s="454"/>
    </row>
    <row r="24" spans="1:10" ht="148.5" customHeight="1" x14ac:dyDescent="0.3">
      <c r="A24" s="454" t="s">
        <v>2073</v>
      </c>
      <c r="B24" s="455"/>
      <c r="C24" s="455"/>
      <c r="D24" s="455"/>
      <c r="E24" s="455"/>
      <c r="F24" s="455"/>
      <c r="G24" s="455"/>
      <c r="H24" s="455"/>
      <c r="I24" s="455"/>
      <c r="J24" s="455"/>
    </row>
  </sheetData>
  <mergeCells count="23">
    <mergeCell ref="A14:J14"/>
    <mergeCell ref="A1:J1"/>
    <mergeCell ref="A2:J2"/>
    <mergeCell ref="A3:J3"/>
    <mergeCell ref="A4:J4"/>
    <mergeCell ref="A5:J5"/>
    <mergeCell ref="A6:J6"/>
    <mergeCell ref="A22:J22"/>
    <mergeCell ref="A7:J7"/>
    <mergeCell ref="A23:J23"/>
    <mergeCell ref="A24:J24"/>
    <mergeCell ref="A8:J8"/>
    <mergeCell ref="A9:J9"/>
    <mergeCell ref="A10:J10"/>
    <mergeCell ref="A11:J11"/>
    <mergeCell ref="A12:J12"/>
    <mergeCell ref="A19:J19"/>
    <mergeCell ref="A20:J20"/>
    <mergeCell ref="A15:J15"/>
    <mergeCell ref="A16:J16"/>
    <mergeCell ref="A13:J13"/>
    <mergeCell ref="A17:J17"/>
    <mergeCell ref="A18:J18"/>
  </mergeCells>
  <pageMargins left="0.51181102362204722"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69"/>
  <sheetViews>
    <sheetView topLeftCell="A118" zoomScale="87" zoomScaleNormal="87" workbookViewId="0">
      <selection activeCell="I111" sqref="I111:I112"/>
    </sheetView>
  </sheetViews>
  <sheetFormatPr defaultRowHeight="15" x14ac:dyDescent="0.25"/>
  <cols>
    <col min="1" max="1" width="7.42578125" customWidth="1"/>
    <col min="6" max="6" width="10.85546875" bestFit="1" customWidth="1"/>
    <col min="8" max="8" width="12" customWidth="1"/>
    <col min="9" max="9" width="12.28515625" style="388" customWidth="1"/>
  </cols>
  <sheetData>
    <row r="1" spans="1:10" ht="37.5" customHeight="1" x14ac:dyDescent="0.25">
      <c r="A1" s="510" t="s">
        <v>1892</v>
      </c>
      <c r="B1" s="464"/>
      <c r="C1" s="464"/>
      <c r="D1" s="464"/>
      <c r="E1" s="464"/>
      <c r="F1" s="464"/>
      <c r="G1" s="464"/>
      <c r="H1" s="464"/>
      <c r="I1" s="464"/>
      <c r="J1" s="464"/>
    </row>
    <row r="2" spans="1:10" ht="51.75" customHeight="1" x14ac:dyDescent="0.25">
      <c r="A2" s="423" t="s">
        <v>1890</v>
      </c>
      <c r="B2" s="423"/>
      <c r="C2" s="423"/>
      <c r="D2" s="423"/>
      <c r="E2" s="423"/>
      <c r="F2" s="423"/>
      <c r="G2" s="423"/>
      <c r="H2" s="423"/>
      <c r="I2" s="423"/>
      <c r="J2" s="423"/>
    </row>
    <row r="4" spans="1:10" ht="15.75" x14ac:dyDescent="0.25">
      <c r="H4" t="s">
        <v>107</v>
      </c>
      <c r="I4" s="403">
        <f>I6+I8+I9</f>
        <v>0.85991150631432178</v>
      </c>
    </row>
    <row r="6" spans="1:10" ht="18.75" customHeight="1" x14ac:dyDescent="0.25">
      <c r="A6" s="496"/>
      <c r="B6" s="466" t="s">
        <v>137</v>
      </c>
      <c r="C6" s="467"/>
      <c r="D6" s="467"/>
      <c r="E6" s="467"/>
      <c r="F6" s="467"/>
      <c r="G6" s="467"/>
      <c r="H6" s="468"/>
      <c r="I6" s="498">
        <f>J20</f>
        <v>0.21530451446811708</v>
      </c>
    </row>
    <row r="7" spans="1:10" ht="42" customHeight="1" x14ac:dyDescent="0.25">
      <c r="A7" s="497"/>
      <c r="B7" s="472"/>
      <c r="C7" s="473"/>
      <c r="D7" s="473"/>
      <c r="E7" s="473"/>
      <c r="F7" s="473"/>
      <c r="G7" s="473"/>
      <c r="H7" s="474"/>
      <c r="I7" s="498"/>
    </row>
    <row r="8" spans="1:10" ht="39.75" customHeight="1" x14ac:dyDescent="0.25">
      <c r="A8" s="30"/>
      <c r="B8" s="465" t="s">
        <v>138</v>
      </c>
      <c r="C8" s="465"/>
      <c r="D8" s="465"/>
      <c r="E8" s="465"/>
      <c r="F8" s="465"/>
      <c r="G8" s="465"/>
      <c r="H8" s="465"/>
      <c r="I8" s="398">
        <f>H59</f>
        <v>0.63345686452621985</v>
      </c>
    </row>
    <row r="9" spans="1:10" ht="47.25" customHeight="1" x14ac:dyDescent="0.25">
      <c r="A9" s="30"/>
      <c r="B9" s="495" t="s">
        <v>139</v>
      </c>
      <c r="C9" s="495"/>
      <c r="D9" s="495"/>
      <c r="E9" s="495"/>
      <c r="F9" s="495"/>
      <c r="G9" s="495"/>
      <c r="H9" s="495"/>
      <c r="I9" s="419">
        <f>(бойлера!P17+бойлера!P18)/I29</f>
        <v>1.1150127319984864E-2</v>
      </c>
    </row>
    <row r="12" spans="1:10" ht="15.75" x14ac:dyDescent="0.25">
      <c r="H12" t="s">
        <v>107</v>
      </c>
      <c r="I12" s="384">
        <f>I15+I16</f>
        <v>0.67471181353616805</v>
      </c>
    </row>
    <row r="15" spans="1:10" ht="36.75" customHeight="1" x14ac:dyDescent="0.25">
      <c r="A15" s="30"/>
      <c r="B15" s="465" t="s">
        <v>140</v>
      </c>
      <c r="C15" s="465"/>
      <c r="D15" s="465"/>
      <c r="E15" s="465"/>
      <c r="F15" s="465"/>
      <c r="G15" s="465"/>
      <c r="H15" s="465"/>
      <c r="I15" s="400">
        <f>J32</f>
        <v>0.16550223099514466</v>
      </c>
    </row>
    <row r="16" spans="1:10" ht="47.25" customHeight="1" x14ac:dyDescent="0.25">
      <c r="A16" s="30"/>
      <c r="B16" s="465" t="s">
        <v>141</v>
      </c>
      <c r="C16" s="465"/>
      <c r="D16" s="465"/>
      <c r="E16" s="465"/>
      <c r="F16" s="465"/>
      <c r="G16" s="465"/>
      <c r="H16" s="465"/>
      <c r="I16" s="385">
        <f>I99</f>
        <v>0.50920958254102344</v>
      </c>
    </row>
    <row r="17" spans="1:10" ht="47.25" customHeight="1" x14ac:dyDescent="0.25">
      <c r="A17" s="499" t="s">
        <v>152</v>
      </c>
      <c r="B17" s="499"/>
      <c r="C17" s="499"/>
      <c r="D17" s="499"/>
      <c r="E17" s="499"/>
      <c r="F17" s="499"/>
      <c r="G17" s="499"/>
      <c r="H17" s="499"/>
      <c r="I17" s="499"/>
      <c r="J17" s="499"/>
    </row>
    <row r="20" spans="1:10" ht="15.75" x14ac:dyDescent="0.25">
      <c r="I20" s="388" t="s">
        <v>107</v>
      </c>
      <c r="J20" s="404">
        <f>(I23*I25*I27+I24*I26*I28)/I29</f>
        <v>0.21530451446811708</v>
      </c>
    </row>
    <row r="23" spans="1:10" ht="42" customHeight="1" x14ac:dyDescent="0.25">
      <c r="A23" s="3" t="s">
        <v>142</v>
      </c>
      <c r="B23" s="465" t="s">
        <v>143</v>
      </c>
      <c r="C23" s="465"/>
      <c r="D23" s="465"/>
      <c r="E23" s="465"/>
      <c r="F23" s="465"/>
      <c r="G23" s="465"/>
      <c r="H23" s="465"/>
      <c r="I23" s="417">
        <v>250</v>
      </c>
    </row>
    <row r="24" spans="1:10" ht="36.75" customHeight="1" x14ac:dyDescent="0.25">
      <c r="A24" s="3" t="s">
        <v>144</v>
      </c>
      <c r="B24" s="465" t="s">
        <v>145</v>
      </c>
      <c r="C24" s="465"/>
      <c r="D24" s="465"/>
      <c r="E24" s="465"/>
      <c r="F24" s="465"/>
      <c r="G24" s="465"/>
      <c r="H24" s="465"/>
      <c r="I24" s="417">
        <v>250</v>
      </c>
    </row>
    <row r="25" spans="1:10" ht="44.25" customHeight="1" x14ac:dyDescent="0.25">
      <c r="A25" s="3" t="s">
        <v>146</v>
      </c>
      <c r="B25" s="465" t="s">
        <v>147</v>
      </c>
      <c r="C25" s="465"/>
      <c r="D25" s="465"/>
      <c r="E25" s="465"/>
      <c r="F25" s="465"/>
      <c r="G25" s="465"/>
      <c r="H25" s="465"/>
      <c r="I25" s="417">
        <v>27.62</v>
      </c>
    </row>
    <row r="26" spans="1:10" ht="39" customHeight="1" x14ac:dyDescent="0.25">
      <c r="A26" s="3" t="s">
        <v>148</v>
      </c>
      <c r="B26" s="465" t="s">
        <v>149</v>
      </c>
      <c r="C26" s="465"/>
      <c r="D26" s="465"/>
      <c r="E26" s="465"/>
      <c r="F26" s="465"/>
      <c r="G26" s="465"/>
      <c r="H26" s="465"/>
      <c r="I26" s="420">
        <v>106.4</v>
      </c>
    </row>
    <row r="27" spans="1:10" ht="45.75" customHeight="1" x14ac:dyDescent="0.25">
      <c r="A27" s="3">
        <v>8.9999999999999993E-3</v>
      </c>
      <c r="B27" s="465" t="s">
        <v>151</v>
      </c>
      <c r="C27" s="465"/>
      <c r="D27" s="465"/>
      <c r="E27" s="465"/>
      <c r="F27" s="465"/>
      <c r="G27" s="465"/>
      <c r="H27" s="465"/>
      <c r="I27" s="417">
        <v>8.9999999999999993E-3</v>
      </c>
    </row>
    <row r="28" spans="1:10" ht="40.5" customHeight="1" x14ac:dyDescent="0.25">
      <c r="A28" s="3">
        <v>1.4E-2</v>
      </c>
      <c r="B28" s="465" t="s">
        <v>150</v>
      </c>
      <c r="C28" s="465"/>
      <c r="D28" s="465"/>
      <c r="E28" s="465"/>
      <c r="F28" s="465"/>
      <c r="G28" s="465"/>
      <c r="H28" s="465"/>
      <c r="I28" s="417">
        <v>1.4E-2</v>
      </c>
    </row>
    <row r="29" spans="1:10" ht="32.25" customHeight="1" x14ac:dyDescent="0.25">
      <c r="A29" s="3" t="s">
        <v>14</v>
      </c>
      <c r="B29" s="465" t="s">
        <v>15</v>
      </c>
      <c r="C29" s="465"/>
      <c r="D29" s="465"/>
      <c r="E29" s="465"/>
      <c r="F29" s="465"/>
      <c r="G29" s="465"/>
      <c r="H29" s="465"/>
      <c r="I29" s="418">
        <f>H49</f>
        <v>2018.2809499999998</v>
      </c>
    </row>
    <row r="30" spans="1:10" ht="15" customHeight="1" x14ac:dyDescent="0.25">
      <c r="A30" s="13"/>
      <c r="B30" s="9"/>
      <c r="C30" s="9"/>
      <c r="D30" s="9"/>
      <c r="E30" s="9"/>
      <c r="F30" s="9"/>
      <c r="G30" s="9"/>
      <c r="H30" s="9"/>
    </row>
    <row r="31" spans="1:10" ht="55.5" customHeight="1" x14ac:dyDescent="0.25">
      <c r="A31" s="423" t="s">
        <v>153</v>
      </c>
      <c r="B31" s="423"/>
      <c r="C31" s="423"/>
      <c r="D31" s="423"/>
      <c r="E31" s="423"/>
      <c r="F31" s="423"/>
      <c r="G31" s="423"/>
      <c r="H31" s="423"/>
      <c r="I31" s="423"/>
      <c r="J31" s="423"/>
    </row>
    <row r="32" spans="1:10" ht="55.5" customHeight="1" x14ac:dyDescent="0.25">
      <c r="A32" s="8"/>
      <c r="B32" s="8"/>
      <c r="C32" s="8"/>
      <c r="D32" s="8"/>
      <c r="E32" s="8"/>
      <c r="F32" s="8"/>
      <c r="G32" s="8"/>
      <c r="H32" s="8"/>
      <c r="I32" s="371" t="s">
        <v>107</v>
      </c>
      <c r="J32" s="405">
        <f>(I33*I35*I37+I34*I36*I38)/I39</f>
        <v>0.16550223099514466</v>
      </c>
    </row>
    <row r="33" spans="1:23" ht="37.5" customHeight="1" x14ac:dyDescent="0.25">
      <c r="A33" s="3" t="s">
        <v>142</v>
      </c>
      <c r="B33" s="465" t="s">
        <v>143</v>
      </c>
      <c r="C33" s="465"/>
      <c r="D33" s="465"/>
      <c r="E33" s="465"/>
      <c r="F33" s="465"/>
      <c r="G33" s="465"/>
      <c r="H33" s="465"/>
      <c r="I33" s="409">
        <f>I23</f>
        <v>250</v>
      </c>
      <c r="J33" s="8"/>
    </row>
    <row r="34" spans="1:23" ht="47.25" customHeight="1" x14ac:dyDescent="0.25">
      <c r="A34" s="3" t="s">
        <v>144</v>
      </c>
      <c r="B34" s="465" t="s">
        <v>145</v>
      </c>
      <c r="C34" s="465"/>
      <c r="D34" s="465"/>
      <c r="E34" s="465"/>
      <c r="F34" s="465"/>
      <c r="G34" s="465"/>
      <c r="H34" s="465"/>
      <c r="I34" s="409">
        <f>I24</f>
        <v>250</v>
      </c>
      <c r="J34" s="8"/>
    </row>
    <row r="35" spans="1:23" ht="42" customHeight="1" x14ac:dyDescent="0.25">
      <c r="A35" s="3" t="s">
        <v>146</v>
      </c>
      <c r="B35" s="465" t="s">
        <v>147</v>
      </c>
      <c r="C35" s="465"/>
      <c r="D35" s="465"/>
      <c r="E35" s="465"/>
      <c r="F35" s="465"/>
      <c r="G35" s="465"/>
      <c r="H35" s="465"/>
      <c r="I35" s="409">
        <f>I25</f>
        <v>27.62</v>
      </c>
      <c r="J35" s="8"/>
    </row>
    <row r="36" spans="1:23" ht="40.5" customHeight="1" x14ac:dyDescent="0.25">
      <c r="A36" s="3" t="s">
        <v>148</v>
      </c>
      <c r="B36" s="465" t="s">
        <v>149</v>
      </c>
      <c r="C36" s="465"/>
      <c r="D36" s="465"/>
      <c r="E36" s="465"/>
      <c r="F36" s="465"/>
      <c r="G36" s="465"/>
      <c r="H36" s="465"/>
      <c r="I36" s="417">
        <f>I26</f>
        <v>106.4</v>
      </c>
    </row>
    <row r="37" spans="1:23" ht="41.25" customHeight="1" x14ac:dyDescent="0.25">
      <c r="A37" s="3">
        <v>6.0000000000000001E-3</v>
      </c>
      <c r="B37" s="465" t="s">
        <v>154</v>
      </c>
      <c r="C37" s="465"/>
      <c r="D37" s="465"/>
      <c r="E37" s="465"/>
      <c r="F37" s="465"/>
      <c r="G37" s="465"/>
      <c r="H37" s="465"/>
      <c r="I37" s="417">
        <v>6.0000000000000001E-3</v>
      </c>
    </row>
    <row r="38" spans="1:23" ht="21" customHeight="1" x14ac:dyDescent="0.25">
      <c r="A38" s="3">
        <v>1.0999999999999999E-2</v>
      </c>
      <c r="B38" s="465" t="s">
        <v>155</v>
      </c>
      <c r="C38" s="465"/>
      <c r="D38" s="465"/>
      <c r="E38" s="465"/>
      <c r="F38" s="465"/>
      <c r="G38" s="465"/>
      <c r="H38" s="465"/>
      <c r="I38" s="417">
        <v>1.0999999999999999E-2</v>
      </c>
    </row>
    <row r="39" spans="1:23" ht="24" customHeight="1" x14ac:dyDescent="0.25">
      <c r="A39" s="3" t="s">
        <v>14</v>
      </c>
      <c r="B39" s="465" t="s">
        <v>15</v>
      </c>
      <c r="C39" s="465"/>
      <c r="D39" s="465"/>
      <c r="E39" s="465"/>
      <c r="F39" s="465"/>
      <c r="G39" s="465"/>
      <c r="H39" s="465"/>
      <c r="I39" s="418">
        <f>H49</f>
        <v>2018.2809499999998</v>
      </c>
    </row>
    <row r="40" spans="1:23" ht="57" customHeight="1" x14ac:dyDescent="0.25">
      <c r="A40" s="501" t="s">
        <v>1918</v>
      </c>
      <c r="B40" s="426"/>
      <c r="C40" s="426"/>
      <c r="D40" s="426"/>
      <c r="E40" s="426"/>
      <c r="F40" s="426"/>
      <c r="G40" s="426"/>
      <c r="H40" s="426"/>
      <c r="I40" s="426"/>
      <c r="O40" s="484" t="s">
        <v>108</v>
      </c>
      <c r="P40" s="485"/>
      <c r="Q40" s="485"/>
      <c r="R40" s="485"/>
      <c r="S40" s="485"/>
      <c r="T40" s="485"/>
      <c r="U40" s="485"/>
      <c r="V40" s="485"/>
      <c r="W40" s="485"/>
    </row>
    <row r="41" spans="1:23" ht="47.25" customHeight="1" x14ac:dyDescent="0.25">
      <c r="A41" s="501" t="s">
        <v>1919</v>
      </c>
      <c r="B41" s="426"/>
      <c r="C41" s="426"/>
      <c r="D41" s="426"/>
      <c r="E41" s="426"/>
      <c r="F41" s="426"/>
      <c r="G41" s="426"/>
      <c r="H41" s="426"/>
      <c r="I41" s="426"/>
      <c r="O41" s="485" t="s">
        <v>3</v>
      </c>
      <c r="P41" s="485"/>
      <c r="Q41" s="485"/>
      <c r="R41" s="485"/>
      <c r="S41" s="485"/>
      <c r="T41" s="485"/>
      <c r="U41" s="485"/>
      <c r="V41" s="485"/>
      <c r="W41" s="485"/>
    </row>
    <row r="42" spans="1:23" ht="17.25" x14ac:dyDescent="0.25">
      <c r="A42" s="5"/>
      <c r="B42" s="5"/>
      <c r="C42" s="5"/>
      <c r="D42" s="5"/>
      <c r="E42" s="5"/>
      <c r="F42" s="5"/>
      <c r="G42" s="5"/>
      <c r="H42" s="5"/>
      <c r="I42" s="389"/>
      <c r="O42" s="5" t="s">
        <v>2</v>
      </c>
      <c r="P42" s="5"/>
      <c r="Q42" s="5"/>
      <c r="R42" s="5">
        <v>1119</v>
      </c>
      <c r="S42" s="5" t="s">
        <v>4</v>
      </c>
      <c r="T42" s="5"/>
      <c r="U42" s="5"/>
      <c r="V42" s="5"/>
      <c r="W42" s="5"/>
    </row>
    <row r="43" spans="1:23" ht="17.25" hidden="1" x14ac:dyDescent="0.25">
      <c r="A43" s="486"/>
      <c r="B43" s="486"/>
      <c r="E43" s="5"/>
      <c r="O43" s="486" t="s">
        <v>5</v>
      </c>
      <c r="P43" s="486"/>
      <c r="R43">
        <v>468</v>
      </c>
      <c r="S43" s="5" t="s">
        <v>4</v>
      </c>
    </row>
    <row r="44" spans="1:23" ht="17.25" hidden="1" x14ac:dyDescent="0.25">
      <c r="A44" s="5"/>
      <c r="E44" s="5"/>
      <c r="O44" s="5" t="s">
        <v>6</v>
      </c>
      <c r="R44">
        <v>1365</v>
      </c>
      <c r="S44" s="5" t="s">
        <v>4</v>
      </c>
    </row>
    <row r="45" spans="1:23" ht="17.25" hidden="1" x14ac:dyDescent="0.25">
      <c r="D45" s="6"/>
      <c r="E45" s="5"/>
      <c r="R45" s="6">
        <f>SUM(R42:R44)</f>
        <v>2952</v>
      </c>
      <c r="S45" s="5" t="s">
        <v>4</v>
      </c>
    </row>
    <row r="46" spans="1:23" ht="8.25" customHeight="1" x14ac:dyDescent="0.25"/>
    <row r="47" spans="1:23" ht="37.5" customHeight="1" x14ac:dyDescent="0.25">
      <c r="A47" s="423" t="s">
        <v>156</v>
      </c>
      <c r="B47" s="423"/>
      <c r="C47" s="423"/>
      <c r="D47" s="423"/>
      <c r="E47" s="423"/>
      <c r="F47" s="423"/>
      <c r="G47" s="423"/>
      <c r="H47" s="423"/>
      <c r="I47" s="423"/>
    </row>
    <row r="48" spans="1:23" ht="37.5" customHeight="1" x14ac:dyDescent="0.25">
      <c r="A48" s="512" t="s">
        <v>88</v>
      </c>
      <c r="B48" s="512"/>
      <c r="C48" s="512"/>
      <c r="D48" s="512"/>
      <c r="E48" s="512"/>
      <c r="F48" s="512"/>
      <c r="G48" s="512"/>
      <c r="H48" s="413" t="s">
        <v>93</v>
      </c>
      <c r="I48" s="370" t="s">
        <v>94</v>
      </c>
    </row>
    <row r="49" spans="1:11" ht="37.5" customHeight="1" x14ac:dyDescent="0.25">
      <c r="A49" s="511" t="s">
        <v>87</v>
      </c>
      <c r="B49" s="511"/>
      <c r="C49" s="511"/>
      <c r="D49" s="511"/>
      <c r="E49" s="511"/>
      <c r="F49" s="511"/>
      <c r="G49" s="511"/>
      <c r="H49" s="414">
        <f>1483.82+534.46095</f>
        <v>2018.2809499999998</v>
      </c>
      <c r="I49" s="132" t="s">
        <v>90</v>
      </c>
    </row>
    <row r="50" spans="1:11" ht="37.5" customHeight="1" x14ac:dyDescent="0.25">
      <c r="A50" s="481" t="s">
        <v>89</v>
      </c>
      <c r="B50" s="482"/>
      <c r="C50" s="482"/>
      <c r="D50" s="482"/>
      <c r="E50" s="482"/>
      <c r="F50" s="482"/>
      <c r="G50" s="482"/>
      <c r="H50" s="415">
        <v>55</v>
      </c>
      <c r="I50" s="297" t="s">
        <v>91</v>
      </c>
    </row>
    <row r="51" spans="1:11" ht="37.5" customHeight="1" x14ac:dyDescent="0.25">
      <c r="A51" s="481" t="s">
        <v>92</v>
      </c>
      <c r="B51" s="482"/>
      <c r="C51" s="482"/>
      <c r="D51" s="482"/>
      <c r="E51" s="482"/>
      <c r="F51" s="482"/>
      <c r="G51" s="482"/>
      <c r="H51" s="415">
        <v>6</v>
      </c>
      <c r="I51" s="297" t="s">
        <v>91</v>
      </c>
    </row>
    <row r="52" spans="1:11" ht="37.5" customHeight="1" x14ac:dyDescent="0.25">
      <c r="A52" s="465" t="s">
        <v>95</v>
      </c>
      <c r="B52" s="465"/>
      <c r="C52" s="465"/>
      <c r="D52" s="465"/>
      <c r="E52" s="465"/>
      <c r="F52" s="465"/>
      <c r="G52" s="465"/>
      <c r="H52" s="415">
        <f>аварії!A166</f>
        <v>161</v>
      </c>
      <c r="I52" s="297" t="s">
        <v>91</v>
      </c>
    </row>
    <row r="53" spans="1:11" ht="37.5" customHeight="1" x14ac:dyDescent="0.25">
      <c r="A53" s="481" t="s">
        <v>106</v>
      </c>
      <c r="B53" s="482"/>
      <c r="C53" s="482"/>
      <c r="D53" s="482"/>
      <c r="E53" s="482"/>
      <c r="F53" s="482"/>
      <c r="G53" s="483"/>
      <c r="H53" s="415">
        <v>351</v>
      </c>
      <c r="I53" s="297" t="s">
        <v>96</v>
      </c>
    </row>
    <row r="54" spans="1:11" ht="37.5" customHeight="1" x14ac:dyDescent="0.25">
      <c r="A54" s="481" t="s">
        <v>97</v>
      </c>
      <c r="B54" s="482"/>
      <c r="C54" s="482"/>
      <c r="D54" s="482"/>
      <c r="E54" s="482"/>
      <c r="F54" s="482"/>
      <c r="G54" s="483"/>
      <c r="H54" s="415">
        <v>24</v>
      </c>
      <c r="I54" s="297" t="s">
        <v>98</v>
      </c>
    </row>
    <row r="55" spans="1:11" ht="37.5" customHeight="1" x14ac:dyDescent="0.25">
      <c r="A55" s="465" t="s">
        <v>99</v>
      </c>
      <c r="B55" s="465"/>
      <c r="C55" s="465"/>
      <c r="D55" s="465"/>
      <c r="E55" s="465"/>
      <c r="F55" s="465"/>
      <c r="G55" s="465"/>
      <c r="H55" s="416">
        <f>F214</f>
        <v>28.523137058792972</v>
      </c>
      <c r="I55" s="297" t="s">
        <v>100</v>
      </c>
    </row>
    <row r="56" spans="1:11" ht="37.5" customHeight="1" x14ac:dyDescent="0.25">
      <c r="A56" s="481" t="s">
        <v>104</v>
      </c>
      <c r="B56" s="482"/>
      <c r="C56" s="482"/>
      <c r="D56" s="482"/>
      <c r="E56" s="482"/>
      <c r="F56" s="482"/>
      <c r="G56" s="483"/>
      <c r="H56" s="415">
        <f>'коеф К'!G69/1000</f>
        <v>125.59710000000001</v>
      </c>
      <c r="I56" s="297" t="s">
        <v>101</v>
      </c>
    </row>
    <row r="57" spans="1:11" ht="37.5" customHeight="1" x14ac:dyDescent="0.25">
      <c r="A57" s="481" t="s">
        <v>102</v>
      </c>
      <c r="B57" s="482"/>
      <c r="C57" s="482"/>
      <c r="D57" s="482"/>
      <c r="E57" s="482"/>
      <c r="F57" s="482"/>
      <c r="G57" s="483"/>
      <c r="H57" s="409">
        <v>978</v>
      </c>
      <c r="I57" s="297" t="s">
        <v>103</v>
      </c>
      <c r="K57">
        <f>369*2+240</f>
        <v>978</v>
      </c>
    </row>
    <row r="58" spans="1:11" ht="37.5" customHeight="1" x14ac:dyDescent="0.25">
      <c r="A58" s="500" t="s">
        <v>157</v>
      </c>
      <c r="B58" s="500"/>
      <c r="C58" s="500"/>
      <c r="D58" s="500"/>
      <c r="E58" s="500"/>
      <c r="F58" s="500"/>
      <c r="G58" s="500"/>
      <c r="H58" s="34"/>
      <c r="I58" s="373"/>
    </row>
    <row r="59" spans="1:11" ht="37.5" customHeight="1" x14ac:dyDescent="0.25">
      <c r="A59" s="20"/>
      <c r="B59" s="20"/>
      <c r="C59" s="20"/>
      <c r="D59" s="20"/>
      <c r="E59" s="20"/>
      <c r="F59" s="20" t="s">
        <v>107</v>
      </c>
      <c r="G59" s="20"/>
      <c r="H59" s="405">
        <f>H60+H61</f>
        <v>0.63345686452621985</v>
      </c>
      <c r="I59" s="373"/>
    </row>
    <row r="60" spans="1:11" ht="37.5" customHeight="1" x14ac:dyDescent="0.25">
      <c r="A60" s="30"/>
      <c r="B60" s="481" t="s">
        <v>160</v>
      </c>
      <c r="C60" s="482"/>
      <c r="D60" s="482"/>
      <c r="E60" s="482"/>
      <c r="F60" s="482"/>
      <c r="G60" s="482"/>
      <c r="H60" s="411">
        <f>I70+I84</f>
        <v>0.36260551337017788</v>
      </c>
      <c r="I60" s="421" t="s">
        <v>1973</v>
      </c>
    </row>
    <row r="61" spans="1:11" ht="51" customHeight="1" x14ac:dyDescent="0.25">
      <c r="A61" s="30"/>
      <c r="B61" s="481" t="s">
        <v>161</v>
      </c>
      <c r="C61" s="482"/>
      <c r="D61" s="482"/>
      <c r="E61" s="482"/>
      <c r="F61" s="482"/>
      <c r="G61" s="482"/>
      <c r="H61" s="412">
        <f>I107</f>
        <v>0.27085135115604198</v>
      </c>
      <c r="I61" s="421" t="s">
        <v>1973</v>
      </c>
    </row>
    <row r="62" spans="1:11" ht="12" customHeight="1" x14ac:dyDescent="0.25">
      <c r="A62" s="32"/>
      <c r="B62" s="19"/>
      <c r="C62" s="19"/>
      <c r="D62" s="19"/>
      <c r="E62" s="19"/>
      <c r="F62" s="19"/>
      <c r="G62" s="19"/>
      <c r="H62" s="33"/>
      <c r="I62" s="374"/>
      <c r="J62" s="25"/>
    </row>
    <row r="63" spans="1:11" ht="25.5" customHeight="1" x14ac:dyDescent="0.25">
      <c r="A63" s="8"/>
      <c r="B63" s="8"/>
      <c r="C63" s="8"/>
      <c r="D63" s="8"/>
      <c r="E63" s="8"/>
      <c r="F63" s="8"/>
      <c r="G63" s="8"/>
      <c r="H63" s="8" t="s">
        <v>107</v>
      </c>
      <c r="I63" s="383">
        <f>H65+H66</f>
        <v>0.87181509591120132</v>
      </c>
    </row>
    <row r="64" spans="1:11" ht="11.25" customHeight="1" x14ac:dyDescent="0.25">
      <c r="A64" s="2"/>
    </row>
    <row r="65" spans="1:10" ht="40.5" customHeight="1" x14ac:dyDescent="0.25">
      <c r="A65" s="35"/>
      <c r="B65" s="465" t="s">
        <v>158</v>
      </c>
      <c r="C65" s="465"/>
      <c r="D65" s="465"/>
      <c r="E65" s="465"/>
      <c r="F65" s="465"/>
      <c r="G65" s="465"/>
      <c r="H65" s="386">
        <f>I70+I84</f>
        <v>0.36260551337017788</v>
      </c>
      <c r="I65" s="293" t="s">
        <v>1843</v>
      </c>
    </row>
    <row r="66" spans="1:10" ht="54" customHeight="1" x14ac:dyDescent="0.25">
      <c r="A66" s="30"/>
      <c r="B66" s="465" t="s">
        <v>159</v>
      </c>
      <c r="C66" s="465"/>
      <c r="D66" s="465"/>
      <c r="E66" s="465"/>
      <c r="F66" s="465"/>
      <c r="G66" s="465"/>
      <c r="H66" s="387">
        <f>I99</f>
        <v>0.50920958254102344</v>
      </c>
      <c r="I66" s="293" t="s">
        <v>1843</v>
      </c>
    </row>
    <row r="67" spans="1:10" ht="7.5" customHeight="1" x14ac:dyDescent="0.25"/>
    <row r="68" spans="1:10" ht="57" customHeight="1" x14ac:dyDescent="0.25">
      <c r="A68" s="423" t="s">
        <v>85</v>
      </c>
      <c r="B68" s="507"/>
      <c r="C68" s="507"/>
      <c r="D68" s="507"/>
      <c r="E68" s="507"/>
      <c r="F68" s="507"/>
      <c r="G68" s="507"/>
      <c r="H68" s="507"/>
      <c r="I68" s="507"/>
    </row>
    <row r="69" spans="1:10" ht="20.25" customHeight="1" x14ac:dyDescent="0.25">
      <c r="A69" s="487" t="s">
        <v>16</v>
      </c>
      <c r="B69" s="487"/>
      <c r="C69" s="487"/>
      <c r="D69" s="487"/>
      <c r="E69" s="487"/>
      <c r="F69" s="487"/>
      <c r="G69" s="487"/>
      <c r="H69" s="7"/>
      <c r="I69" s="375"/>
    </row>
    <row r="70" spans="1:10" x14ac:dyDescent="0.25">
      <c r="H70" t="s">
        <v>107</v>
      </c>
      <c r="I70" s="406">
        <f>I80*I79*I73*I78*((I74*I74)+(I77*I77)+(I75*I75)+(I76*I76))/I81</f>
        <v>0.33142769345367912</v>
      </c>
    </row>
    <row r="73" spans="1:10" ht="58.5" customHeight="1" x14ac:dyDescent="0.25">
      <c r="A73" s="308" t="s">
        <v>7</v>
      </c>
      <c r="B73" s="465" t="s">
        <v>162</v>
      </c>
      <c r="C73" s="465"/>
      <c r="D73" s="465"/>
      <c r="E73" s="465"/>
      <c r="F73" s="465"/>
      <c r="G73" s="465"/>
      <c r="H73" s="465"/>
      <c r="I73" s="397">
        <v>1</v>
      </c>
      <c r="J73" s="22"/>
    </row>
    <row r="74" spans="1:10" ht="20.25" customHeight="1" x14ac:dyDescent="0.25">
      <c r="A74" s="475" t="s">
        <v>8</v>
      </c>
      <c r="B74" s="481" t="s">
        <v>9</v>
      </c>
      <c r="C74" s="482"/>
      <c r="D74" s="482"/>
      <c r="E74" s="482"/>
      <c r="F74" s="482"/>
      <c r="G74" s="482"/>
      <c r="H74" s="483"/>
      <c r="I74" s="409">
        <v>0.2</v>
      </c>
      <c r="J74" s="22"/>
    </row>
    <row r="75" spans="1:10" ht="20.25" customHeight="1" x14ac:dyDescent="0.25">
      <c r="A75" s="476"/>
      <c r="B75" s="481" t="s">
        <v>9</v>
      </c>
      <c r="C75" s="482"/>
      <c r="D75" s="482"/>
      <c r="E75" s="482"/>
      <c r="F75" s="482"/>
      <c r="G75" s="482"/>
      <c r="H75" s="483"/>
      <c r="I75" s="410">
        <v>0.15</v>
      </c>
      <c r="J75" s="22"/>
    </row>
    <row r="76" spans="1:10" ht="20.25" customHeight="1" x14ac:dyDescent="0.25">
      <c r="A76" s="476"/>
      <c r="B76" s="481" t="s">
        <v>9</v>
      </c>
      <c r="C76" s="482"/>
      <c r="D76" s="482"/>
      <c r="E76" s="482"/>
      <c r="F76" s="482"/>
      <c r="G76" s="482"/>
      <c r="H76" s="483"/>
      <c r="I76" s="410">
        <v>0.1</v>
      </c>
      <c r="J76" s="22"/>
    </row>
    <row r="77" spans="1:10" ht="20.25" customHeight="1" x14ac:dyDescent="0.25">
      <c r="A77" s="477"/>
      <c r="B77" s="481" t="s">
        <v>9</v>
      </c>
      <c r="C77" s="482"/>
      <c r="D77" s="482"/>
      <c r="E77" s="482"/>
      <c r="F77" s="482"/>
      <c r="G77" s="482"/>
      <c r="H77" s="483"/>
      <c r="I77" s="410">
        <v>0.08</v>
      </c>
      <c r="J77" s="22"/>
    </row>
    <row r="78" spans="1:10" ht="35.25" customHeight="1" x14ac:dyDescent="0.25">
      <c r="A78" s="308" t="s">
        <v>10</v>
      </c>
      <c r="B78" s="513" t="s">
        <v>11</v>
      </c>
      <c r="C78" s="513"/>
      <c r="D78" s="513"/>
      <c r="E78" s="513"/>
      <c r="F78" s="513"/>
      <c r="G78" s="513"/>
      <c r="H78" s="513"/>
      <c r="I78" s="397">
        <v>1.5</v>
      </c>
      <c r="J78" s="22"/>
    </row>
    <row r="79" spans="1:10" ht="42.75" customHeight="1" x14ac:dyDescent="0.25">
      <c r="A79" s="308" t="s">
        <v>12</v>
      </c>
      <c r="B79" s="465" t="s">
        <v>163</v>
      </c>
      <c r="C79" s="465"/>
      <c r="D79" s="465"/>
      <c r="E79" s="465"/>
      <c r="F79" s="465"/>
      <c r="G79" s="465"/>
      <c r="H79" s="465"/>
      <c r="I79" s="397">
        <v>2</v>
      </c>
      <c r="J79" s="22"/>
    </row>
    <row r="80" spans="1:10" ht="32.25" customHeight="1" x14ac:dyDescent="0.25">
      <c r="A80" s="18">
        <v>2826</v>
      </c>
      <c r="B80" s="465" t="s">
        <v>13</v>
      </c>
      <c r="C80" s="465"/>
      <c r="D80" s="465"/>
      <c r="E80" s="465"/>
      <c r="F80" s="465"/>
      <c r="G80" s="465"/>
      <c r="H80" s="465"/>
      <c r="I80" s="397">
        <v>2826</v>
      </c>
      <c r="J80" s="22"/>
    </row>
    <row r="81" spans="1:10" ht="22.5" customHeight="1" x14ac:dyDescent="0.25">
      <c r="A81" s="3" t="s">
        <v>14</v>
      </c>
      <c r="B81" s="465" t="s">
        <v>15</v>
      </c>
      <c r="C81" s="465"/>
      <c r="D81" s="465"/>
      <c r="E81" s="465"/>
      <c r="F81" s="465"/>
      <c r="G81" s="465"/>
      <c r="H81" s="465"/>
      <c r="I81" s="398">
        <f>H49</f>
        <v>2018.2809499999998</v>
      </c>
      <c r="J81" s="22"/>
    </row>
    <row r="82" spans="1:10" ht="9" customHeight="1" x14ac:dyDescent="0.25"/>
    <row r="83" spans="1:10" ht="15" customHeight="1" x14ac:dyDescent="0.25">
      <c r="A83" s="514" t="s">
        <v>17</v>
      </c>
      <c r="B83" s="514"/>
      <c r="C83" s="514"/>
      <c r="D83" s="514"/>
    </row>
    <row r="84" spans="1:10" ht="36" customHeight="1" x14ac:dyDescent="0.25">
      <c r="A84" s="504"/>
      <c r="B84" s="504"/>
      <c r="C84" s="504"/>
      <c r="D84" s="504"/>
      <c r="E84" s="504"/>
      <c r="F84" s="24"/>
      <c r="H84" s="24" t="s">
        <v>107</v>
      </c>
      <c r="I84" s="407">
        <f>I86*I95*((I87*I87*I91)+(I90*I90*I94)+(I88*I88*I92)+(I89*I89*I93))/I96</f>
        <v>3.1177819916498744E-2</v>
      </c>
    </row>
    <row r="85" spans="1:10" ht="8.25" customHeight="1" x14ac:dyDescent="0.25">
      <c r="A85" s="10"/>
      <c r="B85" s="10"/>
      <c r="C85" s="10"/>
      <c r="D85" s="10"/>
      <c r="E85" s="10"/>
      <c r="F85" s="24"/>
      <c r="H85" s="24"/>
      <c r="I85" s="374"/>
    </row>
    <row r="86" spans="1:10" ht="54.75" customHeight="1" x14ac:dyDescent="0.25">
      <c r="A86" s="3" t="s">
        <v>7</v>
      </c>
      <c r="B86" s="465" t="s">
        <v>110</v>
      </c>
      <c r="C86" s="465"/>
      <c r="D86" s="465"/>
      <c r="E86" s="465"/>
      <c r="F86" s="465"/>
      <c r="G86" s="465"/>
      <c r="H86" s="465"/>
      <c r="I86" s="376">
        <v>1</v>
      </c>
    </row>
    <row r="87" spans="1:10" ht="15.75" customHeight="1" x14ac:dyDescent="0.25">
      <c r="A87" s="475" t="s">
        <v>8</v>
      </c>
      <c r="B87" s="481" t="s">
        <v>9</v>
      </c>
      <c r="C87" s="482"/>
      <c r="D87" s="482"/>
      <c r="E87" s="482"/>
      <c r="F87" s="482"/>
      <c r="G87" s="482"/>
      <c r="H87" s="483"/>
      <c r="I87" s="397">
        <f>I74</f>
        <v>0.2</v>
      </c>
    </row>
    <row r="88" spans="1:10" ht="15.75" customHeight="1" x14ac:dyDescent="0.25">
      <c r="A88" s="476"/>
      <c r="B88" s="481" t="s">
        <v>9</v>
      </c>
      <c r="C88" s="482"/>
      <c r="D88" s="482"/>
      <c r="E88" s="482"/>
      <c r="F88" s="482"/>
      <c r="G88" s="482"/>
      <c r="H88" s="483"/>
      <c r="I88" s="397">
        <f t="shared" ref="I88:I90" si="0">I75</f>
        <v>0.15</v>
      </c>
    </row>
    <row r="89" spans="1:10" ht="15.75" customHeight="1" x14ac:dyDescent="0.25">
      <c r="A89" s="476"/>
      <c r="B89" s="481" t="s">
        <v>9</v>
      </c>
      <c r="C89" s="482"/>
      <c r="D89" s="482"/>
      <c r="E89" s="482"/>
      <c r="F89" s="482"/>
      <c r="G89" s="482"/>
      <c r="H89" s="483"/>
      <c r="I89" s="397">
        <f t="shared" si="0"/>
        <v>0.1</v>
      </c>
    </row>
    <row r="90" spans="1:10" ht="15.75" customHeight="1" x14ac:dyDescent="0.25">
      <c r="A90" s="477"/>
      <c r="B90" s="481" t="s">
        <v>9</v>
      </c>
      <c r="C90" s="482"/>
      <c r="D90" s="482"/>
      <c r="E90" s="482"/>
      <c r="F90" s="482"/>
      <c r="G90" s="482"/>
      <c r="H90" s="483"/>
      <c r="I90" s="397">
        <f t="shared" si="0"/>
        <v>0.08</v>
      </c>
    </row>
    <row r="91" spans="1:10" ht="21.75" customHeight="1" x14ac:dyDescent="0.25">
      <c r="A91" s="475" t="s">
        <v>1975</v>
      </c>
      <c r="B91" s="465" t="s">
        <v>1976</v>
      </c>
      <c r="C91" s="465"/>
      <c r="D91" s="465"/>
      <c r="E91" s="465"/>
      <c r="F91" s="465"/>
      <c r="G91" s="465"/>
      <c r="H91" s="311" t="s">
        <v>1977</v>
      </c>
      <c r="I91" s="397">
        <v>530</v>
      </c>
    </row>
    <row r="92" spans="1:10" ht="15.75" customHeight="1" x14ac:dyDescent="0.25">
      <c r="A92" s="476"/>
      <c r="B92" s="465" t="s">
        <v>1976</v>
      </c>
      <c r="C92" s="465"/>
      <c r="D92" s="465"/>
      <c r="E92" s="465"/>
      <c r="F92" s="465"/>
      <c r="G92" s="465"/>
      <c r="H92" s="311" t="s">
        <v>1978</v>
      </c>
      <c r="I92" s="397">
        <v>960</v>
      </c>
    </row>
    <row r="93" spans="1:10" ht="15.75" customHeight="1" x14ac:dyDescent="0.25">
      <c r="A93" s="476"/>
      <c r="B93" s="465" t="s">
        <v>1976</v>
      </c>
      <c r="C93" s="465"/>
      <c r="D93" s="465"/>
      <c r="E93" s="465"/>
      <c r="F93" s="465"/>
      <c r="G93" s="465"/>
      <c r="H93" s="311" t="s">
        <v>1979</v>
      </c>
      <c r="I93" s="397">
        <v>2200</v>
      </c>
    </row>
    <row r="94" spans="1:10" ht="29.25" customHeight="1" x14ac:dyDescent="0.25">
      <c r="A94" s="477"/>
      <c r="B94" s="465" t="s">
        <v>1976</v>
      </c>
      <c r="C94" s="465"/>
      <c r="D94" s="465"/>
      <c r="E94" s="465"/>
      <c r="F94" s="465"/>
      <c r="G94" s="465"/>
      <c r="H94" s="311" t="s">
        <v>1980</v>
      </c>
      <c r="I94" s="397">
        <v>2400</v>
      </c>
    </row>
    <row r="95" spans="1:10" ht="47.25" customHeight="1" x14ac:dyDescent="0.25">
      <c r="A95" s="3">
        <v>0.78500000000000003</v>
      </c>
      <c r="B95" s="465" t="s">
        <v>86</v>
      </c>
      <c r="C95" s="465"/>
      <c r="D95" s="465"/>
      <c r="E95" s="465"/>
      <c r="F95" s="465"/>
      <c r="G95" s="465"/>
      <c r="H95" s="465"/>
      <c r="I95" s="397">
        <v>0.78500000000000003</v>
      </c>
    </row>
    <row r="96" spans="1:10" ht="27.75" customHeight="1" x14ac:dyDescent="0.25">
      <c r="A96" s="3" t="s">
        <v>14</v>
      </c>
      <c r="B96" s="465" t="s">
        <v>15</v>
      </c>
      <c r="C96" s="465"/>
      <c r="D96" s="465"/>
      <c r="E96" s="465"/>
      <c r="F96" s="465"/>
      <c r="G96" s="465"/>
      <c r="H96" s="465"/>
      <c r="I96" s="398">
        <f>H49</f>
        <v>2018.2809499999998</v>
      </c>
    </row>
    <row r="97" spans="1:10" ht="52.5" customHeight="1" x14ac:dyDescent="0.25">
      <c r="A97" s="423" t="s">
        <v>1974</v>
      </c>
      <c r="B97" s="423"/>
      <c r="C97" s="423"/>
      <c r="D97" s="423"/>
      <c r="E97" s="423"/>
      <c r="F97" s="423"/>
      <c r="G97" s="423"/>
      <c r="H97" s="423"/>
      <c r="I97" s="423"/>
    </row>
    <row r="99" spans="1:10" x14ac:dyDescent="0.25">
      <c r="G99" s="15"/>
      <c r="H99" t="s">
        <v>107</v>
      </c>
      <c r="I99" s="406">
        <f>I101*(H50+H51)*I102/I103</f>
        <v>0.50920958254102344</v>
      </c>
    </row>
    <row r="101" spans="1:10" ht="52.5" customHeight="1" x14ac:dyDescent="0.25">
      <c r="A101" s="3" t="s">
        <v>19</v>
      </c>
      <c r="B101" s="465" t="s">
        <v>20</v>
      </c>
      <c r="C101" s="465"/>
      <c r="D101" s="465"/>
      <c r="E101" s="465"/>
      <c r="F101" s="465"/>
      <c r="G101" s="465"/>
      <c r="H101" s="465"/>
      <c r="I101" s="397">
        <v>2E-3</v>
      </c>
    </row>
    <row r="102" spans="1:10" ht="29.25" customHeight="1" x14ac:dyDescent="0.25">
      <c r="A102" s="3" t="s">
        <v>21</v>
      </c>
      <c r="B102" s="465" t="s">
        <v>22</v>
      </c>
      <c r="C102" s="465"/>
      <c r="D102" s="465"/>
      <c r="E102" s="465"/>
      <c r="F102" s="465"/>
      <c r="G102" s="465"/>
      <c r="H102" s="465"/>
      <c r="I102" s="397">
        <f>24*351</f>
        <v>8424</v>
      </c>
    </row>
    <row r="103" spans="1:10" ht="24.75" customHeight="1" x14ac:dyDescent="0.25">
      <c r="A103" s="3" t="s">
        <v>14</v>
      </c>
      <c r="B103" s="465" t="s">
        <v>15</v>
      </c>
      <c r="C103" s="465"/>
      <c r="D103" s="465"/>
      <c r="E103" s="465"/>
      <c r="F103" s="465"/>
      <c r="G103" s="465"/>
      <c r="H103" s="465"/>
      <c r="I103" s="398">
        <f>H49</f>
        <v>2018.2809499999998</v>
      </c>
    </row>
    <row r="104" spans="1:10" ht="9.75" customHeight="1" x14ac:dyDescent="0.25"/>
    <row r="105" spans="1:10" ht="42" customHeight="1" x14ac:dyDescent="0.25">
      <c r="A105" s="423" t="s">
        <v>23</v>
      </c>
      <c r="B105" s="423"/>
      <c r="C105" s="423"/>
      <c r="D105" s="423"/>
      <c r="E105" s="423"/>
      <c r="F105" s="423"/>
      <c r="G105" s="423"/>
      <c r="H105" s="423"/>
      <c r="I105" s="423"/>
      <c r="J105" s="423"/>
    </row>
    <row r="107" spans="1:10" x14ac:dyDescent="0.25">
      <c r="G107" s="15"/>
      <c r="H107" t="s">
        <v>107</v>
      </c>
      <c r="I107" s="406">
        <f>(бойлера!P31*I111-бойлера!P18-бойлера!P17)/I112</f>
        <v>0.27085135115604198</v>
      </c>
    </row>
    <row r="110" spans="1:10" ht="74.25" customHeight="1" x14ac:dyDescent="0.25">
      <c r="A110" s="3" t="s">
        <v>19</v>
      </c>
      <c r="B110" s="465" t="s">
        <v>24</v>
      </c>
      <c r="C110" s="465"/>
      <c r="D110" s="465"/>
      <c r="E110" s="465"/>
      <c r="F110" s="465"/>
      <c r="G110" s="465"/>
      <c r="H110" s="465"/>
      <c r="I110" s="390" t="s">
        <v>1968</v>
      </c>
    </row>
    <row r="111" spans="1:10" ht="59.25" customHeight="1" x14ac:dyDescent="0.25">
      <c r="A111" s="3" t="s">
        <v>25</v>
      </c>
      <c r="B111" s="465" t="s">
        <v>109</v>
      </c>
      <c r="C111" s="465"/>
      <c r="D111" s="465"/>
      <c r="E111" s="465"/>
      <c r="F111" s="465"/>
      <c r="G111" s="465"/>
      <c r="H111" s="465"/>
      <c r="I111" s="417">
        <v>1</v>
      </c>
    </row>
    <row r="112" spans="1:10" ht="38.25" customHeight="1" x14ac:dyDescent="0.25">
      <c r="A112" s="3" t="s">
        <v>14</v>
      </c>
      <c r="B112" s="465" t="s">
        <v>15</v>
      </c>
      <c r="C112" s="465"/>
      <c r="D112" s="465"/>
      <c r="E112" s="465"/>
      <c r="F112" s="465"/>
      <c r="G112" s="465"/>
      <c r="H112" s="465"/>
      <c r="I112" s="418">
        <f>I103</f>
        <v>2018.2809499999998</v>
      </c>
    </row>
    <row r="114" spans="1:9" ht="15.75" x14ac:dyDescent="0.25">
      <c r="A114" s="505" t="s">
        <v>126</v>
      </c>
      <c r="B114" s="505"/>
      <c r="C114" s="505"/>
      <c r="D114" s="505"/>
      <c r="E114" s="505"/>
      <c r="F114" s="505"/>
      <c r="G114" s="505"/>
      <c r="H114" s="505"/>
      <c r="I114" s="378" t="s">
        <v>93</v>
      </c>
    </row>
    <row r="115" spans="1:9" ht="15.75" x14ac:dyDescent="0.25">
      <c r="A115" s="493" t="s">
        <v>111</v>
      </c>
      <c r="B115" s="493"/>
      <c r="C115" s="493"/>
      <c r="D115" s="493"/>
      <c r="E115" s="493"/>
      <c r="F115" s="493"/>
      <c r="G115" s="493"/>
      <c r="H115" s="493"/>
      <c r="I115" s="379">
        <f>I70</f>
        <v>0.33142769345367912</v>
      </c>
    </row>
    <row r="116" spans="1:9" ht="15.75" x14ac:dyDescent="0.25">
      <c r="A116" s="488" t="s">
        <v>112</v>
      </c>
      <c r="B116" s="489"/>
      <c r="C116" s="489"/>
      <c r="D116" s="489"/>
      <c r="E116" s="489"/>
      <c r="F116" s="489"/>
      <c r="G116" s="489"/>
      <c r="H116" s="490"/>
      <c r="I116" s="379">
        <f>I84</f>
        <v>3.1177819916498744E-2</v>
      </c>
    </row>
    <row r="117" spans="1:9" ht="15.75" x14ac:dyDescent="0.25">
      <c r="A117" s="506" t="s">
        <v>113</v>
      </c>
      <c r="B117" s="506"/>
      <c r="C117" s="506"/>
      <c r="D117" s="506"/>
      <c r="E117" s="506"/>
      <c r="F117" s="506"/>
      <c r="G117" s="506"/>
      <c r="H117" s="506"/>
      <c r="I117" s="310">
        <f>I99</f>
        <v>0.50920958254102344</v>
      </c>
    </row>
    <row r="118" spans="1:9" ht="15.75" x14ac:dyDescent="0.25">
      <c r="A118" s="488" t="s">
        <v>114</v>
      </c>
      <c r="B118" s="489"/>
      <c r="C118" s="489"/>
      <c r="D118" s="489"/>
      <c r="E118" s="489"/>
      <c r="F118" s="489"/>
      <c r="G118" s="489"/>
      <c r="H118" s="490"/>
      <c r="I118" s="379">
        <f>I107</f>
        <v>0.27085135115604198</v>
      </c>
    </row>
    <row r="119" spans="1:9" ht="15.75" x14ac:dyDescent="0.25">
      <c r="A119" s="492" t="s">
        <v>115</v>
      </c>
      <c r="B119" s="492"/>
      <c r="C119" s="492"/>
      <c r="D119" s="492"/>
      <c r="E119" s="492"/>
      <c r="F119" s="492"/>
      <c r="G119" s="492"/>
      <c r="H119" s="492"/>
      <c r="I119" s="380">
        <f>SUM(I115:I118)</f>
        <v>1.1426664470672434</v>
      </c>
    </row>
    <row r="120" spans="1:9" ht="15.75" x14ac:dyDescent="0.25">
      <c r="A120" s="26"/>
      <c r="B120" s="26"/>
      <c r="C120" s="26"/>
      <c r="D120" s="26"/>
      <c r="E120" s="26"/>
      <c r="F120" s="26"/>
      <c r="G120" s="26"/>
      <c r="H120" s="26"/>
      <c r="I120" s="391"/>
    </row>
    <row r="121" spans="1:9" ht="15.75" x14ac:dyDescent="0.25">
      <c r="A121" s="245" t="s">
        <v>26</v>
      </c>
      <c r="B121" s="246"/>
      <c r="C121" s="246"/>
      <c r="D121" s="246"/>
      <c r="E121" s="246"/>
      <c r="F121" s="246"/>
      <c r="G121" s="246"/>
      <c r="H121" s="246"/>
      <c r="I121" s="392"/>
    </row>
    <row r="123" spans="1:9" ht="48" customHeight="1" x14ac:dyDescent="0.25">
      <c r="A123" s="478" t="s">
        <v>27</v>
      </c>
      <c r="B123" s="478"/>
      <c r="C123" s="478"/>
      <c r="D123" s="478"/>
      <c r="E123" s="478"/>
      <c r="F123" s="478"/>
      <c r="G123" s="478"/>
      <c r="H123" s="478"/>
      <c r="I123" s="478"/>
    </row>
    <row r="125" spans="1:9" x14ac:dyDescent="0.25">
      <c r="H125" t="s">
        <v>107</v>
      </c>
      <c r="I125" s="406">
        <f>аварії!N167</f>
        <v>3.7420186767097618</v>
      </c>
    </row>
    <row r="128" spans="1:9" ht="15.75" customHeight="1" x14ac:dyDescent="0.25">
      <c r="A128" s="3" t="s">
        <v>28</v>
      </c>
      <c r="B128" s="465" t="s">
        <v>29</v>
      </c>
      <c r="C128" s="465"/>
      <c r="D128" s="465"/>
      <c r="E128" s="465"/>
      <c r="F128" s="465"/>
      <c r="G128" s="465"/>
      <c r="H128" s="465"/>
      <c r="I128" s="393">
        <f>аварії!A166</f>
        <v>161</v>
      </c>
    </row>
    <row r="129" spans="1:9" ht="15.75" customHeight="1" x14ac:dyDescent="0.25">
      <c r="A129" s="3" t="s">
        <v>12</v>
      </c>
      <c r="B129" s="465" t="s">
        <v>30</v>
      </c>
      <c r="C129" s="465"/>
      <c r="D129" s="465"/>
      <c r="E129" s="465"/>
      <c r="F129" s="465"/>
      <c r="G129" s="465"/>
      <c r="H129" s="465"/>
      <c r="I129" s="394" t="s">
        <v>2083</v>
      </c>
    </row>
    <row r="130" spans="1:9" ht="15.75" customHeight="1" x14ac:dyDescent="0.25">
      <c r="A130" s="3" t="s">
        <v>31</v>
      </c>
      <c r="B130" s="465" t="s">
        <v>35</v>
      </c>
      <c r="C130" s="465"/>
      <c r="D130" s="465"/>
      <c r="E130" s="465"/>
      <c r="F130" s="465"/>
      <c r="G130" s="465"/>
      <c r="H130" s="465"/>
      <c r="I130" s="394" t="s">
        <v>2083</v>
      </c>
    </row>
    <row r="131" spans="1:9" ht="35.25" customHeight="1" x14ac:dyDescent="0.25">
      <c r="A131" s="3" t="s">
        <v>32</v>
      </c>
      <c r="B131" s="465" t="s">
        <v>33</v>
      </c>
      <c r="C131" s="465"/>
      <c r="D131" s="465"/>
      <c r="E131" s="465"/>
      <c r="F131" s="465"/>
      <c r="G131" s="465"/>
      <c r="H131" s="465"/>
      <c r="I131" s="394" t="s">
        <v>2083</v>
      </c>
    </row>
    <row r="132" spans="1:9" ht="15.75" customHeight="1" x14ac:dyDescent="0.25">
      <c r="A132" s="21">
        <v>9568</v>
      </c>
      <c r="B132" s="465" t="s">
        <v>116</v>
      </c>
      <c r="C132" s="465"/>
      <c r="D132" s="465"/>
      <c r="E132" s="465"/>
      <c r="F132" s="465"/>
      <c r="G132" s="465"/>
      <c r="H132" s="465"/>
      <c r="I132" s="393">
        <v>9568</v>
      </c>
    </row>
    <row r="133" spans="1:9" ht="26.25" customHeight="1" x14ac:dyDescent="0.25">
      <c r="A133" s="3" t="s">
        <v>14</v>
      </c>
      <c r="B133" s="465" t="s">
        <v>1972</v>
      </c>
      <c r="C133" s="465"/>
      <c r="D133" s="465"/>
      <c r="E133" s="465"/>
      <c r="F133" s="465"/>
      <c r="G133" s="465"/>
      <c r="H133" s="465"/>
      <c r="I133" s="385">
        <f>I112</f>
        <v>2018.2809499999998</v>
      </c>
    </row>
    <row r="134" spans="1:9" ht="30" customHeight="1" x14ac:dyDescent="0.25">
      <c r="A134" s="11" t="s">
        <v>34</v>
      </c>
    </row>
    <row r="135" spans="1:9" ht="59.25" customHeight="1" x14ac:dyDescent="0.25">
      <c r="A135" s="428" t="s">
        <v>117</v>
      </c>
      <c r="B135" s="428"/>
      <c r="C135" s="428"/>
      <c r="D135" s="428"/>
      <c r="E135" s="428"/>
      <c r="F135" s="428"/>
      <c r="G135" s="428"/>
      <c r="H135" s="428"/>
      <c r="I135" s="428"/>
    </row>
    <row r="138" spans="1:9" ht="15.75" x14ac:dyDescent="0.25">
      <c r="A138" s="491" t="s">
        <v>36</v>
      </c>
      <c r="B138" s="491"/>
      <c r="C138" s="491"/>
      <c r="D138" s="491"/>
      <c r="E138" s="491"/>
      <c r="F138" s="491"/>
      <c r="G138" s="491"/>
      <c r="H138" s="491"/>
      <c r="I138" s="491"/>
    </row>
    <row r="141" spans="1:9" ht="15.75" x14ac:dyDescent="0.25">
      <c r="A141" s="1" t="s">
        <v>0</v>
      </c>
      <c r="B141" s="1" t="s">
        <v>8</v>
      </c>
      <c r="C141" s="1" t="s">
        <v>1</v>
      </c>
      <c r="D141" s="428" t="s">
        <v>37</v>
      </c>
      <c r="E141" s="428"/>
      <c r="F141" s="428"/>
      <c r="G141" s="428"/>
      <c r="H141" s="428"/>
      <c r="I141" s="428"/>
    </row>
    <row r="142" spans="1:9" ht="15.75" x14ac:dyDescent="0.25">
      <c r="A142" s="12" t="s">
        <v>38</v>
      </c>
    </row>
    <row r="146" spans="1:9" ht="54" customHeight="1" x14ac:dyDescent="0.25">
      <c r="A146" s="508" t="s">
        <v>39</v>
      </c>
      <c r="B146" s="509"/>
      <c r="C146" s="509"/>
      <c r="D146" s="509"/>
      <c r="E146" s="509"/>
      <c r="F146" s="509"/>
      <c r="G146" s="509"/>
      <c r="H146" s="509"/>
      <c r="I146" s="509"/>
    </row>
    <row r="147" spans="1:9" ht="48.75" customHeight="1" x14ac:dyDescent="0.25">
      <c r="A147" s="428" t="s">
        <v>118</v>
      </c>
      <c r="B147" s="491"/>
      <c r="C147" s="491"/>
      <c r="D147" s="491"/>
      <c r="E147" s="491"/>
      <c r="F147" s="491"/>
      <c r="G147" s="491"/>
      <c r="H147" s="491"/>
      <c r="I147" s="491"/>
    </row>
    <row r="148" spans="1:9" ht="32.25" customHeight="1" x14ac:dyDescent="0.25">
      <c r="A148" s="487" t="s">
        <v>119</v>
      </c>
      <c r="B148" s="438"/>
      <c r="C148" s="438"/>
      <c r="D148" s="438"/>
      <c r="E148" s="438"/>
      <c r="F148" s="438"/>
      <c r="G148" s="438"/>
      <c r="H148" s="438"/>
      <c r="I148" s="438"/>
    </row>
    <row r="150" spans="1:9" x14ac:dyDescent="0.25">
      <c r="H150" t="s">
        <v>107</v>
      </c>
      <c r="I150" s="406">
        <f>I164*((I153*I153*I162*I163)+(I154*I154*I162*I163)+(I155*I155*I162*I163)+(I156*I156*I162*I163)+(I157*I157*I162*I163)+(I158*I158*I162*I163)+(I159*I159*I162*I163)+(I160*I160*I162*I163)+(I161*I161*I162*I163))/I165</f>
        <v>0.69498581057310194</v>
      </c>
    </row>
    <row r="153" spans="1:9" ht="15.75" customHeight="1" x14ac:dyDescent="0.25">
      <c r="A153" s="475" t="s">
        <v>40</v>
      </c>
      <c r="B153" s="466" t="s">
        <v>9</v>
      </c>
      <c r="C153" s="467"/>
      <c r="D153" s="467"/>
      <c r="E153" s="467"/>
      <c r="F153" s="467"/>
      <c r="G153" s="467"/>
      <c r="H153" s="468"/>
      <c r="I153" s="395">
        <v>3.2000000000000001E-2</v>
      </c>
    </row>
    <row r="154" spans="1:9" ht="15.75" customHeight="1" x14ac:dyDescent="0.25">
      <c r="A154" s="476"/>
      <c r="B154" s="469"/>
      <c r="C154" s="470"/>
      <c r="D154" s="470"/>
      <c r="E154" s="470"/>
      <c r="F154" s="470"/>
      <c r="G154" s="470"/>
      <c r="H154" s="471"/>
      <c r="I154" s="395">
        <v>0.05</v>
      </c>
    </row>
    <row r="155" spans="1:9" ht="15.75" customHeight="1" x14ac:dyDescent="0.25">
      <c r="A155" s="476"/>
      <c r="B155" s="469"/>
      <c r="C155" s="470"/>
      <c r="D155" s="470"/>
      <c r="E155" s="470"/>
      <c r="F155" s="470"/>
      <c r="G155" s="470"/>
      <c r="H155" s="471"/>
      <c r="I155" s="395">
        <v>7.0000000000000007E-2</v>
      </c>
    </row>
    <row r="156" spans="1:9" ht="15.75" customHeight="1" x14ac:dyDescent="0.25">
      <c r="A156" s="476"/>
      <c r="B156" s="469"/>
      <c r="C156" s="470"/>
      <c r="D156" s="470"/>
      <c r="E156" s="470"/>
      <c r="F156" s="470"/>
      <c r="G156" s="470"/>
      <c r="H156" s="471"/>
      <c r="I156" s="395">
        <v>0.08</v>
      </c>
    </row>
    <row r="157" spans="1:9" ht="15.75" customHeight="1" x14ac:dyDescent="0.25">
      <c r="A157" s="476"/>
      <c r="B157" s="469"/>
      <c r="C157" s="470"/>
      <c r="D157" s="470"/>
      <c r="E157" s="470"/>
      <c r="F157" s="470"/>
      <c r="G157" s="470"/>
      <c r="H157" s="471"/>
      <c r="I157" s="395">
        <v>0.1</v>
      </c>
    </row>
    <row r="158" spans="1:9" ht="15.75" customHeight="1" x14ac:dyDescent="0.25">
      <c r="A158" s="476"/>
      <c r="B158" s="469"/>
      <c r="C158" s="470"/>
      <c r="D158" s="470"/>
      <c r="E158" s="470"/>
      <c r="F158" s="470"/>
      <c r="G158" s="470"/>
      <c r="H158" s="471"/>
      <c r="I158" s="395">
        <v>0.125</v>
      </c>
    </row>
    <row r="159" spans="1:9" ht="15.75" customHeight="1" x14ac:dyDescent="0.25">
      <c r="A159" s="476"/>
      <c r="B159" s="469"/>
      <c r="C159" s="470"/>
      <c r="D159" s="470"/>
      <c r="E159" s="470"/>
      <c r="F159" s="470"/>
      <c r="G159" s="470"/>
      <c r="H159" s="471"/>
      <c r="I159" s="395">
        <v>0.15</v>
      </c>
    </row>
    <row r="160" spans="1:9" ht="15.75" customHeight="1" x14ac:dyDescent="0.25">
      <c r="A160" s="476"/>
      <c r="B160" s="469"/>
      <c r="C160" s="470"/>
      <c r="D160" s="470"/>
      <c r="E160" s="470"/>
      <c r="F160" s="470"/>
      <c r="G160" s="470"/>
      <c r="H160" s="471"/>
      <c r="I160" s="395">
        <v>0.2</v>
      </c>
    </row>
    <row r="161" spans="1:9" ht="15.75" customHeight="1" x14ac:dyDescent="0.25">
      <c r="A161" s="477"/>
      <c r="B161" s="472"/>
      <c r="C161" s="473"/>
      <c r="D161" s="473"/>
      <c r="E161" s="473"/>
      <c r="F161" s="473"/>
      <c r="G161" s="473"/>
      <c r="H161" s="474"/>
      <c r="I161" s="395">
        <v>0.25</v>
      </c>
    </row>
    <row r="162" spans="1:9" ht="42.75" customHeight="1" x14ac:dyDescent="0.25">
      <c r="A162" s="3" t="s">
        <v>10</v>
      </c>
      <c r="B162" s="465" t="s">
        <v>11</v>
      </c>
      <c r="C162" s="465"/>
      <c r="D162" s="465"/>
      <c r="E162" s="465"/>
      <c r="F162" s="465"/>
      <c r="G162" s="465"/>
      <c r="H162" s="465"/>
      <c r="I162" s="396">
        <v>1.5</v>
      </c>
    </row>
    <row r="163" spans="1:9" ht="53.25" customHeight="1" x14ac:dyDescent="0.25">
      <c r="A163" s="3" t="s">
        <v>12</v>
      </c>
      <c r="B163" s="465" t="s">
        <v>120</v>
      </c>
      <c r="C163" s="465"/>
      <c r="D163" s="465"/>
      <c r="E163" s="465"/>
      <c r="F163" s="465"/>
      <c r="G163" s="465"/>
      <c r="H163" s="465"/>
      <c r="I163" s="396">
        <v>2</v>
      </c>
    </row>
    <row r="164" spans="1:9" ht="40.5" customHeight="1" x14ac:dyDescent="0.25">
      <c r="A164" s="3">
        <v>2826</v>
      </c>
      <c r="B164" s="465" t="s">
        <v>41</v>
      </c>
      <c r="C164" s="465"/>
      <c r="D164" s="465"/>
      <c r="E164" s="465"/>
      <c r="F164" s="465"/>
      <c r="G164" s="465"/>
      <c r="H164" s="465"/>
      <c r="I164" s="396">
        <v>2826</v>
      </c>
    </row>
    <row r="165" spans="1:9" ht="27" customHeight="1" x14ac:dyDescent="0.25">
      <c r="A165" s="3" t="s">
        <v>14</v>
      </c>
      <c r="B165" s="465" t="s">
        <v>15</v>
      </c>
      <c r="C165" s="465"/>
      <c r="D165" s="465"/>
      <c r="E165" s="465"/>
      <c r="F165" s="465"/>
      <c r="G165" s="465"/>
      <c r="H165" s="465"/>
      <c r="I165" s="386">
        <f>I133</f>
        <v>2018.2809499999998</v>
      </c>
    </row>
    <row r="167" spans="1:9" ht="42" customHeight="1" x14ac:dyDescent="0.25">
      <c r="A167" s="423" t="s">
        <v>121</v>
      </c>
      <c r="B167" s="423"/>
      <c r="C167" s="423"/>
      <c r="D167" s="423"/>
      <c r="E167" s="423"/>
      <c r="F167" s="423"/>
      <c r="G167" s="423"/>
      <c r="H167" s="423"/>
      <c r="I167" s="423"/>
    </row>
    <row r="169" spans="1:9" x14ac:dyDescent="0.25">
      <c r="H169" t="s">
        <v>107</v>
      </c>
      <c r="I169" s="406">
        <f>аварії!O167</f>
        <v>4.1593856204707277E-2</v>
      </c>
    </row>
    <row r="172" spans="1:9" ht="15.75" customHeight="1" x14ac:dyDescent="0.25">
      <c r="A172" s="3" t="s">
        <v>8</v>
      </c>
      <c r="B172" s="466" t="s">
        <v>9</v>
      </c>
      <c r="C172" s="467"/>
      <c r="D172" s="467"/>
      <c r="E172" s="467"/>
      <c r="F172" s="467"/>
      <c r="G172" s="467"/>
      <c r="H172" s="468"/>
      <c r="I172" s="401" t="s">
        <v>2081</v>
      </c>
    </row>
    <row r="173" spans="1:9" ht="73.5" customHeight="1" x14ac:dyDescent="0.25">
      <c r="A173" s="3" t="s">
        <v>18</v>
      </c>
      <c r="B173" s="466" t="s">
        <v>42</v>
      </c>
      <c r="C173" s="467"/>
      <c r="D173" s="467"/>
      <c r="E173" s="467"/>
      <c r="F173" s="467"/>
      <c r="G173" s="467"/>
      <c r="H173" s="468"/>
      <c r="I173" s="401" t="s">
        <v>2081</v>
      </c>
    </row>
    <row r="174" spans="1:9" ht="31.5" customHeight="1" x14ac:dyDescent="0.25">
      <c r="A174" s="3">
        <v>0.78500000000000003</v>
      </c>
      <c r="B174" s="465" t="s">
        <v>122</v>
      </c>
      <c r="C174" s="465"/>
      <c r="D174" s="465"/>
      <c r="E174" s="465"/>
      <c r="F174" s="465"/>
      <c r="G174" s="465"/>
      <c r="H174" s="465"/>
      <c r="I174" s="376">
        <v>0.78500000000000003</v>
      </c>
    </row>
    <row r="175" spans="1:9" ht="25.5" customHeight="1" x14ac:dyDescent="0.25">
      <c r="A175" s="3" t="s">
        <v>14</v>
      </c>
      <c r="B175" s="465" t="s">
        <v>1971</v>
      </c>
      <c r="C175" s="465"/>
      <c r="D175" s="465"/>
      <c r="E175" s="465"/>
      <c r="F175" s="465"/>
      <c r="G175" s="465"/>
      <c r="H175" s="465"/>
      <c r="I175" s="377">
        <f>I165</f>
        <v>2018.2809499999998</v>
      </c>
    </row>
    <row r="177" spans="1:9" ht="45.75" customHeight="1" x14ac:dyDescent="0.25">
      <c r="A177" s="423" t="s">
        <v>43</v>
      </c>
      <c r="B177" s="507"/>
      <c r="C177" s="507"/>
      <c r="D177" s="507"/>
      <c r="E177" s="507"/>
      <c r="F177" s="507"/>
      <c r="G177" s="507"/>
      <c r="H177" s="507"/>
      <c r="I177" s="507"/>
    </row>
    <row r="180" spans="1:9" x14ac:dyDescent="0.25">
      <c r="H180" s="27" t="s">
        <v>107</v>
      </c>
      <c r="I180" s="406">
        <f>I183*I184*I187*SQRT((50/60))*'коеф К'!U20/I190</f>
        <v>26.118843853842314</v>
      </c>
    </row>
    <row r="183" spans="1:9" ht="35.25" customHeight="1" x14ac:dyDescent="0.25">
      <c r="A183" s="3" t="s">
        <v>28</v>
      </c>
      <c r="B183" s="481" t="s">
        <v>44</v>
      </c>
      <c r="C183" s="482"/>
      <c r="D183" s="482"/>
      <c r="E183" s="482"/>
      <c r="F183" s="482"/>
      <c r="G183" s="482"/>
      <c r="H183" s="483"/>
      <c r="I183" s="396">
        <f>H53</f>
        <v>351</v>
      </c>
    </row>
    <row r="184" spans="1:9" ht="15.75" customHeight="1" x14ac:dyDescent="0.25">
      <c r="A184" s="3" t="s">
        <v>45</v>
      </c>
      <c r="B184" s="465" t="s">
        <v>46</v>
      </c>
      <c r="C184" s="465"/>
      <c r="D184" s="465"/>
      <c r="E184" s="465"/>
      <c r="F184" s="465"/>
      <c r="G184" s="465"/>
      <c r="H184" s="465"/>
      <c r="I184" s="393">
        <f>H54</f>
        <v>24</v>
      </c>
    </row>
    <row r="185" spans="1:9" ht="33.75" customHeight="1" x14ac:dyDescent="0.25">
      <c r="A185" s="3" t="s">
        <v>47</v>
      </c>
      <c r="B185" s="465" t="s">
        <v>48</v>
      </c>
      <c r="C185" s="465"/>
      <c r="D185" s="465"/>
      <c r="E185" s="465"/>
      <c r="F185" s="465"/>
      <c r="G185" s="465"/>
      <c r="H185" s="465"/>
      <c r="I185" s="397" t="s">
        <v>2075</v>
      </c>
    </row>
    <row r="186" spans="1:9" ht="63" customHeight="1" x14ac:dyDescent="0.25">
      <c r="A186" s="3" t="s">
        <v>19</v>
      </c>
      <c r="B186" s="503" t="s">
        <v>51</v>
      </c>
      <c r="C186" s="503"/>
      <c r="D186" s="503"/>
      <c r="E186" s="503"/>
      <c r="F186" s="503"/>
      <c r="G186" s="503"/>
      <c r="H186" s="503"/>
      <c r="I186" s="397" t="s">
        <v>2075</v>
      </c>
    </row>
    <row r="187" spans="1:9" ht="18.75" customHeight="1" x14ac:dyDescent="0.25">
      <c r="A187" s="18">
        <v>0.06</v>
      </c>
      <c r="B187" s="465" t="s">
        <v>52</v>
      </c>
      <c r="C187" s="465"/>
      <c r="D187" s="465"/>
      <c r="E187" s="465"/>
      <c r="F187" s="465"/>
      <c r="G187" s="465"/>
      <c r="H187" s="465"/>
      <c r="I187" s="397">
        <v>0.06</v>
      </c>
    </row>
    <row r="188" spans="1:9" ht="33.75" customHeight="1" x14ac:dyDescent="0.25">
      <c r="A188" s="3" t="s">
        <v>32</v>
      </c>
      <c r="B188" s="465" t="s">
        <v>33</v>
      </c>
      <c r="C188" s="465"/>
      <c r="D188" s="465"/>
      <c r="E188" s="465"/>
      <c r="F188" s="465"/>
      <c r="G188" s="465"/>
      <c r="H188" s="465"/>
      <c r="I188" s="397">
        <v>50</v>
      </c>
    </row>
    <row r="189" spans="1:9" ht="30.75" customHeight="1" x14ac:dyDescent="0.25">
      <c r="A189" s="18">
        <v>60</v>
      </c>
      <c r="B189" s="481" t="s">
        <v>49</v>
      </c>
      <c r="C189" s="482"/>
      <c r="D189" s="482"/>
      <c r="E189" s="482"/>
      <c r="F189" s="482"/>
      <c r="G189" s="482"/>
      <c r="H189" s="483"/>
      <c r="I189" s="397">
        <v>60</v>
      </c>
    </row>
    <row r="190" spans="1:9" ht="32.25" customHeight="1" x14ac:dyDescent="0.25">
      <c r="A190" s="3" t="s">
        <v>14</v>
      </c>
      <c r="B190" s="465" t="s">
        <v>53</v>
      </c>
      <c r="C190" s="465"/>
      <c r="D190" s="465"/>
      <c r="E190" s="465"/>
      <c r="F190" s="465"/>
      <c r="G190" s="465"/>
      <c r="H190" s="465"/>
      <c r="I190" s="398">
        <f>I175</f>
        <v>2018.2809499999998</v>
      </c>
    </row>
    <row r="191" spans="1:9" ht="53.25" customHeight="1" x14ac:dyDescent="0.25">
      <c r="A191" s="3" t="s">
        <v>50</v>
      </c>
      <c r="B191" s="465" t="s">
        <v>123</v>
      </c>
      <c r="C191" s="465"/>
      <c r="D191" s="465"/>
      <c r="E191" s="465"/>
      <c r="F191" s="465"/>
      <c r="G191" s="465"/>
      <c r="H191" s="465"/>
      <c r="I191" s="397" t="s">
        <v>2075</v>
      </c>
    </row>
    <row r="192" spans="1:9" ht="12.75" customHeight="1" x14ac:dyDescent="0.25">
      <c r="A192" s="33"/>
      <c r="B192" s="19"/>
      <c r="C192" s="19"/>
      <c r="D192" s="19"/>
      <c r="E192" s="19"/>
      <c r="F192" s="19"/>
      <c r="G192" s="19"/>
      <c r="H192" s="19"/>
      <c r="I192" s="399"/>
    </row>
    <row r="193" spans="1:9" ht="41.25" customHeight="1" x14ac:dyDescent="0.25">
      <c r="A193" s="478" t="s">
        <v>124</v>
      </c>
      <c r="B193" s="478"/>
      <c r="C193" s="478"/>
      <c r="D193" s="478"/>
      <c r="E193" s="478"/>
      <c r="F193" s="478"/>
      <c r="G193" s="478"/>
      <c r="H193" s="478"/>
      <c r="I193" s="478"/>
    </row>
    <row r="195" spans="1:9" x14ac:dyDescent="0.25">
      <c r="H195" t="s">
        <v>107</v>
      </c>
      <c r="I195" s="406">
        <f>I202*I198*(I199*I200*I201*SQRT(I203))/I204</f>
        <v>1.4454880134096351</v>
      </c>
    </row>
    <row r="196" spans="1:9" x14ac:dyDescent="0.25">
      <c r="I196" s="374"/>
    </row>
    <row r="198" spans="1:9" ht="15.75" customHeight="1" x14ac:dyDescent="0.25">
      <c r="A198" s="3" t="s">
        <v>54</v>
      </c>
      <c r="B198" s="465" t="s">
        <v>55</v>
      </c>
      <c r="C198" s="465"/>
      <c r="D198" s="465"/>
      <c r="E198" s="465"/>
      <c r="F198" s="465"/>
      <c r="G198" s="465"/>
      <c r="H198" s="465"/>
      <c r="I198" s="400">
        <f>F207</f>
        <v>2.5594201988150742E-2</v>
      </c>
    </row>
    <row r="199" spans="1:9" ht="30" customHeight="1" x14ac:dyDescent="0.25">
      <c r="A199" s="3">
        <v>24</v>
      </c>
      <c r="B199" s="465" t="s">
        <v>56</v>
      </c>
      <c r="C199" s="465"/>
      <c r="D199" s="465"/>
      <c r="E199" s="465"/>
      <c r="F199" s="465"/>
      <c r="G199" s="465"/>
      <c r="H199" s="465"/>
      <c r="I199" s="396">
        <v>24</v>
      </c>
    </row>
    <row r="200" spans="1:9" ht="23.25" customHeight="1" x14ac:dyDescent="0.25">
      <c r="A200" s="3" t="s">
        <v>57</v>
      </c>
      <c r="B200" s="465" t="s">
        <v>58</v>
      </c>
      <c r="C200" s="465"/>
      <c r="D200" s="465"/>
      <c r="E200" s="465"/>
      <c r="F200" s="465"/>
      <c r="G200" s="465"/>
      <c r="H200" s="465"/>
      <c r="I200" s="396">
        <f>H53</f>
        <v>351</v>
      </c>
    </row>
    <row r="201" spans="1:9" ht="36.75" customHeight="1" x14ac:dyDescent="0.25">
      <c r="A201" s="3" t="s">
        <v>31</v>
      </c>
      <c r="B201" s="481" t="s">
        <v>59</v>
      </c>
      <c r="C201" s="482"/>
      <c r="D201" s="482"/>
      <c r="E201" s="482"/>
      <c r="F201" s="482"/>
      <c r="G201" s="482"/>
      <c r="H201" s="483"/>
      <c r="I201" s="396">
        <f>2/10000</f>
        <v>2.0000000000000001E-4</v>
      </c>
    </row>
    <row r="202" spans="1:9" ht="28.5" customHeight="1" x14ac:dyDescent="0.25">
      <c r="A202" s="18">
        <v>9568</v>
      </c>
      <c r="B202" s="465" t="s">
        <v>116</v>
      </c>
      <c r="C202" s="465"/>
      <c r="D202" s="465"/>
      <c r="E202" s="465"/>
      <c r="F202" s="465"/>
      <c r="G202" s="465"/>
      <c r="H202" s="465"/>
      <c r="I202" s="396">
        <v>9568</v>
      </c>
    </row>
    <row r="203" spans="1:9" ht="32.25" customHeight="1" x14ac:dyDescent="0.25">
      <c r="A203" s="3" t="s">
        <v>32</v>
      </c>
      <c r="B203" s="465" t="s">
        <v>33</v>
      </c>
      <c r="C203" s="465"/>
      <c r="D203" s="465"/>
      <c r="E203" s="465"/>
      <c r="F203" s="465"/>
      <c r="G203" s="465"/>
      <c r="H203" s="465"/>
      <c r="I203" s="396">
        <v>50</v>
      </c>
    </row>
    <row r="204" spans="1:9" ht="29.25" customHeight="1" x14ac:dyDescent="0.25">
      <c r="A204" s="3" t="s">
        <v>14</v>
      </c>
      <c r="B204" s="465" t="s">
        <v>15</v>
      </c>
      <c r="C204" s="465"/>
      <c r="D204" s="465"/>
      <c r="E204" s="465"/>
      <c r="F204" s="465"/>
      <c r="G204" s="465"/>
      <c r="H204" s="465"/>
      <c r="I204" s="386">
        <f>I190</f>
        <v>2018.2809499999998</v>
      </c>
    </row>
    <row r="205" spans="1:9" ht="25.5" customHeight="1" x14ac:dyDescent="0.25">
      <c r="A205" s="494" t="s">
        <v>60</v>
      </c>
      <c r="B205" s="494"/>
      <c r="C205" s="494"/>
      <c r="D205" s="494"/>
      <c r="E205" s="494"/>
      <c r="F205" s="494"/>
      <c r="G205" s="494"/>
      <c r="H205" s="494"/>
    </row>
    <row r="207" spans="1:9" x14ac:dyDescent="0.25">
      <c r="E207" t="s">
        <v>107</v>
      </c>
      <c r="F207" s="408">
        <f>I209*I211*I210</f>
        <v>2.5594201988150742E-2</v>
      </c>
    </row>
    <row r="208" spans="1:9" ht="11.25" customHeight="1" x14ac:dyDescent="0.25"/>
    <row r="209" spans="1:12" ht="38.25" customHeight="1" x14ac:dyDescent="0.25">
      <c r="A209" s="28">
        <v>6.9999999999999999E-4</v>
      </c>
      <c r="B209" s="465" t="s">
        <v>61</v>
      </c>
      <c r="C209" s="465"/>
      <c r="D209" s="465"/>
      <c r="E209" s="465"/>
      <c r="F209" s="465"/>
      <c r="G209" s="465"/>
      <c r="H209" s="465"/>
      <c r="I209" s="397">
        <v>6.9999999999999999E-4</v>
      </c>
    </row>
    <row r="210" spans="1:12" ht="66" customHeight="1" x14ac:dyDescent="0.25">
      <c r="A210" s="3" t="s">
        <v>28</v>
      </c>
      <c r="B210" s="465" t="s">
        <v>62</v>
      </c>
      <c r="C210" s="465"/>
      <c r="D210" s="465"/>
      <c r="E210" s="465"/>
      <c r="F210" s="465"/>
      <c r="G210" s="465"/>
      <c r="H210" s="465"/>
      <c r="I210" s="402">
        <f>аварії!A166/H56</f>
        <v>1.2818767312302592</v>
      </c>
      <c r="L210">
        <v>12</v>
      </c>
    </row>
    <row r="211" spans="1:12" ht="44.25" customHeight="1" x14ac:dyDescent="0.25">
      <c r="A211" s="3" t="s">
        <v>63</v>
      </c>
      <c r="B211" s="480" t="s">
        <v>64</v>
      </c>
      <c r="C211" s="480"/>
      <c r="D211" s="480"/>
      <c r="E211" s="480"/>
      <c r="F211" s="480"/>
      <c r="G211" s="480"/>
      <c r="H211" s="480"/>
      <c r="I211" s="398">
        <f>F214</f>
        <v>28.523137058792972</v>
      </c>
    </row>
    <row r="214" spans="1:12" x14ac:dyDescent="0.25">
      <c r="E214" s="10" t="s">
        <v>107</v>
      </c>
      <c r="F214" s="408">
        <f>(I216*I217+I218*I219+I220*I221+I222*I223)/(I216+I218+I220+I222)</f>
        <v>28.523137058792972</v>
      </c>
    </row>
    <row r="216" spans="1:12" ht="33" customHeight="1" x14ac:dyDescent="0.25">
      <c r="A216" s="3" t="s">
        <v>47</v>
      </c>
      <c r="B216" s="480" t="s">
        <v>65</v>
      </c>
      <c r="C216" s="480"/>
      <c r="D216" s="480"/>
      <c r="E216" s="480"/>
      <c r="F216" s="480"/>
      <c r="G216" s="480"/>
      <c r="H216" s="480"/>
      <c r="I216" s="386">
        <f>'коеф К'!C20/1000</f>
        <v>4.9561000000000002</v>
      </c>
    </row>
    <row r="217" spans="1:12" ht="19.5" customHeight="1" x14ac:dyDescent="0.25">
      <c r="A217" s="3" t="s">
        <v>66</v>
      </c>
      <c r="B217" s="480" t="s">
        <v>67</v>
      </c>
      <c r="C217" s="480"/>
      <c r="D217" s="480"/>
      <c r="E217" s="480"/>
      <c r="F217" s="480"/>
      <c r="G217" s="480"/>
      <c r="H217" s="480"/>
      <c r="I217" s="396">
        <v>7.5</v>
      </c>
    </row>
    <row r="218" spans="1:12" ht="19.5" customHeight="1" x14ac:dyDescent="0.25">
      <c r="A218" s="134" t="s">
        <v>47</v>
      </c>
      <c r="B218" s="480" t="s">
        <v>65</v>
      </c>
      <c r="C218" s="480"/>
      <c r="D218" s="480"/>
      <c r="E218" s="480"/>
      <c r="F218" s="480"/>
      <c r="G218" s="480"/>
      <c r="H218" s="480"/>
      <c r="I218" s="386">
        <f>'коеф К'!D20/1000</f>
        <v>11.5572</v>
      </c>
    </row>
    <row r="219" spans="1:12" ht="22.5" customHeight="1" x14ac:dyDescent="0.25">
      <c r="A219" s="134" t="s">
        <v>66</v>
      </c>
      <c r="B219" s="480" t="s">
        <v>67</v>
      </c>
      <c r="C219" s="480"/>
      <c r="D219" s="480"/>
      <c r="E219" s="480"/>
      <c r="F219" s="480"/>
      <c r="G219" s="480"/>
      <c r="H219" s="480"/>
      <c r="I219" s="396">
        <v>15.5</v>
      </c>
    </row>
    <row r="220" spans="1:12" ht="22.5" customHeight="1" x14ac:dyDescent="0.25">
      <c r="A220" s="134" t="s">
        <v>47</v>
      </c>
      <c r="B220" s="480" t="s">
        <v>65</v>
      </c>
      <c r="C220" s="480"/>
      <c r="D220" s="480"/>
      <c r="E220" s="480"/>
      <c r="F220" s="480"/>
      <c r="G220" s="480"/>
      <c r="H220" s="480"/>
      <c r="I220" s="386">
        <f>'коеф К'!E20/1000</f>
        <v>18.372900000000001</v>
      </c>
    </row>
    <row r="221" spans="1:12" ht="22.5" customHeight="1" x14ac:dyDescent="0.25">
      <c r="A221" s="134" t="s">
        <v>66</v>
      </c>
      <c r="B221" s="480" t="s">
        <v>67</v>
      </c>
      <c r="C221" s="480"/>
      <c r="D221" s="480"/>
      <c r="E221" s="480"/>
      <c r="F221" s="480"/>
      <c r="G221" s="480"/>
      <c r="H221" s="480"/>
      <c r="I221" s="396">
        <v>25.5</v>
      </c>
    </row>
    <row r="222" spans="1:12" ht="22.5" customHeight="1" x14ac:dyDescent="0.25">
      <c r="A222" s="134" t="s">
        <v>47</v>
      </c>
      <c r="B222" s="480" t="s">
        <v>65</v>
      </c>
      <c r="C222" s="480"/>
      <c r="D222" s="480"/>
      <c r="E222" s="480"/>
      <c r="F222" s="480"/>
      <c r="G222" s="480"/>
      <c r="H222" s="480"/>
      <c r="I222" s="386">
        <f>'коеф К'!F20/1000</f>
        <v>47.9009</v>
      </c>
    </row>
    <row r="223" spans="1:12" ht="30.75" customHeight="1" x14ac:dyDescent="0.25">
      <c r="A223" s="134" t="s">
        <v>66</v>
      </c>
      <c r="B223" s="480" t="s">
        <v>67</v>
      </c>
      <c r="C223" s="480"/>
      <c r="D223" s="480"/>
      <c r="E223" s="480"/>
      <c r="F223" s="480"/>
      <c r="G223" s="480"/>
      <c r="H223" s="480"/>
      <c r="I223" s="396">
        <v>35</v>
      </c>
    </row>
    <row r="224" spans="1:12" ht="41.25" customHeight="1" x14ac:dyDescent="0.25">
      <c r="A224" s="478" t="s">
        <v>1915</v>
      </c>
      <c r="B224" s="478"/>
      <c r="C224" s="478"/>
      <c r="D224" s="478"/>
      <c r="E224" s="478"/>
      <c r="F224" s="478"/>
      <c r="G224" s="478"/>
      <c r="H224" s="478"/>
      <c r="I224" s="478"/>
    </row>
    <row r="225" spans="1:9" ht="9.75" customHeight="1" x14ac:dyDescent="0.25"/>
    <row r="227" spans="1:9" x14ac:dyDescent="0.25">
      <c r="F227" t="s">
        <v>107</v>
      </c>
      <c r="G227" s="408">
        <f>I229*I230*I231*I232/I233</f>
        <v>6.760852843604356</v>
      </c>
    </row>
    <row r="229" spans="1:9" ht="15.75" customHeight="1" x14ac:dyDescent="0.25">
      <c r="A229" s="3" t="s">
        <v>28</v>
      </c>
      <c r="B229" s="465" t="s">
        <v>69</v>
      </c>
      <c r="C229" s="465"/>
      <c r="D229" s="465"/>
      <c r="E229" s="465"/>
      <c r="F229" s="465"/>
      <c r="G229" s="465"/>
      <c r="H229" s="465"/>
      <c r="I229" s="397">
        <v>351</v>
      </c>
    </row>
    <row r="230" spans="1:9" ht="36.75" customHeight="1" x14ac:dyDescent="0.25">
      <c r="A230" s="3" t="s">
        <v>70</v>
      </c>
      <c r="B230" s="465" t="s">
        <v>71</v>
      </c>
      <c r="C230" s="465"/>
      <c r="D230" s="465"/>
      <c r="E230" s="465"/>
      <c r="F230" s="465"/>
      <c r="G230" s="465"/>
      <c r="H230" s="465"/>
      <c r="I230" s="397">
        <v>0.03</v>
      </c>
    </row>
    <row r="231" spans="1:9" ht="15.75" customHeight="1" x14ac:dyDescent="0.25">
      <c r="A231" s="3" t="s">
        <v>7</v>
      </c>
      <c r="B231" s="465" t="s">
        <v>72</v>
      </c>
      <c r="C231" s="465"/>
      <c r="D231" s="465"/>
      <c r="E231" s="465"/>
      <c r="F231" s="465"/>
      <c r="G231" s="465"/>
      <c r="H231" s="465"/>
      <c r="I231" s="397">
        <f>H57</f>
        <v>978</v>
      </c>
    </row>
    <row r="232" spans="1:9" ht="91.5" customHeight="1" x14ac:dyDescent="0.25">
      <c r="A232" s="3" t="s">
        <v>68</v>
      </c>
      <c r="B232" s="465" t="s">
        <v>125</v>
      </c>
      <c r="C232" s="465"/>
      <c r="D232" s="465"/>
      <c r="E232" s="465"/>
      <c r="F232" s="465"/>
      <c r="G232" s="465"/>
      <c r="H232" s="465"/>
      <c r="I232" s="397">
        <f>(0.5+2.15)/2</f>
        <v>1.325</v>
      </c>
    </row>
    <row r="233" spans="1:9" ht="28.5" customHeight="1" x14ac:dyDescent="0.25">
      <c r="A233" s="3" t="s">
        <v>14</v>
      </c>
      <c r="B233" s="465" t="s">
        <v>1969</v>
      </c>
      <c r="C233" s="465"/>
      <c r="D233" s="465"/>
      <c r="E233" s="465"/>
      <c r="F233" s="465"/>
      <c r="G233" s="465"/>
      <c r="H233" s="465"/>
      <c r="I233" s="398">
        <f>I175</f>
        <v>2018.2809499999998</v>
      </c>
    </row>
    <row r="234" spans="1:9" ht="9.75" customHeight="1" x14ac:dyDescent="0.25"/>
    <row r="235" spans="1:9" ht="54" customHeight="1" x14ac:dyDescent="0.25">
      <c r="A235" s="478" t="s">
        <v>73</v>
      </c>
      <c r="B235" s="478"/>
      <c r="C235" s="478"/>
      <c r="D235" s="478"/>
      <c r="E235" s="478"/>
      <c r="F235" s="478"/>
      <c r="G235" s="478"/>
      <c r="H235" s="478"/>
      <c r="I235" s="478"/>
    </row>
    <row r="237" spans="1:9" x14ac:dyDescent="0.25">
      <c r="F237" t="s">
        <v>107</v>
      </c>
      <c r="G237" s="408">
        <f>I240*I241*I242/I243</f>
        <v>7.724593545809369E-2</v>
      </c>
    </row>
    <row r="240" spans="1:9" ht="35.25" customHeight="1" x14ac:dyDescent="0.25">
      <c r="A240" s="3" t="s">
        <v>28</v>
      </c>
      <c r="B240" s="465" t="s">
        <v>74</v>
      </c>
      <c r="C240" s="465"/>
      <c r="D240" s="465"/>
      <c r="E240" s="465"/>
      <c r="F240" s="465"/>
      <c r="G240" s="465"/>
      <c r="H240" s="465"/>
      <c r="I240" s="397">
        <v>14</v>
      </c>
    </row>
    <row r="241" spans="1:9" ht="51" customHeight="1" x14ac:dyDescent="0.25">
      <c r="A241" s="3" t="s">
        <v>7</v>
      </c>
      <c r="B241" s="465" t="s">
        <v>75</v>
      </c>
      <c r="C241" s="465"/>
      <c r="D241" s="465"/>
      <c r="E241" s="465"/>
      <c r="F241" s="465"/>
      <c r="G241" s="465"/>
      <c r="H241" s="465"/>
      <c r="I241" s="397">
        <f>58*2</f>
        <v>116</v>
      </c>
    </row>
    <row r="242" spans="1:9" ht="53.25" customHeight="1" x14ac:dyDescent="0.25">
      <c r="A242" s="3" t="s">
        <v>76</v>
      </c>
      <c r="B242" s="465" t="s">
        <v>84</v>
      </c>
      <c r="C242" s="465"/>
      <c r="D242" s="465"/>
      <c r="E242" s="465"/>
      <c r="F242" s="465"/>
      <c r="G242" s="465"/>
      <c r="H242" s="465"/>
      <c r="I242" s="397">
        <v>9.6000000000000002E-2</v>
      </c>
    </row>
    <row r="243" spans="1:9" ht="31.5" customHeight="1" x14ac:dyDescent="0.25">
      <c r="A243" s="3" t="s">
        <v>14</v>
      </c>
      <c r="B243" s="465" t="s">
        <v>77</v>
      </c>
      <c r="C243" s="465"/>
      <c r="D243" s="465"/>
      <c r="E243" s="465"/>
      <c r="F243" s="465"/>
      <c r="G243" s="465"/>
      <c r="H243" s="465"/>
      <c r="I243" s="398">
        <f>I233</f>
        <v>2018.2809499999998</v>
      </c>
    </row>
    <row r="245" spans="1:9" ht="15.75" x14ac:dyDescent="0.25">
      <c r="A245" s="492" t="s">
        <v>127</v>
      </c>
      <c r="B245" s="492"/>
      <c r="C245" s="492"/>
      <c r="D245" s="492"/>
      <c r="E245" s="492"/>
      <c r="F245" s="492"/>
      <c r="G245" s="492"/>
      <c r="H245" s="492"/>
      <c r="I245" s="378" t="s">
        <v>93</v>
      </c>
    </row>
    <row r="246" spans="1:9" ht="15.75" x14ac:dyDescent="0.25">
      <c r="A246" s="493" t="s">
        <v>128</v>
      </c>
      <c r="B246" s="493"/>
      <c r="C246" s="493"/>
      <c r="D246" s="493"/>
      <c r="E246" s="493"/>
      <c r="F246" s="493"/>
      <c r="G246" s="493"/>
      <c r="H246" s="493"/>
      <c r="I246" s="379">
        <f>I125</f>
        <v>3.7420186767097618</v>
      </c>
    </row>
    <row r="247" spans="1:9" ht="15.75" x14ac:dyDescent="0.25">
      <c r="A247" s="488" t="s">
        <v>129</v>
      </c>
      <c r="B247" s="489"/>
      <c r="C247" s="489"/>
      <c r="D247" s="489"/>
      <c r="E247" s="489"/>
      <c r="F247" s="489"/>
      <c r="G247" s="489"/>
      <c r="H247" s="490"/>
      <c r="I247" s="379">
        <f>I150</f>
        <v>0.69498581057310194</v>
      </c>
    </row>
    <row r="248" spans="1:9" ht="15.75" x14ac:dyDescent="0.25">
      <c r="A248" s="488" t="s">
        <v>130</v>
      </c>
      <c r="B248" s="489"/>
      <c r="C248" s="489"/>
      <c r="D248" s="489"/>
      <c r="E248" s="489"/>
      <c r="F248" s="489"/>
      <c r="G248" s="489"/>
      <c r="H248" s="490"/>
      <c r="I248" s="379">
        <f>I169</f>
        <v>4.1593856204707277E-2</v>
      </c>
    </row>
    <row r="249" spans="1:9" ht="15.75" x14ac:dyDescent="0.25">
      <c r="A249" s="488" t="s">
        <v>131</v>
      </c>
      <c r="B249" s="489"/>
      <c r="C249" s="489"/>
      <c r="D249" s="489"/>
      <c r="E249" s="489"/>
      <c r="F249" s="489"/>
      <c r="G249" s="489"/>
      <c r="H249" s="490"/>
      <c r="I249" s="379">
        <f>I180</f>
        <v>26.118843853842314</v>
      </c>
    </row>
    <row r="250" spans="1:9" ht="15.75" x14ac:dyDescent="0.25">
      <c r="A250" s="488" t="s">
        <v>132</v>
      </c>
      <c r="B250" s="489"/>
      <c r="C250" s="489"/>
      <c r="D250" s="489"/>
      <c r="E250" s="489"/>
      <c r="F250" s="489"/>
      <c r="G250" s="489"/>
      <c r="H250" s="490"/>
      <c r="I250" s="379">
        <f>I195</f>
        <v>1.4454880134096351</v>
      </c>
    </row>
    <row r="251" spans="1:9" ht="15.75" x14ac:dyDescent="0.25">
      <c r="A251" s="488" t="s">
        <v>133</v>
      </c>
      <c r="B251" s="489"/>
      <c r="C251" s="489"/>
      <c r="D251" s="489"/>
      <c r="E251" s="489"/>
      <c r="F251" s="489"/>
      <c r="G251" s="489"/>
      <c r="H251" s="490"/>
      <c r="I251" s="310">
        <f>G227</f>
        <v>6.760852843604356</v>
      </c>
    </row>
    <row r="252" spans="1:9" ht="15.75" x14ac:dyDescent="0.25">
      <c r="A252" s="488" t="s">
        <v>134</v>
      </c>
      <c r="B252" s="489"/>
      <c r="C252" s="489"/>
      <c r="D252" s="489"/>
      <c r="E252" s="489"/>
      <c r="F252" s="489"/>
      <c r="G252" s="489"/>
      <c r="H252" s="490"/>
      <c r="I252" s="310">
        <f>G237</f>
        <v>7.724593545809369E-2</v>
      </c>
    </row>
    <row r="253" spans="1:9" ht="15.75" x14ac:dyDescent="0.25">
      <c r="A253" s="492" t="s">
        <v>115</v>
      </c>
      <c r="B253" s="492"/>
      <c r="C253" s="492"/>
      <c r="D253" s="492"/>
      <c r="E253" s="492"/>
      <c r="F253" s="492"/>
      <c r="G253" s="492"/>
      <c r="H253" s="492"/>
      <c r="I253" s="310">
        <f>SUM(I246:I252)</f>
        <v>38.881028989801969</v>
      </c>
    </row>
    <row r="255" spans="1:9" ht="15.75" x14ac:dyDescent="0.25">
      <c r="A255" s="14" t="s">
        <v>78</v>
      </c>
    </row>
    <row r="256" spans="1:9" ht="9" customHeight="1" x14ac:dyDescent="0.25"/>
    <row r="257" spans="1:11" ht="60" customHeight="1" x14ac:dyDescent="0.25">
      <c r="A257" s="502" t="s">
        <v>79</v>
      </c>
      <c r="B257" s="502"/>
      <c r="C257" s="502"/>
      <c r="D257" s="502"/>
      <c r="E257" s="502"/>
      <c r="F257" s="502"/>
      <c r="G257" s="502"/>
      <c r="H257" s="502"/>
      <c r="I257" s="502"/>
      <c r="J257" s="502"/>
    </row>
    <row r="259" spans="1:11" x14ac:dyDescent="0.25">
      <c r="H259" t="s">
        <v>107</v>
      </c>
      <c r="I259" s="406">
        <f>(I262*I264+I263*I265)*I266*I267*I268/I269</f>
        <v>111.00664553168379</v>
      </c>
    </row>
    <row r="262" spans="1:11" ht="39.75" customHeight="1" x14ac:dyDescent="0.25">
      <c r="A262" s="30"/>
      <c r="B262" s="465" t="s">
        <v>135</v>
      </c>
      <c r="C262" s="465"/>
      <c r="D262" s="465"/>
      <c r="E262" s="465"/>
      <c r="F262" s="465"/>
      <c r="G262" s="465"/>
      <c r="H262" s="465"/>
      <c r="I262" s="394">
        <v>1.4999999999999999E-2</v>
      </c>
      <c r="K262" s="479" t="s">
        <v>2084</v>
      </c>
    </row>
    <row r="263" spans="1:11" ht="39.75" hidden="1" customHeight="1" x14ac:dyDescent="0.25">
      <c r="A263" s="30"/>
      <c r="B263" s="465" t="s">
        <v>1916</v>
      </c>
      <c r="C263" s="465"/>
      <c r="D263" s="465"/>
      <c r="E263" s="465"/>
      <c r="F263" s="465"/>
      <c r="G263" s="465"/>
      <c r="H263" s="465"/>
      <c r="I263" s="394">
        <v>2E-3</v>
      </c>
      <c r="K263" s="479"/>
    </row>
    <row r="264" spans="1:11" ht="27.75" customHeight="1" x14ac:dyDescent="0.25">
      <c r="A264" s="3" t="s">
        <v>57</v>
      </c>
      <c r="B264" s="465" t="s">
        <v>136</v>
      </c>
      <c r="C264" s="465"/>
      <c r="D264" s="465"/>
      <c r="E264" s="465"/>
      <c r="F264" s="465"/>
      <c r="G264" s="465"/>
      <c r="H264" s="465"/>
      <c r="I264" s="394">
        <f>49896+20938+88</f>
        <v>70922</v>
      </c>
      <c r="K264" s="479"/>
    </row>
    <row r="265" spans="1:11" ht="27.75" hidden="1" customHeight="1" x14ac:dyDescent="0.25">
      <c r="A265" s="244" t="s">
        <v>57</v>
      </c>
      <c r="B265" s="465" t="s">
        <v>1917</v>
      </c>
      <c r="C265" s="465"/>
      <c r="D265" s="465"/>
      <c r="E265" s="465"/>
      <c r="F265" s="465"/>
      <c r="G265" s="465"/>
      <c r="H265" s="465"/>
      <c r="I265" s="394">
        <v>0</v>
      </c>
      <c r="K265" s="479"/>
    </row>
    <row r="266" spans="1:11" ht="63.75" customHeight="1" x14ac:dyDescent="0.25">
      <c r="A266" s="3" t="s">
        <v>12</v>
      </c>
      <c r="B266" s="465" t="s">
        <v>80</v>
      </c>
      <c r="C266" s="465"/>
      <c r="D266" s="465"/>
      <c r="E266" s="465"/>
      <c r="F266" s="465"/>
      <c r="G266" s="465"/>
      <c r="H266" s="465"/>
      <c r="I266" s="397">
        <v>6</v>
      </c>
    </row>
    <row r="267" spans="1:11" ht="25.5" customHeight="1" x14ac:dyDescent="0.25">
      <c r="A267" s="3" t="s">
        <v>28</v>
      </c>
      <c r="B267" s="465" t="s">
        <v>81</v>
      </c>
      <c r="C267" s="465"/>
      <c r="D267" s="465"/>
      <c r="E267" s="465"/>
      <c r="F267" s="465"/>
      <c r="G267" s="465"/>
      <c r="H267" s="465"/>
      <c r="I267" s="394">
        <f>H53</f>
        <v>351</v>
      </c>
    </row>
    <row r="268" spans="1:11" ht="44.25" customHeight="1" x14ac:dyDescent="0.25">
      <c r="A268" s="3" t="s">
        <v>50</v>
      </c>
      <c r="B268" s="465" t="s">
        <v>82</v>
      </c>
      <c r="C268" s="465"/>
      <c r="D268" s="465"/>
      <c r="E268" s="465"/>
      <c r="F268" s="465"/>
      <c r="G268" s="465"/>
      <c r="H268" s="465"/>
      <c r="I268" s="397">
        <v>0.1</v>
      </c>
      <c r="K268" s="31">
        <v>0.1</v>
      </c>
    </row>
    <row r="269" spans="1:11" ht="24.75" customHeight="1" x14ac:dyDescent="0.25">
      <c r="A269" s="3" t="s">
        <v>83</v>
      </c>
      <c r="B269" s="465" t="s">
        <v>1970</v>
      </c>
      <c r="C269" s="465"/>
      <c r="D269" s="465"/>
      <c r="E269" s="465"/>
      <c r="F269" s="465"/>
      <c r="G269" s="465"/>
      <c r="H269" s="465"/>
      <c r="I269" s="398">
        <f>I243</f>
        <v>2018.2809499999998</v>
      </c>
    </row>
  </sheetData>
  <mergeCells count="172">
    <mergeCell ref="B77:H77"/>
    <mergeCell ref="B87:H87"/>
    <mergeCell ref="B88:H88"/>
    <mergeCell ref="B89:H89"/>
    <mergeCell ref="B90:H90"/>
    <mergeCell ref="B91:G91"/>
    <mergeCell ref="B92:G92"/>
    <mergeCell ref="B93:G93"/>
    <mergeCell ref="A1:J1"/>
    <mergeCell ref="A69:G69"/>
    <mergeCell ref="A49:G49"/>
    <mergeCell ref="A50:G50"/>
    <mergeCell ref="A51:G51"/>
    <mergeCell ref="A48:G48"/>
    <mergeCell ref="A52:G52"/>
    <mergeCell ref="A53:G53"/>
    <mergeCell ref="A54:G54"/>
    <mergeCell ref="A68:I68"/>
    <mergeCell ref="B78:H78"/>
    <mergeCell ref="A74:A77"/>
    <mergeCell ref="B74:H74"/>
    <mergeCell ref="B75:H75"/>
    <mergeCell ref="B76:H76"/>
    <mergeCell ref="A83:D83"/>
    <mergeCell ref="A138:I138"/>
    <mergeCell ref="A177:I177"/>
    <mergeCell ref="A167:I167"/>
    <mergeCell ref="B174:H174"/>
    <mergeCell ref="B175:H175"/>
    <mergeCell ref="B183:H183"/>
    <mergeCell ref="B162:H162"/>
    <mergeCell ref="B163:H163"/>
    <mergeCell ref="B164:H164"/>
    <mergeCell ref="B165:H165"/>
    <mergeCell ref="B172:H172"/>
    <mergeCell ref="B173:H173"/>
    <mergeCell ref="A146:I146"/>
    <mergeCell ref="A97:I97"/>
    <mergeCell ref="B110:H110"/>
    <mergeCell ref="B111:H111"/>
    <mergeCell ref="A87:A90"/>
    <mergeCell ref="B128:H128"/>
    <mergeCell ref="B129:H129"/>
    <mergeCell ref="B86:H86"/>
    <mergeCell ref="B95:H95"/>
    <mergeCell ref="B96:H96"/>
    <mergeCell ref="B101:H101"/>
    <mergeCell ref="B102:H102"/>
    <mergeCell ref="B103:H103"/>
    <mergeCell ref="A105:J105"/>
    <mergeCell ref="A119:H119"/>
    <mergeCell ref="A123:I123"/>
    <mergeCell ref="B112:H112"/>
    <mergeCell ref="A114:H114"/>
    <mergeCell ref="A115:H115"/>
    <mergeCell ref="A116:H116"/>
    <mergeCell ref="A117:H117"/>
    <mergeCell ref="A40:I40"/>
    <mergeCell ref="A41:I41"/>
    <mergeCell ref="A43:B43"/>
    <mergeCell ref="A55:G55"/>
    <mergeCell ref="B130:H130"/>
    <mergeCell ref="B131:H131"/>
    <mergeCell ref="A247:H247"/>
    <mergeCell ref="A257:J257"/>
    <mergeCell ref="B218:H218"/>
    <mergeCell ref="B219:H219"/>
    <mergeCell ref="B220:H220"/>
    <mergeCell ref="B221:H221"/>
    <mergeCell ref="B222:H222"/>
    <mergeCell ref="A193:I193"/>
    <mergeCell ref="B184:H184"/>
    <mergeCell ref="B185:H185"/>
    <mergeCell ref="B186:H186"/>
    <mergeCell ref="B187:H187"/>
    <mergeCell ref="B188:H188"/>
    <mergeCell ref="B189:H189"/>
    <mergeCell ref="B190:H190"/>
    <mergeCell ref="B191:H191"/>
    <mergeCell ref="A135:I135"/>
    <mergeCell ref="A84:E84"/>
    <mergeCell ref="B269:H269"/>
    <mergeCell ref="A2:J2"/>
    <mergeCell ref="B8:H8"/>
    <mergeCell ref="B9:H9"/>
    <mergeCell ref="B6:H7"/>
    <mergeCell ref="A6:A7"/>
    <mergeCell ref="I6:I7"/>
    <mergeCell ref="B15:H15"/>
    <mergeCell ref="B16:H16"/>
    <mergeCell ref="B23:H23"/>
    <mergeCell ref="B24:H24"/>
    <mergeCell ref="B25:H25"/>
    <mergeCell ref="B26:H26"/>
    <mergeCell ref="B27:H27"/>
    <mergeCell ref="B28:H28"/>
    <mergeCell ref="B29:H29"/>
    <mergeCell ref="A17:J17"/>
    <mergeCell ref="B35:H35"/>
    <mergeCell ref="B36:H36"/>
    <mergeCell ref="B37:H37"/>
    <mergeCell ref="B38:H38"/>
    <mergeCell ref="B39:H39"/>
    <mergeCell ref="A58:G58"/>
    <mergeCell ref="B65:G65"/>
    <mergeCell ref="B268:H268"/>
    <mergeCell ref="A248:H248"/>
    <mergeCell ref="A251:H251"/>
    <mergeCell ref="A253:H253"/>
    <mergeCell ref="A249:H249"/>
    <mergeCell ref="B198:H198"/>
    <mergeCell ref="B199:H199"/>
    <mergeCell ref="B200:H200"/>
    <mergeCell ref="A224:I224"/>
    <mergeCell ref="B229:H229"/>
    <mergeCell ref="B230:H230"/>
    <mergeCell ref="B231:H231"/>
    <mergeCell ref="B232:H232"/>
    <mergeCell ref="B233:H233"/>
    <mergeCell ref="A245:H245"/>
    <mergeCell ref="A246:H246"/>
    <mergeCell ref="B263:H263"/>
    <mergeCell ref="B210:H210"/>
    <mergeCell ref="B242:H242"/>
    <mergeCell ref="B243:H243"/>
    <mergeCell ref="A205:H205"/>
    <mergeCell ref="A250:H250"/>
    <mergeCell ref="A252:H252"/>
    <mergeCell ref="B267:H267"/>
    <mergeCell ref="O40:W40"/>
    <mergeCell ref="O41:W41"/>
    <mergeCell ref="O43:P43"/>
    <mergeCell ref="A31:J31"/>
    <mergeCell ref="B33:H33"/>
    <mergeCell ref="B223:H223"/>
    <mergeCell ref="B132:H132"/>
    <mergeCell ref="B133:H133"/>
    <mergeCell ref="A148:I148"/>
    <mergeCell ref="B73:H73"/>
    <mergeCell ref="B81:H81"/>
    <mergeCell ref="B79:H79"/>
    <mergeCell ref="B80:H80"/>
    <mergeCell ref="B94:G94"/>
    <mergeCell ref="A91:A94"/>
    <mergeCell ref="A118:H118"/>
    <mergeCell ref="B66:G66"/>
    <mergeCell ref="B60:G60"/>
    <mergeCell ref="B61:G61"/>
    <mergeCell ref="A56:G56"/>
    <mergeCell ref="A57:G57"/>
    <mergeCell ref="B34:H34"/>
    <mergeCell ref="A147:I147"/>
    <mergeCell ref="A47:I47"/>
    <mergeCell ref="B266:H266"/>
    <mergeCell ref="D141:I141"/>
    <mergeCell ref="B153:H161"/>
    <mergeCell ref="A153:A161"/>
    <mergeCell ref="B265:H265"/>
    <mergeCell ref="A235:I235"/>
    <mergeCell ref="B240:H240"/>
    <mergeCell ref="B241:H241"/>
    <mergeCell ref="K262:K265"/>
    <mergeCell ref="B211:H211"/>
    <mergeCell ref="B216:H216"/>
    <mergeCell ref="B217:H217"/>
    <mergeCell ref="B201:H201"/>
    <mergeCell ref="B202:H202"/>
    <mergeCell ref="B203:H203"/>
    <mergeCell ref="B204:H204"/>
    <mergeCell ref="B209:H209"/>
    <mergeCell ref="B262:H262"/>
    <mergeCell ref="B264:H264"/>
  </mergeCells>
  <hyperlinks>
    <hyperlink ref="B186" r:id="rId1" location="n163" display="https://zakon.rada.gov.ua/laws/show/z0804-18 - n163"/>
  </hyperlinks>
  <pageMargins left="0.51181102362204722" right="0.31496062992125984" top="0.35433070866141736" bottom="0.35433070866141736" header="0.31496062992125984" footer="0.31496062992125984"/>
  <pageSetup paperSize="9" scale="96"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69"/>
  <sheetViews>
    <sheetView workbookViewId="0">
      <selection activeCell="H4" sqref="H4"/>
    </sheetView>
  </sheetViews>
  <sheetFormatPr defaultRowHeight="15" x14ac:dyDescent="0.25"/>
  <cols>
    <col min="1" max="1" width="21.5703125" style="128" customWidth="1"/>
    <col min="2" max="3" width="9.140625" style="128"/>
    <col min="4" max="5" width="10.28515625" style="128" customWidth="1"/>
    <col min="6" max="6" width="9.140625" style="128"/>
    <col min="7" max="7" width="11" style="128" customWidth="1"/>
    <col min="8" max="9" width="9.140625" style="128"/>
    <col min="10" max="10" width="13.140625" style="128" customWidth="1"/>
    <col min="11" max="11" width="14.42578125" style="128" customWidth="1"/>
    <col min="12" max="12" width="13" style="128" customWidth="1"/>
    <col min="13" max="13" width="11.42578125" style="128" customWidth="1"/>
    <col min="14" max="14" width="13.140625" style="128" customWidth="1"/>
    <col min="15" max="15" width="13.5703125" style="128" customWidth="1"/>
    <col min="16" max="16" width="10.5703125" style="128" customWidth="1"/>
    <col min="17" max="21" width="9.140625" style="128"/>
    <col min="22" max="22" width="0" style="128" hidden="1" customWidth="1"/>
    <col min="23" max="16384" width="9.140625" style="128"/>
  </cols>
  <sheetData>
    <row r="1" spans="1:22" x14ac:dyDescent="0.25">
      <c r="E1" s="515" t="s">
        <v>2074</v>
      </c>
      <c r="F1" s="515"/>
      <c r="G1" s="515"/>
      <c r="R1" s="515" t="s">
        <v>2075</v>
      </c>
      <c r="S1" s="515"/>
      <c r="T1" s="515"/>
      <c r="U1" s="515"/>
    </row>
    <row r="2" spans="1:22" ht="36" customHeight="1" x14ac:dyDescent="0.25">
      <c r="A2" s="517" t="s">
        <v>1111</v>
      </c>
      <c r="B2" s="517"/>
      <c r="C2" s="517"/>
      <c r="D2" s="517"/>
      <c r="E2" s="517"/>
      <c r="F2" s="517"/>
      <c r="G2" s="517"/>
      <c r="J2" s="520" t="s">
        <v>1838</v>
      </c>
      <c r="K2" s="520"/>
      <c r="L2" s="520"/>
      <c r="M2" s="520"/>
      <c r="N2" s="520"/>
      <c r="O2" s="520"/>
      <c r="P2" s="520"/>
      <c r="Q2" s="237"/>
    </row>
    <row r="3" spans="1:22" ht="36" customHeight="1" x14ac:dyDescent="0.25">
      <c r="A3" s="518" t="s">
        <v>1500</v>
      </c>
      <c r="B3" s="440" t="s">
        <v>165</v>
      </c>
      <c r="C3" s="521" t="s">
        <v>1839</v>
      </c>
      <c r="D3" s="522"/>
      <c r="E3" s="522"/>
      <c r="F3" s="522"/>
      <c r="G3" s="523"/>
      <c r="J3" s="440" t="s">
        <v>165</v>
      </c>
      <c r="K3" s="440" t="s">
        <v>1840</v>
      </c>
      <c r="L3" s="521" t="s">
        <v>1839</v>
      </c>
      <c r="M3" s="522"/>
      <c r="N3" s="522"/>
      <c r="O3" s="522"/>
      <c r="P3" s="523"/>
      <c r="Q3" s="516" t="s">
        <v>1842</v>
      </c>
      <c r="R3" s="516"/>
      <c r="S3" s="516"/>
      <c r="T3" s="516"/>
      <c r="U3" s="516"/>
    </row>
    <row r="4" spans="1:22" ht="42.75" customHeight="1" x14ac:dyDescent="0.25">
      <c r="A4" s="518"/>
      <c r="B4" s="441"/>
      <c r="C4" s="38" t="s">
        <v>166</v>
      </c>
      <c r="D4" s="130" t="s">
        <v>167</v>
      </c>
      <c r="E4" s="131" t="s">
        <v>168</v>
      </c>
      <c r="F4" s="38" t="s">
        <v>173</v>
      </c>
      <c r="G4" s="129" t="s">
        <v>1105</v>
      </c>
      <c r="J4" s="441"/>
      <c r="K4" s="441"/>
      <c r="L4" s="38" t="s">
        <v>166</v>
      </c>
      <c r="M4" s="130" t="s">
        <v>167</v>
      </c>
      <c r="N4" s="131" t="s">
        <v>168</v>
      </c>
      <c r="O4" s="38" t="s">
        <v>173</v>
      </c>
      <c r="P4" s="519" t="s">
        <v>1105</v>
      </c>
      <c r="Q4" s="516"/>
      <c r="R4" s="516"/>
      <c r="S4" s="516"/>
      <c r="T4" s="516"/>
      <c r="U4" s="516"/>
    </row>
    <row r="5" spans="1:22" ht="15.75" x14ac:dyDescent="0.25">
      <c r="A5" s="518"/>
      <c r="B5" s="441"/>
      <c r="C5" s="166" t="s">
        <v>1495</v>
      </c>
      <c r="D5" s="167" t="s">
        <v>1494</v>
      </c>
      <c r="E5" s="168" t="s">
        <v>1496</v>
      </c>
      <c r="F5" s="166" t="s">
        <v>1497</v>
      </c>
      <c r="G5" s="129"/>
      <c r="J5" s="441"/>
      <c r="K5" s="441"/>
      <c r="L5" s="166" t="s">
        <v>1495</v>
      </c>
      <c r="M5" s="167" t="s">
        <v>1494</v>
      </c>
      <c r="N5" s="168" t="s">
        <v>1496</v>
      </c>
      <c r="O5" s="166" t="s">
        <v>1497</v>
      </c>
      <c r="P5" s="519"/>
      <c r="Q5" s="516"/>
      <c r="R5" s="516"/>
      <c r="S5" s="516"/>
      <c r="T5" s="516"/>
      <c r="U5" s="516"/>
    </row>
    <row r="6" spans="1:22" ht="15.75" customHeight="1" x14ac:dyDescent="0.25">
      <c r="A6" s="495" t="s">
        <v>1104</v>
      </c>
      <c r="B6" s="442"/>
      <c r="C6" s="40" t="s">
        <v>169</v>
      </c>
      <c r="D6" s="41" t="s">
        <v>170</v>
      </c>
      <c r="E6" s="42" t="s">
        <v>171</v>
      </c>
      <c r="F6" s="40" t="s">
        <v>172</v>
      </c>
      <c r="G6" s="16"/>
      <c r="J6" s="442"/>
      <c r="K6" s="442"/>
      <c r="L6" s="135" t="s">
        <v>169</v>
      </c>
      <c r="M6" s="41" t="s">
        <v>170</v>
      </c>
      <c r="N6" s="42" t="s">
        <v>171</v>
      </c>
      <c r="O6" s="135" t="s">
        <v>172</v>
      </c>
      <c r="P6" s="238"/>
      <c r="Q6" s="135">
        <v>1</v>
      </c>
      <c r="R6" s="41" t="s">
        <v>1841</v>
      </c>
      <c r="S6" s="42">
        <v>3.2</v>
      </c>
      <c r="T6" s="135">
        <v>4.4000000000000004</v>
      </c>
      <c r="U6" s="322" t="s">
        <v>1105</v>
      </c>
    </row>
    <row r="7" spans="1:22" ht="15.75" x14ac:dyDescent="0.25">
      <c r="A7" s="518"/>
      <c r="B7" s="39">
        <v>15</v>
      </c>
      <c r="C7" s="17"/>
      <c r="D7" s="17"/>
      <c r="E7" s="17"/>
      <c r="F7" s="17">
        <v>28.5</v>
      </c>
      <c r="G7" s="29">
        <f>SUM(C7:F7)</f>
        <v>28.5</v>
      </c>
      <c r="J7" s="37">
        <v>15</v>
      </c>
      <c r="K7" s="241">
        <f>0.042*P7/1000</f>
        <v>1.1970000000000001E-3</v>
      </c>
      <c r="L7" s="17">
        <f>C7</f>
        <v>0</v>
      </c>
      <c r="M7" s="17">
        <v>0</v>
      </c>
      <c r="N7" s="17">
        <v>0</v>
      </c>
      <c r="O7" s="17">
        <f>F7</f>
        <v>28.5</v>
      </c>
      <c r="P7" s="133">
        <f>SUM(L7:O7)</f>
        <v>28.5</v>
      </c>
      <c r="Q7" s="16">
        <f>$Q$6*L7*K7</f>
        <v>0</v>
      </c>
      <c r="R7" s="242">
        <f>$R$6*M7*K7/1000</f>
        <v>0</v>
      </c>
      <c r="S7" s="242">
        <f>$S$6*N7*K7/1000</f>
        <v>0</v>
      </c>
      <c r="T7" s="242">
        <f>$T$6*O7*K7/1000</f>
        <v>1.5010380000000004E-4</v>
      </c>
      <c r="U7" s="133">
        <f>SUM(Q7:T7)</f>
        <v>1.5010380000000004E-4</v>
      </c>
      <c r="V7" s="243">
        <f>351*24*T7*0.06*SQRT((50/60))/розрах!$I$190</f>
        <v>3.4315398874586978E-5</v>
      </c>
    </row>
    <row r="8" spans="1:22" ht="15.75" x14ac:dyDescent="0.25">
      <c r="A8" s="518"/>
      <c r="B8" s="37">
        <v>20</v>
      </c>
      <c r="C8" s="17"/>
      <c r="D8" s="17">
        <v>20</v>
      </c>
      <c r="E8" s="17">
        <v>402.6</v>
      </c>
      <c r="F8" s="17">
        <v>200.5</v>
      </c>
      <c r="G8" s="29">
        <f t="shared" ref="G8:G19" si="0">SUM(C8:F8)</f>
        <v>623.1</v>
      </c>
      <c r="J8" s="37">
        <v>20</v>
      </c>
      <c r="K8" s="239">
        <v>5.6000000000000001E-2</v>
      </c>
      <c r="L8" s="17">
        <f t="shared" ref="L8:N10" si="1">C8+C57</f>
        <v>0</v>
      </c>
      <c r="M8" s="17">
        <f t="shared" si="1"/>
        <v>20</v>
      </c>
      <c r="N8" s="17">
        <f t="shared" si="1"/>
        <v>411.6</v>
      </c>
      <c r="O8" s="17">
        <f>F8+F57+F21+F29</f>
        <v>1051.5</v>
      </c>
      <c r="P8" s="133">
        <f t="shared" ref="P8:P19" si="2">SUM(L8:O8)</f>
        <v>1483.1</v>
      </c>
      <c r="Q8" s="16">
        <f t="shared" ref="Q8" si="3">$Q$6*L8*K8</f>
        <v>0</v>
      </c>
      <c r="R8" s="242">
        <f t="shared" ref="R8:R19" si="4">$R$6*M8*K8/1000</f>
        <v>2.3519999999999999E-3</v>
      </c>
      <c r="S8" s="242">
        <f t="shared" ref="S8:S19" si="5">$S$6*N8*K8/1000</f>
        <v>7.3758720000000014E-2</v>
      </c>
      <c r="T8" s="242">
        <f t="shared" ref="T8:T19" si="6">$T$6*O8*K8/1000</f>
        <v>0.25908960000000003</v>
      </c>
      <c r="U8" s="133">
        <f t="shared" ref="U8:U19" si="7">SUM(Q8:T8)</f>
        <v>0.33520032000000005</v>
      </c>
      <c r="V8" s="128">
        <f>351*24*T8*0.06*SQRT((50/60))/розрах!$I$190+351*24*S8*0.06*SQRT((50/60))/розрах!$I$190+351*24*R8*0.06*SQRT((50/60))/розрах!$I$190+351*24*Q8*0.06*SQRT((50/60))/розрах!$I$190</f>
        <v>7.6630522902745898E-2</v>
      </c>
    </row>
    <row r="9" spans="1:22" ht="15.75" x14ac:dyDescent="0.25">
      <c r="A9" s="518"/>
      <c r="B9" s="37">
        <v>25</v>
      </c>
      <c r="C9" s="17">
        <v>31</v>
      </c>
      <c r="D9" s="17">
        <v>8</v>
      </c>
      <c r="E9" s="17">
        <v>712.6</v>
      </c>
      <c r="F9" s="17">
        <v>603.20000000000005</v>
      </c>
      <c r="G9" s="29">
        <f t="shared" si="0"/>
        <v>1354.8000000000002</v>
      </c>
      <c r="J9" s="37">
        <v>25</v>
      </c>
      <c r="K9" s="239">
        <v>7.0000000000000007E-2</v>
      </c>
      <c r="L9" s="17">
        <f t="shared" si="1"/>
        <v>31</v>
      </c>
      <c r="M9" s="17">
        <f t="shared" si="1"/>
        <v>8</v>
      </c>
      <c r="N9" s="17">
        <f t="shared" si="1"/>
        <v>809.6</v>
      </c>
      <c r="O9" s="17">
        <f>F9+F58+F22+F30+F50</f>
        <v>1717.2</v>
      </c>
      <c r="P9" s="133">
        <f t="shared" si="2"/>
        <v>2565.8000000000002</v>
      </c>
      <c r="Q9" s="16">
        <f>$Q$6*L9*K9/1000</f>
        <v>2.1700000000000005E-3</v>
      </c>
      <c r="R9" s="242">
        <f t="shared" si="4"/>
        <v>1.1760000000000002E-3</v>
      </c>
      <c r="S9" s="242">
        <f t="shared" si="5"/>
        <v>0.18135040000000002</v>
      </c>
      <c r="T9" s="242">
        <f t="shared" si="6"/>
        <v>0.52889760000000008</v>
      </c>
      <c r="U9" s="133">
        <f t="shared" si="7"/>
        <v>0.71359400000000006</v>
      </c>
      <c r="V9" s="128">
        <f>351*24*T9*0.06*SQRT((50/60))/розрах!$I$190+351*24*S9*0.06*SQRT((50/60))/розрах!$I$190+351*24*R9*0.06*SQRT((50/60))/розрах!$I$190+351*24*Q9*0.06*SQRT((50/60))/розрах!$I$190</f>
        <v>0.16313552851101715</v>
      </c>
    </row>
    <row r="10" spans="1:22" ht="15.75" x14ac:dyDescent="0.25">
      <c r="A10" s="518"/>
      <c r="B10" s="37">
        <v>32</v>
      </c>
      <c r="C10" s="17">
        <f>162.4-1.4</f>
        <v>161</v>
      </c>
      <c r="D10" s="17">
        <v>569</v>
      </c>
      <c r="E10" s="17">
        <v>1574.1</v>
      </c>
      <c r="F10" s="17">
        <v>2091.8000000000002</v>
      </c>
      <c r="G10" s="29">
        <f t="shared" si="0"/>
        <v>4395.8999999999996</v>
      </c>
      <c r="J10" s="37">
        <v>32</v>
      </c>
      <c r="K10" s="239">
        <v>0.09</v>
      </c>
      <c r="L10" s="17">
        <f t="shared" si="1"/>
        <v>273</v>
      </c>
      <c r="M10" s="17">
        <f t="shared" si="1"/>
        <v>569</v>
      </c>
      <c r="N10" s="17">
        <f t="shared" si="1"/>
        <v>1984.1</v>
      </c>
      <c r="O10" s="17">
        <f>F10+F59+F31+F51</f>
        <v>4292.8</v>
      </c>
      <c r="P10" s="133">
        <f t="shared" si="2"/>
        <v>7118.9</v>
      </c>
      <c r="Q10" s="16">
        <f t="shared" ref="Q10:Q19" si="8">$Q$6*L10*K10/1000</f>
        <v>2.4570000000000002E-2</v>
      </c>
      <c r="R10" s="242">
        <f t="shared" si="4"/>
        <v>0.10754100000000001</v>
      </c>
      <c r="S10" s="242">
        <f t="shared" si="5"/>
        <v>0.57142079999999995</v>
      </c>
      <c r="T10" s="242">
        <f t="shared" si="6"/>
        <v>1.6999488000000003</v>
      </c>
      <c r="U10" s="133">
        <f t="shared" si="7"/>
        <v>2.4034806</v>
      </c>
      <c r="V10" s="128">
        <f>351*24*T10*0.06*SQRT((50/60))/розрах!$I$190+351*24*S10*0.06*SQRT((50/60))/розрах!$I$190+351*24*R10*0.06*SQRT((50/60))/розрах!$I$190+351*24*Q10*0.06*SQRT((50/60))/розрах!$I$190</f>
        <v>0.54946240852218009</v>
      </c>
    </row>
    <row r="11" spans="1:22" ht="15.75" x14ac:dyDescent="0.25">
      <c r="A11" s="518"/>
      <c r="B11" s="37">
        <v>40</v>
      </c>
      <c r="C11" s="17"/>
      <c r="D11" s="17"/>
      <c r="E11" s="17"/>
      <c r="F11" s="17"/>
      <c r="G11" s="29"/>
      <c r="J11" s="37">
        <v>40</v>
      </c>
      <c r="K11" s="241">
        <f>0.112*P11/1000</f>
        <v>8.4111999999999992E-2</v>
      </c>
      <c r="L11" s="17"/>
      <c r="M11" s="17"/>
      <c r="N11" s="17"/>
      <c r="O11" s="17">
        <f>F23+F37+F45</f>
        <v>751</v>
      </c>
      <c r="P11" s="133">
        <f t="shared" si="2"/>
        <v>751</v>
      </c>
      <c r="Q11" s="16">
        <f t="shared" si="8"/>
        <v>0</v>
      </c>
      <c r="R11" s="242">
        <f t="shared" si="4"/>
        <v>0</v>
      </c>
      <c r="S11" s="242">
        <f t="shared" si="5"/>
        <v>0</v>
      </c>
      <c r="T11" s="242">
        <f t="shared" si="6"/>
        <v>0.27793969279999997</v>
      </c>
      <c r="U11" s="133">
        <f t="shared" si="7"/>
        <v>0.27793969279999997</v>
      </c>
      <c r="V11" s="128">
        <f>351*24*T11*0.06*SQRT((50/60))/розрах!$I$190+351*24*S11*0.06*SQRT((50/60))/розрах!$I$190+351*24*R11*0.06*SQRT((50/60))/розрах!$I$190+351*24*Q11*0.06*SQRT((50/60))/розрах!$I$190</f>
        <v>6.3540106389792697E-2</v>
      </c>
    </row>
    <row r="12" spans="1:22" ht="15.75" x14ac:dyDescent="0.25">
      <c r="A12" s="518"/>
      <c r="B12" s="37">
        <v>50</v>
      </c>
      <c r="C12" s="17">
        <v>607.70000000000005</v>
      </c>
      <c r="D12" s="17">
        <v>2662.1</v>
      </c>
      <c r="E12" s="17">
        <v>3790.5</v>
      </c>
      <c r="F12" s="17">
        <v>9739</v>
      </c>
      <c r="G12" s="29">
        <f t="shared" si="0"/>
        <v>16799.3</v>
      </c>
      <c r="J12" s="37">
        <v>50</v>
      </c>
      <c r="K12" s="240">
        <v>0.14000000000000001</v>
      </c>
      <c r="L12" s="17">
        <f t="shared" ref="L12:L19" si="9">C12+C60</f>
        <v>766.7</v>
      </c>
      <c r="M12" s="17">
        <f t="shared" ref="M12:N19" si="10">D12+D60</f>
        <v>3079.1</v>
      </c>
      <c r="N12" s="17">
        <f t="shared" si="10"/>
        <v>4777.5</v>
      </c>
      <c r="O12" s="17">
        <f>F12+F60+F24+F32+F46+F52</f>
        <v>15108</v>
      </c>
      <c r="P12" s="133">
        <f t="shared" si="2"/>
        <v>23731.3</v>
      </c>
      <c r="Q12" s="16">
        <f t="shared" si="8"/>
        <v>0.10733800000000002</v>
      </c>
      <c r="R12" s="242">
        <f t="shared" si="4"/>
        <v>0.90525540000000004</v>
      </c>
      <c r="S12" s="242">
        <f t="shared" si="5"/>
        <v>2.14032</v>
      </c>
      <c r="T12" s="242">
        <f t="shared" si="6"/>
        <v>9.3065280000000019</v>
      </c>
      <c r="U12" s="133">
        <f t="shared" si="7"/>
        <v>12.459441400000003</v>
      </c>
      <c r="V12" s="128">
        <f>351*24*T12*0.06*SQRT((50/60))/розрах!$I$190+351*24*S12*0.06*SQRT((50/60))/розрах!$I$190+351*24*R12*0.06*SQRT((50/60))/розрах!$I$190+351*24*Q12*0.06*SQRT((50/60))/розрах!$I$190</f>
        <v>2.8483669393815632</v>
      </c>
    </row>
    <row r="13" spans="1:22" ht="15.75" x14ac:dyDescent="0.25">
      <c r="A13" s="518"/>
      <c r="B13" s="37">
        <v>70</v>
      </c>
      <c r="C13" s="17">
        <v>274</v>
      </c>
      <c r="D13" s="17">
        <v>981</v>
      </c>
      <c r="E13" s="17">
        <v>2321.4</v>
      </c>
      <c r="F13" s="17">
        <v>5214</v>
      </c>
      <c r="G13" s="29">
        <f t="shared" si="0"/>
        <v>8790.4</v>
      </c>
      <c r="J13" s="37">
        <v>70</v>
      </c>
      <c r="K13" s="240">
        <v>0.19600000000000001</v>
      </c>
      <c r="L13" s="17">
        <f t="shared" si="9"/>
        <v>364</v>
      </c>
      <c r="M13" s="17">
        <f t="shared" si="10"/>
        <v>1278</v>
      </c>
      <c r="N13" s="17">
        <f t="shared" si="10"/>
        <v>3235.4</v>
      </c>
      <c r="O13" s="17">
        <f>F13+F61+F25+F33+F53+F38</f>
        <v>9409</v>
      </c>
      <c r="P13" s="133">
        <f t="shared" si="2"/>
        <v>14286.4</v>
      </c>
      <c r="Q13" s="16">
        <f t="shared" si="8"/>
        <v>7.1344000000000005E-2</v>
      </c>
      <c r="R13" s="242">
        <f t="shared" si="4"/>
        <v>0.52602480000000007</v>
      </c>
      <c r="S13" s="242">
        <f t="shared" si="5"/>
        <v>2.0292428800000004</v>
      </c>
      <c r="T13" s="242">
        <f t="shared" si="6"/>
        <v>8.1143216000000002</v>
      </c>
      <c r="U13" s="133">
        <f t="shared" si="7"/>
        <v>10.74093328</v>
      </c>
      <c r="V13" s="128">
        <f>351*24*T13*0.06*SQRT((50/60))/розрах!$I$190+351*24*S13*0.06*SQRT((50/60))/розрах!$I$190+351*24*R13*0.06*SQRT((50/60))/розрах!$I$190+351*24*Q13*0.06*SQRT((50/60))/розрах!$I$190</f>
        <v>2.4554968614287294</v>
      </c>
    </row>
    <row r="14" spans="1:22" ht="15.75" x14ac:dyDescent="0.25">
      <c r="A14" s="518"/>
      <c r="B14" s="37">
        <v>80</v>
      </c>
      <c r="C14" s="17">
        <v>1051.4000000000001</v>
      </c>
      <c r="D14" s="17">
        <v>3249.6</v>
      </c>
      <c r="E14" s="17">
        <v>3938</v>
      </c>
      <c r="F14" s="17">
        <v>9241</v>
      </c>
      <c r="G14" s="29">
        <f t="shared" si="0"/>
        <v>17480</v>
      </c>
      <c r="J14" s="37">
        <v>80</v>
      </c>
      <c r="K14" s="240">
        <v>0.224</v>
      </c>
      <c r="L14" s="17">
        <f t="shared" si="9"/>
        <v>1373.4</v>
      </c>
      <c r="M14" s="17">
        <f t="shared" si="10"/>
        <v>3710.6</v>
      </c>
      <c r="N14" s="17">
        <f t="shared" si="10"/>
        <v>5484</v>
      </c>
      <c r="O14" s="17">
        <f>F14+F62+F26+F34+F47+F54</f>
        <v>14320</v>
      </c>
      <c r="P14" s="133">
        <f t="shared" si="2"/>
        <v>24888</v>
      </c>
      <c r="Q14" s="16">
        <f t="shared" si="8"/>
        <v>0.30764160000000002</v>
      </c>
      <c r="R14" s="242">
        <f t="shared" si="4"/>
        <v>1.7454662400000003</v>
      </c>
      <c r="S14" s="242">
        <f t="shared" si="5"/>
        <v>3.9309311999999998</v>
      </c>
      <c r="T14" s="242">
        <f t="shared" si="6"/>
        <v>14.113792000000002</v>
      </c>
      <c r="U14" s="133">
        <f t="shared" si="7"/>
        <v>20.097831040000003</v>
      </c>
      <c r="V14" s="128">
        <f>351*24*T14*0.06*SQRT((50/60))/розрах!$I$190+351*24*S14*0.06*SQRT((50/60))/розрах!$I$190+351*24*R14*0.06*SQRT((50/60))/розрах!$I$190+351*24*Q14*0.06*SQRT((50/60))/розрах!$I$190</f>
        <v>4.5945878029180811</v>
      </c>
    </row>
    <row r="15" spans="1:22" ht="15.75" x14ac:dyDescent="0.25">
      <c r="A15" s="518"/>
      <c r="B15" s="37">
        <v>100</v>
      </c>
      <c r="C15" s="17">
        <v>950</v>
      </c>
      <c r="D15" s="17">
        <v>1660.5</v>
      </c>
      <c r="E15" s="17">
        <v>1534.7</v>
      </c>
      <c r="F15" s="17">
        <v>9039.5</v>
      </c>
      <c r="G15" s="29">
        <f t="shared" si="0"/>
        <v>13184.7</v>
      </c>
      <c r="J15" s="37">
        <v>100</v>
      </c>
      <c r="K15" s="240">
        <v>0.28000000000000003</v>
      </c>
      <c r="L15" s="17">
        <f t="shared" si="9"/>
        <v>1520</v>
      </c>
      <c r="M15" s="17">
        <f t="shared" si="10"/>
        <v>2718.5</v>
      </c>
      <c r="N15" s="17">
        <f t="shared" si="10"/>
        <v>2462.6999999999998</v>
      </c>
      <c r="O15" s="17">
        <f>F15+F63+F35+F39+F48+F55</f>
        <v>15412.5</v>
      </c>
      <c r="P15" s="133">
        <f t="shared" si="2"/>
        <v>22113.7</v>
      </c>
      <c r="Q15" s="16">
        <f t="shared" si="8"/>
        <v>0.42560000000000003</v>
      </c>
      <c r="R15" s="242">
        <f t="shared" si="4"/>
        <v>1.5984780000000003</v>
      </c>
      <c r="S15" s="242">
        <f t="shared" si="5"/>
        <v>2.2065792000000002</v>
      </c>
      <c r="T15" s="242">
        <f t="shared" si="6"/>
        <v>18.988199999999999</v>
      </c>
      <c r="U15" s="133">
        <f t="shared" si="7"/>
        <v>23.218857199999999</v>
      </c>
      <c r="V15" s="128">
        <f>351*24*T15*0.06*SQRT((50/60))/розрах!$I$190+351*24*S15*0.06*SQRT((50/60))/розрах!$I$190+351*24*R15*0.06*SQRT((50/60))/розрах!$I$190+351*24*Q15*0.06*SQRT((50/60))/розрах!$I$190</f>
        <v>5.3080891105360131</v>
      </c>
    </row>
    <row r="16" spans="1:22" ht="15.75" x14ac:dyDescent="0.25">
      <c r="A16" s="518"/>
      <c r="B16" s="37">
        <v>125</v>
      </c>
      <c r="C16" s="17">
        <v>881</v>
      </c>
      <c r="D16" s="17">
        <v>855</v>
      </c>
      <c r="E16" s="17">
        <v>2142</v>
      </c>
      <c r="F16" s="17">
        <v>4810</v>
      </c>
      <c r="G16" s="29">
        <f t="shared" si="0"/>
        <v>8688</v>
      </c>
      <c r="J16" s="37">
        <v>125</v>
      </c>
      <c r="K16" s="240">
        <v>0.35</v>
      </c>
      <c r="L16" s="17">
        <f t="shared" si="9"/>
        <v>1096</v>
      </c>
      <c r="M16" s="17">
        <f t="shared" si="10"/>
        <v>1164</v>
      </c>
      <c r="N16" s="17">
        <f t="shared" si="10"/>
        <v>3010</v>
      </c>
      <c r="O16" s="17">
        <f>F16+F64+F27+F40</f>
        <v>7397</v>
      </c>
      <c r="P16" s="133">
        <f t="shared" si="2"/>
        <v>12667</v>
      </c>
      <c r="Q16" s="16">
        <f t="shared" si="8"/>
        <v>0.38359999999999994</v>
      </c>
      <c r="R16" s="242">
        <f t="shared" si="4"/>
        <v>0.85553999999999997</v>
      </c>
      <c r="S16" s="242">
        <f t="shared" si="5"/>
        <v>3.3712</v>
      </c>
      <c r="T16" s="242">
        <f t="shared" si="6"/>
        <v>11.391380000000002</v>
      </c>
      <c r="U16" s="133">
        <f t="shared" si="7"/>
        <v>16.001720000000002</v>
      </c>
      <c r="V16" s="128">
        <f>351*24*T16*0.06*SQRT((50/60))/розрах!$I$190+351*24*S16*0.06*SQRT((50/60))/розрах!$I$190+351*24*R16*0.06*SQRT((50/60))/розрах!$I$190+351*24*Q16*0.06*SQRT((50/60))/розрах!$I$190</f>
        <v>3.6581712420302197</v>
      </c>
    </row>
    <row r="17" spans="1:22" ht="15.75" x14ac:dyDescent="0.25">
      <c r="A17" s="518"/>
      <c r="B17" s="37">
        <v>150</v>
      </c>
      <c r="C17" s="17">
        <v>735</v>
      </c>
      <c r="D17" s="17">
        <v>1112</v>
      </c>
      <c r="E17" s="17">
        <v>190</v>
      </c>
      <c r="F17" s="17">
        <v>4360</v>
      </c>
      <c r="G17" s="29">
        <f t="shared" si="0"/>
        <v>6397</v>
      </c>
      <c r="J17" s="37">
        <v>150</v>
      </c>
      <c r="K17" s="240">
        <v>0.42</v>
      </c>
      <c r="L17" s="17">
        <f t="shared" si="9"/>
        <v>1238</v>
      </c>
      <c r="M17" s="17">
        <f t="shared" si="10"/>
        <v>1508</v>
      </c>
      <c r="N17" s="17">
        <f t="shared" si="10"/>
        <v>501</v>
      </c>
      <c r="O17" s="17">
        <f>F17+F65+F41</f>
        <v>6368</v>
      </c>
      <c r="P17" s="133">
        <f t="shared" si="2"/>
        <v>9615</v>
      </c>
      <c r="Q17" s="16">
        <f t="shared" si="8"/>
        <v>0.51996000000000009</v>
      </c>
      <c r="R17" s="242">
        <f t="shared" si="4"/>
        <v>1.3300560000000001</v>
      </c>
      <c r="S17" s="242">
        <f t="shared" si="5"/>
        <v>0.67334400000000005</v>
      </c>
      <c r="T17" s="242">
        <f t="shared" si="6"/>
        <v>11.768064000000001</v>
      </c>
      <c r="U17" s="133">
        <f t="shared" si="7"/>
        <v>14.291424000000001</v>
      </c>
      <c r="V17" s="128">
        <f>351*24*T17*0.06*SQRT((50/60))/розрах!$I$190+351*24*S17*0.06*SQRT((50/60))/розрах!$I$190+351*24*R17*0.06*SQRT((50/60))/розрах!$I$190+351*24*Q17*0.06*SQRT((50/60))/розрах!$I$190</f>
        <v>3.2671785460850775</v>
      </c>
    </row>
    <row r="18" spans="1:22" ht="15.75" x14ac:dyDescent="0.25">
      <c r="A18" s="518"/>
      <c r="B18" s="37">
        <v>200</v>
      </c>
      <c r="C18" s="17">
        <v>222</v>
      </c>
      <c r="D18" s="17">
        <v>409</v>
      </c>
      <c r="E18" s="17">
        <v>1767</v>
      </c>
      <c r="F18" s="17">
        <v>2225.4</v>
      </c>
      <c r="G18" s="29">
        <f t="shared" si="0"/>
        <v>4623.3999999999996</v>
      </c>
      <c r="J18" s="37">
        <v>200</v>
      </c>
      <c r="K18" s="240">
        <v>0.56000000000000005</v>
      </c>
      <c r="L18" s="17">
        <f t="shared" si="9"/>
        <v>279</v>
      </c>
      <c r="M18" s="17">
        <f t="shared" si="10"/>
        <v>409</v>
      </c>
      <c r="N18" s="17">
        <f t="shared" si="10"/>
        <v>1833</v>
      </c>
      <c r="O18" s="17">
        <f>F18+F66+F42</f>
        <v>2858.4</v>
      </c>
      <c r="P18" s="133">
        <f t="shared" si="2"/>
        <v>5379.4</v>
      </c>
      <c r="Q18" s="16">
        <f t="shared" si="8"/>
        <v>0.15624000000000002</v>
      </c>
      <c r="R18" s="242">
        <f t="shared" si="4"/>
        <v>0.48098400000000008</v>
      </c>
      <c r="S18" s="242">
        <f t="shared" si="5"/>
        <v>3.2847360000000005</v>
      </c>
      <c r="T18" s="242">
        <f t="shared" si="6"/>
        <v>7.0430976000000012</v>
      </c>
      <c r="U18" s="133">
        <f t="shared" si="7"/>
        <v>10.965057600000002</v>
      </c>
      <c r="V18" s="128">
        <f>351*24*T18*0.06*SQRT((50/60))/розрах!$I$190+351*24*S18*0.06*SQRT((50/60))/розрах!$I$190+351*24*R18*0.06*SQRT((50/60))/розрах!$I$190+351*24*Q18*0.06*SQRT((50/60))/розрах!$I$190</f>
        <v>2.5067341747965162</v>
      </c>
    </row>
    <row r="19" spans="1:22" ht="15.75" x14ac:dyDescent="0.25">
      <c r="A19" s="518"/>
      <c r="B19" s="37">
        <v>250</v>
      </c>
      <c r="C19" s="17">
        <v>43</v>
      </c>
      <c r="D19" s="17">
        <v>31</v>
      </c>
      <c r="E19" s="17"/>
      <c r="F19" s="17">
        <v>348</v>
      </c>
      <c r="G19" s="29">
        <f t="shared" si="0"/>
        <v>422</v>
      </c>
      <c r="J19" s="37">
        <v>250</v>
      </c>
      <c r="K19" s="241">
        <f>0.7*P19/1000</f>
        <v>0.6782999999999999</v>
      </c>
      <c r="L19" s="17">
        <f t="shared" si="9"/>
        <v>43</v>
      </c>
      <c r="M19" s="17">
        <f t="shared" si="10"/>
        <v>31</v>
      </c>
      <c r="N19" s="17">
        <f t="shared" si="10"/>
        <v>0</v>
      </c>
      <c r="O19" s="17">
        <f>F19+F67+F43</f>
        <v>895</v>
      </c>
      <c r="P19" s="133">
        <f t="shared" si="2"/>
        <v>969</v>
      </c>
      <c r="Q19" s="16">
        <f t="shared" si="8"/>
        <v>2.9166899999999996E-2</v>
      </c>
      <c r="R19" s="242">
        <f t="shared" si="4"/>
        <v>4.4157330000000002E-2</v>
      </c>
      <c r="S19" s="242">
        <f t="shared" si="5"/>
        <v>0</v>
      </c>
      <c r="T19" s="242">
        <f t="shared" si="6"/>
        <v>2.6711453999999999</v>
      </c>
      <c r="U19" s="133">
        <f t="shared" si="7"/>
        <v>2.7444696299999998</v>
      </c>
      <c r="V19" s="128">
        <f>351*24*T19*0.06*SQRT((50/60))/розрах!$I$190+351*24*S19*0.06*SQRT((50/60))/розрах!$I$190+351*24*R19*0.06*SQRT((50/60))/розрах!$I$190+351*24*Q19*0.06*SQRT((50/60))/розрах!$I$190</f>
        <v>0.6274162949415012</v>
      </c>
    </row>
    <row r="20" spans="1:22" ht="15.75" x14ac:dyDescent="0.25">
      <c r="A20" s="518"/>
      <c r="B20" s="162"/>
      <c r="C20" s="162">
        <f>SUM(C7:C19)</f>
        <v>4956.1000000000004</v>
      </c>
      <c r="D20" s="162">
        <f>SUM(D7:D19)</f>
        <v>11557.2</v>
      </c>
      <c r="E20" s="162">
        <f>SUM(E7:E19)</f>
        <v>18372.900000000001</v>
      </c>
      <c r="F20" s="162">
        <f>SUM(F7:F19)</f>
        <v>47900.9</v>
      </c>
      <c r="G20" s="162">
        <f>SUM(C20:F20)</f>
        <v>82787.100000000006</v>
      </c>
      <c r="J20" s="164"/>
      <c r="K20" s="164"/>
      <c r="L20" s="163">
        <f>SUM(L7:L19)</f>
        <v>6984.1</v>
      </c>
      <c r="M20" s="163">
        <f t="shared" ref="M20:P20" si="11">SUM(M7:M19)</f>
        <v>14495.2</v>
      </c>
      <c r="N20" s="163">
        <f t="shared" si="11"/>
        <v>24508.9</v>
      </c>
      <c r="O20" s="163">
        <f>SUM(O7:O19)</f>
        <v>79608.899999999994</v>
      </c>
      <c r="P20" s="163">
        <f t="shared" si="11"/>
        <v>125597.09999999999</v>
      </c>
      <c r="Q20" s="164"/>
      <c r="R20" s="164"/>
      <c r="S20" s="164"/>
      <c r="T20" s="164"/>
      <c r="U20" s="163">
        <f>SUM(U7:U19)</f>
        <v>114.25009886660001</v>
      </c>
      <c r="V20" s="243">
        <f>SUM(V7:V19)</f>
        <v>26.118843853842314</v>
      </c>
    </row>
    <row r="21" spans="1:22" ht="15.75" x14ac:dyDescent="0.25">
      <c r="A21" s="495" t="s">
        <v>1106</v>
      </c>
      <c r="B21" s="37">
        <v>20</v>
      </c>
      <c r="C21" s="132"/>
      <c r="D21" s="132"/>
      <c r="E21" s="16"/>
      <c r="F21" s="16">
        <v>137</v>
      </c>
      <c r="G21" s="133">
        <f>SUM(C21:F21)</f>
        <v>137</v>
      </c>
    </row>
    <row r="22" spans="1:22" ht="15.75" customHeight="1" x14ac:dyDescent="0.25">
      <c r="A22" s="495"/>
      <c r="B22" s="37">
        <v>25</v>
      </c>
      <c r="C22" s="16"/>
      <c r="D22" s="16"/>
      <c r="E22" s="16"/>
      <c r="F22" s="16">
        <v>297</v>
      </c>
      <c r="G22" s="133">
        <f t="shared" ref="G22:G36" si="12">SUM(C22:F22)</f>
        <v>297</v>
      </c>
      <c r="P22" s="236"/>
    </row>
    <row r="23" spans="1:22" ht="15.75" x14ac:dyDescent="0.25">
      <c r="A23" s="495"/>
      <c r="B23" s="37">
        <v>40</v>
      </c>
      <c r="C23" s="16"/>
      <c r="D23" s="16"/>
      <c r="E23" s="16"/>
      <c r="F23" s="16">
        <v>338</v>
      </c>
      <c r="G23" s="133">
        <f t="shared" si="12"/>
        <v>338</v>
      </c>
      <c r="P23" s="36"/>
    </row>
    <row r="24" spans="1:22" ht="15.75" x14ac:dyDescent="0.25">
      <c r="A24" s="495"/>
      <c r="B24" s="37">
        <v>50</v>
      </c>
      <c r="C24" s="16"/>
      <c r="D24" s="16"/>
      <c r="E24" s="16"/>
      <c r="F24" s="16">
        <v>110</v>
      </c>
      <c r="G24" s="133">
        <f t="shared" si="12"/>
        <v>110</v>
      </c>
      <c r="P24" s="36"/>
    </row>
    <row r="25" spans="1:22" ht="15.75" x14ac:dyDescent="0.25">
      <c r="A25" s="495"/>
      <c r="B25" s="37">
        <v>70</v>
      </c>
      <c r="C25" s="16"/>
      <c r="D25" s="16"/>
      <c r="E25" s="16"/>
      <c r="F25" s="16">
        <v>15</v>
      </c>
      <c r="G25" s="133">
        <f t="shared" si="12"/>
        <v>15</v>
      </c>
    </row>
    <row r="26" spans="1:22" ht="15.75" x14ac:dyDescent="0.25">
      <c r="A26" s="495"/>
      <c r="B26" s="37">
        <v>80</v>
      </c>
      <c r="C26" s="16"/>
      <c r="D26" s="16"/>
      <c r="E26" s="16"/>
      <c r="F26" s="16">
        <v>50</v>
      </c>
      <c r="G26" s="133">
        <f t="shared" si="12"/>
        <v>50</v>
      </c>
    </row>
    <row r="27" spans="1:22" ht="15.75" x14ac:dyDescent="0.25">
      <c r="A27" s="495"/>
      <c r="B27" s="37">
        <v>125</v>
      </c>
      <c r="C27" s="16"/>
      <c r="D27" s="16"/>
      <c r="E27" s="16"/>
      <c r="F27" s="16">
        <v>15</v>
      </c>
      <c r="G27" s="133">
        <f t="shared" si="12"/>
        <v>15</v>
      </c>
    </row>
    <row r="28" spans="1:22" x14ac:dyDescent="0.25">
      <c r="A28" s="495"/>
      <c r="B28" s="163"/>
      <c r="C28" s="163"/>
      <c r="D28" s="163"/>
      <c r="E28" s="163"/>
      <c r="F28" s="163">
        <f>SUM(F21:F27)</f>
        <v>962</v>
      </c>
      <c r="G28" s="163">
        <f t="shared" si="12"/>
        <v>962</v>
      </c>
    </row>
    <row r="29" spans="1:22" ht="15.75" x14ac:dyDescent="0.25">
      <c r="A29" s="495" t="s">
        <v>1107</v>
      </c>
      <c r="B29" s="37">
        <v>20</v>
      </c>
      <c r="C29" s="17"/>
      <c r="D29" s="17"/>
      <c r="E29" s="17"/>
      <c r="F29" s="17">
        <v>580</v>
      </c>
      <c r="G29" s="133">
        <f t="shared" si="12"/>
        <v>580</v>
      </c>
    </row>
    <row r="30" spans="1:22" ht="15.75" x14ac:dyDescent="0.25">
      <c r="A30" s="495"/>
      <c r="B30" s="37">
        <v>25</v>
      </c>
      <c r="C30" s="17"/>
      <c r="D30" s="17"/>
      <c r="E30" s="17"/>
      <c r="F30" s="17">
        <v>381</v>
      </c>
      <c r="G30" s="133">
        <f t="shared" si="12"/>
        <v>381</v>
      </c>
    </row>
    <row r="31" spans="1:22" ht="15.75" x14ac:dyDescent="0.25">
      <c r="A31" s="495"/>
      <c r="B31" s="40">
        <v>32</v>
      </c>
      <c r="C31" s="17"/>
      <c r="D31" s="17"/>
      <c r="E31" s="17"/>
      <c r="F31" s="17">
        <v>465</v>
      </c>
      <c r="G31" s="133">
        <f t="shared" si="12"/>
        <v>465</v>
      </c>
    </row>
    <row r="32" spans="1:22" ht="15.75" x14ac:dyDescent="0.25">
      <c r="A32" s="495"/>
      <c r="B32" s="40">
        <v>50</v>
      </c>
      <c r="C32" s="17"/>
      <c r="D32" s="17"/>
      <c r="E32" s="17"/>
      <c r="F32" s="17">
        <v>289</v>
      </c>
      <c r="G32" s="133">
        <f t="shared" si="12"/>
        <v>289</v>
      </c>
    </row>
    <row r="33" spans="1:7" ht="15.75" x14ac:dyDescent="0.25">
      <c r="A33" s="495"/>
      <c r="B33" s="40">
        <v>70</v>
      </c>
      <c r="C33" s="17"/>
      <c r="D33" s="17"/>
      <c r="E33" s="17"/>
      <c r="F33" s="17">
        <v>155</v>
      </c>
      <c r="G33" s="133">
        <f t="shared" si="12"/>
        <v>155</v>
      </c>
    </row>
    <row r="34" spans="1:7" ht="15.75" x14ac:dyDescent="0.25">
      <c r="A34" s="495"/>
      <c r="B34" s="40">
        <v>80</v>
      </c>
      <c r="C34" s="17"/>
      <c r="D34" s="17"/>
      <c r="E34" s="17"/>
      <c r="F34" s="17">
        <v>108</v>
      </c>
      <c r="G34" s="133">
        <f t="shared" si="12"/>
        <v>108</v>
      </c>
    </row>
    <row r="35" spans="1:7" ht="15.75" x14ac:dyDescent="0.25">
      <c r="A35" s="495"/>
      <c r="B35" s="40">
        <v>100</v>
      </c>
      <c r="C35" s="17"/>
      <c r="D35" s="17"/>
      <c r="E35" s="17"/>
      <c r="F35" s="17">
        <v>100</v>
      </c>
      <c r="G35" s="133">
        <f t="shared" si="12"/>
        <v>100</v>
      </c>
    </row>
    <row r="36" spans="1:7" ht="15.75" x14ac:dyDescent="0.25">
      <c r="A36" s="495"/>
      <c r="B36" s="161"/>
      <c r="C36" s="161"/>
      <c r="D36" s="161"/>
      <c r="E36" s="161"/>
      <c r="F36" s="162">
        <f>SUM(F29:F35)</f>
        <v>2078</v>
      </c>
      <c r="G36" s="163">
        <f t="shared" si="12"/>
        <v>2078</v>
      </c>
    </row>
    <row r="37" spans="1:7" ht="15.75" x14ac:dyDescent="0.25">
      <c r="A37" s="495" t="s">
        <v>1108</v>
      </c>
      <c r="B37" s="37">
        <v>40</v>
      </c>
      <c r="C37" s="17"/>
      <c r="D37" s="17"/>
      <c r="E37" s="17"/>
      <c r="F37" s="17">
        <v>36</v>
      </c>
      <c r="G37" s="133">
        <f t="shared" ref="G37:G56" si="13">SUM(C37:F37)</f>
        <v>36</v>
      </c>
    </row>
    <row r="38" spans="1:7" ht="15.75" x14ac:dyDescent="0.25">
      <c r="A38" s="495"/>
      <c r="B38" s="37">
        <v>70</v>
      </c>
      <c r="C38" s="17"/>
      <c r="D38" s="17"/>
      <c r="E38" s="17"/>
      <c r="F38" s="17">
        <v>932</v>
      </c>
      <c r="G38" s="133">
        <f t="shared" si="13"/>
        <v>932</v>
      </c>
    </row>
    <row r="39" spans="1:7" ht="15.75" x14ac:dyDescent="0.25">
      <c r="A39" s="495"/>
      <c r="B39" s="40">
        <v>100</v>
      </c>
      <c r="C39" s="17"/>
      <c r="D39" s="17"/>
      <c r="E39" s="17"/>
      <c r="F39" s="17">
        <v>192</v>
      </c>
      <c r="G39" s="133">
        <f t="shared" si="13"/>
        <v>192</v>
      </c>
    </row>
    <row r="40" spans="1:7" ht="15.75" x14ac:dyDescent="0.25">
      <c r="A40" s="495"/>
      <c r="B40" s="40">
        <v>125</v>
      </c>
      <c r="C40" s="17"/>
      <c r="D40" s="17"/>
      <c r="E40" s="17"/>
      <c r="F40" s="17">
        <v>712</v>
      </c>
      <c r="G40" s="133">
        <f t="shared" si="13"/>
        <v>712</v>
      </c>
    </row>
    <row r="41" spans="1:7" ht="15.75" x14ac:dyDescent="0.25">
      <c r="A41" s="495"/>
      <c r="B41" s="40">
        <v>150</v>
      </c>
      <c r="C41" s="17"/>
      <c r="D41" s="17"/>
      <c r="E41" s="17"/>
      <c r="F41" s="17">
        <v>193</v>
      </c>
      <c r="G41" s="133">
        <f t="shared" si="13"/>
        <v>193</v>
      </c>
    </row>
    <row r="42" spans="1:7" ht="15.75" x14ac:dyDescent="0.25">
      <c r="A42" s="495"/>
      <c r="B42" s="40">
        <v>200</v>
      </c>
      <c r="C42" s="17"/>
      <c r="D42" s="17"/>
      <c r="E42" s="17"/>
      <c r="F42" s="17">
        <v>193</v>
      </c>
      <c r="G42" s="133">
        <f t="shared" si="13"/>
        <v>193</v>
      </c>
    </row>
    <row r="43" spans="1:7" ht="15.75" x14ac:dyDescent="0.25">
      <c r="A43" s="495"/>
      <c r="B43" s="40">
        <v>250</v>
      </c>
      <c r="C43" s="17"/>
      <c r="D43" s="17"/>
      <c r="E43" s="17"/>
      <c r="F43" s="17">
        <v>494</v>
      </c>
      <c r="G43" s="133">
        <f t="shared" si="13"/>
        <v>494</v>
      </c>
    </row>
    <row r="44" spans="1:7" ht="15.75" x14ac:dyDescent="0.25">
      <c r="A44" s="495"/>
      <c r="B44" s="161"/>
      <c r="C44" s="161"/>
      <c r="D44" s="161"/>
      <c r="E44" s="161"/>
      <c r="F44" s="162">
        <f>SUM(F37:F43)</f>
        <v>2752</v>
      </c>
      <c r="G44" s="163">
        <f t="shared" si="13"/>
        <v>2752</v>
      </c>
    </row>
    <row r="45" spans="1:7" ht="15.75" x14ac:dyDescent="0.25">
      <c r="A45" s="475" t="s">
        <v>1109</v>
      </c>
      <c r="B45" s="40">
        <v>40</v>
      </c>
      <c r="C45" s="16"/>
      <c r="D45" s="16"/>
      <c r="E45" s="16"/>
      <c r="F45" s="17">
        <v>377</v>
      </c>
      <c r="G45" s="133">
        <f>SUM(C45:F45)</f>
        <v>377</v>
      </c>
    </row>
    <row r="46" spans="1:7" ht="15.75" x14ac:dyDescent="0.25">
      <c r="A46" s="476"/>
      <c r="B46" s="40">
        <v>50</v>
      </c>
      <c r="C46" s="16"/>
      <c r="D46" s="16"/>
      <c r="E46" s="16"/>
      <c r="F46" s="17">
        <v>520</v>
      </c>
      <c r="G46" s="133">
        <f t="shared" si="13"/>
        <v>520</v>
      </c>
    </row>
    <row r="47" spans="1:7" ht="15.75" x14ac:dyDescent="0.25">
      <c r="A47" s="476"/>
      <c r="B47" s="40">
        <v>80</v>
      </c>
      <c r="C47" s="16"/>
      <c r="D47" s="16"/>
      <c r="E47" s="16"/>
      <c r="F47" s="17">
        <v>272</v>
      </c>
      <c r="G47" s="133">
        <f t="shared" si="13"/>
        <v>272</v>
      </c>
    </row>
    <row r="48" spans="1:7" ht="15.75" x14ac:dyDescent="0.25">
      <c r="A48" s="476"/>
      <c r="B48" s="40">
        <v>100</v>
      </c>
      <c r="C48" s="16"/>
      <c r="D48" s="16"/>
      <c r="E48" s="16"/>
      <c r="F48" s="17">
        <v>211</v>
      </c>
      <c r="G48" s="133">
        <f t="shared" si="13"/>
        <v>211</v>
      </c>
    </row>
    <row r="49" spans="1:7" ht="15.75" x14ac:dyDescent="0.25">
      <c r="A49" s="477"/>
      <c r="B49" s="165"/>
      <c r="C49" s="164"/>
      <c r="D49" s="164"/>
      <c r="E49" s="164"/>
      <c r="F49" s="162">
        <f>SUM(F45:F48)</f>
        <v>1380</v>
      </c>
      <c r="G49" s="163">
        <f>SUM(G45:G48)</f>
        <v>1380</v>
      </c>
    </row>
    <row r="50" spans="1:7" ht="15.75" x14ac:dyDescent="0.25">
      <c r="A50" s="495" t="s">
        <v>1110</v>
      </c>
      <c r="B50" s="127">
        <v>25</v>
      </c>
      <c r="C50" s="17"/>
      <c r="D50" s="17"/>
      <c r="E50" s="17"/>
      <c r="F50" s="17">
        <v>31</v>
      </c>
      <c r="G50" s="133">
        <f t="shared" si="13"/>
        <v>31</v>
      </c>
    </row>
    <row r="51" spans="1:7" ht="15.75" x14ac:dyDescent="0.25">
      <c r="A51" s="495"/>
      <c r="B51" s="127">
        <v>32</v>
      </c>
      <c r="C51" s="17"/>
      <c r="D51" s="17"/>
      <c r="E51" s="17"/>
      <c r="F51" s="17">
        <v>50</v>
      </c>
      <c r="G51" s="133">
        <f t="shared" si="13"/>
        <v>50</v>
      </c>
    </row>
    <row r="52" spans="1:7" ht="15.75" x14ac:dyDescent="0.25">
      <c r="A52" s="495"/>
      <c r="B52" s="127">
        <v>50</v>
      </c>
      <c r="C52" s="17"/>
      <c r="D52" s="17"/>
      <c r="E52" s="17"/>
      <c r="F52" s="17">
        <v>281</v>
      </c>
      <c r="G52" s="133">
        <f t="shared" si="13"/>
        <v>281</v>
      </c>
    </row>
    <row r="53" spans="1:7" ht="15.75" x14ac:dyDescent="0.25">
      <c r="A53" s="495"/>
      <c r="B53" s="127">
        <v>70</v>
      </c>
      <c r="C53" s="17"/>
      <c r="D53" s="17"/>
      <c r="E53" s="17"/>
      <c r="F53" s="17">
        <v>487</v>
      </c>
      <c r="G53" s="133">
        <f t="shared" si="13"/>
        <v>487</v>
      </c>
    </row>
    <row r="54" spans="1:7" ht="15.75" x14ac:dyDescent="0.25">
      <c r="A54" s="495"/>
      <c r="B54" s="127">
        <v>80</v>
      </c>
      <c r="C54" s="17"/>
      <c r="D54" s="17"/>
      <c r="E54" s="17"/>
      <c r="F54" s="17">
        <v>156</v>
      </c>
      <c r="G54" s="133">
        <f t="shared" si="13"/>
        <v>156</v>
      </c>
    </row>
    <row r="55" spans="1:7" ht="15.75" x14ac:dyDescent="0.25">
      <c r="A55" s="495"/>
      <c r="B55" s="127">
        <v>100</v>
      </c>
      <c r="C55" s="17"/>
      <c r="D55" s="17"/>
      <c r="E55" s="17"/>
      <c r="F55" s="17">
        <v>341</v>
      </c>
      <c r="G55" s="133">
        <f t="shared" si="13"/>
        <v>341</v>
      </c>
    </row>
    <row r="56" spans="1:7" ht="15.75" x14ac:dyDescent="0.25">
      <c r="A56" s="495"/>
      <c r="B56" s="160"/>
      <c r="C56" s="161"/>
      <c r="D56" s="161"/>
      <c r="E56" s="161"/>
      <c r="F56" s="162">
        <f>SUM(F50:F55)</f>
        <v>1346</v>
      </c>
      <c r="G56" s="163">
        <f t="shared" si="13"/>
        <v>1346</v>
      </c>
    </row>
    <row r="57" spans="1:7" ht="15.75" x14ac:dyDescent="0.25">
      <c r="A57" s="495" t="s">
        <v>1112</v>
      </c>
      <c r="B57" s="127">
        <v>20</v>
      </c>
      <c r="C57" s="17"/>
      <c r="D57" s="17"/>
      <c r="E57" s="17">
        <v>9</v>
      </c>
      <c r="F57" s="17">
        <v>134</v>
      </c>
      <c r="G57" s="133">
        <f>SUM(C57:F57)</f>
        <v>143</v>
      </c>
    </row>
    <row r="58" spans="1:7" ht="15.75" x14ac:dyDescent="0.25">
      <c r="A58" s="495"/>
      <c r="B58" s="127">
        <v>25</v>
      </c>
      <c r="C58" s="17"/>
      <c r="D58" s="17"/>
      <c r="E58" s="17">
        <v>97</v>
      </c>
      <c r="F58" s="17">
        <v>405</v>
      </c>
      <c r="G58" s="133">
        <f t="shared" ref="G58:G67" si="14">SUM(C58:F58)</f>
        <v>502</v>
      </c>
    </row>
    <row r="59" spans="1:7" ht="15.75" x14ac:dyDescent="0.25">
      <c r="A59" s="495"/>
      <c r="B59" s="127">
        <v>32</v>
      </c>
      <c r="C59" s="17">
        <v>112</v>
      </c>
      <c r="D59" s="17"/>
      <c r="E59" s="17">
        <v>410</v>
      </c>
      <c r="F59" s="17">
        <v>1686</v>
      </c>
      <c r="G59" s="133">
        <f t="shared" si="14"/>
        <v>2208</v>
      </c>
    </row>
    <row r="60" spans="1:7" ht="15.75" x14ac:dyDescent="0.25">
      <c r="A60" s="495"/>
      <c r="B60" s="127">
        <v>50</v>
      </c>
      <c r="C60" s="17">
        <v>159</v>
      </c>
      <c r="D60" s="17">
        <v>417</v>
      </c>
      <c r="E60" s="17">
        <v>987</v>
      </c>
      <c r="F60" s="132">
        <v>4169</v>
      </c>
      <c r="G60" s="133">
        <f t="shared" si="14"/>
        <v>5732</v>
      </c>
    </row>
    <row r="61" spans="1:7" ht="15.75" x14ac:dyDescent="0.25">
      <c r="A61" s="495"/>
      <c r="B61" s="127">
        <v>70</v>
      </c>
      <c r="C61" s="17">
        <v>90</v>
      </c>
      <c r="D61" s="17">
        <v>297</v>
      </c>
      <c r="E61" s="17">
        <v>914</v>
      </c>
      <c r="F61" s="132">
        <v>2606</v>
      </c>
      <c r="G61" s="133">
        <f t="shared" si="14"/>
        <v>3907</v>
      </c>
    </row>
    <row r="62" spans="1:7" ht="15.75" x14ac:dyDescent="0.25">
      <c r="A62" s="495"/>
      <c r="B62" s="127">
        <v>80</v>
      </c>
      <c r="C62" s="17">
        <v>322</v>
      </c>
      <c r="D62" s="132">
        <v>461</v>
      </c>
      <c r="E62" s="17">
        <v>1546</v>
      </c>
      <c r="F62" s="17">
        <v>4493</v>
      </c>
      <c r="G62" s="133">
        <f t="shared" si="14"/>
        <v>6822</v>
      </c>
    </row>
    <row r="63" spans="1:7" ht="15.75" x14ac:dyDescent="0.25">
      <c r="A63" s="495"/>
      <c r="B63" s="127">
        <v>100</v>
      </c>
      <c r="C63" s="17">
        <v>570</v>
      </c>
      <c r="D63" s="132">
        <v>1058</v>
      </c>
      <c r="E63" s="17">
        <v>928</v>
      </c>
      <c r="F63" s="132">
        <v>5529</v>
      </c>
      <c r="G63" s="133">
        <f t="shared" si="14"/>
        <v>8085</v>
      </c>
    </row>
    <row r="64" spans="1:7" ht="15.75" x14ac:dyDescent="0.25">
      <c r="A64" s="495"/>
      <c r="B64" s="127">
        <v>125</v>
      </c>
      <c r="C64" s="17">
        <v>215</v>
      </c>
      <c r="D64" s="17">
        <v>309</v>
      </c>
      <c r="E64" s="17">
        <v>868</v>
      </c>
      <c r="F64" s="132">
        <v>1860</v>
      </c>
      <c r="G64" s="133">
        <f t="shared" si="14"/>
        <v>3252</v>
      </c>
    </row>
    <row r="65" spans="1:7" ht="15.75" x14ac:dyDescent="0.25">
      <c r="A65" s="495"/>
      <c r="B65" s="127">
        <v>150</v>
      </c>
      <c r="C65" s="17">
        <v>503</v>
      </c>
      <c r="D65" s="17">
        <v>396</v>
      </c>
      <c r="E65" s="17">
        <v>311</v>
      </c>
      <c r="F65" s="132">
        <v>1815</v>
      </c>
      <c r="G65" s="133">
        <f t="shared" si="14"/>
        <v>3025</v>
      </c>
    </row>
    <row r="66" spans="1:7" ht="15.75" x14ac:dyDescent="0.25">
      <c r="A66" s="495"/>
      <c r="B66" s="127">
        <v>200</v>
      </c>
      <c r="C66" s="17">
        <v>57</v>
      </c>
      <c r="D66" s="17">
        <v>0</v>
      </c>
      <c r="E66" s="17">
        <v>66</v>
      </c>
      <c r="F66" s="17">
        <v>440</v>
      </c>
      <c r="G66" s="133">
        <f t="shared" si="14"/>
        <v>563</v>
      </c>
    </row>
    <row r="67" spans="1:7" ht="15.75" x14ac:dyDescent="0.25">
      <c r="A67" s="495"/>
      <c r="B67" s="127">
        <v>250</v>
      </c>
      <c r="C67" s="17"/>
      <c r="D67" s="17"/>
      <c r="E67" s="17"/>
      <c r="F67" s="17">
        <v>53</v>
      </c>
      <c r="G67" s="133">
        <f t="shared" si="14"/>
        <v>53</v>
      </c>
    </row>
    <row r="68" spans="1:7" x14ac:dyDescent="0.25">
      <c r="A68" s="495"/>
      <c r="B68" s="164"/>
      <c r="C68" s="163">
        <f>SUM(C57:C67)</f>
        <v>2028</v>
      </c>
      <c r="D68" s="163">
        <f t="shared" ref="D68:G68" si="15">SUM(D57:D67)</f>
        <v>2938</v>
      </c>
      <c r="E68" s="163">
        <f t="shared" si="15"/>
        <v>6136</v>
      </c>
      <c r="F68" s="163">
        <f t="shared" si="15"/>
        <v>23190</v>
      </c>
      <c r="G68" s="163">
        <f t="shared" si="15"/>
        <v>34292</v>
      </c>
    </row>
    <row r="69" spans="1:7" x14ac:dyDescent="0.25">
      <c r="A69" s="169" t="s">
        <v>1498</v>
      </c>
      <c r="B69" s="16"/>
      <c r="C69" s="133">
        <f>C68+C56+C49+C44+C36+C28+C20</f>
        <v>6984.1</v>
      </c>
      <c r="D69" s="133">
        <f t="shared" ref="D69:G69" si="16">D68+D56+D49+D44+D36+D28+D20</f>
        <v>14495.2</v>
      </c>
      <c r="E69" s="133">
        <f t="shared" si="16"/>
        <v>24508.9</v>
      </c>
      <c r="F69" s="133">
        <f>F68+F56+F49+F44+F36+F28+F20</f>
        <v>79608.899999999994</v>
      </c>
      <c r="G69" s="133">
        <f t="shared" si="16"/>
        <v>125597.1</v>
      </c>
    </row>
  </sheetData>
  <mergeCells count="19">
    <mergeCell ref="A57:A68"/>
    <mergeCell ref="A29:A36"/>
    <mergeCell ref="A37:A44"/>
    <mergeCell ref="A45:A49"/>
    <mergeCell ref="A50:A56"/>
    <mergeCell ref="A21:A28"/>
    <mergeCell ref="P4:P5"/>
    <mergeCell ref="J2:P2"/>
    <mergeCell ref="C3:G3"/>
    <mergeCell ref="A3:A5"/>
    <mergeCell ref="L3:P3"/>
    <mergeCell ref="B3:B6"/>
    <mergeCell ref="J3:J6"/>
    <mergeCell ref="K3:K6"/>
    <mergeCell ref="E1:G1"/>
    <mergeCell ref="R1:U1"/>
    <mergeCell ref="Q3:U5"/>
    <mergeCell ref="A2:G2"/>
    <mergeCell ref="A6:A20"/>
  </mergeCell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51"/>
  <sheetViews>
    <sheetView workbookViewId="0">
      <selection sqref="A1:F2"/>
    </sheetView>
  </sheetViews>
  <sheetFormatPr defaultRowHeight="15.75" x14ac:dyDescent="0.2"/>
  <cols>
    <col min="1" max="1" width="14.7109375" style="43" customWidth="1"/>
    <col min="2" max="2" width="32.28515625" style="43" customWidth="1"/>
    <col min="3" max="3" width="10.42578125" style="43" customWidth="1"/>
    <col min="4" max="4" width="8.85546875" style="107" customWidth="1"/>
    <col min="5" max="5" width="10.140625" style="107" customWidth="1"/>
    <col min="6" max="6" width="13.28515625" style="44" customWidth="1"/>
    <col min="7" max="7" width="11.28515625" style="45" customWidth="1"/>
    <col min="8" max="8" width="9.140625" style="46" customWidth="1"/>
    <col min="9" max="11" width="9.140625" style="47" customWidth="1"/>
    <col min="12" max="13" width="9.140625" style="47"/>
    <col min="14" max="244" width="9.140625" style="48"/>
    <col min="245" max="245" width="14.7109375" style="48" customWidth="1"/>
    <col min="246" max="246" width="38" style="48" customWidth="1"/>
    <col min="247" max="247" width="11.42578125" style="48" customWidth="1"/>
    <col min="248" max="248" width="10.42578125" style="48" customWidth="1"/>
    <col min="249" max="249" width="11.42578125" style="48" customWidth="1"/>
    <col min="250" max="250" width="9.140625" style="48"/>
    <col min="251" max="251" width="17.28515625" style="48" customWidth="1"/>
    <col min="252" max="252" width="11.28515625" style="48" customWidth="1"/>
    <col min="253" max="253" width="11.140625" style="48" customWidth="1"/>
    <col min="254" max="254" width="8.140625" style="48" customWidth="1"/>
    <col min="255" max="255" width="12" style="48" customWidth="1"/>
    <col min="256" max="256" width="11" style="48" customWidth="1"/>
    <col min="257" max="257" width="11.7109375" style="48" customWidth="1"/>
    <col min="258" max="258" width="8.5703125" style="48" customWidth="1"/>
    <col min="259" max="259" width="10.85546875" style="48" customWidth="1"/>
    <col min="260" max="260" width="12.85546875" style="48" customWidth="1"/>
    <col min="261" max="261" width="12.140625" style="48" customWidth="1"/>
    <col min="262" max="262" width="11.28515625" style="48" customWidth="1"/>
    <col min="263" max="500" width="9.140625" style="48"/>
    <col min="501" max="501" width="14.7109375" style="48" customWidth="1"/>
    <col min="502" max="502" width="38" style="48" customWidth="1"/>
    <col min="503" max="503" width="11.42578125" style="48" customWidth="1"/>
    <col min="504" max="504" width="10.42578125" style="48" customWidth="1"/>
    <col min="505" max="505" width="11.42578125" style="48" customWidth="1"/>
    <col min="506" max="506" width="9.140625" style="48"/>
    <col min="507" max="507" width="17.28515625" style="48" customWidth="1"/>
    <col min="508" max="508" width="11.28515625" style="48" customWidth="1"/>
    <col min="509" max="509" width="11.140625" style="48" customWidth="1"/>
    <col min="510" max="510" width="8.140625" style="48" customWidth="1"/>
    <col min="511" max="511" width="12" style="48" customWidth="1"/>
    <col min="512" max="512" width="11" style="48" customWidth="1"/>
    <col min="513" max="513" width="11.7109375" style="48" customWidth="1"/>
    <col min="514" max="514" width="8.5703125" style="48" customWidth="1"/>
    <col min="515" max="515" width="10.85546875" style="48" customWidth="1"/>
    <col min="516" max="516" width="12.85546875" style="48" customWidth="1"/>
    <col min="517" max="517" width="12.140625" style="48" customWidth="1"/>
    <col min="518" max="518" width="11.28515625" style="48" customWidth="1"/>
    <col min="519" max="756" width="9.140625" style="48"/>
    <col min="757" max="757" width="14.7109375" style="48" customWidth="1"/>
    <col min="758" max="758" width="38" style="48" customWidth="1"/>
    <col min="759" max="759" width="11.42578125" style="48" customWidth="1"/>
    <col min="760" max="760" width="10.42578125" style="48" customWidth="1"/>
    <col min="761" max="761" width="11.42578125" style="48" customWidth="1"/>
    <col min="762" max="762" width="9.140625" style="48"/>
    <col min="763" max="763" width="17.28515625" style="48" customWidth="1"/>
    <col min="764" max="764" width="11.28515625" style="48" customWidth="1"/>
    <col min="765" max="765" width="11.140625" style="48" customWidth="1"/>
    <col min="766" max="766" width="8.140625" style="48" customWidth="1"/>
    <col min="767" max="767" width="12" style="48" customWidth="1"/>
    <col min="768" max="768" width="11" style="48" customWidth="1"/>
    <col min="769" max="769" width="11.7109375" style="48" customWidth="1"/>
    <col min="770" max="770" width="8.5703125" style="48" customWidth="1"/>
    <col min="771" max="771" width="10.85546875" style="48" customWidth="1"/>
    <col min="772" max="772" width="12.85546875" style="48" customWidth="1"/>
    <col min="773" max="773" width="12.140625" style="48" customWidth="1"/>
    <col min="774" max="774" width="11.28515625" style="48" customWidth="1"/>
    <col min="775" max="1012" width="9.140625" style="48"/>
    <col min="1013" max="1013" width="14.7109375" style="48" customWidth="1"/>
    <col min="1014" max="1014" width="38" style="48" customWidth="1"/>
    <col min="1015" max="1015" width="11.42578125" style="48" customWidth="1"/>
    <col min="1016" max="1016" width="10.42578125" style="48" customWidth="1"/>
    <col min="1017" max="1017" width="11.42578125" style="48" customWidth="1"/>
    <col min="1018" max="1018" width="9.140625" style="48"/>
    <col min="1019" max="1019" width="17.28515625" style="48" customWidth="1"/>
    <col min="1020" max="1020" width="11.28515625" style="48" customWidth="1"/>
    <col min="1021" max="1021" width="11.140625" style="48" customWidth="1"/>
    <col min="1022" max="1022" width="8.140625" style="48" customWidth="1"/>
    <col min="1023" max="1023" width="12" style="48" customWidth="1"/>
    <col min="1024" max="1024" width="11" style="48" customWidth="1"/>
    <col min="1025" max="1025" width="11.7109375" style="48" customWidth="1"/>
    <col min="1026" max="1026" width="8.5703125" style="48" customWidth="1"/>
    <col min="1027" max="1027" width="10.85546875" style="48" customWidth="1"/>
    <col min="1028" max="1028" width="12.85546875" style="48" customWidth="1"/>
    <col min="1029" max="1029" width="12.140625" style="48" customWidth="1"/>
    <col min="1030" max="1030" width="11.28515625" style="48" customWidth="1"/>
    <col min="1031" max="1268" width="9.140625" style="48"/>
    <col min="1269" max="1269" width="14.7109375" style="48" customWidth="1"/>
    <col min="1270" max="1270" width="38" style="48" customWidth="1"/>
    <col min="1271" max="1271" width="11.42578125" style="48" customWidth="1"/>
    <col min="1272" max="1272" width="10.42578125" style="48" customWidth="1"/>
    <col min="1273" max="1273" width="11.42578125" style="48" customWidth="1"/>
    <col min="1274" max="1274" width="9.140625" style="48"/>
    <col min="1275" max="1275" width="17.28515625" style="48" customWidth="1"/>
    <col min="1276" max="1276" width="11.28515625" style="48" customWidth="1"/>
    <col min="1277" max="1277" width="11.140625" style="48" customWidth="1"/>
    <col min="1278" max="1278" width="8.140625" style="48" customWidth="1"/>
    <col min="1279" max="1279" width="12" style="48" customWidth="1"/>
    <col min="1280" max="1280" width="11" style="48" customWidth="1"/>
    <col min="1281" max="1281" width="11.7109375" style="48" customWidth="1"/>
    <col min="1282" max="1282" width="8.5703125" style="48" customWidth="1"/>
    <col min="1283" max="1283" width="10.85546875" style="48" customWidth="1"/>
    <col min="1284" max="1284" width="12.85546875" style="48" customWidth="1"/>
    <col min="1285" max="1285" width="12.140625" style="48" customWidth="1"/>
    <col min="1286" max="1286" width="11.28515625" style="48" customWidth="1"/>
    <col min="1287" max="1524" width="9.140625" style="48"/>
    <col min="1525" max="1525" width="14.7109375" style="48" customWidth="1"/>
    <col min="1526" max="1526" width="38" style="48" customWidth="1"/>
    <col min="1527" max="1527" width="11.42578125" style="48" customWidth="1"/>
    <col min="1528" max="1528" width="10.42578125" style="48" customWidth="1"/>
    <col min="1529" max="1529" width="11.42578125" style="48" customWidth="1"/>
    <col min="1530" max="1530" width="9.140625" style="48"/>
    <col min="1531" max="1531" width="17.28515625" style="48" customWidth="1"/>
    <col min="1532" max="1532" width="11.28515625" style="48" customWidth="1"/>
    <col min="1533" max="1533" width="11.140625" style="48" customWidth="1"/>
    <col min="1534" max="1534" width="8.140625" style="48" customWidth="1"/>
    <col min="1535" max="1535" width="12" style="48" customWidth="1"/>
    <col min="1536" max="1536" width="11" style="48" customWidth="1"/>
    <col min="1537" max="1537" width="11.7109375" style="48" customWidth="1"/>
    <col min="1538" max="1538" width="8.5703125" style="48" customWidth="1"/>
    <col min="1539" max="1539" width="10.85546875" style="48" customWidth="1"/>
    <col min="1540" max="1540" width="12.85546875" style="48" customWidth="1"/>
    <col min="1541" max="1541" width="12.140625" style="48" customWidth="1"/>
    <col min="1542" max="1542" width="11.28515625" style="48" customWidth="1"/>
    <col min="1543" max="1780" width="9.140625" style="48"/>
    <col min="1781" max="1781" width="14.7109375" style="48" customWidth="1"/>
    <col min="1782" max="1782" width="38" style="48" customWidth="1"/>
    <col min="1783" max="1783" width="11.42578125" style="48" customWidth="1"/>
    <col min="1784" max="1784" width="10.42578125" style="48" customWidth="1"/>
    <col min="1785" max="1785" width="11.42578125" style="48" customWidth="1"/>
    <col min="1786" max="1786" width="9.140625" style="48"/>
    <col min="1787" max="1787" width="17.28515625" style="48" customWidth="1"/>
    <col min="1788" max="1788" width="11.28515625" style="48" customWidth="1"/>
    <col min="1789" max="1789" width="11.140625" style="48" customWidth="1"/>
    <col min="1790" max="1790" width="8.140625" style="48" customWidth="1"/>
    <col min="1791" max="1791" width="12" style="48" customWidth="1"/>
    <col min="1792" max="1792" width="11" style="48" customWidth="1"/>
    <col min="1793" max="1793" width="11.7109375" style="48" customWidth="1"/>
    <col min="1794" max="1794" width="8.5703125" style="48" customWidth="1"/>
    <col min="1795" max="1795" width="10.85546875" style="48" customWidth="1"/>
    <col min="1796" max="1796" width="12.85546875" style="48" customWidth="1"/>
    <col min="1797" max="1797" width="12.140625" style="48" customWidth="1"/>
    <col min="1798" max="1798" width="11.28515625" style="48" customWidth="1"/>
    <col min="1799" max="2036" width="9.140625" style="48"/>
    <col min="2037" max="2037" width="14.7109375" style="48" customWidth="1"/>
    <col min="2038" max="2038" width="38" style="48" customWidth="1"/>
    <col min="2039" max="2039" width="11.42578125" style="48" customWidth="1"/>
    <col min="2040" max="2040" width="10.42578125" style="48" customWidth="1"/>
    <col min="2041" max="2041" width="11.42578125" style="48" customWidth="1"/>
    <col min="2042" max="2042" width="9.140625" style="48"/>
    <col min="2043" max="2043" width="17.28515625" style="48" customWidth="1"/>
    <col min="2044" max="2044" width="11.28515625" style="48" customWidth="1"/>
    <col min="2045" max="2045" width="11.140625" style="48" customWidth="1"/>
    <col min="2046" max="2046" width="8.140625" style="48" customWidth="1"/>
    <col min="2047" max="2047" width="12" style="48" customWidth="1"/>
    <col min="2048" max="2048" width="11" style="48" customWidth="1"/>
    <col min="2049" max="2049" width="11.7109375" style="48" customWidth="1"/>
    <col min="2050" max="2050" width="8.5703125" style="48" customWidth="1"/>
    <col min="2051" max="2051" width="10.85546875" style="48" customWidth="1"/>
    <col min="2052" max="2052" width="12.85546875" style="48" customWidth="1"/>
    <col min="2053" max="2053" width="12.140625" style="48" customWidth="1"/>
    <col min="2054" max="2054" width="11.28515625" style="48" customWidth="1"/>
    <col min="2055" max="2292" width="9.140625" style="48"/>
    <col min="2293" max="2293" width="14.7109375" style="48" customWidth="1"/>
    <col min="2294" max="2294" width="38" style="48" customWidth="1"/>
    <col min="2295" max="2295" width="11.42578125" style="48" customWidth="1"/>
    <col min="2296" max="2296" width="10.42578125" style="48" customWidth="1"/>
    <col min="2297" max="2297" width="11.42578125" style="48" customWidth="1"/>
    <col min="2298" max="2298" width="9.140625" style="48"/>
    <col min="2299" max="2299" width="17.28515625" style="48" customWidth="1"/>
    <col min="2300" max="2300" width="11.28515625" style="48" customWidth="1"/>
    <col min="2301" max="2301" width="11.140625" style="48" customWidth="1"/>
    <col min="2302" max="2302" width="8.140625" style="48" customWidth="1"/>
    <col min="2303" max="2303" width="12" style="48" customWidth="1"/>
    <col min="2304" max="2304" width="11" style="48" customWidth="1"/>
    <col min="2305" max="2305" width="11.7109375" style="48" customWidth="1"/>
    <col min="2306" max="2306" width="8.5703125" style="48" customWidth="1"/>
    <col min="2307" max="2307" width="10.85546875" style="48" customWidth="1"/>
    <col min="2308" max="2308" width="12.85546875" style="48" customWidth="1"/>
    <col min="2309" max="2309" width="12.140625" style="48" customWidth="1"/>
    <col min="2310" max="2310" width="11.28515625" style="48" customWidth="1"/>
    <col min="2311" max="2548" width="9.140625" style="48"/>
    <col min="2549" max="2549" width="14.7109375" style="48" customWidth="1"/>
    <col min="2550" max="2550" width="38" style="48" customWidth="1"/>
    <col min="2551" max="2551" width="11.42578125" style="48" customWidth="1"/>
    <col min="2552" max="2552" width="10.42578125" style="48" customWidth="1"/>
    <col min="2553" max="2553" width="11.42578125" style="48" customWidth="1"/>
    <col min="2554" max="2554" width="9.140625" style="48"/>
    <col min="2555" max="2555" width="17.28515625" style="48" customWidth="1"/>
    <col min="2556" max="2556" width="11.28515625" style="48" customWidth="1"/>
    <col min="2557" max="2557" width="11.140625" style="48" customWidth="1"/>
    <col min="2558" max="2558" width="8.140625" style="48" customWidth="1"/>
    <col min="2559" max="2559" width="12" style="48" customWidth="1"/>
    <col min="2560" max="2560" width="11" style="48" customWidth="1"/>
    <col min="2561" max="2561" width="11.7109375" style="48" customWidth="1"/>
    <col min="2562" max="2562" width="8.5703125" style="48" customWidth="1"/>
    <col min="2563" max="2563" width="10.85546875" style="48" customWidth="1"/>
    <col min="2564" max="2564" width="12.85546875" style="48" customWidth="1"/>
    <col min="2565" max="2565" width="12.140625" style="48" customWidth="1"/>
    <col min="2566" max="2566" width="11.28515625" style="48" customWidth="1"/>
    <col min="2567" max="2804" width="9.140625" style="48"/>
    <col min="2805" max="2805" width="14.7109375" style="48" customWidth="1"/>
    <col min="2806" max="2806" width="38" style="48" customWidth="1"/>
    <col min="2807" max="2807" width="11.42578125" style="48" customWidth="1"/>
    <col min="2808" max="2808" width="10.42578125" style="48" customWidth="1"/>
    <col min="2809" max="2809" width="11.42578125" style="48" customWidth="1"/>
    <col min="2810" max="2810" width="9.140625" style="48"/>
    <col min="2811" max="2811" width="17.28515625" style="48" customWidth="1"/>
    <col min="2812" max="2812" width="11.28515625" style="48" customWidth="1"/>
    <col min="2813" max="2813" width="11.140625" style="48" customWidth="1"/>
    <col min="2814" max="2814" width="8.140625" style="48" customWidth="1"/>
    <col min="2815" max="2815" width="12" style="48" customWidth="1"/>
    <col min="2816" max="2816" width="11" style="48" customWidth="1"/>
    <col min="2817" max="2817" width="11.7109375" style="48" customWidth="1"/>
    <col min="2818" max="2818" width="8.5703125" style="48" customWidth="1"/>
    <col min="2819" max="2819" width="10.85546875" style="48" customWidth="1"/>
    <col min="2820" max="2820" width="12.85546875" style="48" customWidth="1"/>
    <col min="2821" max="2821" width="12.140625" style="48" customWidth="1"/>
    <col min="2822" max="2822" width="11.28515625" style="48" customWidth="1"/>
    <col min="2823" max="3060" width="9.140625" style="48"/>
    <col min="3061" max="3061" width="14.7109375" style="48" customWidth="1"/>
    <col min="3062" max="3062" width="38" style="48" customWidth="1"/>
    <col min="3063" max="3063" width="11.42578125" style="48" customWidth="1"/>
    <col min="3064" max="3064" width="10.42578125" style="48" customWidth="1"/>
    <col min="3065" max="3065" width="11.42578125" style="48" customWidth="1"/>
    <col min="3066" max="3066" width="9.140625" style="48"/>
    <col min="3067" max="3067" width="17.28515625" style="48" customWidth="1"/>
    <col min="3068" max="3068" width="11.28515625" style="48" customWidth="1"/>
    <col min="3069" max="3069" width="11.140625" style="48" customWidth="1"/>
    <col min="3070" max="3070" width="8.140625" style="48" customWidth="1"/>
    <col min="3071" max="3071" width="12" style="48" customWidth="1"/>
    <col min="3072" max="3072" width="11" style="48" customWidth="1"/>
    <col min="3073" max="3073" width="11.7109375" style="48" customWidth="1"/>
    <col min="3074" max="3074" width="8.5703125" style="48" customWidth="1"/>
    <col min="3075" max="3075" width="10.85546875" style="48" customWidth="1"/>
    <col min="3076" max="3076" width="12.85546875" style="48" customWidth="1"/>
    <col min="3077" max="3077" width="12.140625" style="48" customWidth="1"/>
    <col min="3078" max="3078" width="11.28515625" style="48" customWidth="1"/>
    <col min="3079" max="3316" width="9.140625" style="48"/>
    <col min="3317" max="3317" width="14.7109375" style="48" customWidth="1"/>
    <col min="3318" max="3318" width="38" style="48" customWidth="1"/>
    <col min="3319" max="3319" width="11.42578125" style="48" customWidth="1"/>
    <col min="3320" max="3320" width="10.42578125" style="48" customWidth="1"/>
    <col min="3321" max="3321" width="11.42578125" style="48" customWidth="1"/>
    <col min="3322" max="3322" width="9.140625" style="48"/>
    <col min="3323" max="3323" width="17.28515625" style="48" customWidth="1"/>
    <col min="3324" max="3324" width="11.28515625" style="48" customWidth="1"/>
    <col min="3325" max="3325" width="11.140625" style="48" customWidth="1"/>
    <col min="3326" max="3326" width="8.140625" style="48" customWidth="1"/>
    <col min="3327" max="3327" width="12" style="48" customWidth="1"/>
    <col min="3328" max="3328" width="11" style="48" customWidth="1"/>
    <col min="3329" max="3329" width="11.7109375" style="48" customWidth="1"/>
    <col min="3330" max="3330" width="8.5703125" style="48" customWidth="1"/>
    <col min="3331" max="3331" width="10.85546875" style="48" customWidth="1"/>
    <col min="3332" max="3332" width="12.85546875" style="48" customWidth="1"/>
    <col min="3333" max="3333" width="12.140625" style="48" customWidth="1"/>
    <col min="3334" max="3334" width="11.28515625" style="48" customWidth="1"/>
    <col min="3335" max="3572" width="9.140625" style="48"/>
    <col min="3573" max="3573" width="14.7109375" style="48" customWidth="1"/>
    <col min="3574" max="3574" width="38" style="48" customWidth="1"/>
    <col min="3575" max="3575" width="11.42578125" style="48" customWidth="1"/>
    <col min="3576" max="3576" width="10.42578125" style="48" customWidth="1"/>
    <col min="3577" max="3577" width="11.42578125" style="48" customWidth="1"/>
    <col min="3578" max="3578" width="9.140625" style="48"/>
    <col min="3579" max="3579" width="17.28515625" style="48" customWidth="1"/>
    <col min="3580" max="3580" width="11.28515625" style="48" customWidth="1"/>
    <col min="3581" max="3581" width="11.140625" style="48" customWidth="1"/>
    <col min="3582" max="3582" width="8.140625" style="48" customWidth="1"/>
    <col min="3583" max="3583" width="12" style="48" customWidth="1"/>
    <col min="3584" max="3584" width="11" style="48" customWidth="1"/>
    <col min="3585" max="3585" width="11.7109375" style="48" customWidth="1"/>
    <col min="3586" max="3586" width="8.5703125" style="48" customWidth="1"/>
    <col min="3587" max="3587" width="10.85546875" style="48" customWidth="1"/>
    <col min="3588" max="3588" width="12.85546875" style="48" customWidth="1"/>
    <col min="3589" max="3589" width="12.140625" style="48" customWidth="1"/>
    <col min="3590" max="3590" width="11.28515625" style="48" customWidth="1"/>
    <col min="3591" max="3828" width="9.140625" style="48"/>
    <col min="3829" max="3829" width="14.7109375" style="48" customWidth="1"/>
    <col min="3830" max="3830" width="38" style="48" customWidth="1"/>
    <col min="3831" max="3831" width="11.42578125" style="48" customWidth="1"/>
    <col min="3832" max="3832" width="10.42578125" style="48" customWidth="1"/>
    <col min="3833" max="3833" width="11.42578125" style="48" customWidth="1"/>
    <col min="3834" max="3834" width="9.140625" style="48"/>
    <col min="3835" max="3835" width="17.28515625" style="48" customWidth="1"/>
    <col min="3836" max="3836" width="11.28515625" style="48" customWidth="1"/>
    <col min="3837" max="3837" width="11.140625" style="48" customWidth="1"/>
    <col min="3838" max="3838" width="8.140625" style="48" customWidth="1"/>
    <col min="3839" max="3839" width="12" style="48" customWidth="1"/>
    <col min="3840" max="3840" width="11" style="48" customWidth="1"/>
    <col min="3841" max="3841" width="11.7109375" style="48" customWidth="1"/>
    <col min="3842" max="3842" width="8.5703125" style="48" customWidth="1"/>
    <col min="3843" max="3843" width="10.85546875" style="48" customWidth="1"/>
    <col min="3844" max="3844" width="12.85546875" style="48" customWidth="1"/>
    <col min="3845" max="3845" width="12.140625" style="48" customWidth="1"/>
    <col min="3846" max="3846" width="11.28515625" style="48" customWidth="1"/>
    <col min="3847" max="4084" width="9.140625" style="48"/>
    <col min="4085" max="4085" width="14.7109375" style="48" customWidth="1"/>
    <col min="4086" max="4086" width="38" style="48" customWidth="1"/>
    <col min="4087" max="4087" width="11.42578125" style="48" customWidth="1"/>
    <col min="4088" max="4088" width="10.42578125" style="48" customWidth="1"/>
    <col min="4089" max="4089" width="11.42578125" style="48" customWidth="1"/>
    <col min="4090" max="4090" width="9.140625" style="48"/>
    <col min="4091" max="4091" width="17.28515625" style="48" customWidth="1"/>
    <col min="4092" max="4092" width="11.28515625" style="48" customWidth="1"/>
    <col min="4093" max="4093" width="11.140625" style="48" customWidth="1"/>
    <col min="4094" max="4094" width="8.140625" style="48" customWidth="1"/>
    <col min="4095" max="4095" width="12" style="48" customWidth="1"/>
    <col min="4096" max="4096" width="11" style="48" customWidth="1"/>
    <col min="4097" max="4097" width="11.7109375" style="48" customWidth="1"/>
    <col min="4098" max="4098" width="8.5703125" style="48" customWidth="1"/>
    <col min="4099" max="4099" width="10.85546875" style="48" customWidth="1"/>
    <col min="4100" max="4100" width="12.85546875" style="48" customWidth="1"/>
    <col min="4101" max="4101" width="12.140625" style="48" customWidth="1"/>
    <col min="4102" max="4102" width="11.28515625" style="48" customWidth="1"/>
    <col min="4103" max="4340" width="9.140625" style="48"/>
    <col min="4341" max="4341" width="14.7109375" style="48" customWidth="1"/>
    <col min="4342" max="4342" width="38" style="48" customWidth="1"/>
    <col min="4343" max="4343" width="11.42578125" style="48" customWidth="1"/>
    <col min="4344" max="4344" width="10.42578125" style="48" customWidth="1"/>
    <col min="4345" max="4345" width="11.42578125" style="48" customWidth="1"/>
    <col min="4346" max="4346" width="9.140625" style="48"/>
    <col min="4347" max="4347" width="17.28515625" style="48" customWidth="1"/>
    <col min="4348" max="4348" width="11.28515625" style="48" customWidth="1"/>
    <col min="4349" max="4349" width="11.140625" style="48" customWidth="1"/>
    <col min="4350" max="4350" width="8.140625" style="48" customWidth="1"/>
    <col min="4351" max="4351" width="12" style="48" customWidth="1"/>
    <col min="4352" max="4352" width="11" style="48" customWidth="1"/>
    <col min="4353" max="4353" width="11.7109375" style="48" customWidth="1"/>
    <col min="4354" max="4354" width="8.5703125" style="48" customWidth="1"/>
    <col min="4355" max="4355" width="10.85546875" style="48" customWidth="1"/>
    <col min="4356" max="4356" width="12.85546875" style="48" customWidth="1"/>
    <col min="4357" max="4357" width="12.140625" style="48" customWidth="1"/>
    <col min="4358" max="4358" width="11.28515625" style="48" customWidth="1"/>
    <col min="4359" max="4596" width="9.140625" style="48"/>
    <col min="4597" max="4597" width="14.7109375" style="48" customWidth="1"/>
    <col min="4598" max="4598" width="38" style="48" customWidth="1"/>
    <col min="4599" max="4599" width="11.42578125" style="48" customWidth="1"/>
    <col min="4600" max="4600" width="10.42578125" style="48" customWidth="1"/>
    <col min="4601" max="4601" width="11.42578125" style="48" customWidth="1"/>
    <col min="4602" max="4602" width="9.140625" style="48"/>
    <col min="4603" max="4603" width="17.28515625" style="48" customWidth="1"/>
    <col min="4604" max="4604" width="11.28515625" style="48" customWidth="1"/>
    <col min="4605" max="4605" width="11.140625" style="48" customWidth="1"/>
    <col min="4606" max="4606" width="8.140625" style="48" customWidth="1"/>
    <col min="4607" max="4607" width="12" style="48" customWidth="1"/>
    <col min="4608" max="4608" width="11" style="48" customWidth="1"/>
    <col min="4609" max="4609" width="11.7109375" style="48" customWidth="1"/>
    <col min="4610" max="4610" width="8.5703125" style="48" customWidth="1"/>
    <col min="4611" max="4611" width="10.85546875" style="48" customWidth="1"/>
    <col min="4612" max="4612" width="12.85546875" style="48" customWidth="1"/>
    <col min="4613" max="4613" width="12.140625" style="48" customWidth="1"/>
    <col min="4614" max="4614" width="11.28515625" style="48" customWidth="1"/>
    <col min="4615" max="4852" width="9.140625" style="48"/>
    <col min="4853" max="4853" width="14.7109375" style="48" customWidth="1"/>
    <col min="4854" max="4854" width="38" style="48" customWidth="1"/>
    <col min="4855" max="4855" width="11.42578125" style="48" customWidth="1"/>
    <col min="4856" max="4856" width="10.42578125" style="48" customWidth="1"/>
    <col min="4857" max="4857" width="11.42578125" style="48" customWidth="1"/>
    <col min="4858" max="4858" width="9.140625" style="48"/>
    <col min="4859" max="4859" width="17.28515625" style="48" customWidth="1"/>
    <col min="4860" max="4860" width="11.28515625" style="48" customWidth="1"/>
    <col min="4861" max="4861" width="11.140625" style="48" customWidth="1"/>
    <col min="4862" max="4862" width="8.140625" style="48" customWidth="1"/>
    <col min="4863" max="4863" width="12" style="48" customWidth="1"/>
    <col min="4864" max="4864" width="11" style="48" customWidth="1"/>
    <col min="4865" max="4865" width="11.7109375" style="48" customWidth="1"/>
    <col min="4866" max="4866" width="8.5703125" style="48" customWidth="1"/>
    <col min="4867" max="4867" width="10.85546875" style="48" customWidth="1"/>
    <col min="4868" max="4868" width="12.85546875" style="48" customWidth="1"/>
    <col min="4869" max="4869" width="12.140625" style="48" customWidth="1"/>
    <col min="4870" max="4870" width="11.28515625" style="48" customWidth="1"/>
    <col min="4871" max="5108" width="9.140625" style="48"/>
    <col min="5109" max="5109" width="14.7109375" style="48" customWidth="1"/>
    <col min="5110" max="5110" width="38" style="48" customWidth="1"/>
    <col min="5111" max="5111" width="11.42578125" style="48" customWidth="1"/>
    <col min="5112" max="5112" width="10.42578125" style="48" customWidth="1"/>
    <col min="5113" max="5113" width="11.42578125" style="48" customWidth="1"/>
    <col min="5114" max="5114" width="9.140625" style="48"/>
    <col min="5115" max="5115" width="17.28515625" style="48" customWidth="1"/>
    <col min="5116" max="5116" width="11.28515625" style="48" customWidth="1"/>
    <col min="5117" max="5117" width="11.140625" style="48" customWidth="1"/>
    <col min="5118" max="5118" width="8.140625" style="48" customWidth="1"/>
    <col min="5119" max="5119" width="12" style="48" customWidth="1"/>
    <col min="5120" max="5120" width="11" style="48" customWidth="1"/>
    <col min="5121" max="5121" width="11.7109375" style="48" customWidth="1"/>
    <col min="5122" max="5122" width="8.5703125" style="48" customWidth="1"/>
    <col min="5123" max="5123" width="10.85546875" style="48" customWidth="1"/>
    <col min="5124" max="5124" width="12.85546875" style="48" customWidth="1"/>
    <col min="5125" max="5125" width="12.140625" style="48" customWidth="1"/>
    <col min="5126" max="5126" width="11.28515625" style="48" customWidth="1"/>
    <col min="5127" max="5364" width="9.140625" style="48"/>
    <col min="5365" max="5365" width="14.7109375" style="48" customWidth="1"/>
    <col min="5366" max="5366" width="38" style="48" customWidth="1"/>
    <col min="5367" max="5367" width="11.42578125" style="48" customWidth="1"/>
    <col min="5368" max="5368" width="10.42578125" style="48" customWidth="1"/>
    <col min="5369" max="5369" width="11.42578125" style="48" customWidth="1"/>
    <col min="5370" max="5370" width="9.140625" style="48"/>
    <col min="5371" max="5371" width="17.28515625" style="48" customWidth="1"/>
    <col min="5372" max="5372" width="11.28515625" style="48" customWidth="1"/>
    <col min="5373" max="5373" width="11.140625" style="48" customWidth="1"/>
    <col min="5374" max="5374" width="8.140625" style="48" customWidth="1"/>
    <col min="5375" max="5375" width="12" style="48" customWidth="1"/>
    <col min="5376" max="5376" width="11" style="48" customWidth="1"/>
    <col min="5377" max="5377" width="11.7109375" style="48" customWidth="1"/>
    <col min="5378" max="5378" width="8.5703125" style="48" customWidth="1"/>
    <col min="5379" max="5379" width="10.85546875" style="48" customWidth="1"/>
    <col min="5380" max="5380" width="12.85546875" style="48" customWidth="1"/>
    <col min="5381" max="5381" width="12.140625" style="48" customWidth="1"/>
    <col min="5382" max="5382" width="11.28515625" style="48" customWidth="1"/>
    <col min="5383" max="5620" width="9.140625" style="48"/>
    <col min="5621" max="5621" width="14.7109375" style="48" customWidth="1"/>
    <col min="5622" max="5622" width="38" style="48" customWidth="1"/>
    <col min="5623" max="5623" width="11.42578125" style="48" customWidth="1"/>
    <col min="5624" max="5624" width="10.42578125" style="48" customWidth="1"/>
    <col min="5625" max="5625" width="11.42578125" style="48" customWidth="1"/>
    <col min="5626" max="5626" width="9.140625" style="48"/>
    <col min="5627" max="5627" width="17.28515625" style="48" customWidth="1"/>
    <col min="5628" max="5628" width="11.28515625" style="48" customWidth="1"/>
    <col min="5629" max="5629" width="11.140625" style="48" customWidth="1"/>
    <col min="5630" max="5630" width="8.140625" style="48" customWidth="1"/>
    <col min="5631" max="5631" width="12" style="48" customWidth="1"/>
    <col min="5632" max="5632" width="11" style="48" customWidth="1"/>
    <col min="5633" max="5633" width="11.7109375" style="48" customWidth="1"/>
    <col min="5634" max="5634" width="8.5703125" style="48" customWidth="1"/>
    <col min="5635" max="5635" width="10.85546875" style="48" customWidth="1"/>
    <col min="5636" max="5636" width="12.85546875" style="48" customWidth="1"/>
    <col min="5637" max="5637" width="12.140625" style="48" customWidth="1"/>
    <col min="5638" max="5638" width="11.28515625" style="48" customWidth="1"/>
    <col min="5639" max="5876" width="9.140625" style="48"/>
    <col min="5877" max="5877" width="14.7109375" style="48" customWidth="1"/>
    <col min="5878" max="5878" width="38" style="48" customWidth="1"/>
    <col min="5879" max="5879" width="11.42578125" style="48" customWidth="1"/>
    <col min="5880" max="5880" width="10.42578125" style="48" customWidth="1"/>
    <col min="5881" max="5881" width="11.42578125" style="48" customWidth="1"/>
    <col min="5882" max="5882" width="9.140625" style="48"/>
    <col min="5883" max="5883" width="17.28515625" style="48" customWidth="1"/>
    <col min="5884" max="5884" width="11.28515625" style="48" customWidth="1"/>
    <col min="5885" max="5885" width="11.140625" style="48" customWidth="1"/>
    <col min="5886" max="5886" width="8.140625" style="48" customWidth="1"/>
    <col min="5887" max="5887" width="12" style="48" customWidth="1"/>
    <col min="5888" max="5888" width="11" style="48" customWidth="1"/>
    <col min="5889" max="5889" width="11.7109375" style="48" customWidth="1"/>
    <col min="5890" max="5890" width="8.5703125" style="48" customWidth="1"/>
    <col min="5891" max="5891" width="10.85546875" style="48" customWidth="1"/>
    <col min="5892" max="5892" width="12.85546875" style="48" customWidth="1"/>
    <col min="5893" max="5893" width="12.140625" style="48" customWidth="1"/>
    <col min="5894" max="5894" width="11.28515625" style="48" customWidth="1"/>
    <col min="5895" max="6132" width="9.140625" style="48"/>
    <col min="6133" max="6133" width="14.7109375" style="48" customWidth="1"/>
    <col min="6134" max="6134" width="38" style="48" customWidth="1"/>
    <col min="6135" max="6135" width="11.42578125" style="48" customWidth="1"/>
    <col min="6136" max="6136" width="10.42578125" style="48" customWidth="1"/>
    <col min="6137" max="6137" width="11.42578125" style="48" customWidth="1"/>
    <col min="6138" max="6138" width="9.140625" style="48"/>
    <col min="6139" max="6139" width="17.28515625" style="48" customWidth="1"/>
    <col min="6140" max="6140" width="11.28515625" style="48" customWidth="1"/>
    <col min="6141" max="6141" width="11.140625" style="48" customWidth="1"/>
    <col min="6142" max="6142" width="8.140625" style="48" customWidth="1"/>
    <col min="6143" max="6143" width="12" style="48" customWidth="1"/>
    <col min="6144" max="6144" width="11" style="48" customWidth="1"/>
    <col min="6145" max="6145" width="11.7109375" style="48" customWidth="1"/>
    <col min="6146" max="6146" width="8.5703125" style="48" customWidth="1"/>
    <col min="6147" max="6147" width="10.85546875" style="48" customWidth="1"/>
    <col min="6148" max="6148" width="12.85546875" style="48" customWidth="1"/>
    <col min="6149" max="6149" width="12.140625" style="48" customWidth="1"/>
    <col min="6150" max="6150" width="11.28515625" style="48" customWidth="1"/>
    <col min="6151" max="6388" width="9.140625" style="48"/>
    <col min="6389" max="6389" width="14.7109375" style="48" customWidth="1"/>
    <col min="6390" max="6390" width="38" style="48" customWidth="1"/>
    <col min="6391" max="6391" width="11.42578125" style="48" customWidth="1"/>
    <col min="6392" max="6392" width="10.42578125" style="48" customWidth="1"/>
    <col min="6393" max="6393" width="11.42578125" style="48" customWidth="1"/>
    <col min="6394" max="6394" width="9.140625" style="48"/>
    <col min="6395" max="6395" width="17.28515625" style="48" customWidth="1"/>
    <col min="6396" max="6396" width="11.28515625" style="48" customWidth="1"/>
    <col min="6397" max="6397" width="11.140625" style="48" customWidth="1"/>
    <col min="6398" max="6398" width="8.140625" style="48" customWidth="1"/>
    <col min="6399" max="6399" width="12" style="48" customWidth="1"/>
    <col min="6400" max="6400" width="11" style="48" customWidth="1"/>
    <col min="6401" max="6401" width="11.7109375" style="48" customWidth="1"/>
    <col min="6402" max="6402" width="8.5703125" style="48" customWidth="1"/>
    <col min="6403" max="6403" width="10.85546875" style="48" customWidth="1"/>
    <col min="6404" max="6404" width="12.85546875" style="48" customWidth="1"/>
    <col min="6405" max="6405" width="12.140625" style="48" customWidth="1"/>
    <col min="6406" max="6406" width="11.28515625" style="48" customWidth="1"/>
    <col min="6407" max="6644" width="9.140625" style="48"/>
    <col min="6645" max="6645" width="14.7109375" style="48" customWidth="1"/>
    <col min="6646" max="6646" width="38" style="48" customWidth="1"/>
    <col min="6647" max="6647" width="11.42578125" style="48" customWidth="1"/>
    <col min="6648" max="6648" width="10.42578125" style="48" customWidth="1"/>
    <col min="6649" max="6649" width="11.42578125" style="48" customWidth="1"/>
    <col min="6650" max="6650" width="9.140625" style="48"/>
    <col min="6651" max="6651" width="17.28515625" style="48" customWidth="1"/>
    <col min="6652" max="6652" width="11.28515625" style="48" customWidth="1"/>
    <col min="6653" max="6653" width="11.140625" style="48" customWidth="1"/>
    <col min="6654" max="6654" width="8.140625" style="48" customWidth="1"/>
    <col min="6655" max="6655" width="12" style="48" customWidth="1"/>
    <col min="6656" max="6656" width="11" style="48" customWidth="1"/>
    <col min="6657" max="6657" width="11.7109375" style="48" customWidth="1"/>
    <col min="6658" max="6658" width="8.5703125" style="48" customWidth="1"/>
    <col min="6659" max="6659" width="10.85546875" style="48" customWidth="1"/>
    <col min="6660" max="6660" width="12.85546875" style="48" customWidth="1"/>
    <col min="6661" max="6661" width="12.140625" style="48" customWidth="1"/>
    <col min="6662" max="6662" width="11.28515625" style="48" customWidth="1"/>
    <col min="6663" max="6900" width="9.140625" style="48"/>
    <col min="6901" max="6901" width="14.7109375" style="48" customWidth="1"/>
    <col min="6902" max="6902" width="38" style="48" customWidth="1"/>
    <col min="6903" max="6903" width="11.42578125" style="48" customWidth="1"/>
    <col min="6904" max="6904" width="10.42578125" style="48" customWidth="1"/>
    <col min="6905" max="6905" width="11.42578125" style="48" customWidth="1"/>
    <col min="6906" max="6906" width="9.140625" style="48"/>
    <col min="6907" max="6907" width="17.28515625" style="48" customWidth="1"/>
    <col min="6908" max="6908" width="11.28515625" style="48" customWidth="1"/>
    <col min="6909" max="6909" width="11.140625" style="48" customWidth="1"/>
    <col min="6910" max="6910" width="8.140625" style="48" customWidth="1"/>
    <col min="6911" max="6911" width="12" style="48" customWidth="1"/>
    <col min="6912" max="6912" width="11" style="48" customWidth="1"/>
    <col min="6913" max="6913" width="11.7109375" style="48" customWidth="1"/>
    <col min="6914" max="6914" width="8.5703125" style="48" customWidth="1"/>
    <col min="6915" max="6915" width="10.85546875" style="48" customWidth="1"/>
    <col min="6916" max="6916" width="12.85546875" style="48" customWidth="1"/>
    <col min="6917" max="6917" width="12.140625" style="48" customWidth="1"/>
    <col min="6918" max="6918" width="11.28515625" style="48" customWidth="1"/>
    <col min="6919" max="7156" width="9.140625" style="48"/>
    <col min="7157" max="7157" width="14.7109375" style="48" customWidth="1"/>
    <col min="7158" max="7158" width="38" style="48" customWidth="1"/>
    <col min="7159" max="7159" width="11.42578125" style="48" customWidth="1"/>
    <col min="7160" max="7160" width="10.42578125" style="48" customWidth="1"/>
    <col min="7161" max="7161" width="11.42578125" style="48" customWidth="1"/>
    <col min="7162" max="7162" width="9.140625" style="48"/>
    <col min="7163" max="7163" width="17.28515625" style="48" customWidth="1"/>
    <col min="7164" max="7164" width="11.28515625" style="48" customWidth="1"/>
    <col min="7165" max="7165" width="11.140625" style="48" customWidth="1"/>
    <col min="7166" max="7166" width="8.140625" style="48" customWidth="1"/>
    <col min="7167" max="7167" width="12" style="48" customWidth="1"/>
    <col min="7168" max="7168" width="11" style="48" customWidth="1"/>
    <col min="7169" max="7169" width="11.7109375" style="48" customWidth="1"/>
    <col min="7170" max="7170" width="8.5703125" style="48" customWidth="1"/>
    <col min="7171" max="7171" width="10.85546875" style="48" customWidth="1"/>
    <col min="7172" max="7172" width="12.85546875" style="48" customWidth="1"/>
    <col min="7173" max="7173" width="12.140625" style="48" customWidth="1"/>
    <col min="7174" max="7174" width="11.28515625" style="48" customWidth="1"/>
    <col min="7175" max="7412" width="9.140625" style="48"/>
    <col min="7413" max="7413" width="14.7109375" style="48" customWidth="1"/>
    <col min="7414" max="7414" width="38" style="48" customWidth="1"/>
    <col min="7415" max="7415" width="11.42578125" style="48" customWidth="1"/>
    <col min="7416" max="7416" width="10.42578125" style="48" customWidth="1"/>
    <col min="7417" max="7417" width="11.42578125" style="48" customWidth="1"/>
    <col min="7418" max="7418" width="9.140625" style="48"/>
    <col min="7419" max="7419" width="17.28515625" style="48" customWidth="1"/>
    <col min="7420" max="7420" width="11.28515625" style="48" customWidth="1"/>
    <col min="7421" max="7421" width="11.140625" style="48" customWidth="1"/>
    <col min="7422" max="7422" width="8.140625" style="48" customWidth="1"/>
    <col min="7423" max="7423" width="12" style="48" customWidth="1"/>
    <col min="7424" max="7424" width="11" style="48" customWidth="1"/>
    <col min="7425" max="7425" width="11.7109375" style="48" customWidth="1"/>
    <col min="7426" max="7426" width="8.5703125" style="48" customWidth="1"/>
    <col min="7427" max="7427" width="10.85546875" style="48" customWidth="1"/>
    <col min="7428" max="7428" width="12.85546875" style="48" customWidth="1"/>
    <col min="7429" max="7429" width="12.140625" style="48" customWidth="1"/>
    <col min="7430" max="7430" width="11.28515625" style="48" customWidth="1"/>
    <col min="7431" max="7668" width="9.140625" style="48"/>
    <col min="7669" max="7669" width="14.7109375" style="48" customWidth="1"/>
    <col min="7670" max="7670" width="38" style="48" customWidth="1"/>
    <col min="7671" max="7671" width="11.42578125" style="48" customWidth="1"/>
    <col min="7672" max="7672" width="10.42578125" style="48" customWidth="1"/>
    <col min="7673" max="7673" width="11.42578125" style="48" customWidth="1"/>
    <col min="7674" max="7674" width="9.140625" style="48"/>
    <col min="7675" max="7675" width="17.28515625" style="48" customWidth="1"/>
    <col min="7676" max="7676" width="11.28515625" style="48" customWidth="1"/>
    <col min="7677" max="7677" width="11.140625" style="48" customWidth="1"/>
    <col min="7678" max="7678" width="8.140625" style="48" customWidth="1"/>
    <col min="7679" max="7679" width="12" style="48" customWidth="1"/>
    <col min="7680" max="7680" width="11" style="48" customWidth="1"/>
    <col min="7681" max="7681" width="11.7109375" style="48" customWidth="1"/>
    <col min="7682" max="7682" width="8.5703125" style="48" customWidth="1"/>
    <col min="7683" max="7683" width="10.85546875" style="48" customWidth="1"/>
    <col min="7684" max="7684" width="12.85546875" style="48" customWidth="1"/>
    <col min="7685" max="7685" width="12.140625" style="48" customWidth="1"/>
    <col min="7686" max="7686" width="11.28515625" style="48" customWidth="1"/>
    <col min="7687" max="7924" width="9.140625" style="48"/>
    <col min="7925" max="7925" width="14.7109375" style="48" customWidth="1"/>
    <col min="7926" max="7926" width="38" style="48" customWidth="1"/>
    <col min="7927" max="7927" width="11.42578125" style="48" customWidth="1"/>
    <col min="7928" max="7928" width="10.42578125" style="48" customWidth="1"/>
    <col min="7929" max="7929" width="11.42578125" style="48" customWidth="1"/>
    <col min="7930" max="7930" width="9.140625" style="48"/>
    <col min="7931" max="7931" width="17.28515625" style="48" customWidth="1"/>
    <col min="7932" max="7932" width="11.28515625" style="48" customWidth="1"/>
    <col min="7933" max="7933" width="11.140625" style="48" customWidth="1"/>
    <col min="7934" max="7934" width="8.140625" style="48" customWidth="1"/>
    <col min="7935" max="7935" width="12" style="48" customWidth="1"/>
    <col min="7936" max="7936" width="11" style="48" customWidth="1"/>
    <col min="7937" max="7937" width="11.7109375" style="48" customWidth="1"/>
    <col min="7938" max="7938" width="8.5703125" style="48" customWidth="1"/>
    <col min="7939" max="7939" width="10.85546875" style="48" customWidth="1"/>
    <col min="7940" max="7940" width="12.85546875" style="48" customWidth="1"/>
    <col min="7941" max="7941" width="12.140625" style="48" customWidth="1"/>
    <col min="7942" max="7942" width="11.28515625" style="48" customWidth="1"/>
    <col min="7943" max="8180" width="9.140625" style="48"/>
    <col min="8181" max="8181" width="14.7109375" style="48" customWidth="1"/>
    <col min="8182" max="8182" width="38" style="48" customWidth="1"/>
    <col min="8183" max="8183" width="11.42578125" style="48" customWidth="1"/>
    <col min="8184" max="8184" width="10.42578125" style="48" customWidth="1"/>
    <col min="8185" max="8185" width="11.42578125" style="48" customWidth="1"/>
    <col min="8186" max="8186" width="9.140625" style="48"/>
    <col min="8187" max="8187" width="17.28515625" style="48" customWidth="1"/>
    <col min="8188" max="8188" width="11.28515625" style="48" customWidth="1"/>
    <col min="8189" max="8189" width="11.140625" style="48" customWidth="1"/>
    <col min="8190" max="8190" width="8.140625" style="48" customWidth="1"/>
    <col min="8191" max="8191" width="12" style="48" customWidth="1"/>
    <col min="8192" max="8192" width="11" style="48" customWidth="1"/>
    <col min="8193" max="8193" width="11.7109375" style="48" customWidth="1"/>
    <col min="8194" max="8194" width="8.5703125" style="48" customWidth="1"/>
    <col min="8195" max="8195" width="10.85546875" style="48" customWidth="1"/>
    <col min="8196" max="8196" width="12.85546875" style="48" customWidth="1"/>
    <col min="8197" max="8197" width="12.140625" style="48" customWidth="1"/>
    <col min="8198" max="8198" width="11.28515625" style="48" customWidth="1"/>
    <col min="8199" max="8436" width="9.140625" style="48"/>
    <col min="8437" max="8437" width="14.7109375" style="48" customWidth="1"/>
    <col min="8438" max="8438" width="38" style="48" customWidth="1"/>
    <col min="8439" max="8439" width="11.42578125" style="48" customWidth="1"/>
    <col min="8440" max="8440" width="10.42578125" style="48" customWidth="1"/>
    <col min="8441" max="8441" width="11.42578125" style="48" customWidth="1"/>
    <col min="8442" max="8442" width="9.140625" style="48"/>
    <col min="8443" max="8443" width="17.28515625" style="48" customWidth="1"/>
    <col min="8444" max="8444" width="11.28515625" style="48" customWidth="1"/>
    <col min="8445" max="8445" width="11.140625" style="48" customWidth="1"/>
    <col min="8446" max="8446" width="8.140625" style="48" customWidth="1"/>
    <col min="8447" max="8447" width="12" style="48" customWidth="1"/>
    <col min="8448" max="8448" width="11" style="48" customWidth="1"/>
    <col min="8449" max="8449" width="11.7109375" style="48" customWidth="1"/>
    <col min="8450" max="8450" width="8.5703125" style="48" customWidth="1"/>
    <col min="8451" max="8451" width="10.85546875" style="48" customWidth="1"/>
    <col min="8452" max="8452" width="12.85546875" style="48" customWidth="1"/>
    <col min="8453" max="8453" width="12.140625" style="48" customWidth="1"/>
    <col min="8454" max="8454" width="11.28515625" style="48" customWidth="1"/>
    <col min="8455" max="8692" width="9.140625" style="48"/>
    <col min="8693" max="8693" width="14.7109375" style="48" customWidth="1"/>
    <col min="8694" max="8694" width="38" style="48" customWidth="1"/>
    <col min="8695" max="8695" width="11.42578125" style="48" customWidth="1"/>
    <col min="8696" max="8696" width="10.42578125" style="48" customWidth="1"/>
    <col min="8697" max="8697" width="11.42578125" style="48" customWidth="1"/>
    <col min="8698" max="8698" width="9.140625" style="48"/>
    <col min="8699" max="8699" width="17.28515625" style="48" customWidth="1"/>
    <col min="8700" max="8700" width="11.28515625" style="48" customWidth="1"/>
    <col min="8701" max="8701" width="11.140625" style="48" customWidth="1"/>
    <col min="8702" max="8702" width="8.140625" style="48" customWidth="1"/>
    <col min="8703" max="8703" width="12" style="48" customWidth="1"/>
    <col min="8704" max="8704" width="11" style="48" customWidth="1"/>
    <col min="8705" max="8705" width="11.7109375" style="48" customWidth="1"/>
    <col min="8706" max="8706" width="8.5703125" style="48" customWidth="1"/>
    <col min="8707" max="8707" width="10.85546875" style="48" customWidth="1"/>
    <col min="8708" max="8708" width="12.85546875" style="48" customWidth="1"/>
    <col min="8709" max="8709" width="12.140625" style="48" customWidth="1"/>
    <col min="8710" max="8710" width="11.28515625" style="48" customWidth="1"/>
    <col min="8711" max="8948" width="9.140625" style="48"/>
    <col min="8949" max="8949" width="14.7109375" style="48" customWidth="1"/>
    <col min="8950" max="8950" width="38" style="48" customWidth="1"/>
    <col min="8951" max="8951" width="11.42578125" style="48" customWidth="1"/>
    <col min="8952" max="8952" width="10.42578125" style="48" customWidth="1"/>
    <col min="8953" max="8953" width="11.42578125" style="48" customWidth="1"/>
    <col min="8954" max="8954" width="9.140625" style="48"/>
    <col min="8955" max="8955" width="17.28515625" style="48" customWidth="1"/>
    <col min="8956" max="8956" width="11.28515625" style="48" customWidth="1"/>
    <col min="8957" max="8957" width="11.140625" style="48" customWidth="1"/>
    <col min="8958" max="8958" width="8.140625" style="48" customWidth="1"/>
    <col min="8959" max="8959" width="12" style="48" customWidth="1"/>
    <col min="8960" max="8960" width="11" style="48" customWidth="1"/>
    <col min="8961" max="8961" width="11.7109375" style="48" customWidth="1"/>
    <col min="8962" max="8962" width="8.5703125" style="48" customWidth="1"/>
    <col min="8963" max="8963" width="10.85546875" style="48" customWidth="1"/>
    <col min="8964" max="8964" width="12.85546875" style="48" customWidth="1"/>
    <col min="8965" max="8965" width="12.140625" style="48" customWidth="1"/>
    <col min="8966" max="8966" width="11.28515625" style="48" customWidth="1"/>
    <col min="8967" max="9204" width="9.140625" style="48"/>
    <col min="9205" max="9205" width="14.7109375" style="48" customWidth="1"/>
    <col min="9206" max="9206" width="38" style="48" customWidth="1"/>
    <col min="9207" max="9207" width="11.42578125" style="48" customWidth="1"/>
    <col min="9208" max="9208" width="10.42578125" style="48" customWidth="1"/>
    <col min="9209" max="9209" width="11.42578125" style="48" customWidth="1"/>
    <col min="9210" max="9210" width="9.140625" style="48"/>
    <col min="9211" max="9211" width="17.28515625" style="48" customWidth="1"/>
    <col min="9212" max="9212" width="11.28515625" style="48" customWidth="1"/>
    <col min="9213" max="9213" width="11.140625" style="48" customWidth="1"/>
    <col min="9214" max="9214" width="8.140625" style="48" customWidth="1"/>
    <col min="9215" max="9215" width="12" style="48" customWidth="1"/>
    <col min="9216" max="9216" width="11" style="48" customWidth="1"/>
    <col min="9217" max="9217" width="11.7109375" style="48" customWidth="1"/>
    <col min="9218" max="9218" width="8.5703125" style="48" customWidth="1"/>
    <col min="9219" max="9219" width="10.85546875" style="48" customWidth="1"/>
    <col min="9220" max="9220" width="12.85546875" style="48" customWidth="1"/>
    <col min="9221" max="9221" width="12.140625" style="48" customWidth="1"/>
    <col min="9222" max="9222" width="11.28515625" style="48" customWidth="1"/>
    <col min="9223" max="9460" width="9.140625" style="48"/>
    <col min="9461" max="9461" width="14.7109375" style="48" customWidth="1"/>
    <col min="9462" max="9462" width="38" style="48" customWidth="1"/>
    <col min="9463" max="9463" width="11.42578125" style="48" customWidth="1"/>
    <col min="9464" max="9464" width="10.42578125" style="48" customWidth="1"/>
    <col min="9465" max="9465" width="11.42578125" style="48" customWidth="1"/>
    <col min="9466" max="9466" width="9.140625" style="48"/>
    <col min="9467" max="9467" width="17.28515625" style="48" customWidth="1"/>
    <col min="9468" max="9468" width="11.28515625" style="48" customWidth="1"/>
    <col min="9469" max="9469" width="11.140625" style="48" customWidth="1"/>
    <col min="9470" max="9470" width="8.140625" style="48" customWidth="1"/>
    <col min="9471" max="9471" width="12" style="48" customWidth="1"/>
    <col min="9472" max="9472" width="11" style="48" customWidth="1"/>
    <col min="9473" max="9473" width="11.7109375" style="48" customWidth="1"/>
    <col min="9474" max="9474" width="8.5703125" style="48" customWidth="1"/>
    <col min="9475" max="9475" width="10.85546875" style="48" customWidth="1"/>
    <col min="9476" max="9476" width="12.85546875" style="48" customWidth="1"/>
    <col min="9477" max="9477" width="12.140625" style="48" customWidth="1"/>
    <col min="9478" max="9478" width="11.28515625" style="48" customWidth="1"/>
    <col min="9479" max="9716" width="9.140625" style="48"/>
    <col min="9717" max="9717" width="14.7109375" style="48" customWidth="1"/>
    <col min="9718" max="9718" width="38" style="48" customWidth="1"/>
    <col min="9719" max="9719" width="11.42578125" style="48" customWidth="1"/>
    <col min="9720" max="9720" width="10.42578125" style="48" customWidth="1"/>
    <col min="9721" max="9721" width="11.42578125" style="48" customWidth="1"/>
    <col min="9722" max="9722" width="9.140625" style="48"/>
    <col min="9723" max="9723" width="17.28515625" style="48" customWidth="1"/>
    <col min="9724" max="9724" width="11.28515625" style="48" customWidth="1"/>
    <col min="9725" max="9725" width="11.140625" style="48" customWidth="1"/>
    <col min="9726" max="9726" width="8.140625" style="48" customWidth="1"/>
    <col min="9727" max="9727" width="12" style="48" customWidth="1"/>
    <col min="9728" max="9728" width="11" style="48" customWidth="1"/>
    <col min="9729" max="9729" width="11.7109375" style="48" customWidth="1"/>
    <col min="9730" max="9730" width="8.5703125" style="48" customWidth="1"/>
    <col min="9731" max="9731" width="10.85546875" style="48" customWidth="1"/>
    <col min="9732" max="9732" width="12.85546875" style="48" customWidth="1"/>
    <col min="9733" max="9733" width="12.140625" style="48" customWidth="1"/>
    <col min="9734" max="9734" width="11.28515625" style="48" customWidth="1"/>
    <col min="9735" max="9972" width="9.140625" style="48"/>
    <col min="9973" max="9973" width="14.7109375" style="48" customWidth="1"/>
    <col min="9974" max="9974" width="38" style="48" customWidth="1"/>
    <col min="9975" max="9975" width="11.42578125" style="48" customWidth="1"/>
    <col min="9976" max="9976" width="10.42578125" style="48" customWidth="1"/>
    <col min="9977" max="9977" width="11.42578125" style="48" customWidth="1"/>
    <col min="9978" max="9978" width="9.140625" style="48"/>
    <col min="9979" max="9979" width="17.28515625" style="48" customWidth="1"/>
    <col min="9980" max="9980" width="11.28515625" style="48" customWidth="1"/>
    <col min="9981" max="9981" width="11.140625" style="48" customWidth="1"/>
    <col min="9982" max="9982" width="8.140625" style="48" customWidth="1"/>
    <col min="9983" max="9983" width="12" style="48" customWidth="1"/>
    <col min="9984" max="9984" width="11" style="48" customWidth="1"/>
    <col min="9985" max="9985" width="11.7109375" style="48" customWidth="1"/>
    <col min="9986" max="9986" width="8.5703125" style="48" customWidth="1"/>
    <col min="9987" max="9987" width="10.85546875" style="48" customWidth="1"/>
    <col min="9988" max="9988" width="12.85546875" style="48" customWidth="1"/>
    <col min="9989" max="9989" width="12.140625" style="48" customWidth="1"/>
    <col min="9990" max="9990" width="11.28515625" style="48" customWidth="1"/>
    <col min="9991" max="10228" width="9.140625" style="48"/>
    <col min="10229" max="10229" width="14.7109375" style="48" customWidth="1"/>
    <col min="10230" max="10230" width="38" style="48" customWidth="1"/>
    <col min="10231" max="10231" width="11.42578125" style="48" customWidth="1"/>
    <col min="10232" max="10232" width="10.42578125" style="48" customWidth="1"/>
    <col min="10233" max="10233" width="11.42578125" style="48" customWidth="1"/>
    <col min="10234" max="10234" width="9.140625" style="48"/>
    <col min="10235" max="10235" width="17.28515625" style="48" customWidth="1"/>
    <col min="10236" max="10236" width="11.28515625" style="48" customWidth="1"/>
    <col min="10237" max="10237" width="11.140625" style="48" customWidth="1"/>
    <col min="10238" max="10238" width="8.140625" style="48" customWidth="1"/>
    <col min="10239" max="10239" width="12" style="48" customWidth="1"/>
    <col min="10240" max="10240" width="11" style="48" customWidth="1"/>
    <col min="10241" max="10241" width="11.7109375" style="48" customWidth="1"/>
    <col min="10242" max="10242" width="8.5703125" style="48" customWidth="1"/>
    <col min="10243" max="10243" width="10.85546875" style="48" customWidth="1"/>
    <col min="10244" max="10244" width="12.85546875" style="48" customWidth="1"/>
    <col min="10245" max="10245" width="12.140625" style="48" customWidth="1"/>
    <col min="10246" max="10246" width="11.28515625" style="48" customWidth="1"/>
    <col min="10247" max="10484" width="9.140625" style="48"/>
    <col min="10485" max="10485" width="14.7109375" style="48" customWidth="1"/>
    <col min="10486" max="10486" width="38" style="48" customWidth="1"/>
    <col min="10487" max="10487" width="11.42578125" style="48" customWidth="1"/>
    <col min="10488" max="10488" width="10.42578125" style="48" customWidth="1"/>
    <col min="10489" max="10489" width="11.42578125" style="48" customWidth="1"/>
    <col min="10490" max="10490" width="9.140625" style="48"/>
    <col min="10491" max="10491" width="17.28515625" style="48" customWidth="1"/>
    <col min="10492" max="10492" width="11.28515625" style="48" customWidth="1"/>
    <col min="10493" max="10493" width="11.140625" style="48" customWidth="1"/>
    <col min="10494" max="10494" width="8.140625" style="48" customWidth="1"/>
    <col min="10495" max="10495" width="12" style="48" customWidth="1"/>
    <col min="10496" max="10496" width="11" style="48" customWidth="1"/>
    <col min="10497" max="10497" width="11.7109375" style="48" customWidth="1"/>
    <col min="10498" max="10498" width="8.5703125" style="48" customWidth="1"/>
    <col min="10499" max="10499" width="10.85546875" style="48" customWidth="1"/>
    <col min="10500" max="10500" width="12.85546875" style="48" customWidth="1"/>
    <col min="10501" max="10501" width="12.140625" style="48" customWidth="1"/>
    <col min="10502" max="10502" width="11.28515625" style="48" customWidth="1"/>
    <col min="10503" max="10740" width="9.140625" style="48"/>
    <col min="10741" max="10741" width="14.7109375" style="48" customWidth="1"/>
    <col min="10742" max="10742" width="38" style="48" customWidth="1"/>
    <col min="10743" max="10743" width="11.42578125" style="48" customWidth="1"/>
    <col min="10744" max="10744" width="10.42578125" style="48" customWidth="1"/>
    <col min="10745" max="10745" width="11.42578125" style="48" customWidth="1"/>
    <col min="10746" max="10746" width="9.140625" style="48"/>
    <col min="10747" max="10747" width="17.28515625" style="48" customWidth="1"/>
    <col min="10748" max="10748" width="11.28515625" style="48" customWidth="1"/>
    <col min="10749" max="10749" width="11.140625" style="48" customWidth="1"/>
    <col min="10750" max="10750" width="8.140625" style="48" customWidth="1"/>
    <col min="10751" max="10751" width="12" style="48" customWidth="1"/>
    <col min="10752" max="10752" width="11" style="48" customWidth="1"/>
    <col min="10753" max="10753" width="11.7109375" style="48" customWidth="1"/>
    <col min="10754" max="10754" width="8.5703125" style="48" customWidth="1"/>
    <col min="10755" max="10755" width="10.85546875" style="48" customWidth="1"/>
    <col min="10756" max="10756" width="12.85546875" style="48" customWidth="1"/>
    <col min="10757" max="10757" width="12.140625" style="48" customWidth="1"/>
    <col min="10758" max="10758" width="11.28515625" style="48" customWidth="1"/>
    <col min="10759" max="10996" width="9.140625" style="48"/>
    <col min="10997" max="10997" width="14.7109375" style="48" customWidth="1"/>
    <col min="10998" max="10998" width="38" style="48" customWidth="1"/>
    <col min="10999" max="10999" width="11.42578125" style="48" customWidth="1"/>
    <col min="11000" max="11000" width="10.42578125" style="48" customWidth="1"/>
    <col min="11001" max="11001" width="11.42578125" style="48" customWidth="1"/>
    <col min="11002" max="11002" width="9.140625" style="48"/>
    <col min="11003" max="11003" width="17.28515625" style="48" customWidth="1"/>
    <col min="11004" max="11004" width="11.28515625" style="48" customWidth="1"/>
    <col min="11005" max="11005" width="11.140625" style="48" customWidth="1"/>
    <col min="11006" max="11006" width="8.140625" style="48" customWidth="1"/>
    <col min="11007" max="11007" width="12" style="48" customWidth="1"/>
    <col min="11008" max="11008" width="11" style="48" customWidth="1"/>
    <col min="11009" max="11009" width="11.7109375" style="48" customWidth="1"/>
    <col min="11010" max="11010" width="8.5703125" style="48" customWidth="1"/>
    <col min="11011" max="11011" width="10.85546875" style="48" customWidth="1"/>
    <col min="11012" max="11012" width="12.85546875" style="48" customWidth="1"/>
    <col min="11013" max="11013" width="12.140625" style="48" customWidth="1"/>
    <col min="11014" max="11014" width="11.28515625" style="48" customWidth="1"/>
    <col min="11015" max="11252" width="9.140625" style="48"/>
    <col min="11253" max="11253" width="14.7109375" style="48" customWidth="1"/>
    <col min="11254" max="11254" width="38" style="48" customWidth="1"/>
    <col min="11255" max="11255" width="11.42578125" style="48" customWidth="1"/>
    <col min="11256" max="11256" width="10.42578125" style="48" customWidth="1"/>
    <col min="11257" max="11257" width="11.42578125" style="48" customWidth="1"/>
    <col min="11258" max="11258" width="9.140625" style="48"/>
    <col min="11259" max="11259" width="17.28515625" style="48" customWidth="1"/>
    <col min="11260" max="11260" width="11.28515625" style="48" customWidth="1"/>
    <col min="11261" max="11261" width="11.140625" style="48" customWidth="1"/>
    <col min="11262" max="11262" width="8.140625" style="48" customWidth="1"/>
    <col min="11263" max="11263" width="12" style="48" customWidth="1"/>
    <col min="11264" max="11264" width="11" style="48" customWidth="1"/>
    <col min="11265" max="11265" width="11.7109375" style="48" customWidth="1"/>
    <col min="11266" max="11266" width="8.5703125" style="48" customWidth="1"/>
    <col min="11267" max="11267" width="10.85546875" style="48" customWidth="1"/>
    <col min="11268" max="11268" width="12.85546875" style="48" customWidth="1"/>
    <col min="11269" max="11269" width="12.140625" style="48" customWidth="1"/>
    <col min="11270" max="11270" width="11.28515625" style="48" customWidth="1"/>
    <col min="11271" max="11508" width="9.140625" style="48"/>
    <col min="11509" max="11509" width="14.7109375" style="48" customWidth="1"/>
    <col min="11510" max="11510" width="38" style="48" customWidth="1"/>
    <col min="11511" max="11511" width="11.42578125" style="48" customWidth="1"/>
    <col min="11512" max="11512" width="10.42578125" style="48" customWidth="1"/>
    <col min="11513" max="11513" width="11.42578125" style="48" customWidth="1"/>
    <col min="11514" max="11514" width="9.140625" style="48"/>
    <col min="11515" max="11515" width="17.28515625" style="48" customWidth="1"/>
    <col min="11516" max="11516" width="11.28515625" style="48" customWidth="1"/>
    <col min="11517" max="11517" width="11.140625" style="48" customWidth="1"/>
    <col min="11518" max="11518" width="8.140625" style="48" customWidth="1"/>
    <col min="11519" max="11519" width="12" style="48" customWidth="1"/>
    <col min="11520" max="11520" width="11" style="48" customWidth="1"/>
    <col min="11521" max="11521" width="11.7109375" style="48" customWidth="1"/>
    <col min="11522" max="11522" width="8.5703125" style="48" customWidth="1"/>
    <col min="11523" max="11523" width="10.85546875" style="48" customWidth="1"/>
    <col min="11524" max="11524" width="12.85546875" style="48" customWidth="1"/>
    <col min="11525" max="11525" width="12.140625" style="48" customWidth="1"/>
    <col min="11526" max="11526" width="11.28515625" style="48" customWidth="1"/>
    <col min="11527" max="11764" width="9.140625" style="48"/>
    <col min="11765" max="11765" width="14.7109375" style="48" customWidth="1"/>
    <col min="11766" max="11766" width="38" style="48" customWidth="1"/>
    <col min="11767" max="11767" width="11.42578125" style="48" customWidth="1"/>
    <col min="11768" max="11768" width="10.42578125" style="48" customWidth="1"/>
    <col min="11769" max="11769" width="11.42578125" style="48" customWidth="1"/>
    <col min="11770" max="11770" width="9.140625" style="48"/>
    <col min="11771" max="11771" width="17.28515625" style="48" customWidth="1"/>
    <col min="11772" max="11772" width="11.28515625" style="48" customWidth="1"/>
    <col min="11773" max="11773" width="11.140625" style="48" customWidth="1"/>
    <col min="11774" max="11774" width="8.140625" style="48" customWidth="1"/>
    <col min="11775" max="11775" width="12" style="48" customWidth="1"/>
    <col min="11776" max="11776" width="11" style="48" customWidth="1"/>
    <col min="11777" max="11777" width="11.7109375" style="48" customWidth="1"/>
    <col min="11778" max="11778" width="8.5703125" style="48" customWidth="1"/>
    <col min="11779" max="11779" width="10.85546875" style="48" customWidth="1"/>
    <col min="11780" max="11780" width="12.85546875" style="48" customWidth="1"/>
    <col min="11781" max="11781" width="12.140625" style="48" customWidth="1"/>
    <col min="11782" max="11782" width="11.28515625" style="48" customWidth="1"/>
    <col min="11783" max="12020" width="9.140625" style="48"/>
    <col min="12021" max="12021" width="14.7109375" style="48" customWidth="1"/>
    <col min="12022" max="12022" width="38" style="48" customWidth="1"/>
    <col min="12023" max="12023" width="11.42578125" style="48" customWidth="1"/>
    <col min="12024" max="12024" width="10.42578125" style="48" customWidth="1"/>
    <col min="12025" max="12025" width="11.42578125" style="48" customWidth="1"/>
    <col min="12026" max="12026" width="9.140625" style="48"/>
    <col min="12027" max="12027" width="17.28515625" style="48" customWidth="1"/>
    <col min="12028" max="12028" width="11.28515625" style="48" customWidth="1"/>
    <col min="12029" max="12029" width="11.140625" style="48" customWidth="1"/>
    <col min="12030" max="12030" width="8.140625" style="48" customWidth="1"/>
    <col min="12031" max="12031" width="12" style="48" customWidth="1"/>
    <col min="12032" max="12032" width="11" style="48" customWidth="1"/>
    <col min="12033" max="12033" width="11.7109375" style="48" customWidth="1"/>
    <col min="12034" max="12034" width="8.5703125" style="48" customWidth="1"/>
    <col min="12035" max="12035" width="10.85546875" style="48" customWidth="1"/>
    <col min="12036" max="12036" width="12.85546875" style="48" customWidth="1"/>
    <col min="12037" max="12037" width="12.140625" style="48" customWidth="1"/>
    <col min="12038" max="12038" width="11.28515625" style="48" customWidth="1"/>
    <col min="12039" max="12276" width="9.140625" style="48"/>
    <col min="12277" max="12277" width="14.7109375" style="48" customWidth="1"/>
    <col min="12278" max="12278" width="38" style="48" customWidth="1"/>
    <col min="12279" max="12279" width="11.42578125" style="48" customWidth="1"/>
    <col min="12280" max="12280" width="10.42578125" style="48" customWidth="1"/>
    <col min="12281" max="12281" width="11.42578125" style="48" customWidth="1"/>
    <col min="12282" max="12282" width="9.140625" style="48"/>
    <col min="12283" max="12283" width="17.28515625" style="48" customWidth="1"/>
    <col min="12284" max="12284" width="11.28515625" style="48" customWidth="1"/>
    <col min="12285" max="12285" width="11.140625" style="48" customWidth="1"/>
    <col min="12286" max="12286" width="8.140625" style="48" customWidth="1"/>
    <col min="12287" max="12287" width="12" style="48" customWidth="1"/>
    <col min="12288" max="12288" width="11" style="48" customWidth="1"/>
    <col min="12289" max="12289" width="11.7109375" style="48" customWidth="1"/>
    <col min="12290" max="12290" width="8.5703125" style="48" customWidth="1"/>
    <col min="12291" max="12291" width="10.85546875" style="48" customWidth="1"/>
    <col min="12292" max="12292" width="12.85546875" style="48" customWidth="1"/>
    <col min="12293" max="12293" width="12.140625" style="48" customWidth="1"/>
    <col min="12294" max="12294" width="11.28515625" style="48" customWidth="1"/>
    <col min="12295" max="12532" width="9.140625" style="48"/>
    <col min="12533" max="12533" width="14.7109375" style="48" customWidth="1"/>
    <col min="12534" max="12534" width="38" style="48" customWidth="1"/>
    <col min="12535" max="12535" width="11.42578125" style="48" customWidth="1"/>
    <col min="12536" max="12536" width="10.42578125" style="48" customWidth="1"/>
    <col min="12537" max="12537" width="11.42578125" style="48" customWidth="1"/>
    <col min="12538" max="12538" width="9.140625" style="48"/>
    <col min="12539" max="12539" width="17.28515625" style="48" customWidth="1"/>
    <col min="12540" max="12540" width="11.28515625" style="48" customWidth="1"/>
    <col min="12541" max="12541" width="11.140625" style="48" customWidth="1"/>
    <col min="12542" max="12542" width="8.140625" style="48" customWidth="1"/>
    <col min="12543" max="12543" width="12" style="48" customWidth="1"/>
    <col min="12544" max="12544" width="11" style="48" customWidth="1"/>
    <col min="12545" max="12545" width="11.7109375" style="48" customWidth="1"/>
    <col min="12546" max="12546" width="8.5703125" style="48" customWidth="1"/>
    <col min="12547" max="12547" width="10.85546875" style="48" customWidth="1"/>
    <col min="12548" max="12548" width="12.85546875" style="48" customWidth="1"/>
    <col min="12549" max="12549" width="12.140625" style="48" customWidth="1"/>
    <col min="12550" max="12550" width="11.28515625" style="48" customWidth="1"/>
    <col min="12551" max="12788" width="9.140625" style="48"/>
    <col min="12789" max="12789" width="14.7109375" style="48" customWidth="1"/>
    <col min="12790" max="12790" width="38" style="48" customWidth="1"/>
    <col min="12791" max="12791" width="11.42578125" style="48" customWidth="1"/>
    <col min="12792" max="12792" width="10.42578125" style="48" customWidth="1"/>
    <col min="12793" max="12793" width="11.42578125" style="48" customWidth="1"/>
    <col min="12794" max="12794" width="9.140625" style="48"/>
    <col min="12795" max="12795" width="17.28515625" style="48" customWidth="1"/>
    <col min="12796" max="12796" width="11.28515625" style="48" customWidth="1"/>
    <col min="12797" max="12797" width="11.140625" style="48" customWidth="1"/>
    <col min="12798" max="12798" width="8.140625" style="48" customWidth="1"/>
    <col min="12799" max="12799" width="12" style="48" customWidth="1"/>
    <col min="12800" max="12800" width="11" style="48" customWidth="1"/>
    <col min="12801" max="12801" width="11.7109375" style="48" customWidth="1"/>
    <col min="12802" max="12802" width="8.5703125" style="48" customWidth="1"/>
    <col min="12803" max="12803" width="10.85546875" style="48" customWidth="1"/>
    <col min="12804" max="12804" width="12.85546875" style="48" customWidth="1"/>
    <col min="12805" max="12805" width="12.140625" style="48" customWidth="1"/>
    <col min="12806" max="12806" width="11.28515625" style="48" customWidth="1"/>
    <col min="12807" max="13044" width="9.140625" style="48"/>
    <col min="13045" max="13045" width="14.7109375" style="48" customWidth="1"/>
    <col min="13046" max="13046" width="38" style="48" customWidth="1"/>
    <col min="13047" max="13047" width="11.42578125" style="48" customWidth="1"/>
    <col min="13048" max="13048" width="10.42578125" style="48" customWidth="1"/>
    <col min="13049" max="13049" width="11.42578125" style="48" customWidth="1"/>
    <col min="13050" max="13050" width="9.140625" style="48"/>
    <col min="13051" max="13051" width="17.28515625" style="48" customWidth="1"/>
    <col min="13052" max="13052" width="11.28515625" style="48" customWidth="1"/>
    <col min="13053" max="13053" width="11.140625" style="48" customWidth="1"/>
    <col min="13054" max="13054" width="8.140625" style="48" customWidth="1"/>
    <col min="13055" max="13055" width="12" style="48" customWidth="1"/>
    <col min="13056" max="13056" width="11" style="48" customWidth="1"/>
    <col min="13057" max="13057" width="11.7109375" style="48" customWidth="1"/>
    <col min="13058" max="13058" width="8.5703125" style="48" customWidth="1"/>
    <col min="13059" max="13059" width="10.85546875" style="48" customWidth="1"/>
    <col min="13060" max="13060" width="12.85546875" style="48" customWidth="1"/>
    <col min="13061" max="13061" width="12.140625" style="48" customWidth="1"/>
    <col min="13062" max="13062" width="11.28515625" style="48" customWidth="1"/>
    <col min="13063" max="13300" width="9.140625" style="48"/>
    <col min="13301" max="13301" width="14.7109375" style="48" customWidth="1"/>
    <col min="13302" max="13302" width="38" style="48" customWidth="1"/>
    <col min="13303" max="13303" width="11.42578125" style="48" customWidth="1"/>
    <col min="13304" max="13304" width="10.42578125" style="48" customWidth="1"/>
    <col min="13305" max="13305" width="11.42578125" style="48" customWidth="1"/>
    <col min="13306" max="13306" width="9.140625" style="48"/>
    <col min="13307" max="13307" width="17.28515625" style="48" customWidth="1"/>
    <col min="13308" max="13308" width="11.28515625" style="48" customWidth="1"/>
    <col min="13309" max="13309" width="11.140625" style="48" customWidth="1"/>
    <col min="13310" max="13310" width="8.140625" style="48" customWidth="1"/>
    <col min="13311" max="13311" width="12" style="48" customWidth="1"/>
    <col min="13312" max="13312" width="11" style="48" customWidth="1"/>
    <col min="13313" max="13313" width="11.7109375" style="48" customWidth="1"/>
    <col min="13314" max="13314" width="8.5703125" style="48" customWidth="1"/>
    <col min="13315" max="13315" width="10.85546875" style="48" customWidth="1"/>
    <col min="13316" max="13316" width="12.85546875" style="48" customWidth="1"/>
    <col min="13317" max="13317" width="12.140625" style="48" customWidth="1"/>
    <col min="13318" max="13318" width="11.28515625" style="48" customWidth="1"/>
    <col min="13319" max="13556" width="9.140625" style="48"/>
    <col min="13557" max="13557" width="14.7109375" style="48" customWidth="1"/>
    <col min="13558" max="13558" width="38" style="48" customWidth="1"/>
    <col min="13559" max="13559" width="11.42578125" style="48" customWidth="1"/>
    <col min="13560" max="13560" width="10.42578125" style="48" customWidth="1"/>
    <col min="13561" max="13561" width="11.42578125" style="48" customWidth="1"/>
    <col min="13562" max="13562" width="9.140625" style="48"/>
    <col min="13563" max="13563" width="17.28515625" style="48" customWidth="1"/>
    <col min="13564" max="13564" width="11.28515625" style="48" customWidth="1"/>
    <col min="13565" max="13565" width="11.140625" style="48" customWidth="1"/>
    <col min="13566" max="13566" width="8.140625" style="48" customWidth="1"/>
    <col min="13567" max="13567" width="12" style="48" customWidth="1"/>
    <col min="13568" max="13568" width="11" style="48" customWidth="1"/>
    <col min="13569" max="13569" width="11.7109375" style="48" customWidth="1"/>
    <col min="13570" max="13570" width="8.5703125" style="48" customWidth="1"/>
    <col min="13571" max="13571" width="10.85546875" style="48" customWidth="1"/>
    <col min="13572" max="13572" width="12.85546875" style="48" customWidth="1"/>
    <col min="13573" max="13573" width="12.140625" style="48" customWidth="1"/>
    <col min="13574" max="13574" width="11.28515625" style="48" customWidth="1"/>
    <col min="13575" max="13812" width="9.140625" style="48"/>
    <col min="13813" max="13813" width="14.7109375" style="48" customWidth="1"/>
    <col min="13814" max="13814" width="38" style="48" customWidth="1"/>
    <col min="13815" max="13815" width="11.42578125" style="48" customWidth="1"/>
    <col min="13816" max="13816" width="10.42578125" style="48" customWidth="1"/>
    <col min="13817" max="13817" width="11.42578125" style="48" customWidth="1"/>
    <col min="13818" max="13818" width="9.140625" style="48"/>
    <col min="13819" max="13819" width="17.28515625" style="48" customWidth="1"/>
    <col min="13820" max="13820" width="11.28515625" style="48" customWidth="1"/>
    <col min="13821" max="13821" width="11.140625" style="48" customWidth="1"/>
    <col min="13822" max="13822" width="8.140625" style="48" customWidth="1"/>
    <col min="13823" max="13823" width="12" style="48" customWidth="1"/>
    <col min="13824" max="13824" width="11" style="48" customWidth="1"/>
    <col min="13825" max="13825" width="11.7109375" style="48" customWidth="1"/>
    <col min="13826" max="13826" width="8.5703125" style="48" customWidth="1"/>
    <col min="13827" max="13827" width="10.85546875" style="48" customWidth="1"/>
    <col min="13828" max="13828" width="12.85546875" style="48" customWidth="1"/>
    <col min="13829" max="13829" width="12.140625" style="48" customWidth="1"/>
    <col min="13830" max="13830" width="11.28515625" style="48" customWidth="1"/>
    <col min="13831" max="14068" width="9.140625" style="48"/>
    <col min="14069" max="14069" width="14.7109375" style="48" customWidth="1"/>
    <col min="14070" max="14070" width="38" style="48" customWidth="1"/>
    <col min="14071" max="14071" width="11.42578125" style="48" customWidth="1"/>
    <col min="14072" max="14072" width="10.42578125" style="48" customWidth="1"/>
    <col min="14073" max="14073" width="11.42578125" style="48" customWidth="1"/>
    <col min="14074" max="14074" width="9.140625" style="48"/>
    <col min="14075" max="14075" width="17.28515625" style="48" customWidth="1"/>
    <col min="14076" max="14076" width="11.28515625" style="48" customWidth="1"/>
    <col min="14077" max="14077" width="11.140625" style="48" customWidth="1"/>
    <col min="14078" max="14078" width="8.140625" style="48" customWidth="1"/>
    <col min="14079" max="14079" width="12" style="48" customWidth="1"/>
    <col min="14080" max="14080" width="11" style="48" customWidth="1"/>
    <col min="14081" max="14081" width="11.7109375" style="48" customWidth="1"/>
    <col min="14082" max="14082" width="8.5703125" style="48" customWidth="1"/>
    <col min="14083" max="14083" width="10.85546875" style="48" customWidth="1"/>
    <col min="14084" max="14084" width="12.85546875" style="48" customWidth="1"/>
    <col min="14085" max="14085" width="12.140625" style="48" customWidth="1"/>
    <col min="14086" max="14086" width="11.28515625" style="48" customWidth="1"/>
    <col min="14087" max="14324" width="9.140625" style="48"/>
    <col min="14325" max="14325" width="14.7109375" style="48" customWidth="1"/>
    <col min="14326" max="14326" width="38" style="48" customWidth="1"/>
    <col min="14327" max="14327" width="11.42578125" style="48" customWidth="1"/>
    <col min="14328" max="14328" width="10.42578125" style="48" customWidth="1"/>
    <col min="14329" max="14329" width="11.42578125" style="48" customWidth="1"/>
    <col min="14330" max="14330" width="9.140625" style="48"/>
    <col min="14331" max="14331" width="17.28515625" style="48" customWidth="1"/>
    <col min="14332" max="14332" width="11.28515625" style="48" customWidth="1"/>
    <col min="14333" max="14333" width="11.140625" style="48" customWidth="1"/>
    <col min="14334" max="14334" width="8.140625" style="48" customWidth="1"/>
    <col min="14335" max="14335" width="12" style="48" customWidth="1"/>
    <col min="14336" max="14336" width="11" style="48" customWidth="1"/>
    <col min="14337" max="14337" width="11.7109375" style="48" customWidth="1"/>
    <col min="14338" max="14338" width="8.5703125" style="48" customWidth="1"/>
    <col min="14339" max="14339" width="10.85546875" style="48" customWidth="1"/>
    <col min="14340" max="14340" width="12.85546875" style="48" customWidth="1"/>
    <col min="14341" max="14341" width="12.140625" style="48" customWidth="1"/>
    <col min="14342" max="14342" width="11.28515625" style="48" customWidth="1"/>
    <col min="14343" max="14580" width="9.140625" style="48"/>
    <col min="14581" max="14581" width="14.7109375" style="48" customWidth="1"/>
    <col min="14582" max="14582" width="38" style="48" customWidth="1"/>
    <col min="14583" max="14583" width="11.42578125" style="48" customWidth="1"/>
    <col min="14584" max="14584" width="10.42578125" style="48" customWidth="1"/>
    <col min="14585" max="14585" width="11.42578125" style="48" customWidth="1"/>
    <col min="14586" max="14586" width="9.140625" style="48"/>
    <col min="14587" max="14587" width="17.28515625" style="48" customWidth="1"/>
    <col min="14588" max="14588" width="11.28515625" style="48" customWidth="1"/>
    <col min="14589" max="14589" width="11.140625" style="48" customWidth="1"/>
    <col min="14590" max="14590" width="8.140625" style="48" customWidth="1"/>
    <col min="14591" max="14591" width="12" style="48" customWidth="1"/>
    <col min="14592" max="14592" width="11" style="48" customWidth="1"/>
    <col min="14593" max="14593" width="11.7109375" style="48" customWidth="1"/>
    <col min="14594" max="14594" width="8.5703125" style="48" customWidth="1"/>
    <col min="14595" max="14595" width="10.85546875" style="48" customWidth="1"/>
    <col min="14596" max="14596" width="12.85546875" style="48" customWidth="1"/>
    <col min="14597" max="14597" width="12.140625" style="48" customWidth="1"/>
    <col min="14598" max="14598" width="11.28515625" style="48" customWidth="1"/>
    <col min="14599" max="14836" width="9.140625" style="48"/>
    <col min="14837" max="14837" width="14.7109375" style="48" customWidth="1"/>
    <col min="14838" max="14838" width="38" style="48" customWidth="1"/>
    <col min="14839" max="14839" width="11.42578125" style="48" customWidth="1"/>
    <col min="14840" max="14840" width="10.42578125" style="48" customWidth="1"/>
    <col min="14841" max="14841" width="11.42578125" style="48" customWidth="1"/>
    <col min="14842" max="14842" width="9.140625" style="48"/>
    <col min="14843" max="14843" width="17.28515625" style="48" customWidth="1"/>
    <col min="14844" max="14844" width="11.28515625" style="48" customWidth="1"/>
    <col min="14845" max="14845" width="11.140625" style="48" customWidth="1"/>
    <col min="14846" max="14846" width="8.140625" style="48" customWidth="1"/>
    <col min="14847" max="14847" width="12" style="48" customWidth="1"/>
    <col min="14848" max="14848" width="11" style="48" customWidth="1"/>
    <col min="14849" max="14849" width="11.7109375" style="48" customWidth="1"/>
    <col min="14850" max="14850" width="8.5703125" style="48" customWidth="1"/>
    <col min="14851" max="14851" width="10.85546875" style="48" customWidth="1"/>
    <col min="14852" max="14852" width="12.85546875" style="48" customWidth="1"/>
    <col min="14853" max="14853" width="12.140625" style="48" customWidth="1"/>
    <col min="14854" max="14854" width="11.28515625" style="48" customWidth="1"/>
    <col min="14855" max="15092" width="9.140625" style="48"/>
    <col min="15093" max="15093" width="14.7109375" style="48" customWidth="1"/>
    <col min="15094" max="15094" width="38" style="48" customWidth="1"/>
    <col min="15095" max="15095" width="11.42578125" style="48" customWidth="1"/>
    <col min="15096" max="15096" width="10.42578125" style="48" customWidth="1"/>
    <col min="15097" max="15097" width="11.42578125" style="48" customWidth="1"/>
    <col min="15098" max="15098" width="9.140625" style="48"/>
    <col min="15099" max="15099" width="17.28515625" style="48" customWidth="1"/>
    <col min="15100" max="15100" width="11.28515625" style="48" customWidth="1"/>
    <col min="15101" max="15101" width="11.140625" style="48" customWidth="1"/>
    <col min="15102" max="15102" width="8.140625" style="48" customWidth="1"/>
    <col min="15103" max="15103" width="12" style="48" customWidth="1"/>
    <col min="15104" max="15104" width="11" style="48" customWidth="1"/>
    <col min="15105" max="15105" width="11.7109375" style="48" customWidth="1"/>
    <col min="15106" max="15106" width="8.5703125" style="48" customWidth="1"/>
    <col min="15107" max="15107" width="10.85546875" style="48" customWidth="1"/>
    <col min="15108" max="15108" width="12.85546875" style="48" customWidth="1"/>
    <col min="15109" max="15109" width="12.140625" style="48" customWidth="1"/>
    <col min="15110" max="15110" width="11.28515625" style="48" customWidth="1"/>
    <col min="15111" max="15348" width="9.140625" style="48"/>
    <col min="15349" max="15349" width="14.7109375" style="48" customWidth="1"/>
    <col min="15350" max="15350" width="38" style="48" customWidth="1"/>
    <col min="15351" max="15351" width="11.42578125" style="48" customWidth="1"/>
    <col min="15352" max="15352" width="10.42578125" style="48" customWidth="1"/>
    <col min="15353" max="15353" width="11.42578125" style="48" customWidth="1"/>
    <col min="15354" max="15354" width="9.140625" style="48"/>
    <col min="15355" max="15355" width="17.28515625" style="48" customWidth="1"/>
    <col min="15356" max="15356" width="11.28515625" style="48" customWidth="1"/>
    <col min="15357" max="15357" width="11.140625" style="48" customWidth="1"/>
    <col min="15358" max="15358" width="8.140625" style="48" customWidth="1"/>
    <col min="15359" max="15359" width="12" style="48" customWidth="1"/>
    <col min="15360" max="15360" width="11" style="48" customWidth="1"/>
    <col min="15361" max="15361" width="11.7109375" style="48" customWidth="1"/>
    <col min="15362" max="15362" width="8.5703125" style="48" customWidth="1"/>
    <col min="15363" max="15363" width="10.85546875" style="48" customWidth="1"/>
    <col min="15364" max="15364" width="12.85546875" style="48" customWidth="1"/>
    <col min="15365" max="15365" width="12.140625" style="48" customWidth="1"/>
    <col min="15366" max="15366" width="11.28515625" style="48" customWidth="1"/>
    <col min="15367" max="15604" width="9.140625" style="48"/>
    <col min="15605" max="15605" width="14.7109375" style="48" customWidth="1"/>
    <col min="15606" max="15606" width="38" style="48" customWidth="1"/>
    <col min="15607" max="15607" width="11.42578125" style="48" customWidth="1"/>
    <col min="15608" max="15608" width="10.42578125" style="48" customWidth="1"/>
    <col min="15609" max="15609" width="11.42578125" style="48" customWidth="1"/>
    <col min="15610" max="15610" width="9.140625" style="48"/>
    <col min="15611" max="15611" width="17.28515625" style="48" customWidth="1"/>
    <col min="15612" max="15612" width="11.28515625" style="48" customWidth="1"/>
    <col min="15613" max="15613" width="11.140625" style="48" customWidth="1"/>
    <col min="15614" max="15614" width="8.140625" style="48" customWidth="1"/>
    <col min="15615" max="15615" width="12" style="48" customWidth="1"/>
    <col min="15616" max="15616" width="11" style="48" customWidth="1"/>
    <col min="15617" max="15617" width="11.7109375" style="48" customWidth="1"/>
    <col min="15618" max="15618" width="8.5703125" style="48" customWidth="1"/>
    <col min="15619" max="15619" width="10.85546875" style="48" customWidth="1"/>
    <col min="15620" max="15620" width="12.85546875" style="48" customWidth="1"/>
    <col min="15621" max="15621" width="12.140625" style="48" customWidth="1"/>
    <col min="15622" max="15622" width="11.28515625" style="48" customWidth="1"/>
    <col min="15623" max="15860" width="9.140625" style="48"/>
    <col min="15861" max="15861" width="14.7109375" style="48" customWidth="1"/>
    <col min="15862" max="15862" width="38" style="48" customWidth="1"/>
    <col min="15863" max="15863" width="11.42578125" style="48" customWidth="1"/>
    <col min="15864" max="15864" width="10.42578125" style="48" customWidth="1"/>
    <col min="15865" max="15865" width="11.42578125" style="48" customWidth="1"/>
    <col min="15866" max="15866" width="9.140625" style="48"/>
    <col min="15867" max="15867" width="17.28515625" style="48" customWidth="1"/>
    <col min="15868" max="15868" width="11.28515625" style="48" customWidth="1"/>
    <col min="15869" max="15869" width="11.140625" style="48" customWidth="1"/>
    <col min="15870" max="15870" width="8.140625" style="48" customWidth="1"/>
    <col min="15871" max="15871" width="12" style="48" customWidth="1"/>
    <col min="15872" max="15872" width="11" style="48" customWidth="1"/>
    <col min="15873" max="15873" width="11.7109375" style="48" customWidth="1"/>
    <col min="15874" max="15874" width="8.5703125" style="48" customWidth="1"/>
    <col min="15875" max="15875" width="10.85546875" style="48" customWidth="1"/>
    <col min="15876" max="15876" width="12.85546875" style="48" customWidth="1"/>
    <col min="15877" max="15877" width="12.140625" style="48" customWidth="1"/>
    <col min="15878" max="15878" width="11.28515625" style="48" customWidth="1"/>
    <col min="15879" max="16116" width="9.140625" style="48"/>
    <col min="16117" max="16117" width="14.7109375" style="48" customWidth="1"/>
    <col min="16118" max="16118" width="38" style="48" customWidth="1"/>
    <col min="16119" max="16119" width="11.42578125" style="48" customWidth="1"/>
    <col min="16120" max="16120" width="10.42578125" style="48" customWidth="1"/>
    <col min="16121" max="16121" width="11.42578125" style="48" customWidth="1"/>
    <col min="16122" max="16122" width="9.140625" style="48"/>
    <col min="16123" max="16123" width="17.28515625" style="48" customWidth="1"/>
    <col min="16124" max="16124" width="11.28515625" style="48" customWidth="1"/>
    <col min="16125" max="16125" width="11.140625" style="48" customWidth="1"/>
    <col min="16126" max="16126" width="8.140625" style="48" customWidth="1"/>
    <col min="16127" max="16127" width="12" style="48" customWidth="1"/>
    <col min="16128" max="16128" width="11" style="48" customWidth="1"/>
    <col min="16129" max="16129" width="11.7109375" style="48" customWidth="1"/>
    <col min="16130" max="16130" width="8.5703125" style="48" customWidth="1"/>
    <col min="16131" max="16131" width="10.85546875" style="48" customWidth="1"/>
    <col min="16132" max="16132" width="12.85546875" style="48" customWidth="1"/>
    <col min="16133" max="16133" width="12.140625" style="48" customWidth="1"/>
    <col min="16134" max="16134" width="11.28515625" style="48" customWidth="1"/>
    <col min="16135" max="16384" width="9.140625" style="48"/>
  </cols>
  <sheetData>
    <row r="1" spans="1:13" x14ac:dyDescent="0.2">
      <c r="A1" s="369"/>
      <c r="B1" s="369"/>
      <c r="C1" s="524" t="s">
        <v>2076</v>
      </c>
      <c r="D1" s="524"/>
      <c r="E1" s="524"/>
      <c r="F1" s="524"/>
    </row>
    <row r="2" spans="1:13" x14ac:dyDescent="0.2">
      <c r="A2" s="568" t="s">
        <v>1499</v>
      </c>
      <c r="B2" s="524"/>
      <c r="C2" s="524"/>
      <c r="D2" s="524"/>
      <c r="E2" s="524"/>
    </row>
    <row r="3" spans="1:13" ht="35.25" customHeight="1" x14ac:dyDescent="0.2">
      <c r="A3" s="569" t="s">
        <v>174</v>
      </c>
      <c r="B3" s="569"/>
      <c r="C3" s="529" t="s">
        <v>1982</v>
      </c>
      <c r="D3" s="570" t="s">
        <v>1983</v>
      </c>
      <c r="E3" s="527" t="s">
        <v>175</v>
      </c>
      <c r="F3" s="571" t="s">
        <v>1981</v>
      </c>
      <c r="G3" s="51"/>
    </row>
    <row r="4" spans="1:13" ht="90.75" customHeight="1" x14ac:dyDescent="0.2">
      <c r="A4" s="52" t="s">
        <v>176</v>
      </c>
      <c r="B4" s="52" t="s">
        <v>177</v>
      </c>
      <c r="C4" s="530"/>
      <c r="D4" s="570"/>
      <c r="E4" s="528"/>
      <c r="F4" s="572"/>
    </row>
    <row r="5" spans="1:13" ht="15" customHeight="1" x14ac:dyDescent="0.2">
      <c r="A5" s="54"/>
      <c r="B5" s="54"/>
      <c r="C5" s="52"/>
      <c r="D5" s="49"/>
      <c r="E5" s="56"/>
      <c r="F5" s="326"/>
    </row>
    <row r="6" spans="1:13" ht="15" customHeight="1" x14ac:dyDescent="0.2">
      <c r="A6" s="106" t="s">
        <v>164</v>
      </c>
      <c r="B6" s="54"/>
      <c r="C6" s="52"/>
      <c r="D6" s="49"/>
      <c r="E6" s="56"/>
      <c r="F6" s="326"/>
    </row>
    <row r="7" spans="1:13" s="61" customFormat="1" x14ac:dyDescent="0.25">
      <c r="A7" s="534" t="s">
        <v>178</v>
      </c>
      <c r="B7" s="534" t="s">
        <v>179</v>
      </c>
      <c r="C7" s="55"/>
      <c r="D7" s="108"/>
      <c r="E7" s="56"/>
      <c r="F7" s="327"/>
      <c r="G7" s="59"/>
      <c r="H7" s="60"/>
      <c r="I7" s="60"/>
      <c r="J7" s="60"/>
      <c r="K7" s="60"/>
      <c r="L7" s="60"/>
      <c r="M7" s="60"/>
    </row>
    <row r="8" spans="1:13" s="61" customFormat="1" x14ac:dyDescent="0.25">
      <c r="A8" s="536"/>
      <c r="B8" s="536"/>
      <c r="C8" s="119">
        <v>72</v>
      </c>
      <c r="D8" s="108">
        <v>57</v>
      </c>
      <c r="E8" s="49">
        <v>1980</v>
      </c>
      <c r="F8" s="332">
        <f>2019-E8</f>
        <v>39</v>
      </c>
      <c r="G8" s="59"/>
      <c r="H8" s="60"/>
      <c r="I8" s="60"/>
      <c r="J8" s="60"/>
      <c r="K8" s="60"/>
      <c r="L8" s="60"/>
      <c r="M8" s="60"/>
    </row>
    <row r="9" spans="1:13" s="61" customFormat="1" x14ac:dyDescent="0.25">
      <c r="A9" s="535"/>
      <c r="B9" s="535"/>
      <c r="C9" s="119">
        <v>72</v>
      </c>
      <c r="D9" s="108">
        <v>89</v>
      </c>
      <c r="E9" s="49">
        <v>1980</v>
      </c>
      <c r="F9" s="332">
        <f>2019-E9</f>
        <v>39</v>
      </c>
      <c r="G9" s="59"/>
      <c r="H9" s="60"/>
      <c r="I9" s="60"/>
      <c r="J9" s="60"/>
      <c r="K9" s="60"/>
      <c r="L9" s="60"/>
      <c r="M9" s="60"/>
    </row>
    <row r="10" spans="1:13" s="61" customFormat="1" x14ac:dyDescent="0.25">
      <c r="A10" s="525" t="s">
        <v>180</v>
      </c>
      <c r="B10" s="525" t="s">
        <v>181</v>
      </c>
      <c r="C10" s="55"/>
      <c r="D10" s="108"/>
      <c r="E10" s="56"/>
      <c r="F10" s="327"/>
      <c r="G10" s="59"/>
      <c r="H10" s="60"/>
      <c r="I10" s="60"/>
      <c r="J10" s="60"/>
      <c r="K10" s="60"/>
      <c r="L10" s="60"/>
      <c r="M10" s="60"/>
    </row>
    <row r="11" spans="1:13" s="61" customFormat="1" x14ac:dyDescent="0.25">
      <c r="A11" s="531"/>
      <c r="B11" s="531"/>
      <c r="C11" s="78">
        <v>74</v>
      </c>
      <c r="D11" s="108">
        <v>108</v>
      </c>
      <c r="E11" s="49">
        <v>2008</v>
      </c>
      <c r="F11" s="332">
        <f>2019-E11</f>
        <v>11</v>
      </c>
      <c r="G11" s="59"/>
      <c r="H11" s="60"/>
      <c r="I11" s="60"/>
      <c r="J11" s="60"/>
      <c r="K11" s="60"/>
      <c r="L11" s="60"/>
      <c r="M11" s="60"/>
    </row>
    <row r="12" spans="1:13" s="61" customFormat="1" x14ac:dyDescent="0.25">
      <c r="A12" s="526"/>
      <c r="B12" s="526"/>
      <c r="C12" s="78">
        <v>74</v>
      </c>
      <c r="D12" s="108">
        <v>89</v>
      </c>
      <c r="E12" s="49">
        <v>2008</v>
      </c>
      <c r="F12" s="332">
        <f>2019-E12</f>
        <v>11</v>
      </c>
      <c r="G12" s="59"/>
      <c r="H12" s="60"/>
      <c r="I12" s="60"/>
      <c r="J12" s="60"/>
      <c r="K12" s="60"/>
      <c r="L12" s="60"/>
      <c r="M12" s="60"/>
    </row>
    <row r="13" spans="1:13" s="61" customFormat="1" ht="15.75" customHeight="1" x14ac:dyDescent="0.25">
      <c r="A13" s="525" t="s">
        <v>182</v>
      </c>
      <c r="B13" s="525" t="s">
        <v>183</v>
      </c>
      <c r="C13" s="119"/>
      <c r="D13" s="108"/>
      <c r="E13" s="113"/>
      <c r="F13" s="327"/>
      <c r="G13" s="59"/>
      <c r="H13" s="60"/>
      <c r="I13" s="60"/>
      <c r="J13" s="60"/>
      <c r="K13" s="60"/>
      <c r="L13" s="60"/>
      <c r="M13" s="60"/>
    </row>
    <row r="14" spans="1:13" s="61" customFormat="1" x14ac:dyDescent="0.25">
      <c r="A14" s="531"/>
      <c r="B14" s="531"/>
      <c r="C14" s="78">
        <v>63</v>
      </c>
      <c r="D14" s="108">
        <v>89</v>
      </c>
      <c r="E14" s="113">
        <v>1999</v>
      </c>
      <c r="F14" s="332">
        <f t="shared" ref="F14:F15" si="0">2019-E14</f>
        <v>20</v>
      </c>
      <c r="G14" s="59"/>
      <c r="H14" s="60"/>
      <c r="I14" s="60"/>
      <c r="J14" s="60"/>
      <c r="K14" s="60"/>
      <c r="L14" s="60"/>
      <c r="M14" s="60"/>
    </row>
    <row r="15" spans="1:13" s="61" customFormat="1" x14ac:dyDescent="0.25">
      <c r="A15" s="526"/>
      <c r="B15" s="526"/>
      <c r="C15" s="119">
        <v>63</v>
      </c>
      <c r="D15" s="108">
        <v>40</v>
      </c>
      <c r="E15" s="113">
        <v>1999</v>
      </c>
      <c r="F15" s="332">
        <f t="shared" si="0"/>
        <v>20</v>
      </c>
      <c r="G15" s="59"/>
      <c r="H15" s="60"/>
      <c r="I15" s="60"/>
      <c r="J15" s="60"/>
      <c r="K15" s="60"/>
      <c r="L15" s="60"/>
      <c r="M15" s="60"/>
    </row>
    <row r="16" spans="1:13" s="61" customFormat="1" ht="15.75" customHeight="1" x14ac:dyDescent="0.25">
      <c r="A16" s="525" t="s">
        <v>184</v>
      </c>
      <c r="B16" s="525" t="s">
        <v>185</v>
      </c>
      <c r="C16" s="53"/>
      <c r="D16" s="108"/>
      <c r="E16" s="62"/>
      <c r="F16" s="327"/>
      <c r="G16" s="59"/>
      <c r="H16" s="60"/>
      <c r="I16" s="60"/>
      <c r="J16" s="60"/>
      <c r="K16" s="60"/>
      <c r="L16" s="60"/>
      <c r="M16" s="60"/>
    </row>
    <row r="17" spans="1:13" s="61" customFormat="1" x14ac:dyDescent="0.25">
      <c r="A17" s="531"/>
      <c r="B17" s="531"/>
      <c r="C17" s="119">
        <v>16</v>
      </c>
      <c r="D17" s="108">
        <v>159</v>
      </c>
      <c r="E17" s="49">
        <v>1976</v>
      </c>
      <c r="F17" s="332">
        <f t="shared" ref="F17:F80" si="1">2019-E17</f>
        <v>43</v>
      </c>
      <c r="G17" s="59"/>
      <c r="H17" s="60"/>
      <c r="I17" s="60"/>
      <c r="J17" s="60"/>
      <c r="K17" s="60"/>
      <c r="L17" s="60"/>
      <c r="M17" s="60"/>
    </row>
    <row r="18" spans="1:13" s="61" customFormat="1" x14ac:dyDescent="0.25">
      <c r="A18" s="526"/>
      <c r="B18" s="526"/>
      <c r="C18" s="119">
        <v>16</v>
      </c>
      <c r="D18" s="108">
        <v>89</v>
      </c>
      <c r="E18" s="49">
        <v>1976</v>
      </c>
      <c r="F18" s="332">
        <f t="shared" si="1"/>
        <v>43</v>
      </c>
      <c r="G18" s="59"/>
      <c r="H18" s="60"/>
      <c r="I18" s="60"/>
      <c r="J18" s="60"/>
      <c r="K18" s="60"/>
      <c r="L18" s="60"/>
      <c r="M18" s="60"/>
    </row>
    <row r="19" spans="1:13" s="61" customFormat="1" ht="15.75" customHeight="1" x14ac:dyDescent="0.25">
      <c r="A19" s="525" t="s">
        <v>186</v>
      </c>
      <c r="B19" s="525" t="s">
        <v>187</v>
      </c>
      <c r="C19" s="53"/>
      <c r="D19" s="108"/>
      <c r="E19" s="62"/>
      <c r="F19" s="327"/>
      <c r="G19" s="59"/>
      <c r="H19" s="60"/>
      <c r="I19" s="60"/>
      <c r="J19" s="60"/>
      <c r="K19" s="60"/>
      <c r="L19" s="60"/>
      <c r="M19" s="60"/>
    </row>
    <row r="20" spans="1:13" s="61" customFormat="1" x14ac:dyDescent="0.25">
      <c r="A20" s="531"/>
      <c r="B20" s="531"/>
      <c r="C20" s="119">
        <v>27</v>
      </c>
      <c r="D20" s="108">
        <v>108</v>
      </c>
      <c r="E20" s="49">
        <v>1976</v>
      </c>
      <c r="F20" s="332">
        <f t="shared" si="1"/>
        <v>43</v>
      </c>
      <c r="G20" s="59"/>
      <c r="H20" s="60"/>
      <c r="I20" s="60"/>
      <c r="J20" s="60"/>
      <c r="K20" s="60"/>
      <c r="L20" s="60"/>
      <c r="M20" s="60"/>
    </row>
    <row r="21" spans="1:13" s="61" customFormat="1" x14ac:dyDescent="0.25">
      <c r="A21" s="526"/>
      <c r="B21" s="526"/>
      <c r="C21" s="119">
        <v>27</v>
      </c>
      <c r="D21" s="108">
        <v>89</v>
      </c>
      <c r="E21" s="64">
        <v>1976</v>
      </c>
      <c r="F21" s="332">
        <f t="shared" si="1"/>
        <v>43</v>
      </c>
      <c r="G21" s="59"/>
      <c r="H21" s="60"/>
      <c r="I21" s="60"/>
      <c r="J21" s="60"/>
      <c r="K21" s="60"/>
      <c r="L21" s="60"/>
      <c r="M21" s="60"/>
    </row>
    <row r="22" spans="1:13" s="61" customFormat="1" ht="15.75" customHeight="1" x14ac:dyDescent="0.25">
      <c r="A22" s="525" t="s">
        <v>188</v>
      </c>
      <c r="B22" s="525" t="s">
        <v>189</v>
      </c>
      <c r="C22" s="53"/>
      <c r="D22" s="108"/>
      <c r="E22" s="56"/>
      <c r="F22" s="327"/>
      <c r="G22" s="59"/>
      <c r="H22" s="60"/>
      <c r="I22" s="60"/>
      <c r="J22" s="60"/>
      <c r="K22" s="60"/>
      <c r="L22" s="60"/>
      <c r="M22" s="60"/>
    </row>
    <row r="23" spans="1:13" s="61" customFormat="1" x14ac:dyDescent="0.25">
      <c r="A23" s="531"/>
      <c r="B23" s="531"/>
      <c r="C23" s="119">
        <v>71</v>
      </c>
      <c r="D23" s="108">
        <v>108</v>
      </c>
      <c r="E23" s="49">
        <v>1976</v>
      </c>
      <c r="F23" s="332">
        <f t="shared" si="1"/>
        <v>43</v>
      </c>
      <c r="G23" s="59"/>
      <c r="H23" s="60"/>
      <c r="I23" s="60"/>
      <c r="J23" s="60"/>
      <c r="K23" s="60"/>
      <c r="L23" s="60"/>
      <c r="M23" s="60"/>
    </row>
    <row r="24" spans="1:13" s="61" customFormat="1" x14ac:dyDescent="0.25">
      <c r="A24" s="526"/>
      <c r="B24" s="526"/>
      <c r="C24" s="119">
        <v>71</v>
      </c>
      <c r="D24" s="108">
        <v>57</v>
      </c>
      <c r="E24" s="64">
        <v>1976</v>
      </c>
      <c r="F24" s="332">
        <f t="shared" si="1"/>
        <v>43</v>
      </c>
      <c r="G24" s="59"/>
      <c r="H24" s="60"/>
      <c r="I24" s="60"/>
      <c r="J24" s="60"/>
      <c r="K24" s="60"/>
      <c r="L24" s="60"/>
      <c r="M24" s="60"/>
    </row>
    <row r="25" spans="1:13" s="61" customFormat="1" ht="15.75" customHeight="1" x14ac:dyDescent="0.25">
      <c r="A25" s="525" t="s">
        <v>190</v>
      </c>
      <c r="B25" s="525" t="s">
        <v>191</v>
      </c>
      <c r="C25" s="53"/>
      <c r="D25" s="108"/>
      <c r="E25" s="56"/>
      <c r="F25" s="327"/>
      <c r="G25" s="59"/>
      <c r="H25" s="60"/>
      <c r="I25" s="60"/>
      <c r="J25" s="60"/>
      <c r="K25" s="60"/>
      <c r="L25" s="60"/>
      <c r="M25" s="60"/>
    </row>
    <row r="26" spans="1:13" s="61" customFormat="1" x14ac:dyDescent="0.25">
      <c r="A26" s="531"/>
      <c r="B26" s="531"/>
      <c r="C26" s="119">
        <v>69</v>
      </c>
      <c r="D26" s="108">
        <v>57</v>
      </c>
      <c r="E26" s="49">
        <v>1976</v>
      </c>
      <c r="F26" s="332">
        <f t="shared" si="1"/>
        <v>43</v>
      </c>
      <c r="G26" s="59"/>
      <c r="H26" s="60"/>
      <c r="I26" s="60"/>
      <c r="J26" s="60"/>
      <c r="K26" s="60"/>
      <c r="L26" s="60"/>
      <c r="M26" s="60"/>
    </row>
    <row r="27" spans="1:13" s="61" customFormat="1" x14ac:dyDescent="0.25">
      <c r="A27" s="526"/>
      <c r="B27" s="526"/>
      <c r="C27" s="119">
        <v>69</v>
      </c>
      <c r="D27" s="108">
        <v>57</v>
      </c>
      <c r="E27" s="64">
        <v>1976</v>
      </c>
      <c r="F27" s="332">
        <f t="shared" si="1"/>
        <v>43</v>
      </c>
      <c r="G27" s="59"/>
      <c r="H27" s="60"/>
      <c r="I27" s="60"/>
      <c r="J27" s="60"/>
      <c r="K27" s="60"/>
      <c r="L27" s="60"/>
      <c r="M27" s="60"/>
    </row>
    <row r="28" spans="1:13" s="61" customFormat="1" ht="15.75" customHeight="1" x14ac:dyDescent="0.25">
      <c r="A28" s="525" t="s">
        <v>178</v>
      </c>
      <c r="B28" s="525" t="s">
        <v>192</v>
      </c>
      <c r="C28" s="53"/>
      <c r="D28" s="108"/>
      <c r="E28" s="56"/>
      <c r="F28" s="327"/>
      <c r="G28" s="59"/>
      <c r="H28" s="60"/>
      <c r="I28" s="60"/>
      <c r="J28" s="60"/>
      <c r="K28" s="60"/>
      <c r="L28" s="60"/>
      <c r="M28" s="60"/>
    </row>
    <row r="29" spans="1:13" s="61" customFormat="1" x14ac:dyDescent="0.25">
      <c r="A29" s="531"/>
      <c r="B29" s="531"/>
      <c r="C29" s="119">
        <v>9</v>
      </c>
      <c r="D29" s="108">
        <v>89</v>
      </c>
      <c r="E29" s="49">
        <v>1980</v>
      </c>
      <c r="F29" s="332">
        <f t="shared" si="1"/>
        <v>39</v>
      </c>
      <c r="G29" s="59"/>
      <c r="H29" s="60"/>
      <c r="I29" s="60"/>
      <c r="J29" s="60"/>
      <c r="K29" s="60"/>
      <c r="L29" s="60"/>
      <c r="M29" s="60"/>
    </row>
    <row r="30" spans="1:13" s="61" customFormat="1" x14ac:dyDescent="0.25">
      <c r="A30" s="526"/>
      <c r="B30" s="526"/>
      <c r="C30" s="119">
        <v>9</v>
      </c>
      <c r="D30" s="108">
        <v>57</v>
      </c>
      <c r="E30" s="49">
        <v>1980</v>
      </c>
      <c r="F30" s="332">
        <f t="shared" si="1"/>
        <v>39</v>
      </c>
      <c r="G30" s="59"/>
      <c r="H30" s="60"/>
      <c r="I30" s="60"/>
      <c r="J30" s="60"/>
      <c r="K30" s="60"/>
      <c r="L30" s="60"/>
      <c r="M30" s="60"/>
    </row>
    <row r="31" spans="1:13" s="61" customFormat="1" ht="15.75" customHeight="1" x14ac:dyDescent="0.25">
      <c r="A31" s="525" t="s">
        <v>193</v>
      </c>
      <c r="B31" s="525" t="s">
        <v>194</v>
      </c>
      <c r="C31" s="53"/>
      <c r="D31" s="108"/>
      <c r="E31" s="56"/>
      <c r="F31" s="327"/>
      <c r="G31" s="59"/>
      <c r="H31" s="60"/>
      <c r="I31" s="60"/>
      <c r="J31" s="60"/>
      <c r="K31" s="60"/>
      <c r="L31" s="60"/>
      <c r="M31" s="60"/>
    </row>
    <row r="32" spans="1:13" s="61" customFormat="1" x14ac:dyDescent="0.25">
      <c r="A32" s="531"/>
      <c r="B32" s="531"/>
      <c r="C32" s="119">
        <v>5.5</v>
      </c>
      <c r="D32" s="108">
        <v>219</v>
      </c>
      <c r="E32" s="49">
        <v>1976</v>
      </c>
      <c r="F32" s="332">
        <f t="shared" si="1"/>
        <v>43</v>
      </c>
      <c r="G32" s="59"/>
      <c r="H32" s="60"/>
      <c r="I32" s="60"/>
      <c r="J32" s="60"/>
      <c r="K32" s="60"/>
      <c r="L32" s="60"/>
      <c r="M32" s="60"/>
    </row>
    <row r="33" spans="1:13" s="61" customFormat="1" x14ac:dyDescent="0.25">
      <c r="A33" s="526"/>
      <c r="B33" s="526"/>
      <c r="C33" s="119">
        <v>5.5</v>
      </c>
      <c r="D33" s="108">
        <v>108</v>
      </c>
      <c r="E33" s="49">
        <v>1976</v>
      </c>
      <c r="F33" s="332">
        <f t="shared" si="1"/>
        <v>43</v>
      </c>
      <c r="G33" s="59"/>
      <c r="H33" s="60"/>
      <c r="I33" s="60"/>
      <c r="J33" s="60"/>
      <c r="K33" s="60"/>
      <c r="L33" s="60"/>
      <c r="M33" s="60"/>
    </row>
    <row r="34" spans="1:13" s="61" customFormat="1" ht="15.75" customHeight="1" x14ac:dyDescent="0.25">
      <c r="A34" s="525" t="s">
        <v>195</v>
      </c>
      <c r="B34" s="525" t="s">
        <v>196</v>
      </c>
      <c r="C34" s="53"/>
      <c r="D34" s="108"/>
      <c r="E34" s="56"/>
      <c r="F34" s="327"/>
      <c r="G34" s="59"/>
      <c r="H34" s="60"/>
      <c r="I34" s="60"/>
      <c r="J34" s="60"/>
      <c r="K34" s="60"/>
      <c r="L34" s="60"/>
      <c r="M34" s="60"/>
    </row>
    <row r="35" spans="1:13" s="61" customFormat="1" ht="15.75" customHeight="1" x14ac:dyDescent="0.25">
      <c r="A35" s="531"/>
      <c r="B35" s="531"/>
      <c r="C35" s="78">
        <v>89</v>
      </c>
      <c r="D35" s="108">
        <v>108</v>
      </c>
      <c r="E35" s="49">
        <v>2008</v>
      </c>
      <c r="F35" s="332">
        <f t="shared" si="1"/>
        <v>11</v>
      </c>
      <c r="G35" s="59"/>
      <c r="H35" s="60"/>
      <c r="I35" s="60"/>
      <c r="J35" s="60"/>
      <c r="K35" s="60"/>
      <c r="L35" s="60"/>
      <c r="M35" s="60"/>
    </row>
    <row r="36" spans="1:13" s="61" customFormat="1" ht="15.75" customHeight="1" x14ac:dyDescent="0.25">
      <c r="A36" s="526"/>
      <c r="B36" s="526"/>
      <c r="C36" s="78">
        <v>89</v>
      </c>
      <c r="D36" s="108">
        <v>57</v>
      </c>
      <c r="E36" s="49">
        <v>2008</v>
      </c>
      <c r="F36" s="332">
        <f t="shared" si="1"/>
        <v>11</v>
      </c>
      <c r="G36" s="59"/>
      <c r="H36" s="60"/>
      <c r="I36" s="60"/>
      <c r="J36" s="60"/>
      <c r="K36" s="60"/>
      <c r="L36" s="60"/>
      <c r="M36" s="60"/>
    </row>
    <row r="37" spans="1:13" s="61" customFormat="1" ht="15.75" customHeight="1" x14ac:dyDescent="0.25">
      <c r="A37" s="525" t="s">
        <v>197</v>
      </c>
      <c r="B37" s="525" t="s">
        <v>198</v>
      </c>
      <c r="C37" s="119"/>
      <c r="D37" s="108"/>
      <c r="E37" s="49"/>
      <c r="F37" s="327"/>
      <c r="G37" s="59"/>
      <c r="H37" s="60"/>
      <c r="I37" s="60"/>
      <c r="J37" s="60"/>
      <c r="K37" s="60"/>
      <c r="L37" s="60"/>
      <c r="M37" s="60"/>
    </row>
    <row r="38" spans="1:13" s="61" customFormat="1" ht="15.75" customHeight="1" x14ac:dyDescent="0.25">
      <c r="A38" s="531"/>
      <c r="B38" s="531"/>
      <c r="C38" s="78">
        <v>90</v>
      </c>
      <c r="D38" s="108">
        <v>89</v>
      </c>
      <c r="E38" s="49">
        <v>2008</v>
      </c>
      <c r="F38" s="332">
        <f t="shared" si="1"/>
        <v>11</v>
      </c>
      <c r="G38" s="59"/>
      <c r="H38" s="60"/>
      <c r="I38" s="60"/>
      <c r="J38" s="60"/>
      <c r="K38" s="60"/>
      <c r="L38" s="60"/>
      <c r="M38" s="60"/>
    </row>
    <row r="39" spans="1:13" s="61" customFormat="1" ht="15.75" customHeight="1" x14ac:dyDescent="0.25">
      <c r="A39" s="526"/>
      <c r="B39" s="526"/>
      <c r="C39" s="78">
        <v>90</v>
      </c>
      <c r="D39" s="108">
        <v>57</v>
      </c>
      <c r="E39" s="49">
        <v>2008</v>
      </c>
      <c r="F39" s="332">
        <f t="shared" si="1"/>
        <v>11</v>
      </c>
      <c r="G39" s="59"/>
      <c r="H39" s="60"/>
      <c r="I39" s="60"/>
      <c r="J39" s="60"/>
      <c r="K39" s="60"/>
      <c r="L39" s="60"/>
      <c r="M39" s="60"/>
    </row>
    <row r="40" spans="1:13" s="61" customFormat="1" ht="15.75" customHeight="1" x14ac:dyDescent="0.25">
      <c r="A40" s="525" t="s">
        <v>195</v>
      </c>
      <c r="B40" s="525" t="s">
        <v>199</v>
      </c>
      <c r="C40" s="53"/>
      <c r="D40" s="108"/>
      <c r="E40" s="56"/>
      <c r="F40" s="327"/>
      <c r="G40" s="59"/>
      <c r="H40" s="60"/>
      <c r="I40" s="60"/>
      <c r="J40" s="60"/>
      <c r="K40" s="60"/>
      <c r="L40" s="60"/>
      <c r="M40" s="60"/>
    </row>
    <row r="41" spans="1:13" s="61" customFormat="1" x14ac:dyDescent="0.25">
      <c r="A41" s="531"/>
      <c r="B41" s="531"/>
      <c r="C41" s="119">
        <v>9</v>
      </c>
      <c r="D41" s="108">
        <v>89</v>
      </c>
      <c r="E41" s="49">
        <v>1980</v>
      </c>
      <c r="F41" s="332">
        <f t="shared" si="1"/>
        <v>39</v>
      </c>
      <c r="G41" s="59"/>
      <c r="H41" s="60"/>
      <c r="I41" s="60"/>
      <c r="J41" s="60"/>
      <c r="K41" s="60"/>
      <c r="L41" s="60"/>
      <c r="M41" s="60"/>
    </row>
    <row r="42" spans="1:13" s="61" customFormat="1" x14ac:dyDescent="0.25">
      <c r="A42" s="526"/>
      <c r="B42" s="526"/>
      <c r="C42" s="119">
        <v>9</v>
      </c>
      <c r="D42" s="108">
        <v>40</v>
      </c>
      <c r="E42" s="49">
        <v>1980</v>
      </c>
      <c r="F42" s="332">
        <f t="shared" si="1"/>
        <v>39</v>
      </c>
      <c r="G42" s="59"/>
      <c r="H42" s="60"/>
      <c r="I42" s="60"/>
      <c r="J42" s="60"/>
      <c r="K42" s="60"/>
      <c r="L42" s="60"/>
      <c r="M42" s="60"/>
    </row>
    <row r="43" spans="1:13" s="61" customFormat="1" ht="15.75" customHeight="1" x14ac:dyDescent="0.25">
      <c r="A43" s="525" t="s">
        <v>200</v>
      </c>
      <c r="B43" s="525" t="s">
        <v>201</v>
      </c>
      <c r="C43" s="53"/>
      <c r="D43" s="108"/>
      <c r="E43" s="56"/>
      <c r="F43" s="327"/>
      <c r="G43" s="59"/>
      <c r="H43" s="60"/>
      <c r="I43" s="60"/>
      <c r="J43" s="60"/>
      <c r="K43" s="60"/>
      <c r="L43" s="60"/>
      <c r="M43" s="60"/>
    </row>
    <row r="44" spans="1:13" s="61" customFormat="1" x14ac:dyDescent="0.25">
      <c r="A44" s="531"/>
      <c r="B44" s="531"/>
      <c r="C44" s="55">
        <v>37</v>
      </c>
      <c r="D44" s="108">
        <v>133</v>
      </c>
      <c r="E44" s="49">
        <v>2010</v>
      </c>
      <c r="F44" s="332">
        <f t="shared" si="1"/>
        <v>9</v>
      </c>
      <c r="G44" s="59"/>
      <c r="H44" s="60"/>
      <c r="I44" s="60"/>
      <c r="J44" s="60"/>
      <c r="K44" s="60"/>
      <c r="L44" s="60"/>
      <c r="M44" s="60"/>
    </row>
    <row r="45" spans="1:13" s="61" customFormat="1" x14ac:dyDescent="0.25">
      <c r="A45" s="526"/>
      <c r="B45" s="526"/>
      <c r="C45" s="55">
        <v>37</v>
      </c>
      <c r="D45" s="108">
        <v>108</v>
      </c>
      <c r="E45" s="49">
        <v>2010</v>
      </c>
      <c r="F45" s="332">
        <f t="shared" si="1"/>
        <v>9</v>
      </c>
      <c r="G45" s="59"/>
      <c r="H45" s="60"/>
      <c r="I45" s="60"/>
      <c r="J45" s="60"/>
      <c r="K45" s="60"/>
      <c r="L45" s="60"/>
      <c r="M45" s="60"/>
    </row>
    <row r="46" spans="1:13" s="61" customFormat="1" ht="15.75" customHeight="1" x14ac:dyDescent="0.25">
      <c r="A46" s="525" t="s">
        <v>200</v>
      </c>
      <c r="B46" s="525" t="s">
        <v>202</v>
      </c>
      <c r="C46" s="53"/>
      <c r="D46" s="108"/>
      <c r="E46" s="56"/>
      <c r="F46" s="327"/>
      <c r="G46" s="59"/>
      <c r="H46" s="60"/>
      <c r="I46" s="60"/>
      <c r="J46" s="60"/>
      <c r="K46" s="60"/>
      <c r="L46" s="60"/>
      <c r="M46" s="60"/>
    </row>
    <row r="47" spans="1:13" s="61" customFormat="1" x14ac:dyDescent="0.25">
      <c r="A47" s="531"/>
      <c r="B47" s="531"/>
      <c r="C47" s="119">
        <v>15</v>
      </c>
      <c r="D47" s="108">
        <v>76</v>
      </c>
      <c r="E47" s="49">
        <v>1979</v>
      </c>
      <c r="F47" s="332">
        <f t="shared" si="1"/>
        <v>40</v>
      </c>
      <c r="G47" s="59"/>
      <c r="H47" s="60"/>
      <c r="I47" s="60"/>
      <c r="J47" s="60"/>
      <c r="K47" s="60"/>
      <c r="L47" s="60"/>
      <c r="M47" s="60"/>
    </row>
    <row r="48" spans="1:13" s="61" customFormat="1" x14ac:dyDescent="0.25">
      <c r="A48" s="526"/>
      <c r="B48" s="526"/>
      <c r="C48" s="119">
        <v>15</v>
      </c>
      <c r="D48" s="108">
        <v>57</v>
      </c>
      <c r="E48" s="49">
        <v>1979</v>
      </c>
      <c r="F48" s="332">
        <f t="shared" si="1"/>
        <v>40</v>
      </c>
      <c r="G48" s="59"/>
      <c r="H48" s="60"/>
      <c r="I48" s="60"/>
      <c r="J48" s="60"/>
      <c r="K48" s="60"/>
      <c r="L48" s="60"/>
      <c r="M48" s="60"/>
    </row>
    <row r="49" spans="1:13" s="61" customFormat="1" ht="15.75" customHeight="1" x14ac:dyDescent="0.25">
      <c r="A49" s="525" t="s">
        <v>203</v>
      </c>
      <c r="B49" s="525" t="s">
        <v>204</v>
      </c>
      <c r="C49" s="53"/>
      <c r="D49" s="108"/>
      <c r="E49" s="56"/>
      <c r="F49" s="327"/>
      <c r="G49" s="59"/>
      <c r="H49" s="60"/>
      <c r="I49" s="60"/>
      <c r="J49" s="60"/>
      <c r="K49" s="60"/>
      <c r="L49" s="60"/>
      <c r="M49" s="60"/>
    </row>
    <row r="50" spans="1:13" s="61" customFormat="1" x14ac:dyDescent="0.25">
      <c r="A50" s="531"/>
      <c r="B50" s="531"/>
      <c r="C50" s="119">
        <v>51</v>
      </c>
      <c r="D50" s="108">
        <v>108</v>
      </c>
      <c r="E50" s="49">
        <v>1976</v>
      </c>
      <c r="F50" s="332">
        <f t="shared" si="1"/>
        <v>43</v>
      </c>
      <c r="G50" s="59"/>
      <c r="H50" s="60"/>
      <c r="I50" s="60"/>
      <c r="J50" s="60"/>
      <c r="K50" s="60"/>
      <c r="L50" s="60"/>
      <c r="M50" s="60"/>
    </row>
    <row r="51" spans="1:13" s="61" customFormat="1" x14ac:dyDescent="0.25">
      <c r="A51" s="526"/>
      <c r="B51" s="526"/>
      <c r="C51" s="119">
        <v>51</v>
      </c>
      <c r="D51" s="108">
        <v>57</v>
      </c>
      <c r="E51" s="49">
        <v>1976</v>
      </c>
      <c r="F51" s="332">
        <f t="shared" si="1"/>
        <v>43</v>
      </c>
      <c r="G51" s="59"/>
      <c r="H51" s="60"/>
      <c r="I51" s="60"/>
      <c r="J51" s="60"/>
      <c r="K51" s="60"/>
      <c r="L51" s="60"/>
      <c r="M51" s="60"/>
    </row>
    <row r="52" spans="1:13" s="61" customFormat="1" ht="15.75" customHeight="1" x14ac:dyDescent="0.25">
      <c r="A52" s="525" t="s">
        <v>205</v>
      </c>
      <c r="B52" s="525" t="s">
        <v>206</v>
      </c>
      <c r="C52" s="53"/>
      <c r="D52" s="108"/>
      <c r="E52" s="56"/>
      <c r="F52" s="327"/>
      <c r="G52" s="59"/>
      <c r="H52" s="60"/>
      <c r="I52" s="60"/>
      <c r="J52" s="60"/>
      <c r="K52" s="60"/>
      <c r="L52" s="60"/>
      <c r="M52" s="60"/>
    </row>
    <row r="53" spans="1:13" s="61" customFormat="1" x14ac:dyDescent="0.25">
      <c r="A53" s="531"/>
      <c r="B53" s="531"/>
      <c r="C53" s="55">
        <v>41</v>
      </c>
      <c r="D53" s="108">
        <v>108</v>
      </c>
      <c r="E53" s="49">
        <v>2010</v>
      </c>
      <c r="F53" s="332">
        <f t="shared" si="1"/>
        <v>9</v>
      </c>
      <c r="G53" s="59"/>
      <c r="H53" s="60"/>
      <c r="I53" s="60"/>
      <c r="J53" s="60"/>
      <c r="K53" s="60"/>
      <c r="L53" s="60"/>
      <c r="M53" s="60"/>
    </row>
    <row r="54" spans="1:13" s="61" customFormat="1" x14ac:dyDescent="0.25">
      <c r="A54" s="526"/>
      <c r="B54" s="526"/>
      <c r="C54" s="55">
        <v>41</v>
      </c>
      <c r="D54" s="108">
        <v>89</v>
      </c>
      <c r="E54" s="49">
        <v>2010</v>
      </c>
      <c r="F54" s="332">
        <f t="shared" si="1"/>
        <v>9</v>
      </c>
      <c r="G54" s="59"/>
      <c r="H54" s="60"/>
      <c r="I54" s="60"/>
      <c r="J54" s="60"/>
      <c r="K54" s="60"/>
      <c r="L54" s="60"/>
      <c r="M54" s="60"/>
    </row>
    <row r="55" spans="1:13" s="61" customFormat="1" ht="15.75" customHeight="1" x14ac:dyDescent="0.25">
      <c r="A55" s="525" t="s">
        <v>203</v>
      </c>
      <c r="B55" s="525" t="s">
        <v>207</v>
      </c>
      <c r="C55" s="119"/>
      <c r="D55" s="108"/>
      <c r="E55" s="56"/>
      <c r="F55" s="327"/>
      <c r="G55" s="59"/>
      <c r="H55" s="60"/>
      <c r="I55" s="60"/>
      <c r="J55" s="60"/>
      <c r="K55" s="60"/>
      <c r="L55" s="60"/>
      <c r="M55" s="60"/>
    </row>
    <row r="56" spans="1:13" s="61" customFormat="1" x14ac:dyDescent="0.25">
      <c r="A56" s="531"/>
      <c r="B56" s="531"/>
      <c r="C56" s="55">
        <v>91</v>
      </c>
      <c r="D56" s="108">
        <v>76</v>
      </c>
      <c r="E56" s="49">
        <v>2002</v>
      </c>
      <c r="F56" s="332">
        <f t="shared" si="1"/>
        <v>17</v>
      </c>
      <c r="G56" s="59"/>
      <c r="H56" s="60"/>
      <c r="I56" s="60"/>
      <c r="J56" s="60"/>
      <c r="K56" s="60"/>
      <c r="L56" s="60"/>
      <c r="M56" s="60"/>
    </row>
    <row r="57" spans="1:13" s="61" customFormat="1" x14ac:dyDescent="0.25">
      <c r="A57" s="526"/>
      <c r="B57" s="526"/>
      <c r="C57" s="78">
        <v>91</v>
      </c>
      <c r="D57" s="108">
        <v>57</v>
      </c>
      <c r="E57" s="49">
        <v>2002</v>
      </c>
      <c r="F57" s="332">
        <f t="shared" si="1"/>
        <v>17</v>
      </c>
      <c r="G57" s="59"/>
      <c r="H57" s="60"/>
      <c r="I57" s="60"/>
      <c r="J57" s="60"/>
      <c r="K57" s="60"/>
      <c r="L57" s="60"/>
      <c r="M57" s="60"/>
    </row>
    <row r="58" spans="1:13" s="61" customFormat="1" ht="15.75" customHeight="1" x14ac:dyDescent="0.25">
      <c r="A58" s="525" t="s">
        <v>208</v>
      </c>
      <c r="B58" s="525" t="s">
        <v>209</v>
      </c>
      <c r="C58" s="53"/>
      <c r="D58" s="108"/>
      <c r="E58" s="56"/>
      <c r="F58" s="327"/>
      <c r="G58" s="59"/>
      <c r="H58" s="60"/>
      <c r="I58" s="60"/>
      <c r="J58" s="60"/>
      <c r="K58" s="60"/>
      <c r="L58" s="60"/>
      <c r="M58" s="60"/>
    </row>
    <row r="59" spans="1:13" s="61" customFormat="1" x14ac:dyDescent="0.25">
      <c r="A59" s="531"/>
      <c r="B59" s="531"/>
      <c r="C59" s="119">
        <v>43</v>
      </c>
      <c r="D59" s="108">
        <v>133</v>
      </c>
      <c r="E59" s="49">
        <v>1976</v>
      </c>
      <c r="F59" s="332">
        <f t="shared" si="1"/>
        <v>43</v>
      </c>
      <c r="G59" s="59"/>
      <c r="H59" s="60"/>
      <c r="I59" s="60"/>
      <c r="J59" s="60"/>
      <c r="K59" s="60"/>
      <c r="L59" s="60"/>
      <c r="M59" s="60"/>
    </row>
    <row r="60" spans="1:13" s="61" customFormat="1" x14ac:dyDescent="0.25">
      <c r="A60" s="526"/>
      <c r="B60" s="526"/>
      <c r="C60" s="119">
        <v>43</v>
      </c>
      <c r="D60" s="108">
        <v>76</v>
      </c>
      <c r="E60" s="49">
        <v>1976</v>
      </c>
      <c r="F60" s="332">
        <f t="shared" si="1"/>
        <v>43</v>
      </c>
      <c r="G60" s="59"/>
      <c r="H60" s="60"/>
      <c r="I60" s="60"/>
      <c r="J60" s="60"/>
      <c r="K60" s="60"/>
      <c r="L60" s="60"/>
      <c r="M60" s="60"/>
    </row>
    <row r="61" spans="1:13" s="61" customFormat="1" ht="15.75" customHeight="1" x14ac:dyDescent="0.25">
      <c r="A61" s="525" t="s">
        <v>188</v>
      </c>
      <c r="B61" s="525" t="s">
        <v>210</v>
      </c>
      <c r="C61" s="53"/>
      <c r="D61" s="108"/>
      <c r="E61" s="56"/>
      <c r="F61" s="327"/>
      <c r="G61" s="59"/>
      <c r="H61" s="60"/>
      <c r="I61" s="60"/>
      <c r="J61" s="60"/>
      <c r="K61" s="60"/>
      <c r="L61" s="60"/>
      <c r="M61" s="60"/>
    </row>
    <row r="62" spans="1:13" s="61" customFormat="1" x14ac:dyDescent="0.25">
      <c r="A62" s="531"/>
      <c r="B62" s="531"/>
      <c r="C62" s="119">
        <v>44</v>
      </c>
      <c r="D62" s="108">
        <v>133</v>
      </c>
      <c r="E62" s="49">
        <v>1976</v>
      </c>
      <c r="F62" s="332">
        <f t="shared" si="1"/>
        <v>43</v>
      </c>
      <c r="G62" s="59"/>
      <c r="H62" s="60"/>
      <c r="I62" s="60"/>
      <c r="J62" s="60"/>
      <c r="K62" s="60"/>
      <c r="L62" s="60"/>
      <c r="M62" s="60"/>
    </row>
    <row r="63" spans="1:13" s="61" customFormat="1" x14ac:dyDescent="0.25">
      <c r="A63" s="526"/>
      <c r="B63" s="526"/>
      <c r="C63" s="119">
        <v>44</v>
      </c>
      <c r="D63" s="108">
        <v>76</v>
      </c>
      <c r="E63" s="49">
        <v>1976</v>
      </c>
      <c r="F63" s="332">
        <f t="shared" si="1"/>
        <v>43</v>
      </c>
      <c r="G63" s="59"/>
      <c r="H63" s="60"/>
      <c r="I63" s="60"/>
      <c r="J63" s="60"/>
      <c r="K63" s="60"/>
      <c r="L63" s="60"/>
      <c r="M63" s="60"/>
    </row>
    <row r="64" spans="1:13" s="61" customFormat="1" ht="15.75" customHeight="1" x14ac:dyDescent="0.25">
      <c r="A64" s="525" t="s">
        <v>211</v>
      </c>
      <c r="B64" s="525" t="s">
        <v>212</v>
      </c>
      <c r="C64" s="119"/>
      <c r="D64" s="108"/>
      <c r="E64" s="56"/>
      <c r="F64" s="327"/>
      <c r="G64" s="59"/>
      <c r="H64" s="60"/>
      <c r="I64" s="60"/>
      <c r="J64" s="60"/>
      <c r="K64" s="60"/>
      <c r="L64" s="60"/>
      <c r="M64" s="60"/>
    </row>
    <row r="65" spans="1:13" s="61" customFormat="1" x14ac:dyDescent="0.25">
      <c r="A65" s="531"/>
      <c r="B65" s="531"/>
      <c r="C65" s="78">
        <v>25</v>
      </c>
      <c r="D65" s="108">
        <v>57</v>
      </c>
      <c r="E65" s="49">
        <v>2007</v>
      </c>
      <c r="F65" s="332">
        <f t="shared" si="1"/>
        <v>12</v>
      </c>
      <c r="G65" s="59"/>
      <c r="H65" s="60"/>
      <c r="I65" s="60"/>
      <c r="J65" s="60"/>
      <c r="K65" s="60"/>
      <c r="L65" s="60"/>
      <c r="M65" s="60"/>
    </row>
    <row r="66" spans="1:13" s="61" customFormat="1" x14ac:dyDescent="0.25">
      <c r="A66" s="526"/>
      <c r="B66" s="526"/>
      <c r="C66" s="78">
        <v>25</v>
      </c>
      <c r="D66" s="108">
        <v>40</v>
      </c>
      <c r="E66" s="49">
        <v>2007</v>
      </c>
      <c r="F66" s="332">
        <f t="shared" si="1"/>
        <v>12</v>
      </c>
      <c r="G66" s="59"/>
      <c r="H66" s="60"/>
      <c r="I66" s="60"/>
      <c r="J66" s="60"/>
      <c r="K66" s="60"/>
      <c r="L66" s="60"/>
      <c r="M66" s="60"/>
    </row>
    <row r="67" spans="1:13" s="61" customFormat="1" ht="15.75" customHeight="1" x14ac:dyDescent="0.25">
      <c r="A67" s="525" t="s">
        <v>213</v>
      </c>
      <c r="B67" s="525" t="s">
        <v>214</v>
      </c>
      <c r="C67" s="53"/>
      <c r="D67" s="108"/>
      <c r="E67" s="56"/>
      <c r="F67" s="327"/>
      <c r="G67" s="59"/>
      <c r="H67" s="60"/>
      <c r="I67" s="60"/>
      <c r="J67" s="60"/>
      <c r="K67" s="60"/>
      <c r="L67" s="60"/>
      <c r="M67" s="60"/>
    </row>
    <row r="68" spans="1:13" s="61" customFormat="1" x14ac:dyDescent="0.25">
      <c r="A68" s="531"/>
      <c r="B68" s="531"/>
      <c r="C68" s="55">
        <v>56</v>
      </c>
      <c r="D68" s="108">
        <v>159</v>
      </c>
      <c r="E68" s="49">
        <v>2011</v>
      </c>
      <c r="F68" s="332">
        <f t="shared" si="1"/>
        <v>8</v>
      </c>
      <c r="G68" s="59"/>
      <c r="H68" s="60"/>
      <c r="I68" s="60"/>
      <c r="J68" s="60"/>
      <c r="K68" s="60"/>
      <c r="L68" s="60"/>
      <c r="M68" s="60"/>
    </row>
    <row r="69" spans="1:13" s="61" customFormat="1" x14ac:dyDescent="0.25">
      <c r="A69" s="526"/>
      <c r="B69" s="526"/>
      <c r="C69" s="55">
        <v>56</v>
      </c>
      <c r="D69" s="108">
        <v>89</v>
      </c>
      <c r="E69" s="49">
        <v>2011</v>
      </c>
      <c r="F69" s="332">
        <f t="shared" si="1"/>
        <v>8</v>
      </c>
      <c r="G69" s="59"/>
      <c r="H69" s="60"/>
      <c r="I69" s="60"/>
      <c r="J69" s="60"/>
      <c r="K69" s="60"/>
      <c r="L69" s="60"/>
      <c r="M69" s="60"/>
    </row>
    <row r="70" spans="1:13" s="61" customFormat="1" ht="15.75" customHeight="1" x14ac:dyDescent="0.25">
      <c r="A70" s="525" t="s">
        <v>180</v>
      </c>
      <c r="B70" s="525" t="s">
        <v>215</v>
      </c>
      <c r="C70" s="119"/>
      <c r="D70" s="108"/>
      <c r="E70" s="56"/>
      <c r="F70" s="327"/>
      <c r="G70" s="59"/>
      <c r="H70" s="60"/>
      <c r="I70" s="60"/>
      <c r="J70" s="60"/>
      <c r="K70" s="60"/>
      <c r="L70" s="60"/>
      <c r="M70" s="60"/>
    </row>
    <row r="71" spans="1:13" s="61" customFormat="1" x14ac:dyDescent="0.25">
      <c r="A71" s="531"/>
      <c r="B71" s="531"/>
      <c r="C71" s="119">
        <v>45</v>
      </c>
      <c r="D71" s="108">
        <v>108</v>
      </c>
      <c r="E71" s="49">
        <v>1976</v>
      </c>
      <c r="F71" s="332">
        <f t="shared" si="1"/>
        <v>43</v>
      </c>
      <c r="G71" s="59"/>
      <c r="H71" s="60"/>
      <c r="I71" s="60"/>
      <c r="J71" s="60"/>
      <c r="K71" s="60"/>
      <c r="L71" s="60"/>
      <c r="M71" s="60"/>
    </row>
    <row r="72" spans="1:13" s="61" customFormat="1" x14ac:dyDescent="0.25">
      <c r="A72" s="526"/>
      <c r="B72" s="526"/>
      <c r="C72" s="119">
        <v>45</v>
      </c>
      <c r="D72" s="108">
        <v>89</v>
      </c>
      <c r="E72" s="49">
        <v>1976</v>
      </c>
      <c r="F72" s="332">
        <f t="shared" si="1"/>
        <v>43</v>
      </c>
      <c r="G72" s="59"/>
      <c r="H72" s="60"/>
      <c r="I72" s="60"/>
      <c r="J72" s="60"/>
      <c r="K72" s="60"/>
      <c r="L72" s="60"/>
      <c r="M72" s="60"/>
    </row>
    <row r="73" spans="1:13" s="61" customFormat="1" ht="15.75" customHeight="1" x14ac:dyDescent="0.25">
      <c r="A73" s="525" t="s">
        <v>216</v>
      </c>
      <c r="B73" s="525" t="s">
        <v>210</v>
      </c>
      <c r="C73" s="53"/>
      <c r="D73" s="108"/>
      <c r="E73" s="56"/>
      <c r="F73" s="327"/>
      <c r="G73" s="59"/>
      <c r="H73" s="60"/>
      <c r="I73" s="60"/>
      <c r="J73" s="60"/>
      <c r="K73" s="60"/>
      <c r="L73" s="60"/>
      <c r="M73" s="60"/>
    </row>
    <row r="74" spans="1:13" s="61" customFormat="1" x14ac:dyDescent="0.25">
      <c r="A74" s="531"/>
      <c r="B74" s="531"/>
      <c r="C74" s="119">
        <v>47</v>
      </c>
      <c r="D74" s="108">
        <v>133</v>
      </c>
      <c r="E74" s="49">
        <v>1976</v>
      </c>
      <c r="F74" s="332">
        <f t="shared" si="1"/>
        <v>43</v>
      </c>
      <c r="G74" s="59"/>
      <c r="H74" s="60"/>
      <c r="I74" s="60"/>
      <c r="J74" s="60"/>
      <c r="K74" s="60"/>
      <c r="L74" s="60"/>
      <c r="M74" s="60"/>
    </row>
    <row r="75" spans="1:13" s="61" customFormat="1" ht="20.25" customHeight="1" x14ac:dyDescent="0.25">
      <c r="A75" s="526"/>
      <c r="B75" s="526"/>
      <c r="C75" s="119">
        <v>47</v>
      </c>
      <c r="D75" s="108">
        <v>76</v>
      </c>
      <c r="E75" s="49">
        <v>1976</v>
      </c>
      <c r="F75" s="332">
        <f t="shared" si="1"/>
        <v>43</v>
      </c>
      <c r="G75" s="59"/>
      <c r="H75" s="60"/>
      <c r="I75" s="60"/>
      <c r="J75" s="60"/>
      <c r="K75" s="60"/>
      <c r="L75" s="60"/>
      <c r="M75" s="60"/>
    </row>
    <row r="76" spans="1:13" s="61" customFormat="1" ht="21" customHeight="1" x14ac:dyDescent="0.25">
      <c r="A76" s="534" t="s">
        <v>217</v>
      </c>
      <c r="B76" s="534" t="s">
        <v>218</v>
      </c>
      <c r="C76" s="119"/>
      <c r="D76" s="108"/>
      <c r="E76" s="56"/>
      <c r="F76" s="327"/>
      <c r="G76" s="59"/>
      <c r="H76" s="60"/>
      <c r="I76" s="60"/>
      <c r="J76" s="60"/>
      <c r="K76" s="60"/>
      <c r="L76" s="60"/>
      <c r="M76" s="60"/>
    </row>
    <row r="77" spans="1:13" s="61" customFormat="1" x14ac:dyDescent="0.25">
      <c r="A77" s="536"/>
      <c r="B77" s="536"/>
      <c r="C77" s="78">
        <v>60</v>
      </c>
      <c r="D77" s="108">
        <v>159</v>
      </c>
      <c r="E77" s="49">
        <v>2001</v>
      </c>
      <c r="F77" s="332">
        <f t="shared" si="1"/>
        <v>18</v>
      </c>
      <c r="G77" s="59"/>
      <c r="H77" s="60"/>
      <c r="I77" s="60"/>
      <c r="J77" s="60"/>
      <c r="K77" s="60"/>
      <c r="L77" s="60"/>
      <c r="M77" s="60"/>
    </row>
    <row r="78" spans="1:13" s="61" customFormat="1" x14ac:dyDescent="0.25">
      <c r="A78" s="535"/>
      <c r="B78" s="535"/>
      <c r="C78" s="78">
        <v>60</v>
      </c>
      <c r="D78" s="108">
        <v>89</v>
      </c>
      <c r="E78" s="49">
        <v>2001</v>
      </c>
      <c r="F78" s="332">
        <f t="shared" si="1"/>
        <v>18</v>
      </c>
      <c r="G78" s="59"/>
      <c r="H78" s="60"/>
      <c r="I78" s="60"/>
      <c r="J78" s="60"/>
      <c r="K78" s="60"/>
      <c r="L78" s="60"/>
      <c r="M78" s="60"/>
    </row>
    <row r="79" spans="1:13" s="61" customFormat="1" ht="15.75" customHeight="1" x14ac:dyDescent="0.25">
      <c r="A79" s="534" t="s">
        <v>219</v>
      </c>
      <c r="B79" s="534" t="s">
        <v>220</v>
      </c>
      <c r="C79" s="53"/>
      <c r="D79" s="108"/>
      <c r="E79" s="56"/>
      <c r="F79" s="327"/>
      <c r="G79" s="59"/>
      <c r="H79" s="60"/>
      <c r="I79" s="60"/>
      <c r="J79" s="60"/>
      <c r="K79" s="60"/>
      <c r="L79" s="60"/>
      <c r="M79" s="60"/>
    </row>
    <row r="80" spans="1:13" s="61" customFormat="1" x14ac:dyDescent="0.25">
      <c r="A80" s="536"/>
      <c r="B80" s="536"/>
      <c r="C80" s="119">
        <v>50</v>
      </c>
      <c r="D80" s="108">
        <v>108</v>
      </c>
      <c r="E80" s="49">
        <v>1978</v>
      </c>
      <c r="F80" s="332">
        <f t="shared" si="1"/>
        <v>41</v>
      </c>
      <c r="G80" s="59"/>
      <c r="H80" s="60"/>
      <c r="I80" s="60"/>
      <c r="J80" s="60"/>
      <c r="K80" s="60"/>
      <c r="L80" s="60"/>
      <c r="M80" s="60"/>
    </row>
    <row r="81" spans="1:13" s="61" customFormat="1" x14ac:dyDescent="0.25">
      <c r="A81" s="535"/>
      <c r="B81" s="535"/>
      <c r="C81" s="119">
        <v>50</v>
      </c>
      <c r="D81" s="108">
        <v>57</v>
      </c>
      <c r="E81" s="49">
        <v>1978</v>
      </c>
      <c r="F81" s="332">
        <f t="shared" ref="F81" si="2">2019-E81</f>
        <v>41</v>
      </c>
      <c r="G81" s="59"/>
      <c r="H81" s="60"/>
      <c r="I81" s="60"/>
      <c r="J81" s="60"/>
      <c r="K81" s="60"/>
      <c r="L81" s="60"/>
      <c r="M81" s="60"/>
    </row>
    <row r="82" spans="1:13" s="61" customFormat="1" ht="15.75" customHeight="1" x14ac:dyDescent="0.25">
      <c r="A82" s="525" t="s">
        <v>221</v>
      </c>
      <c r="B82" s="525" t="s">
        <v>222</v>
      </c>
      <c r="C82" s="53"/>
      <c r="D82" s="108"/>
      <c r="E82" s="56"/>
      <c r="F82" s="327"/>
      <c r="G82" s="59"/>
      <c r="H82" s="60"/>
      <c r="I82" s="60"/>
      <c r="J82" s="60"/>
      <c r="K82" s="60"/>
      <c r="L82" s="60"/>
      <c r="M82" s="60"/>
    </row>
    <row r="83" spans="1:13" s="61" customFormat="1" x14ac:dyDescent="0.25">
      <c r="A83" s="531"/>
      <c r="B83" s="531"/>
      <c r="C83" s="119">
        <v>13</v>
      </c>
      <c r="D83" s="108">
        <v>76</v>
      </c>
      <c r="E83" s="49">
        <v>1979</v>
      </c>
      <c r="F83" s="332">
        <f t="shared" ref="F83:F84" si="3">2019-E83</f>
        <v>40</v>
      </c>
      <c r="G83" s="59"/>
      <c r="H83" s="60"/>
      <c r="I83" s="60"/>
      <c r="J83" s="60"/>
      <c r="K83" s="60"/>
      <c r="L83" s="60"/>
      <c r="M83" s="60"/>
    </row>
    <row r="84" spans="1:13" s="61" customFormat="1" x14ac:dyDescent="0.25">
      <c r="A84" s="526"/>
      <c r="B84" s="526"/>
      <c r="C84" s="119">
        <v>13</v>
      </c>
      <c r="D84" s="108">
        <v>57</v>
      </c>
      <c r="E84" s="49">
        <v>1979</v>
      </c>
      <c r="F84" s="332">
        <f t="shared" si="3"/>
        <v>40</v>
      </c>
      <c r="G84" s="59"/>
      <c r="H84" s="60"/>
      <c r="I84" s="60"/>
      <c r="J84" s="60"/>
      <c r="K84" s="60"/>
      <c r="L84" s="60"/>
      <c r="M84" s="60"/>
    </row>
    <row r="85" spans="1:13" s="61" customFormat="1" ht="15.75" customHeight="1" x14ac:dyDescent="0.25">
      <c r="A85" s="525" t="s">
        <v>223</v>
      </c>
      <c r="B85" s="525" t="s">
        <v>224</v>
      </c>
      <c r="C85" s="53"/>
      <c r="D85" s="108"/>
      <c r="E85" s="56"/>
      <c r="F85" s="327"/>
      <c r="G85" s="59"/>
      <c r="H85" s="60"/>
      <c r="I85" s="60"/>
      <c r="J85" s="60"/>
      <c r="K85" s="60"/>
      <c r="L85" s="60"/>
      <c r="M85" s="60"/>
    </row>
    <row r="86" spans="1:13" s="61" customFormat="1" ht="18" customHeight="1" x14ac:dyDescent="0.25">
      <c r="A86" s="531"/>
      <c r="B86" s="531"/>
      <c r="C86" s="119">
        <v>92</v>
      </c>
      <c r="D86" s="108">
        <v>89</v>
      </c>
      <c r="E86" s="49">
        <v>1978</v>
      </c>
      <c r="F86" s="332">
        <f t="shared" ref="F86:F87" si="4">2019-E86</f>
        <v>41</v>
      </c>
      <c r="G86" s="59"/>
      <c r="H86" s="60"/>
      <c r="I86" s="60"/>
      <c r="J86" s="60"/>
      <c r="K86" s="60"/>
      <c r="L86" s="60"/>
      <c r="M86" s="60"/>
    </row>
    <row r="87" spans="1:13" s="61" customFormat="1" x14ac:dyDescent="0.25">
      <c r="A87" s="526"/>
      <c r="B87" s="526"/>
      <c r="C87" s="119">
        <v>92</v>
      </c>
      <c r="D87" s="108">
        <v>40</v>
      </c>
      <c r="E87" s="49">
        <v>1978</v>
      </c>
      <c r="F87" s="332">
        <f t="shared" si="4"/>
        <v>41</v>
      </c>
      <c r="G87" s="59"/>
      <c r="H87" s="60"/>
      <c r="I87" s="60"/>
      <c r="J87" s="60"/>
      <c r="K87" s="60"/>
      <c r="L87" s="60"/>
      <c r="M87" s="60"/>
    </row>
    <row r="88" spans="1:13" s="61" customFormat="1" ht="15.75" customHeight="1" x14ac:dyDescent="0.25">
      <c r="A88" s="525" t="s">
        <v>225</v>
      </c>
      <c r="B88" s="525" t="s">
        <v>226</v>
      </c>
      <c r="C88" s="53"/>
      <c r="D88" s="108"/>
      <c r="E88" s="56"/>
      <c r="F88" s="327"/>
      <c r="G88" s="59"/>
      <c r="H88" s="60"/>
      <c r="I88" s="60"/>
      <c r="J88" s="60"/>
      <c r="K88" s="60"/>
      <c r="L88" s="60"/>
      <c r="M88" s="60"/>
    </row>
    <row r="89" spans="1:13" s="61" customFormat="1" x14ac:dyDescent="0.25">
      <c r="A89" s="531"/>
      <c r="B89" s="531"/>
      <c r="C89" s="119">
        <v>72</v>
      </c>
      <c r="D89" s="108">
        <v>159</v>
      </c>
      <c r="E89" s="49">
        <v>1977</v>
      </c>
      <c r="F89" s="332">
        <f t="shared" ref="F89:F90" si="5">2019-E89</f>
        <v>42</v>
      </c>
      <c r="G89" s="59"/>
      <c r="H89" s="60"/>
      <c r="I89" s="60"/>
      <c r="J89" s="60"/>
      <c r="K89" s="60"/>
      <c r="L89" s="60"/>
      <c r="M89" s="60"/>
    </row>
    <row r="90" spans="1:13" s="61" customFormat="1" x14ac:dyDescent="0.25">
      <c r="A90" s="526"/>
      <c r="B90" s="526"/>
      <c r="C90" s="119">
        <v>72</v>
      </c>
      <c r="D90" s="108">
        <v>89</v>
      </c>
      <c r="E90" s="49">
        <v>1977</v>
      </c>
      <c r="F90" s="332">
        <f t="shared" si="5"/>
        <v>42</v>
      </c>
      <c r="G90" s="59"/>
      <c r="H90" s="60"/>
      <c r="I90" s="60"/>
      <c r="J90" s="60"/>
      <c r="K90" s="60"/>
      <c r="L90" s="60"/>
      <c r="M90" s="60"/>
    </row>
    <row r="91" spans="1:13" s="61" customFormat="1" ht="15.75" customHeight="1" x14ac:dyDescent="0.25">
      <c r="A91" s="525" t="s">
        <v>227</v>
      </c>
      <c r="B91" s="525" t="s">
        <v>228</v>
      </c>
      <c r="C91" s="119"/>
      <c r="D91" s="108"/>
      <c r="E91" s="56"/>
      <c r="F91" s="327"/>
      <c r="G91" s="59"/>
      <c r="H91" s="60"/>
      <c r="I91" s="60"/>
      <c r="J91" s="60"/>
      <c r="K91" s="60"/>
      <c r="L91" s="60"/>
      <c r="M91" s="60"/>
    </row>
    <row r="92" spans="1:13" s="61" customFormat="1" x14ac:dyDescent="0.25">
      <c r="A92" s="531"/>
      <c r="B92" s="531"/>
      <c r="C92" s="78">
        <v>62</v>
      </c>
      <c r="D92" s="108">
        <v>89</v>
      </c>
      <c r="E92" s="49">
        <v>2002</v>
      </c>
      <c r="F92" s="332">
        <f t="shared" ref="F92:F93" si="6">2019-E92</f>
        <v>17</v>
      </c>
      <c r="G92" s="59"/>
      <c r="H92" s="60"/>
      <c r="I92" s="60"/>
      <c r="J92" s="60"/>
      <c r="K92" s="60"/>
      <c r="L92" s="60"/>
      <c r="M92" s="60"/>
    </row>
    <row r="93" spans="1:13" s="61" customFormat="1" x14ac:dyDescent="0.25">
      <c r="A93" s="526"/>
      <c r="B93" s="526"/>
      <c r="C93" s="78">
        <v>62</v>
      </c>
      <c r="D93" s="108">
        <v>57</v>
      </c>
      <c r="E93" s="62">
        <v>2002</v>
      </c>
      <c r="F93" s="332">
        <f t="shared" si="6"/>
        <v>17</v>
      </c>
      <c r="G93" s="59"/>
      <c r="H93" s="60"/>
      <c r="I93" s="60"/>
      <c r="J93" s="60"/>
      <c r="K93" s="60"/>
      <c r="L93" s="60"/>
      <c r="M93" s="60"/>
    </row>
    <row r="94" spans="1:13" s="61" customFormat="1" ht="15.75" customHeight="1" x14ac:dyDescent="0.25">
      <c r="A94" s="525" t="s">
        <v>229</v>
      </c>
      <c r="B94" s="525" t="s">
        <v>230</v>
      </c>
      <c r="C94" s="53"/>
      <c r="D94" s="108"/>
      <c r="E94" s="56"/>
      <c r="F94" s="327"/>
      <c r="G94" s="59"/>
      <c r="H94" s="60"/>
      <c r="I94" s="60"/>
      <c r="J94" s="60"/>
      <c r="K94" s="60"/>
      <c r="L94" s="60"/>
      <c r="M94" s="60"/>
    </row>
    <row r="95" spans="1:13" s="61" customFormat="1" x14ac:dyDescent="0.25">
      <c r="A95" s="531"/>
      <c r="B95" s="531"/>
      <c r="C95" s="119">
        <v>33</v>
      </c>
      <c r="D95" s="108">
        <v>108</v>
      </c>
      <c r="E95" s="49">
        <v>1978</v>
      </c>
      <c r="F95" s="332">
        <f t="shared" ref="F95:F96" si="7">2019-E95</f>
        <v>41</v>
      </c>
      <c r="G95" s="59"/>
      <c r="H95" s="60"/>
      <c r="I95" s="60"/>
      <c r="J95" s="60"/>
      <c r="K95" s="60"/>
      <c r="L95" s="60"/>
      <c r="M95" s="60"/>
    </row>
    <row r="96" spans="1:13" s="61" customFormat="1" x14ac:dyDescent="0.25">
      <c r="A96" s="526"/>
      <c r="B96" s="526"/>
      <c r="C96" s="119">
        <v>33</v>
      </c>
      <c r="D96" s="108">
        <v>89</v>
      </c>
      <c r="E96" s="49">
        <v>1978</v>
      </c>
      <c r="F96" s="332">
        <f t="shared" si="7"/>
        <v>41</v>
      </c>
      <c r="G96" s="59"/>
      <c r="H96" s="60"/>
      <c r="I96" s="60"/>
      <c r="J96" s="60"/>
      <c r="K96" s="60"/>
      <c r="L96" s="60"/>
      <c r="M96" s="60"/>
    </row>
    <row r="97" spans="1:13" s="61" customFormat="1" ht="15.75" customHeight="1" x14ac:dyDescent="0.25">
      <c r="A97" s="565" t="s">
        <v>231</v>
      </c>
      <c r="B97" s="565" t="s">
        <v>232</v>
      </c>
      <c r="C97" s="53"/>
      <c r="D97" s="108"/>
      <c r="E97" s="56"/>
      <c r="F97" s="327"/>
      <c r="G97" s="59"/>
      <c r="H97" s="60"/>
      <c r="I97" s="60"/>
      <c r="J97" s="60"/>
      <c r="K97" s="60"/>
      <c r="L97" s="60"/>
      <c r="M97" s="60"/>
    </row>
    <row r="98" spans="1:13" s="61" customFormat="1" x14ac:dyDescent="0.25">
      <c r="A98" s="566"/>
      <c r="B98" s="566"/>
      <c r="C98" s="119">
        <v>34</v>
      </c>
      <c r="D98" s="108">
        <v>89</v>
      </c>
      <c r="E98" s="49">
        <v>1978</v>
      </c>
      <c r="F98" s="332">
        <f t="shared" ref="F98:F99" si="8">2019-E98</f>
        <v>41</v>
      </c>
      <c r="G98" s="59"/>
      <c r="H98" s="60"/>
      <c r="I98" s="60"/>
      <c r="J98" s="60"/>
      <c r="K98" s="60"/>
      <c r="L98" s="60"/>
      <c r="M98" s="60"/>
    </row>
    <row r="99" spans="1:13" s="61" customFormat="1" x14ac:dyDescent="0.25">
      <c r="A99" s="567"/>
      <c r="B99" s="567"/>
      <c r="C99" s="119">
        <v>34</v>
      </c>
      <c r="D99" s="108">
        <v>57</v>
      </c>
      <c r="E99" s="49">
        <v>1978</v>
      </c>
      <c r="F99" s="332">
        <f t="shared" si="8"/>
        <v>41</v>
      </c>
      <c r="G99" s="59"/>
      <c r="H99" s="60"/>
      <c r="I99" s="60"/>
      <c r="J99" s="60"/>
      <c r="K99" s="60"/>
      <c r="L99" s="60"/>
      <c r="M99" s="60"/>
    </row>
    <row r="100" spans="1:13" s="61" customFormat="1" ht="15.75" customHeight="1" x14ac:dyDescent="0.25">
      <c r="A100" s="565" t="s">
        <v>233</v>
      </c>
      <c r="B100" s="565" t="s">
        <v>234</v>
      </c>
      <c r="C100" s="53"/>
      <c r="D100" s="108"/>
      <c r="E100" s="56"/>
      <c r="F100" s="327"/>
      <c r="G100" s="59"/>
      <c r="H100" s="60"/>
      <c r="I100" s="60"/>
      <c r="J100" s="60"/>
      <c r="K100" s="60"/>
      <c r="L100" s="60"/>
      <c r="M100" s="60"/>
    </row>
    <row r="101" spans="1:13" s="61" customFormat="1" x14ac:dyDescent="0.25">
      <c r="A101" s="566"/>
      <c r="B101" s="566"/>
      <c r="C101" s="119">
        <v>66</v>
      </c>
      <c r="D101" s="108">
        <v>108</v>
      </c>
      <c r="E101" s="49">
        <v>1978</v>
      </c>
      <c r="F101" s="332">
        <f t="shared" ref="F101:F102" si="9">2019-E101</f>
        <v>41</v>
      </c>
      <c r="G101" s="59"/>
      <c r="H101" s="60"/>
      <c r="I101" s="60"/>
      <c r="J101" s="60"/>
      <c r="K101" s="60"/>
      <c r="L101" s="60"/>
      <c r="M101" s="60"/>
    </row>
    <row r="102" spans="1:13" s="61" customFormat="1" x14ac:dyDescent="0.25">
      <c r="A102" s="567"/>
      <c r="B102" s="567"/>
      <c r="C102" s="119">
        <v>66</v>
      </c>
      <c r="D102" s="108">
        <v>76</v>
      </c>
      <c r="E102" s="49">
        <v>1978</v>
      </c>
      <c r="F102" s="332">
        <f t="shared" si="9"/>
        <v>41</v>
      </c>
      <c r="G102" s="59"/>
      <c r="H102" s="60"/>
      <c r="I102" s="60"/>
      <c r="J102" s="60"/>
      <c r="K102" s="60"/>
      <c r="L102" s="60"/>
      <c r="M102" s="60"/>
    </row>
    <row r="103" spans="1:13" s="61" customFormat="1" ht="15.75" customHeight="1" x14ac:dyDescent="0.25">
      <c r="A103" s="525" t="s">
        <v>235</v>
      </c>
      <c r="B103" s="525" t="s">
        <v>236</v>
      </c>
      <c r="C103" s="53"/>
      <c r="D103" s="108"/>
      <c r="E103" s="56"/>
      <c r="F103" s="327"/>
      <c r="G103" s="59"/>
      <c r="H103" s="60"/>
      <c r="I103" s="60"/>
      <c r="J103" s="60"/>
      <c r="K103" s="60"/>
      <c r="L103" s="60"/>
      <c r="M103" s="60"/>
    </row>
    <row r="104" spans="1:13" s="61" customFormat="1" x14ac:dyDescent="0.25">
      <c r="A104" s="531"/>
      <c r="B104" s="531"/>
      <c r="C104" s="119">
        <v>19</v>
      </c>
      <c r="D104" s="108">
        <v>133</v>
      </c>
      <c r="E104" s="49">
        <v>1977</v>
      </c>
      <c r="F104" s="332">
        <f t="shared" ref="F104:F105" si="10">2019-E104</f>
        <v>42</v>
      </c>
      <c r="G104" s="59"/>
      <c r="H104" s="60"/>
      <c r="I104" s="60"/>
      <c r="J104" s="60"/>
      <c r="K104" s="60"/>
      <c r="L104" s="60"/>
      <c r="M104" s="60"/>
    </row>
    <row r="105" spans="1:13" s="61" customFormat="1" x14ac:dyDescent="0.25">
      <c r="A105" s="526"/>
      <c r="B105" s="526"/>
      <c r="C105" s="119">
        <v>19</v>
      </c>
      <c r="D105" s="108">
        <v>89</v>
      </c>
      <c r="E105" s="49">
        <v>1977</v>
      </c>
      <c r="F105" s="332">
        <f t="shared" si="10"/>
        <v>42</v>
      </c>
      <c r="G105" s="59"/>
      <c r="H105" s="60"/>
      <c r="I105" s="60"/>
      <c r="J105" s="60"/>
      <c r="K105" s="60"/>
      <c r="L105" s="60"/>
      <c r="M105" s="60"/>
    </row>
    <row r="106" spans="1:13" s="61" customFormat="1" ht="15.75" customHeight="1" x14ac:dyDescent="0.25">
      <c r="A106" s="525" t="s">
        <v>237</v>
      </c>
      <c r="B106" s="525" t="s">
        <v>238</v>
      </c>
      <c r="C106" s="53"/>
      <c r="D106" s="108"/>
      <c r="E106" s="56"/>
      <c r="F106" s="327"/>
      <c r="G106" s="59"/>
      <c r="H106" s="60"/>
      <c r="I106" s="60"/>
      <c r="J106" s="60"/>
      <c r="K106" s="60"/>
      <c r="L106" s="60"/>
      <c r="M106" s="60"/>
    </row>
    <row r="107" spans="1:13" s="61" customFormat="1" x14ac:dyDescent="0.25">
      <c r="A107" s="531"/>
      <c r="B107" s="531"/>
      <c r="C107" s="119">
        <v>77</v>
      </c>
      <c r="D107" s="108">
        <v>89</v>
      </c>
      <c r="E107" s="49">
        <v>1977</v>
      </c>
      <c r="F107" s="332">
        <f t="shared" ref="F107:F108" si="11">2019-E107</f>
        <v>42</v>
      </c>
      <c r="G107" s="59"/>
      <c r="H107" s="60"/>
      <c r="I107" s="60"/>
      <c r="J107" s="60"/>
      <c r="K107" s="60"/>
      <c r="L107" s="60"/>
      <c r="M107" s="60"/>
    </row>
    <row r="108" spans="1:13" s="61" customFormat="1" x14ac:dyDescent="0.25">
      <c r="A108" s="526"/>
      <c r="B108" s="526"/>
      <c r="C108" s="119">
        <v>77</v>
      </c>
      <c r="D108" s="108">
        <v>57</v>
      </c>
      <c r="E108" s="49">
        <v>1977</v>
      </c>
      <c r="F108" s="332">
        <f t="shared" si="11"/>
        <v>42</v>
      </c>
      <c r="G108" s="59"/>
      <c r="H108" s="60"/>
      <c r="I108" s="60"/>
      <c r="J108" s="60"/>
      <c r="K108" s="60"/>
      <c r="L108" s="60"/>
      <c r="M108" s="60"/>
    </row>
    <row r="109" spans="1:13" s="61" customFormat="1" ht="15.75" customHeight="1" x14ac:dyDescent="0.25">
      <c r="A109" s="525" t="s">
        <v>237</v>
      </c>
      <c r="B109" s="525" t="s">
        <v>239</v>
      </c>
      <c r="C109" s="119"/>
      <c r="D109" s="108"/>
      <c r="E109" s="56"/>
      <c r="F109" s="327"/>
      <c r="G109" s="59"/>
      <c r="H109" s="60"/>
      <c r="I109" s="60"/>
      <c r="J109" s="60"/>
      <c r="K109" s="60"/>
      <c r="L109" s="60"/>
      <c r="M109" s="60"/>
    </row>
    <row r="110" spans="1:13" s="61" customFormat="1" x14ac:dyDescent="0.25">
      <c r="A110" s="531"/>
      <c r="B110" s="531"/>
      <c r="C110" s="78">
        <v>54</v>
      </c>
      <c r="D110" s="108">
        <v>89</v>
      </c>
      <c r="E110" s="49">
        <v>2000</v>
      </c>
      <c r="F110" s="332">
        <f t="shared" ref="F110:F111" si="12">2019-E110</f>
        <v>19</v>
      </c>
      <c r="G110" s="59"/>
      <c r="H110" s="60"/>
      <c r="I110" s="60"/>
      <c r="J110" s="60"/>
      <c r="K110" s="60"/>
      <c r="L110" s="60"/>
      <c r="M110" s="60"/>
    </row>
    <row r="111" spans="1:13" s="61" customFormat="1" x14ac:dyDescent="0.25">
      <c r="A111" s="526"/>
      <c r="B111" s="526"/>
      <c r="C111" s="78">
        <v>54</v>
      </c>
      <c r="D111" s="108">
        <v>57</v>
      </c>
      <c r="E111" s="49">
        <v>2000</v>
      </c>
      <c r="F111" s="332">
        <f t="shared" si="12"/>
        <v>19</v>
      </c>
      <c r="G111" s="59"/>
      <c r="H111" s="60"/>
      <c r="I111" s="60"/>
      <c r="J111" s="60"/>
      <c r="K111" s="60"/>
      <c r="L111" s="60"/>
      <c r="M111" s="60"/>
    </row>
    <row r="112" spans="1:13" s="61" customFormat="1" ht="15.75" customHeight="1" x14ac:dyDescent="0.25">
      <c r="A112" s="525" t="s">
        <v>213</v>
      </c>
      <c r="B112" s="525" t="s">
        <v>240</v>
      </c>
      <c r="C112" s="53"/>
      <c r="D112" s="108"/>
      <c r="E112" s="56"/>
      <c r="F112" s="327"/>
      <c r="G112" s="59"/>
      <c r="H112" s="60"/>
      <c r="I112" s="60"/>
      <c r="J112" s="60"/>
      <c r="K112" s="60"/>
      <c r="L112" s="60"/>
      <c r="M112" s="60"/>
    </row>
    <row r="113" spans="1:13" s="61" customFormat="1" x14ac:dyDescent="0.25">
      <c r="A113" s="531"/>
      <c r="B113" s="531"/>
      <c r="C113" s="119">
        <v>84</v>
      </c>
      <c r="D113" s="108">
        <v>108</v>
      </c>
      <c r="E113" s="49">
        <v>1980</v>
      </c>
      <c r="F113" s="332">
        <f t="shared" ref="F113:F114" si="13">2019-E113</f>
        <v>39</v>
      </c>
      <c r="G113" s="59"/>
      <c r="H113" s="60"/>
      <c r="I113" s="60"/>
      <c r="J113" s="60"/>
      <c r="K113" s="60"/>
      <c r="L113" s="60"/>
      <c r="M113" s="60"/>
    </row>
    <row r="114" spans="1:13" s="61" customFormat="1" x14ac:dyDescent="0.25">
      <c r="A114" s="526"/>
      <c r="B114" s="526"/>
      <c r="C114" s="119">
        <v>84</v>
      </c>
      <c r="D114" s="108">
        <v>57</v>
      </c>
      <c r="E114" s="49">
        <v>1980</v>
      </c>
      <c r="F114" s="332">
        <f t="shared" si="13"/>
        <v>39</v>
      </c>
      <c r="G114" s="59"/>
      <c r="H114" s="60"/>
      <c r="I114" s="60"/>
      <c r="J114" s="60"/>
      <c r="K114" s="60"/>
      <c r="L114" s="60"/>
      <c r="M114" s="60"/>
    </row>
    <row r="115" spans="1:13" s="61" customFormat="1" ht="15.75" customHeight="1" x14ac:dyDescent="0.25">
      <c r="A115" s="525" t="s">
        <v>241</v>
      </c>
      <c r="B115" s="525" t="s">
        <v>242</v>
      </c>
      <c r="C115" s="53"/>
      <c r="D115" s="108"/>
      <c r="E115" s="56"/>
      <c r="F115" s="327"/>
      <c r="G115" s="59"/>
      <c r="H115" s="60"/>
      <c r="I115" s="60"/>
      <c r="J115" s="60"/>
      <c r="K115" s="60"/>
      <c r="L115" s="60"/>
      <c r="M115" s="60"/>
    </row>
    <row r="116" spans="1:13" s="61" customFormat="1" ht="18" customHeight="1" x14ac:dyDescent="0.25">
      <c r="A116" s="531"/>
      <c r="B116" s="531"/>
      <c r="C116" s="119">
        <v>38</v>
      </c>
      <c r="D116" s="108">
        <v>133</v>
      </c>
      <c r="E116" s="49">
        <v>1977</v>
      </c>
      <c r="F116" s="332">
        <f t="shared" ref="F116:F117" si="14">2019-E116</f>
        <v>42</v>
      </c>
      <c r="G116" s="59"/>
      <c r="H116" s="60"/>
      <c r="I116" s="60"/>
      <c r="J116" s="60"/>
      <c r="K116" s="60"/>
      <c r="L116" s="60"/>
      <c r="M116" s="60"/>
    </row>
    <row r="117" spans="1:13" s="61" customFormat="1" x14ac:dyDescent="0.25">
      <c r="A117" s="526"/>
      <c r="B117" s="526"/>
      <c r="C117" s="119">
        <v>38</v>
      </c>
      <c r="D117" s="108">
        <v>76</v>
      </c>
      <c r="E117" s="64">
        <v>1977</v>
      </c>
      <c r="F117" s="332">
        <f t="shared" si="14"/>
        <v>42</v>
      </c>
      <c r="G117" s="59"/>
      <c r="H117" s="60"/>
      <c r="I117" s="60"/>
      <c r="J117" s="60"/>
      <c r="K117" s="60"/>
      <c r="L117" s="60"/>
      <c r="M117" s="60"/>
    </row>
    <row r="118" spans="1:13" s="61" customFormat="1" ht="15.75" customHeight="1" x14ac:dyDescent="0.25">
      <c r="A118" s="525" t="s">
        <v>235</v>
      </c>
      <c r="B118" s="525" t="s">
        <v>243</v>
      </c>
      <c r="C118" s="53"/>
      <c r="D118" s="108"/>
      <c r="E118" s="56"/>
      <c r="F118" s="327"/>
      <c r="G118" s="59"/>
      <c r="H118" s="60"/>
      <c r="I118" s="60"/>
      <c r="J118" s="60"/>
      <c r="K118" s="60"/>
      <c r="L118" s="60"/>
      <c r="M118" s="60"/>
    </row>
    <row r="119" spans="1:13" s="61" customFormat="1" x14ac:dyDescent="0.25">
      <c r="A119" s="531"/>
      <c r="B119" s="531"/>
      <c r="C119" s="119">
        <v>18</v>
      </c>
      <c r="D119" s="108">
        <v>133</v>
      </c>
      <c r="E119" s="49">
        <v>1977</v>
      </c>
      <c r="F119" s="332">
        <f t="shared" ref="F119:F120" si="15">2019-E119</f>
        <v>42</v>
      </c>
      <c r="G119" s="59"/>
      <c r="H119" s="60"/>
      <c r="I119" s="60"/>
      <c r="J119" s="60"/>
      <c r="K119" s="60"/>
      <c r="L119" s="60"/>
      <c r="M119" s="60"/>
    </row>
    <row r="120" spans="1:13" s="61" customFormat="1" x14ac:dyDescent="0.25">
      <c r="A120" s="526"/>
      <c r="B120" s="526"/>
      <c r="C120" s="119">
        <v>18</v>
      </c>
      <c r="D120" s="108">
        <v>89</v>
      </c>
      <c r="E120" s="64">
        <v>1977</v>
      </c>
      <c r="F120" s="332">
        <f t="shared" si="15"/>
        <v>42</v>
      </c>
      <c r="G120" s="59"/>
      <c r="H120" s="60"/>
      <c r="I120" s="60"/>
      <c r="J120" s="60"/>
      <c r="K120" s="60"/>
      <c r="L120" s="60"/>
      <c r="M120" s="60"/>
    </row>
    <row r="121" spans="1:13" s="61" customFormat="1" ht="16.5" customHeight="1" x14ac:dyDescent="0.25">
      <c r="A121" s="525" t="s">
        <v>244</v>
      </c>
      <c r="B121" s="525" t="s">
        <v>245</v>
      </c>
      <c r="C121" s="53"/>
      <c r="D121" s="108"/>
      <c r="E121" s="56"/>
      <c r="F121" s="327"/>
      <c r="G121" s="59"/>
      <c r="H121" s="60"/>
      <c r="I121" s="60"/>
      <c r="J121" s="60"/>
      <c r="K121" s="60"/>
      <c r="L121" s="60"/>
      <c r="M121" s="60"/>
    </row>
    <row r="122" spans="1:13" s="61" customFormat="1" x14ac:dyDescent="0.25">
      <c r="A122" s="531"/>
      <c r="B122" s="531"/>
      <c r="C122" s="119">
        <v>28</v>
      </c>
      <c r="D122" s="108">
        <v>57</v>
      </c>
      <c r="E122" s="49">
        <v>1977</v>
      </c>
      <c r="F122" s="332">
        <f t="shared" ref="F122:F123" si="16">2019-E122</f>
        <v>42</v>
      </c>
      <c r="G122" s="59"/>
      <c r="H122" s="60"/>
      <c r="I122" s="60"/>
      <c r="J122" s="60"/>
      <c r="K122" s="60"/>
      <c r="L122" s="60"/>
      <c r="M122" s="60"/>
    </row>
    <row r="123" spans="1:13" s="61" customFormat="1" x14ac:dyDescent="0.25">
      <c r="A123" s="526"/>
      <c r="B123" s="526"/>
      <c r="C123" s="119">
        <v>28</v>
      </c>
      <c r="D123" s="108">
        <v>57</v>
      </c>
      <c r="E123" s="64">
        <v>1977</v>
      </c>
      <c r="F123" s="332">
        <f t="shared" si="16"/>
        <v>42</v>
      </c>
      <c r="G123" s="59"/>
      <c r="H123" s="60"/>
      <c r="I123" s="60"/>
      <c r="J123" s="60"/>
      <c r="K123" s="60"/>
      <c r="L123" s="60"/>
      <c r="M123" s="60"/>
    </row>
    <row r="124" spans="1:13" s="61" customFormat="1" ht="15.75" customHeight="1" x14ac:dyDescent="0.25">
      <c r="A124" s="534" t="s">
        <v>246</v>
      </c>
      <c r="B124" s="534" t="s">
        <v>214</v>
      </c>
      <c r="C124" s="119"/>
      <c r="D124" s="108"/>
      <c r="E124" s="56"/>
      <c r="F124" s="327"/>
      <c r="G124" s="59"/>
      <c r="H124" s="60"/>
      <c r="I124" s="60"/>
      <c r="J124" s="60"/>
      <c r="K124" s="60"/>
      <c r="L124" s="60"/>
      <c r="M124" s="60"/>
    </row>
    <row r="125" spans="1:13" s="61" customFormat="1" x14ac:dyDescent="0.25">
      <c r="A125" s="536"/>
      <c r="B125" s="536"/>
      <c r="C125" s="78">
        <v>57</v>
      </c>
      <c r="D125" s="108">
        <v>133</v>
      </c>
      <c r="E125" s="49">
        <v>2003</v>
      </c>
      <c r="F125" s="332">
        <f t="shared" ref="F125:F126" si="17">2019-E125</f>
        <v>16</v>
      </c>
      <c r="G125" s="59"/>
      <c r="H125" s="60"/>
      <c r="I125" s="60"/>
      <c r="J125" s="60"/>
      <c r="K125" s="60"/>
      <c r="L125" s="60"/>
      <c r="M125" s="60"/>
    </row>
    <row r="126" spans="1:13" s="61" customFormat="1" x14ac:dyDescent="0.25">
      <c r="A126" s="535"/>
      <c r="B126" s="535"/>
      <c r="C126" s="78">
        <v>57</v>
      </c>
      <c r="D126" s="108">
        <v>89</v>
      </c>
      <c r="E126" s="49">
        <v>2003</v>
      </c>
      <c r="F126" s="332">
        <f t="shared" si="17"/>
        <v>16</v>
      </c>
      <c r="G126" s="59"/>
      <c r="H126" s="60"/>
      <c r="I126" s="60"/>
      <c r="J126" s="60"/>
      <c r="K126" s="60"/>
      <c r="L126" s="60"/>
      <c r="M126" s="60"/>
    </row>
    <row r="127" spans="1:13" s="61" customFormat="1" ht="15.75" customHeight="1" x14ac:dyDescent="0.25">
      <c r="A127" s="534" t="s">
        <v>247</v>
      </c>
      <c r="B127" s="534" t="s">
        <v>248</v>
      </c>
      <c r="C127" s="53"/>
      <c r="D127" s="108"/>
      <c r="E127" s="56"/>
      <c r="F127" s="327"/>
      <c r="G127" s="59"/>
      <c r="H127" s="60"/>
      <c r="I127" s="60"/>
      <c r="J127" s="60"/>
      <c r="K127" s="60"/>
      <c r="L127" s="60"/>
      <c r="M127" s="60"/>
    </row>
    <row r="128" spans="1:13" s="61" customFormat="1" x14ac:dyDescent="0.25">
      <c r="A128" s="536"/>
      <c r="B128" s="536"/>
      <c r="C128" s="119">
        <v>52</v>
      </c>
      <c r="D128" s="108">
        <v>89</v>
      </c>
      <c r="E128" s="49">
        <v>1979</v>
      </c>
      <c r="F128" s="332">
        <f t="shared" ref="F128:F129" si="18">2019-E128</f>
        <v>40</v>
      </c>
      <c r="G128" s="59"/>
      <c r="H128" s="60"/>
      <c r="I128" s="60"/>
      <c r="J128" s="60"/>
      <c r="K128" s="60"/>
      <c r="L128" s="60"/>
      <c r="M128" s="60"/>
    </row>
    <row r="129" spans="1:13" s="61" customFormat="1" x14ac:dyDescent="0.25">
      <c r="A129" s="535"/>
      <c r="B129" s="535"/>
      <c r="C129" s="119">
        <v>52</v>
      </c>
      <c r="D129" s="108">
        <v>57</v>
      </c>
      <c r="E129" s="49">
        <v>1979</v>
      </c>
      <c r="F129" s="332">
        <f t="shared" si="18"/>
        <v>40</v>
      </c>
      <c r="G129" s="59"/>
      <c r="H129" s="60"/>
      <c r="I129" s="60"/>
      <c r="J129" s="60"/>
      <c r="K129" s="60"/>
      <c r="L129" s="60"/>
      <c r="M129" s="60"/>
    </row>
    <row r="130" spans="1:13" s="61" customFormat="1" ht="15.75" customHeight="1" x14ac:dyDescent="0.25">
      <c r="A130" s="525" t="s">
        <v>241</v>
      </c>
      <c r="B130" s="525" t="s">
        <v>249</v>
      </c>
      <c r="C130" s="53"/>
      <c r="D130" s="108"/>
      <c r="E130" s="56"/>
      <c r="F130" s="327"/>
      <c r="G130" s="59"/>
      <c r="H130" s="60"/>
      <c r="I130" s="60"/>
      <c r="J130" s="60"/>
      <c r="K130" s="60"/>
      <c r="L130" s="60"/>
      <c r="M130" s="60"/>
    </row>
    <row r="131" spans="1:13" s="61" customFormat="1" ht="21" customHeight="1" x14ac:dyDescent="0.25">
      <c r="A131" s="531"/>
      <c r="B131" s="531"/>
      <c r="C131" s="119">
        <v>11</v>
      </c>
      <c r="D131" s="108">
        <v>89</v>
      </c>
      <c r="E131" s="49">
        <v>1978</v>
      </c>
      <c r="F131" s="332">
        <f t="shared" ref="F131:F132" si="19">2019-E131</f>
        <v>41</v>
      </c>
      <c r="G131" s="59"/>
      <c r="H131" s="60"/>
      <c r="I131" s="60"/>
      <c r="J131" s="60"/>
      <c r="K131" s="60"/>
      <c r="L131" s="60"/>
      <c r="M131" s="60"/>
    </row>
    <row r="132" spans="1:13" s="61" customFormat="1" x14ac:dyDescent="0.25">
      <c r="A132" s="526"/>
      <c r="B132" s="526"/>
      <c r="C132" s="119">
        <v>11</v>
      </c>
      <c r="D132" s="108">
        <v>40</v>
      </c>
      <c r="E132" s="49">
        <v>1978</v>
      </c>
      <c r="F132" s="332">
        <f t="shared" si="19"/>
        <v>41</v>
      </c>
      <c r="G132" s="59"/>
      <c r="H132" s="60"/>
      <c r="I132" s="60"/>
      <c r="J132" s="60"/>
      <c r="K132" s="60"/>
      <c r="L132" s="60"/>
      <c r="M132" s="60"/>
    </row>
    <row r="133" spans="1:13" s="61" customFormat="1" ht="15.75" customHeight="1" x14ac:dyDescent="0.25">
      <c r="A133" s="525" t="s">
        <v>250</v>
      </c>
      <c r="B133" s="525" t="s">
        <v>251</v>
      </c>
      <c r="C133" s="119"/>
      <c r="D133" s="108"/>
      <c r="E133" s="56"/>
      <c r="F133" s="327"/>
      <c r="G133" s="59"/>
      <c r="H133" s="60"/>
      <c r="I133" s="60"/>
      <c r="J133" s="60"/>
      <c r="K133" s="60"/>
      <c r="L133" s="60"/>
      <c r="M133" s="60"/>
    </row>
    <row r="134" spans="1:13" s="61" customFormat="1" ht="20.25" customHeight="1" x14ac:dyDescent="0.25">
      <c r="A134" s="531"/>
      <c r="B134" s="531"/>
      <c r="C134" s="78">
        <v>86</v>
      </c>
      <c r="D134" s="108">
        <v>89</v>
      </c>
      <c r="E134" s="49">
        <v>2008</v>
      </c>
      <c r="F134" s="332">
        <f t="shared" ref="F134:F135" si="20">2019-E134</f>
        <v>11</v>
      </c>
      <c r="G134" s="59"/>
      <c r="H134" s="60"/>
      <c r="I134" s="60"/>
      <c r="J134" s="60"/>
      <c r="K134" s="60"/>
      <c r="L134" s="60"/>
      <c r="M134" s="60"/>
    </row>
    <row r="135" spans="1:13" s="61" customFormat="1" x14ac:dyDescent="0.25">
      <c r="A135" s="526"/>
      <c r="B135" s="526"/>
      <c r="C135" s="78">
        <v>86</v>
      </c>
      <c r="D135" s="108">
        <v>57</v>
      </c>
      <c r="E135" s="49">
        <v>2008</v>
      </c>
      <c r="F135" s="332">
        <f t="shared" si="20"/>
        <v>11</v>
      </c>
      <c r="G135" s="59"/>
      <c r="H135" s="60"/>
      <c r="I135" s="60"/>
      <c r="J135" s="60"/>
      <c r="K135" s="60"/>
      <c r="L135" s="60"/>
      <c r="M135" s="60"/>
    </row>
    <row r="136" spans="1:13" s="61" customFormat="1" ht="15.75" customHeight="1" x14ac:dyDescent="0.25">
      <c r="A136" s="525" t="s">
        <v>197</v>
      </c>
      <c r="B136" s="525" t="s">
        <v>252</v>
      </c>
      <c r="C136" s="119"/>
      <c r="D136" s="108"/>
      <c r="E136" s="56"/>
      <c r="F136" s="327"/>
      <c r="G136" s="59"/>
      <c r="H136" s="60"/>
      <c r="I136" s="60"/>
      <c r="J136" s="60"/>
      <c r="K136" s="60"/>
      <c r="L136" s="60"/>
      <c r="M136" s="60"/>
    </row>
    <row r="137" spans="1:13" s="61" customFormat="1" x14ac:dyDescent="0.25">
      <c r="A137" s="531"/>
      <c r="B137" s="531"/>
      <c r="C137" s="55">
        <v>20</v>
      </c>
      <c r="D137" s="108">
        <v>76</v>
      </c>
      <c r="E137" s="49">
        <v>2008</v>
      </c>
      <c r="F137" s="332">
        <f t="shared" ref="F137:F138" si="21">2019-E137</f>
        <v>11</v>
      </c>
      <c r="G137" s="59"/>
      <c r="H137" s="60"/>
      <c r="I137" s="60"/>
      <c r="J137" s="60"/>
      <c r="K137" s="60"/>
      <c r="L137" s="60"/>
      <c r="M137" s="60"/>
    </row>
    <row r="138" spans="1:13" s="61" customFormat="1" x14ac:dyDescent="0.25">
      <c r="A138" s="526"/>
      <c r="B138" s="526"/>
      <c r="C138" s="78">
        <v>20</v>
      </c>
      <c r="D138" s="108">
        <v>57</v>
      </c>
      <c r="E138" s="49">
        <v>2008</v>
      </c>
      <c r="F138" s="332">
        <f t="shared" si="21"/>
        <v>11</v>
      </c>
      <c r="G138" s="59"/>
      <c r="H138" s="60"/>
      <c r="I138" s="60"/>
      <c r="J138" s="60"/>
      <c r="K138" s="60"/>
      <c r="L138" s="60"/>
      <c r="M138" s="60"/>
    </row>
    <row r="139" spans="1:13" s="61" customFormat="1" ht="15.75" customHeight="1" x14ac:dyDescent="0.25">
      <c r="A139" s="525" t="s">
        <v>253</v>
      </c>
      <c r="B139" s="525" t="s">
        <v>254</v>
      </c>
      <c r="C139" s="53"/>
      <c r="D139" s="108"/>
      <c r="E139" s="49"/>
      <c r="F139" s="327"/>
      <c r="G139" s="59"/>
      <c r="H139" s="60"/>
      <c r="I139" s="60"/>
      <c r="J139" s="60"/>
      <c r="K139" s="60"/>
      <c r="L139" s="60"/>
      <c r="M139" s="60"/>
    </row>
    <row r="140" spans="1:13" s="61" customFormat="1" x14ac:dyDescent="0.25">
      <c r="A140" s="531"/>
      <c r="B140" s="531"/>
      <c r="C140" s="119">
        <v>9.3000000000000007</v>
      </c>
      <c r="D140" s="108">
        <v>76</v>
      </c>
      <c r="E140" s="49">
        <v>1978</v>
      </c>
      <c r="F140" s="332">
        <f t="shared" ref="F140:F141" si="22">2019-E140</f>
        <v>41</v>
      </c>
      <c r="G140" s="59"/>
      <c r="H140" s="60"/>
      <c r="I140" s="60"/>
      <c r="J140" s="60"/>
      <c r="K140" s="60"/>
      <c r="L140" s="60"/>
      <c r="M140" s="60"/>
    </row>
    <row r="141" spans="1:13" s="61" customFormat="1" x14ac:dyDescent="0.25">
      <c r="A141" s="526"/>
      <c r="B141" s="526"/>
      <c r="C141" s="119">
        <v>9.3000000000000007</v>
      </c>
      <c r="D141" s="108">
        <v>57</v>
      </c>
      <c r="E141" s="49">
        <v>1978</v>
      </c>
      <c r="F141" s="332">
        <f t="shared" si="22"/>
        <v>41</v>
      </c>
      <c r="G141" s="59"/>
      <c r="H141" s="60"/>
      <c r="I141" s="60"/>
      <c r="J141" s="60"/>
      <c r="K141" s="60"/>
      <c r="L141" s="60"/>
      <c r="M141" s="60"/>
    </row>
    <row r="142" spans="1:13" s="61" customFormat="1" ht="15.75" customHeight="1" x14ac:dyDescent="0.25">
      <c r="A142" s="525" t="s">
        <v>213</v>
      </c>
      <c r="B142" s="525" t="s">
        <v>255</v>
      </c>
      <c r="C142" s="53"/>
      <c r="D142" s="108"/>
      <c r="E142" s="49"/>
      <c r="F142" s="327"/>
      <c r="G142" s="59"/>
      <c r="H142" s="60"/>
      <c r="I142" s="60"/>
      <c r="J142" s="60"/>
      <c r="K142" s="60"/>
      <c r="L142" s="60"/>
      <c r="M142" s="60"/>
    </row>
    <row r="143" spans="1:13" s="61" customFormat="1" x14ac:dyDescent="0.25">
      <c r="A143" s="531"/>
      <c r="B143" s="531"/>
      <c r="C143" s="119">
        <v>32</v>
      </c>
      <c r="D143" s="108">
        <v>133</v>
      </c>
      <c r="E143" s="49">
        <v>1978</v>
      </c>
      <c r="F143" s="332">
        <f t="shared" ref="F143:F144" si="23">2019-E143</f>
        <v>41</v>
      </c>
      <c r="G143" s="59"/>
      <c r="H143" s="60"/>
      <c r="I143" s="60"/>
      <c r="J143" s="60"/>
      <c r="K143" s="60"/>
      <c r="L143" s="60"/>
      <c r="M143" s="60"/>
    </row>
    <row r="144" spans="1:13" s="61" customFormat="1" x14ac:dyDescent="0.25">
      <c r="A144" s="526"/>
      <c r="B144" s="526"/>
      <c r="C144" s="119">
        <v>32</v>
      </c>
      <c r="D144" s="108">
        <v>76</v>
      </c>
      <c r="E144" s="49">
        <v>1978</v>
      </c>
      <c r="F144" s="332">
        <f t="shared" si="23"/>
        <v>41</v>
      </c>
      <c r="G144" s="59"/>
      <c r="H144" s="60"/>
      <c r="I144" s="60"/>
      <c r="J144" s="60"/>
      <c r="K144" s="60"/>
      <c r="L144" s="60"/>
      <c r="M144" s="60"/>
    </row>
    <row r="145" spans="1:13" s="61" customFormat="1" ht="15.75" customHeight="1" x14ac:dyDescent="0.25">
      <c r="A145" s="525" t="s">
        <v>256</v>
      </c>
      <c r="B145" s="525" t="s">
        <v>226</v>
      </c>
      <c r="C145" s="53"/>
      <c r="D145" s="108"/>
      <c r="E145" s="49"/>
      <c r="F145" s="327"/>
      <c r="G145" s="59"/>
      <c r="H145" s="60"/>
      <c r="I145" s="60"/>
      <c r="J145" s="60"/>
      <c r="K145" s="60"/>
      <c r="L145" s="60"/>
      <c r="M145" s="60"/>
    </row>
    <row r="146" spans="1:13" s="61" customFormat="1" x14ac:dyDescent="0.25">
      <c r="A146" s="531"/>
      <c r="B146" s="531"/>
      <c r="C146" s="119">
        <v>17</v>
      </c>
      <c r="D146" s="108">
        <v>159</v>
      </c>
      <c r="E146" s="49">
        <v>1978</v>
      </c>
      <c r="F146" s="332">
        <f t="shared" ref="F146:F147" si="24">2019-E146</f>
        <v>41</v>
      </c>
      <c r="G146" s="59"/>
      <c r="H146" s="60"/>
      <c r="I146" s="60"/>
      <c r="J146" s="60"/>
      <c r="K146" s="60"/>
      <c r="L146" s="60"/>
      <c r="M146" s="60"/>
    </row>
    <row r="147" spans="1:13" s="61" customFormat="1" x14ac:dyDescent="0.25">
      <c r="A147" s="526"/>
      <c r="B147" s="526"/>
      <c r="C147" s="119">
        <v>17</v>
      </c>
      <c r="D147" s="108">
        <v>108</v>
      </c>
      <c r="E147" s="49">
        <v>1978</v>
      </c>
      <c r="F147" s="332">
        <f t="shared" si="24"/>
        <v>41</v>
      </c>
      <c r="G147" s="59"/>
      <c r="H147" s="60"/>
      <c r="I147" s="60"/>
      <c r="J147" s="60"/>
      <c r="K147" s="60"/>
      <c r="L147" s="60"/>
      <c r="M147" s="60"/>
    </row>
    <row r="148" spans="1:13" s="61" customFormat="1" ht="15.75" customHeight="1" x14ac:dyDescent="0.25">
      <c r="A148" s="525" t="s">
        <v>257</v>
      </c>
      <c r="B148" s="525" t="s">
        <v>258</v>
      </c>
      <c r="C148" s="53"/>
      <c r="D148" s="108"/>
      <c r="E148" s="49"/>
      <c r="F148" s="327"/>
      <c r="G148" s="59"/>
      <c r="H148" s="60"/>
      <c r="I148" s="60"/>
      <c r="J148" s="60"/>
      <c r="K148" s="60"/>
      <c r="L148" s="60"/>
      <c r="M148" s="60"/>
    </row>
    <row r="149" spans="1:13" s="61" customFormat="1" x14ac:dyDescent="0.25">
      <c r="A149" s="531"/>
      <c r="B149" s="531"/>
      <c r="C149" s="119">
        <v>30</v>
      </c>
      <c r="D149" s="108">
        <v>76</v>
      </c>
      <c r="E149" s="49">
        <v>1980</v>
      </c>
      <c r="F149" s="332">
        <f t="shared" ref="F149:F150" si="25">2019-E149</f>
        <v>39</v>
      </c>
      <c r="G149" s="59"/>
      <c r="H149" s="60"/>
      <c r="I149" s="60"/>
      <c r="J149" s="60"/>
      <c r="K149" s="60"/>
      <c r="L149" s="60"/>
      <c r="M149" s="60"/>
    </row>
    <row r="150" spans="1:13" s="61" customFormat="1" x14ac:dyDescent="0.25">
      <c r="A150" s="526"/>
      <c r="B150" s="526"/>
      <c r="C150" s="119">
        <v>30</v>
      </c>
      <c r="D150" s="108">
        <v>57</v>
      </c>
      <c r="E150" s="49">
        <v>1980</v>
      </c>
      <c r="F150" s="332">
        <f t="shared" si="25"/>
        <v>39</v>
      </c>
      <c r="G150" s="59"/>
      <c r="H150" s="60"/>
      <c r="I150" s="60"/>
      <c r="J150" s="60"/>
      <c r="K150" s="60"/>
      <c r="L150" s="60"/>
      <c r="M150" s="60"/>
    </row>
    <row r="151" spans="1:13" s="61" customFormat="1" ht="15.75" customHeight="1" x14ac:dyDescent="0.25">
      <c r="A151" s="525" t="s">
        <v>259</v>
      </c>
      <c r="B151" s="525" t="s">
        <v>260</v>
      </c>
      <c r="C151" s="53"/>
      <c r="D151" s="108"/>
      <c r="E151" s="49"/>
      <c r="F151" s="327"/>
      <c r="G151" s="59"/>
      <c r="H151" s="60"/>
      <c r="I151" s="60"/>
      <c r="J151" s="60"/>
      <c r="K151" s="60"/>
      <c r="L151" s="60"/>
      <c r="M151" s="60"/>
    </row>
    <row r="152" spans="1:13" s="61" customFormat="1" ht="18.75" customHeight="1" x14ac:dyDescent="0.25">
      <c r="A152" s="531"/>
      <c r="B152" s="531"/>
      <c r="C152" s="119">
        <v>97</v>
      </c>
      <c r="D152" s="108">
        <v>108</v>
      </c>
      <c r="E152" s="49">
        <v>1980</v>
      </c>
      <c r="F152" s="332">
        <f t="shared" ref="F152:F215" si="26">2019-E152</f>
        <v>39</v>
      </c>
      <c r="G152" s="59"/>
      <c r="H152" s="60"/>
      <c r="I152" s="60"/>
      <c r="J152" s="60"/>
      <c r="K152" s="60"/>
      <c r="L152" s="60"/>
      <c r="M152" s="60"/>
    </row>
    <row r="153" spans="1:13" s="61" customFormat="1" x14ac:dyDescent="0.25">
      <c r="A153" s="526"/>
      <c r="B153" s="526"/>
      <c r="C153" s="119">
        <v>97</v>
      </c>
      <c r="D153" s="108">
        <v>57</v>
      </c>
      <c r="E153" s="64">
        <v>1980</v>
      </c>
      <c r="F153" s="332">
        <f t="shared" si="26"/>
        <v>39</v>
      </c>
      <c r="G153" s="59"/>
      <c r="H153" s="60"/>
      <c r="I153" s="60"/>
      <c r="J153" s="60"/>
      <c r="K153" s="60"/>
      <c r="L153" s="60"/>
      <c r="M153" s="60"/>
    </row>
    <row r="154" spans="1:13" s="61" customFormat="1" ht="15.75" customHeight="1" x14ac:dyDescent="0.25">
      <c r="A154" s="525" t="s">
        <v>253</v>
      </c>
      <c r="B154" s="525" t="s">
        <v>215</v>
      </c>
      <c r="C154" s="119"/>
      <c r="D154" s="108"/>
      <c r="E154" s="56"/>
      <c r="F154" s="327"/>
      <c r="G154" s="59"/>
      <c r="H154" s="60"/>
      <c r="I154" s="60"/>
      <c r="J154" s="60"/>
      <c r="K154" s="60"/>
      <c r="L154" s="60"/>
      <c r="M154" s="60"/>
    </row>
    <row r="155" spans="1:13" s="61" customFormat="1" ht="27.75" customHeight="1" x14ac:dyDescent="0.25">
      <c r="A155" s="531"/>
      <c r="B155" s="531"/>
      <c r="C155" s="78">
        <v>95</v>
      </c>
      <c r="D155" s="108">
        <v>89</v>
      </c>
      <c r="E155" s="49">
        <v>2008</v>
      </c>
      <c r="F155" s="332">
        <f t="shared" si="26"/>
        <v>11</v>
      </c>
      <c r="G155" s="59"/>
      <c r="H155" s="60"/>
      <c r="I155" s="60"/>
      <c r="J155" s="60"/>
      <c r="K155" s="60"/>
      <c r="L155" s="60"/>
      <c r="M155" s="60"/>
    </row>
    <row r="156" spans="1:13" s="61" customFormat="1" x14ac:dyDescent="0.25">
      <c r="A156" s="526"/>
      <c r="B156" s="526"/>
      <c r="C156" s="78">
        <v>95</v>
      </c>
      <c r="D156" s="108">
        <v>57</v>
      </c>
      <c r="E156" s="49">
        <v>2008</v>
      </c>
      <c r="F156" s="332">
        <f t="shared" si="26"/>
        <v>11</v>
      </c>
      <c r="G156" s="59"/>
      <c r="H156" s="60"/>
      <c r="I156" s="60"/>
      <c r="J156" s="60"/>
      <c r="K156" s="60"/>
      <c r="L156" s="60"/>
      <c r="M156" s="60"/>
    </row>
    <row r="157" spans="1:13" s="61" customFormat="1" ht="15.75" customHeight="1" x14ac:dyDescent="0.25">
      <c r="A157" s="525" t="s">
        <v>261</v>
      </c>
      <c r="B157" s="525" t="s">
        <v>262</v>
      </c>
      <c r="C157" s="53"/>
      <c r="D157" s="108"/>
      <c r="E157" s="56"/>
      <c r="F157" s="327"/>
      <c r="G157" s="59"/>
      <c r="H157" s="60"/>
      <c r="I157" s="60"/>
      <c r="J157" s="60"/>
      <c r="K157" s="60"/>
      <c r="L157" s="60"/>
      <c r="M157" s="60"/>
    </row>
    <row r="158" spans="1:13" s="61" customFormat="1" x14ac:dyDescent="0.25">
      <c r="A158" s="531"/>
      <c r="B158" s="531"/>
      <c r="C158" s="119">
        <v>47</v>
      </c>
      <c r="D158" s="108">
        <v>133</v>
      </c>
      <c r="E158" s="49">
        <v>1979</v>
      </c>
      <c r="F158" s="332">
        <f t="shared" si="26"/>
        <v>40</v>
      </c>
      <c r="G158" s="59"/>
      <c r="H158" s="60"/>
      <c r="I158" s="60"/>
      <c r="J158" s="60"/>
      <c r="K158" s="60"/>
      <c r="L158" s="60"/>
      <c r="M158" s="60"/>
    </row>
    <row r="159" spans="1:13" s="61" customFormat="1" x14ac:dyDescent="0.25">
      <c r="A159" s="526"/>
      <c r="B159" s="526"/>
      <c r="C159" s="119">
        <v>47</v>
      </c>
      <c r="D159" s="108">
        <v>76</v>
      </c>
      <c r="E159" s="49">
        <v>1979</v>
      </c>
      <c r="F159" s="332">
        <f t="shared" si="26"/>
        <v>40</v>
      </c>
      <c r="G159" s="59"/>
      <c r="H159" s="60"/>
      <c r="I159" s="60"/>
      <c r="J159" s="60"/>
      <c r="K159" s="60"/>
      <c r="L159" s="60"/>
      <c r="M159" s="60"/>
    </row>
    <row r="160" spans="1:13" s="61" customFormat="1" ht="15.75" customHeight="1" x14ac:dyDescent="0.25">
      <c r="A160" s="525" t="s">
        <v>263</v>
      </c>
      <c r="B160" s="525" t="s">
        <v>264</v>
      </c>
      <c r="C160" s="53"/>
      <c r="D160" s="108"/>
      <c r="E160" s="56"/>
      <c r="F160" s="327"/>
      <c r="G160" s="59"/>
      <c r="H160" s="60"/>
      <c r="I160" s="60"/>
      <c r="J160" s="60"/>
      <c r="K160" s="60"/>
      <c r="L160" s="60"/>
      <c r="M160" s="60"/>
    </row>
    <row r="161" spans="1:13" s="61" customFormat="1" x14ac:dyDescent="0.25">
      <c r="A161" s="531"/>
      <c r="B161" s="531"/>
      <c r="C161" s="119">
        <v>30</v>
      </c>
      <c r="D161" s="108">
        <v>57</v>
      </c>
      <c r="E161" s="49">
        <v>1980</v>
      </c>
      <c r="F161" s="332">
        <f t="shared" si="26"/>
        <v>39</v>
      </c>
      <c r="G161" s="59"/>
      <c r="H161" s="60"/>
      <c r="I161" s="60"/>
      <c r="J161" s="60"/>
      <c r="K161" s="60"/>
      <c r="L161" s="60"/>
      <c r="M161" s="60"/>
    </row>
    <row r="162" spans="1:13" s="61" customFormat="1" x14ac:dyDescent="0.25">
      <c r="A162" s="526"/>
      <c r="B162" s="526"/>
      <c r="C162" s="119">
        <v>30</v>
      </c>
      <c r="D162" s="108">
        <v>57</v>
      </c>
      <c r="E162" s="49">
        <v>1980</v>
      </c>
      <c r="F162" s="332">
        <f t="shared" si="26"/>
        <v>39</v>
      </c>
      <c r="G162" s="59"/>
      <c r="H162" s="60"/>
      <c r="I162" s="60"/>
      <c r="J162" s="60"/>
      <c r="K162" s="60"/>
      <c r="L162" s="60"/>
      <c r="M162" s="60"/>
    </row>
    <row r="163" spans="1:13" s="61" customFormat="1" ht="15.75" customHeight="1" x14ac:dyDescent="0.25">
      <c r="A163" s="534" t="s">
        <v>265</v>
      </c>
      <c r="B163" s="534" t="s">
        <v>266</v>
      </c>
      <c r="C163" s="119"/>
      <c r="D163" s="108"/>
      <c r="E163" s="56"/>
      <c r="F163" s="327"/>
      <c r="G163" s="59"/>
      <c r="H163" s="60"/>
      <c r="I163" s="60"/>
      <c r="J163" s="60"/>
      <c r="K163" s="60"/>
      <c r="L163" s="60"/>
      <c r="M163" s="60"/>
    </row>
    <row r="164" spans="1:13" s="61" customFormat="1" x14ac:dyDescent="0.25">
      <c r="A164" s="536"/>
      <c r="B164" s="536"/>
      <c r="C164" s="78">
        <v>111</v>
      </c>
      <c r="D164" s="108">
        <v>89</v>
      </c>
      <c r="E164" s="49">
        <v>2005</v>
      </c>
      <c r="F164" s="332">
        <f t="shared" si="26"/>
        <v>14</v>
      </c>
      <c r="G164" s="59"/>
      <c r="H164" s="60"/>
      <c r="I164" s="60"/>
      <c r="J164" s="60"/>
      <c r="K164" s="60"/>
      <c r="L164" s="60"/>
      <c r="M164" s="60"/>
    </row>
    <row r="165" spans="1:13" s="61" customFormat="1" x14ac:dyDescent="0.25">
      <c r="A165" s="535"/>
      <c r="B165" s="535"/>
      <c r="C165" s="119">
        <v>111</v>
      </c>
      <c r="D165" s="108">
        <v>40</v>
      </c>
      <c r="E165" s="49">
        <v>2005</v>
      </c>
      <c r="F165" s="332">
        <f t="shared" si="26"/>
        <v>14</v>
      </c>
      <c r="G165" s="59"/>
      <c r="H165" s="60"/>
      <c r="I165" s="60"/>
      <c r="J165" s="60"/>
      <c r="K165" s="60"/>
      <c r="L165" s="60"/>
      <c r="M165" s="60"/>
    </row>
    <row r="166" spans="1:13" s="61" customFormat="1" ht="15.75" customHeight="1" x14ac:dyDescent="0.25">
      <c r="A166" s="534" t="s">
        <v>217</v>
      </c>
      <c r="B166" s="534" t="s">
        <v>267</v>
      </c>
      <c r="C166" s="53"/>
      <c r="D166" s="108"/>
      <c r="E166" s="56"/>
      <c r="F166" s="327"/>
      <c r="G166" s="59"/>
      <c r="H166" s="60"/>
      <c r="I166" s="60"/>
      <c r="J166" s="60"/>
      <c r="K166" s="60"/>
      <c r="L166" s="60"/>
      <c r="M166" s="60"/>
    </row>
    <row r="167" spans="1:13" s="61" customFormat="1" ht="17.25" customHeight="1" x14ac:dyDescent="0.25">
      <c r="A167" s="536"/>
      <c r="B167" s="536"/>
      <c r="C167" s="119">
        <v>56</v>
      </c>
      <c r="D167" s="108">
        <v>89</v>
      </c>
      <c r="E167" s="49">
        <v>1978</v>
      </c>
      <c r="F167" s="332">
        <f t="shared" si="26"/>
        <v>41</v>
      </c>
      <c r="G167" s="59"/>
      <c r="H167" s="60"/>
      <c r="I167" s="60"/>
      <c r="J167" s="60"/>
      <c r="K167" s="60"/>
      <c r="L167" s="60"/>
      <c r="M167" s="60"/>
    </row>
    <row r="168" spans="1:13" s="61" customFormat="1" x14ac:dyDescent="0.25">
      <c r="A168" s="535"/>
      <c r="B168" s="535"/>
      <c r="C168" s="119">
        <v>56</v>
      </c>
      <c r="D168" s="108">
        <v>57</v>
      </c>
      <c r="E168" s="64">
        <v>1978</v>
      </c>
      <c r="F168" s="332">
        <f t="shared" si="26"/>
        <v>41</v>
      </c>
      <c r="G168" s="59"/>
      <c r="H168" s="60"/>
      <c r="I168" s="60"/>
      <c r="J168" s="60"/>
      <c r="K168" s="60"/>
      <c r="L168" s="60"/>
      <c r="M168" s="60"/>
    </row>
    <row r="169" spans="1:13" s="61" customFormat="1" ht="15.75" customHeight="1" x14ac:dyDescent="0.25">
      <c r="A169" s="525" t="s">
        <v>197</v>
      </c>
      <c r="B169" s="525" t="s">
        <v>268</v>
      </c>
      <c r="C169" s="53"/>
      <c r="D169" s="108"/>
      <c r="E169" s="56"/>
      <c r="F169" s="327"/>
      <c r="G169" s="59"/>
      <c r="H169" s="60"/>
      <c r="I169" s="60"/>
      <c r="J169" s="60"/>
      <c r="K169" s="60"/>
      <c r="L169" s="60"/>
      <c r="M169" s="60"/>
    </row>
    <row r="170" spans="1:13" s="61" customFormat="1" x14ac:dyDescent="0.25">
      <c r="A170" s="531"/>
      <c r="B170" s="531"/>
      <c r="C170" s="119">
        <v>11</v>
      </c>
      <c r="D170" s="108">
        <v>76</v>
      </c>
      <c r="E170" s="49">
        <v>1978</v>
      </c>
      <c r="F170" s="332">
        <f t="shared" si="26"/>
        <v>41</v>
      </c>
      <c r="G170" s="59"/>
      <c r="H170" s="60"/>
      <c r="I170" s="60"/>
      <c r="J170" s="60"/>
      <c r="K170" s="60"/>
      <c r="L170" s="60"/>
      <c r="M170" s="60"/>
    </row>
    <row r="171" spans="1:13" s="61" customFormat="1" x14ac:dyDescent="0.25">
      <c r="A171" s="526"/>
      <c r="B171" s="526"/>
      <c r="C171" s="119">
        <v>11</v>
      </c>
      <c r="D171" s="108">
        <v>57</v>
      </c>
      <c r="E171" s="64">
        <v>1978</v>
      </c>
      <c r="F171" s="332">
        <f t="shared" si="26"/>
        <v>41</v>
      </c>
      <c r="G171" s="59"/>
      <c r="H171" s="60"/>
      <c r="I171" s="60"/>
      <c r="J171" s="60"/>
      <c r="K171" s="60"/>
      <c r="L171" s="60"/>
      <c r="M171" s="60"/>
    </row>
    <row r="172" spans="1:13" s="61" customFormat="1" ht="15.75" customHeight="1" x14ac:dyDescent="0.25">
      <c r="A172" s="525" t="s">
        <v>229</v>
      </c>
      <c r="B172" s="525" t="s">
        <v>269</v>
      </c>
      <c r="C172" s="119"/>
      <c r="D172" s="108"/>
      <c r="E172" s="56"/>
      <c r="F172" s="327"/>
      <c r="G172" s="59"/>
      <c r="H172" s="60"/>
      <c r="I172" s="60"/>
      <c r="J172" s="60"/>
      <c r="K172" s="60"/>
      <c r="L172" s="60"/>
      <c r="M172" s="60"/>
    </row>
    <row r="173" spans="1:13" s="61" customFormat="1" x14ac:dyDescent="0.25">
      <c r="A173" s="531"/>
      <c r="B173" s="531"/>
      <c r="C173" s="78">
        <v>39</v>
      </c>
      <c r="D173" s="108">
        <v>89</v>
      </c>
      <c r="E173" s="49">
        <v>2002</v>
      </c>
      <c r="F173" s="332">
        <f t="shared" si="26"/>
        <v>17</v>
      </c>
      <c r="G173" s="59"/>
      <c r="H173" s="60"/>
      <c r="I173" s="60"/>
      <c r="J173" s="60"/>
      <c r="K173" s="60"/>
      <c r="L173" s="60"/>
      <c r="M173" s="60"/>
    </row>
    <row r="174" spans="1:13" s="61" customFormat="1" x14ac:dyDescent="0.25">
      <c r="A174" s="526"/>
      <c r="B174" s="526"/>
      <c r="C174" s="78">
        <v>39</v>
      </c>
      <c r="D174" s="108">
        <v>57</v>
      </c>
      <c r="E174" s="49">
        <v>2002</v>
      </c>
      <c r="F174" s="332">
        <f t="shared" si="26"/>
        <v>17</v>
      </c>
      <c r="G174" s="59"/>
      <c r="H174" s="60"/>
      <c r="I174" s="60"/>
      <c r="J174" s="60"/>
      <c r="K174" s="60"/>
      <c r="L174" s="60"/>
      <c r="M174" s="60"/>
    </row>
    <row r="175" spans="1:13" s="61" customFormat="1" ht="15.75" customHeight="1" x14ac:dyDescent="0.25">
      <c r="A175" s="525" t="s">
        <v>213</v>
      </c>
      <c r="B175" s="525" t="s">
        <v>270</v>
      </c>
      <c r="C175" s="53"/>
      <c r="D175" s="108"/>
      <c r="E175" s="56"/>
      <c r="F175" s="327"/>
      <c r="G175" s="59"/>
      <c r="H175" s="60"/>
      <c r="I175" s="60"/>
      <c r="J175" s="60"/>
      <c r="K175" s="60"/>
      <c r="L175" s="60"/>
      <c r="M175" s="60"/>
    </row>
    <row r="176" spans="1:13" s="61" customFormat="1" ht="25.5" customHeight="1" x14ac:dyDescent="0.25">
      <c r="A176" s="531"/>
      <c r="B176" s="531"/>
      <c r="C176" s="119">
        <v>26</v>
      </c>
      <c r="D176" s="108">
        <v>159</v>
      </c>
      <c r="E176" s="49">
        <v>1978</v>
      </c>
      <c r="F176" s="332">
        <f t="shared" si="26"/>
        <v>41</v>
      </c>
      <c r="G176" s="59"/>
      <c r="H176" s="60"/>
      <c r="I176" s="60"/>
      <c r="J176" s="60"/>
      <c r="K176" s="60"/>
      <c r="L176" s="60"/>
      <c r="M176" s="60"/>
    </row>
    <row r="177" spans="1:13" s="61" customFormat="1" x14ac:dyDescent="0.25">
      <c r="A177" s="526"/>
      <c r="B177" s="526"/>
      <c r="C177" s="119">
        <v>26</v>
      </c>
      <c r="D177" s="108">
        <v>108</v>
      </c>
      <c r="E177" s="49">
        <v>1978</v>
      </c>
      <c r="F177" s="332">
        <f t="shared" si="26"/>
        <v>41</v>
      </c>
      <c r="G177" s="59"/>
      <c r="H177" s="60"/>
      <c r="I177" s="60"/>
      <c r="J177" s="60"/>
      <c r="K177" s="60"/>
      <c r="L177" s="60"/>
      <c r="M177" s="60"/>
    </row>
    <row r="178" spans="1:13" s="61" customFormat="1" ht="15.75" customHeight="1" x14ac:dyDescent="0.25">
      <c r="A178" s="525" t="s">
        <v>271</v>
      </c>
      <c r="B178" s="525" t="s">
        <v>272</v>
      </c>
      <c r="C178" s="53"/>
      <c r="D178" s="108"/>
      <c r="E178" s="56"/>
      <c r="F178" s="327"/>
      <c r="G178" s="59"/>
      <c r="H178" s="60"/>
      <c r="I178" s="60"/>
      <c r="J178" s="60"/>
      <c r="K178" s="60"/>
      <c r="L178" s="60"/>
      <c r="M178" s="60"/>
    </row>
    <row r="179" spans="1:13" s="61" customFormat="1" x14ac:dyDescent="0.25">
      <c r="A179" s="531"/>
      <c r="B179" s="531"/>
      <c r="C179" s="55">
        <v>41</v>
      </c>
      <c r="D179" s="108">
        <v>108</v>
      </c>
      <c r="E179" s="49">
        <v>2012</v>
      </c>
      <c r="F179" s="332">
        <f t="shared" si="26"/>
        <v>7</v>
      </c>
      <c r="G179" s="59"/>
      <c r="H179" s="60"/>
      <c r="I179" s="60"/>
      <c r="J179" s="60"/>
      <c r="K179" s="60"/>
      <c r="L179" s="60"/>
      <c r="M179" s="60"/>
    </row>
    <row r="180" spans="1:13" s="61" customFormat="1" x14ac:dyDescent="0.25">
      <c r="A180" s="526"/>
      <c r="B180" s="526"/>
      <c r="C180" s="55">
        <v>41</v>
      </c>
      <c r="D180" s="108">
        <v>89</v>
      </c>
      <c r="E180" s="49">
        <v>2012</v>
      </c>
      <c r="F180" s="332">
        <f t="shared" si="26"/>
        <v>7</v>
      </c>
      <c r="G180" s="59"/>
      <c r="H180" s="60"/>
      <c r="I180" s="60"/>
      <c r="J180" s="60"/>
      <c r="K180" s="60"/>
      <c r="L180" s="60"/>
      <c r="M180" s="60"/>
    </row>
    <row r="181" spans="1:13" s="61" customFormat="1" ht="15.75" customHeight="1" x14ac:dyDescent="0.25">
      <c r="A181" s="525" t="s">
        <v>180</v>
      </c>
      <c r="B181" s="525" t="s">
        <v>273</v>
      </c>
      <c r="C181" s="119"/>
      <c r="D181" s="108"/>
      <c r="E181" s="56"/>
      <c r="F181" s="327"/>
      <c r="G181" s="59"/>
      <c r="H181" s="60"/>
      <c r="I181" s="60"/>
      <c r="J181" s="60"/>
      <c r="K181" s="60"/>
      <c r="L181" s="60"/>
      <c r="M181" s="60"/>
    </row>
    <row r="182" spans="1:13" s="61" customFormat="1" x14ac:dyDescent="0.25">
      <c r="A182" s="531"/>
      <c r="B182" s="531"/>
      <c r="C182" s="55">
        <v>40</v>
      </c>
      <c r="D182" s="108">
        <v>76</v>
      </c>
      <c r="E182" s="49">
        <v>2007</v>
      </c>
      <c r="F182" s="332">
        <f t="shared" si="26"/>
        <v>12</v>
      </c>
      <c r="G182" s="59"/>
      <c r="H182" s="60"/>
      <c r="I182" s="60"/>
      <c r="J182" s="60"/>
      <c r="K182" s="60"/>
      <c r="L182" s="60"/>
      <c r="M182" s="60"/>
    </row>
    <row r="183" spans="1:13" s="61" customFormat="1" x14ac:dyDescent="0.25">
      <c r="A183" s="526"/>
      <c r="B183" s="526"/>
      <c r="C183" s="78">
        <v>40</v>
      </c>
      <c r="D183" s="108">
        <v>57</v>
      </c>
      <c r="E183" s="49">
        <v>2007</v>
      </c>
      <c r="F183" s="332">
        <f t="shared" si="26"/>
        <v>12</v>
      </c>
      <c r="G183" s="59"/>
      <c r="H183" s="60"/>
      <c r="I183" s="60"/>
      <c r="J183" s="60"/>
      <c r="K183" s="60"/>
      <c r="L183" s="60"/>
      <c r="M183" s="60"/>
    </row>
    <row r="184" spans="1:13" s="61" customFormat="1" ht="15.75" customHeight="1" x14ac:dyDescent="0.25">
      <c r="A184" s="525" t="s">
        <v>193</v>
      </c>
      <c r="B184" s="525" t="s">
        <v>274</v>
      </c>
      <c r="C184" s="53"/>
      <c r="D184" s="108"/>
      <c r="E184" s="56"/>
      <c r="F184" s="327"/>
      <c r="G184" s="59"/>
      <c r="H184" s="60"/>
      <c r="I184" s="60"/>
      <c r="J184" s="60"/>
      <c r="K184" s="60"/>
      <c r="L184" s="60"/>
      <c r="M184" s="60"/>
    </row>
    <row r="185" spans="1:13" s="61" customFormat="1" x14ac:dyDescent="0.25">
      <c r="A185" s="531"/>
      <c r="B185" s="531"/>
      <c r="C185" s="119">
        <v>5.9</v>
      </c>
      <c r="D185" s="108">
        <v>159</v>
      </c>
      <c r="E185" s="49">
        <v>1978</v>
      </c>
      <c r="F185" s="332">
        <f t="shared" si="26"/>
        <v>41</v>
      </c>
      <c r="G185" s="59"/>
      <c r="H185" s="60"/>
      <c r="I185" s="60"/>
      <c r="J185" s="60"/>
      <c r="K185" s="60"/>
      <c r="L185" s="60"/>
      <c r="M185" s="60"/>
    </row>
    <row r="186" spans="1:13" s="61" customFormat="1" x14ac:dyDescent="0.25">
      <c r="A186" s="526"/>
      <c r="B186" s="526"/>
      <c r="C186" s="119">
        <v>5.9</v>
      </c>
      <c r="D186" s="108">
        <v>108</v>
      </c>
      <c r="E186" s="49">
        <v>1978</v>
      </c>
      <c r="F186" s="332">
        <f t="shared" si="26"/>
        <v>41</v>
      </c>
      <c r="G186" s="59"/>
      <c r="H186" s="60"/>
      <c r="I186" s="60"/>
      <c r="J186" s="60"/>
      <c r="K186" s="60"/>
      <c r="L186" s="60"/>
      <c r="M186" s="60"/>
    </row>
    <row r="187" spans="1:13" s="61" customFormat="1" ht="15.75" customHeight="1" x14ac:dyDescent="0.25">
      <c r="A187" s="525" t="s">
        <v>275</v>
      </c>
      <c r="B187" s="525" t="s">
        <v>215</v>
      </c>
      <c r="C187" s="119"/>
      <c r="D187" s="108"/>
      <c r="E187" s="56"/>
      <c r="F187" s="327"/>
      <c r="G187" s="59"/>
      <c r="H187" s="60"/>
      <c r="I187" s="60"/>
      <c r="J187" s="60"/>
      <c r="K187" s="60"/>
      <c r="L187" s="60"/>
      <c r="M187" s="60"/>
    </row>
    <row r="188" spans="1:13" s="61" customFormat="1" ht="18.75" customHeight="1" x14ac:dyDescent="0.25">
      <c r="A188" s="531"/>
      <c r="B188" s="531"/>
      <c r="C188" s="78">
        <v>86</v>
      </c>
      <c r="D188" s="108">
        <v>159</v>
      </c>
      <c r="E188" s="49">
        <v>2003</v>
      </c>
      <c r="F188" s="332">
        <f t="shared" si="26"/>
        <v>16</v>
      </c>
      <c r="G188" s="59"/>
      <c r="H188" s="60"/>
      <c r="I188" s="60"/>
      <c r="J188" s="60"/>
      <c r="K188" s="60"/>
      <c r="L188" s="60"/>
      <c r="M188" s="60"/>
    </row>
    <row r="189" spans="1:13" s="61" customFormat="1" x14ac:dyDescent="0.25">
      <c r="A189" s="526"/>
      <c r="B189" s="526"/>
      <c r="C189" s="78">
        <v>86</v>
      </c>
      <c r="D189" s="108">
        <v>89</v>
      </c>
      <c r="E189" s="49">
        <v>2003</v>
      </c>
      <c r="F189" s="332">
        <f t="shared" si="26"/>
        <v>16</v>
      </c>
      <c r="G189" s="59"/>
      <c r="H189" s="60"/>
      <c r="I189" s="60"/>
      <c r="J189" s="60"/>
      <c r="K189" s="60"/>
      <c r="L189" s="60"/>
      <c r="M189" s="60"/>
    </row>
    <row r="190" spans="1:13" s="61" customFormat="1" ht="15.75" customHeight="1" x14ac:dyDescent="0.25">
      <c r="A190" s="525" t="s">
        <v>276</v>
      </c>
      <c r="B190" s="525" t="s">
        <v>277</v>
      </c>
      <c r="C190" s="53"/>
      <c r="D190" s="108"/>
      <c r="E190" s="56"/>
      <c r="F190" s="327"/>
      <c r="G190" s="59"/>
      <c r="H190" s="60"/>
      <c r="I190" s="60"/>
      <c r="J190" s="60"/>
      <c r="K190" s="60"/>
      <c r="L190" s="60"/>
      <c r="M190" s="60"/>
    </row>
    <row r="191" spans="1:13" s="61" customFormat="1" ht="19.5" customHeight="1" x14ac:dyDescent="0.25">
      <c r="A191" s="531"/>
      <c r="B191" s="531"/>
      <c r="C191" s="119">
        <v>15</v>
      </c>
      <c r="D191" s="108">
        <v>159</v>
      </c>
      <c r="E191" s="49">
        <v>1978</v>
      </c>
      <c r="F191" s="332">
        <f t="shared" si="26"/>
        <v>41</v>
      </c>
      <c r="G191" s="59"/>
      <c r="H191" s="60"/>
      <c r="I191" s="60"/>
      <c r="J191" s="60"/>
      <c r="K191" s="60"/>
      <c r="L191" s="60"/>
      <c r="M191" s="60"/>
    </row>
    <row r="192" spans="1:13" s="61" customFormat="1" x14ac:dyDescent="0.25">
      <c r="A192" s="526"/>
      <c r="B192" s="526"/>
      <c r="C192" s="119">
        <v>15</v>
      </c>
      <c r="D192" s="108">
        <v>108</v>
      </c>
      <c r="E192" s="49">
        <v>1978</v>
      </c>
      <c r="F192" s="332">
        <f t="shared" si="26"/>
        <v>41</v>
      </c>
      <c r="G192" s="59"/>
      <c r="H192" s="60"/>
      <c r="I192" s="60"/>
      <c r="J192" s="60"/>
      <c r="K192" s="60"/>
      <c r="L192" s="60"/>
      <c r="M192" s="60"/>
    </row>
    <row r="193" spans="1:13" s="61" customFormat="1" ht="15.75" customHeight="1" x14ac:dyDescent="0.25">
      <c r="A193" s="525" t="s">
        <v>278</v>
      </c>
      <c r="B193" s="525" t="s">
        <v>214</v>
      </c>
      <c r="C193" s="53"/>
      <c r="D193" s="108"/>
      <c r="E193" s="56"/>
      <c r="F193" s="327"/>
      <c r="G193" s="59"/>
      <c r="H193" s="60"/>
      <c r="I193" s="60"/>
      <c r="J193" s="60"/>
      <c r="K193" s="60"/>
      <c r="L193" s="60"/>
      <c r="M193" s="60"/>
    </row>
    <row r="194" spans="1:13" s="61" customFormat="1" x14ac:dyDescent="0.25">
      <c r="A194" s="531"/>
      <c r="B194" s="531"/>
      <c r="C194" s="119">
        <v>54</v>
      </c>
      <c r="D194" s="108">
        <v>89</v>
      </c>
      <c r="E194" s="49">
        <v>1980</v>
      </c>
      <c r="F194" s="332">
        <f t="shared" si="26"/>
        <v>39</v>
      </c>
      <c r="G194" s="59"/>
      <c r="H194" s="60"/>
      <c r="I194" s="60"/>
      <c r="J194" s="60"/>
      <c r="K194" s="60"/>
      <c r="L194" s="60"/>
      <c r="M194" s="60"/>
    </row>
    <row r="195" spans="1:13" s="61" customFormat="1" x14ac:dyDescent="0.25">
      <c r="A195" s="526"/>
      <c r="B195" s="526"/>
      <c r="C195" s="119">
        <v>54</v>
      </c>
      <c r="D195" s="108">
        <v>57</v>
      </c>
      <c r="E195" s="49">
        <v>1980</v>
      </c>
      <c r="F195" s="332">
        <f t="shared" si="26"/>
        <v>39</v>
      </c>
      <c r="G195" s="59"/>
      <c r="H195" s="60"/>
      <c r="I195" s="60"/>
      <c r="J195" s="60"/>
      <c r="K195" s="60"/>
      <c r="L195" s="60"/>
      <c r="M195" s="60"/>
    </row>
    <row r="196" spans="1:13" s="61" customFormat="1" ht="21" customHeight="1" x14ac:dyDescent="0.25">
      <c r="A196" s="525" t="s">
        <v>279</v>
      </c>
      <c r="B196" s="525" t="s">
        <v>280</v>
      </c>
      <c r="C196" s="53"/>
      <c r="D196" s="108"/>
      <c r="E196" s="56"/>
      <c r="F196" s="327"/>
      <c r="G196" s="59"/>
      <c r="H196" s="60"/>
      <c r="I196" s="60"/>
      <c r="J196" s="60"/>
      <c r="K196" s="60"/>
      <c r="L196" s="60"/>
      <c r="M196" s="60"/>
    </row>
    <row r="197" spans="1:13" s="61" customFormat="1" x14ac:dyDescent="0.25">
      <c r="A197" s="531"/>
      <c r="B197" s="531"/>
      <c r="C197" s="119">
        <v>50</v>
      </c>
      <c r="D197" s="108">
        <v>89</v>
      </c>
      <c r="E197" s="49">
        <v>1979</v>
      </c>
      <c r="F197" s="332">
        <f t="shared" si="26"/>
        <v>40</v>
      </c>
      <c r="G197" s="59"/>
      <c r="H197" s="60"/>
      <c r="I197" s="60"/>
      <c r="J197" s="60"/>
      <c r="K197" s="60"/>
      <c r="L197" s="60"/>
      <c r="M197" s="60"/>
    </row>
    <row r="198" spans="1:13" s="61" customFormat="1" x14ac:dyDescent="0.25">
      <c r="A198" s="526"/>
      <c r="B198" s="526"/>
      <c r="C198" s="119">
        <v>50</v>
      </c>
      <c r="D198" s="108">
        <v>57</v>
      </c>
      <c r="E198" s="49">
        <v>1979</v>
      </c>
      <c r="F198" s="332">
        <f t="shared" si="26"/>
        <v>40</v>
      </c>
      <c r="G198" s="59"/>
      <c r="H198" s="60"/>
      <c r="I198" s="60"/>
      <c r="J198" s="60"/>
      <c r="K198" s="60"/>
      <c r="L198" s="60"/>
      <c r="M198" s="60"/>
    </row>
    <row r="199" spans="1:13" s="61" customFormat="1" ht="18.75" customHeight="1" x14ac:dyDescent="0.25">
      <c r="A199" s="534" t="s">
        <v>229</v>
      </c>
      <c r="B199" s="534" t="s">
        <v>281</v>
      </c>
      <c r="C199" s="53"/>
      <c r="D199" s="108"/>
      <c r="E199" s="56"/>
      <c r="F199" s="327"/>
      <c r="G199" s="59"/>
      <c r="H199" s="60"/>
      <c r="I199" s="60"/>
      <c r="J199" s="60"/>
      <c r="K199" s="60"/>
      <c r="L199" s="60"/>
      <c r="M199" s="60"/>
    </row>
    <row r="200" spans="1:13" s="61" customFormat="1" x14ac:dyDescent="0.25">
      <c r="A200" s="536"/>
      <c r="B200" s="536"/>
      <c r="C200" s="55">
        <v>44</v>
      </c>
      <c r="D200" s="108">
        <v>108</v>
      </c>
      <c r="E200" s="49">
        <v>2009</v>
      </c>
      <c r="F200" s="332">
        <f t="shared" si="26"/>
        <v>10</v>
      </c>
      <c r="G200" s="59"/>
      <c r="H200" s="60"/>
      <c r="I200" s="60"/>
      <c r="J200" s="60"/>
      <c r="K200" s="60"/>
      <c r="L200" s="60"/>
      <c r="M200" s="60"/>
    </row>
    <row r="201" spans="1:13" s="61" customFormat="1" x14ac:dyDescent="0.25">
      <c r="A201" s="535"/>
      <c r="B201" s="535"/>
      <c r="C201" s="55">
        <v>44</v>
      </c>
      <c r="D201" s="108">
        <v>89</v>
      </c>
      <c r="E201" s="49">
        <v>2009</v>
      </c>
      <c r="F201" s="332">
        <f t="shared" si="26"/>
        <v>10</v>
      </c>
      <c r="G201" s="59"/>
      <c r="H201" s="60"/>
      <c r="I201" s="60"/>
      <c r="J201" s="60"/>
      <c r="K201" s="60"/>
      <c r="L201" s="60"/>
      <c r="M201" s="60"/>
    </row>
    <row r="202" spans="1:13" s="61" customFormat="1" ht="15.75" customHeight="1" x14ac:dyDescent="0.25">
      <c r="A202" s="534" t="s">
        <v>282</v>
      </c>
      <c r="B202" s="534" t="s">
        <v>283</v>
      </c>
      <c r="C202" s="53"/>
      <c r="D202" s="108"/>
      <c r="E202" s="56"/>
      <c r="F202" s="327"/>
      <c r="G202" s="59"/>
      <c r="H202" s="60"/>
      <c r="I202" s="60"/>
      <c r="J202" s="60"/>
      <c r="K202" s="60"/>
      <c r="L202" s="60"/>
      <c r="M202" s="60"/>
    </row>
    <row r="203" spans="1:13" s="61" customFormat="1" ht="18" customHeight="1" x14ac:dyDescent="0.25">
      <c r="A203" s="536"/>
      <c r="B203" s="536"/>
      <c r="C203" s="55">
        <v>50</v>
      </c>
      <c r="D203" s="108">
        <v>76</v>
      </c>
      <c r="E203" s="49">
        <v>2009</v>
      </c>
      <c r="F203" s="332">
        <f t="shared" si="26"/>
        <v>10</v>
      </c>
      <c r="G203" s="59"/>
      <c r="H203" s="60"/>
      <c r="I203" s="60"/>
      <c r="J203" s="60"/>
      <c r="K203" s="60"/>
      <c r="L203" s="60"/>
      <c r="M203" s="60"/>
    </row>
    <row r="204" spans="1:13" s="61" customFormat="1" x14ac:dyDescent="0.25">
      <c r="A204" s="535"/>
      <c r="B204" s="535"/>
      <c r="C204" s="55">
        <v>50</v>
      </c>
      <c r="D204" s="108">
        <v>57</v>
      </c>
      <c r="E204" s="49">
        <v>2009</v>
      </c>
      <c r="F204" s="332">
        <f t="shared" si="26"/>
        <v>10</v>
      </c>
      <c r="G204" s="59"/>
      <c r="H204" s="60"/>
      <c r="I204" s="60"/>
      <c r="J204" s="60"/>
      <c r="K204" s="60"/>
      <c r="L204" s="60"/>
      <c r="M204" s="60"/>
    </row>
    <row r="205" spans="1:13" s="61" customFormat="1" ht="15.75" customHeight="1" x14ac:dyDescent="0.25">
      <c r="A205" s="525" t="s">
        <v>284</v>
      </c>
      <c r="B205" s="525" t="s">
        <v>209</v>
      </c>
      <c r="C205" s="53"/>
      <c r="D205" s="108"/>
      <c r="E205" s="56"/>
      <c r="F205" s="327"/>
      <c r="G205" s="59"/>
      <c r="H205" s="60"/>
      <c r="I205" s="60"/>
      <c r="J205" s="60"/>
      <c r="K205" s="60"/>
      <c r="L205" s="60"/>
      <c r="M205" s="60"/>
    </row>
    <row r="206" spans="1:13" s="61" customFormat="1" ht="15.75" customHeight="1" x14ac:dyDescent="0.25">
      <c r="A206" s="531"/>
      <c r="B206" s="531"/>
      <c r="C206" s="119">
        <v>29</v>
      </c>
      <c r="D206" s="108">
        <v>108</v>
      </c>
      <c r="E206" s="49">
        <v>1980</v>
      </c>
      <c r="F206" s="332">
        <f t="shared" si="26"/>
        <v>39</v>
      </c>
      <c r="G206" s="59"/>
      <c r="H206" s="60"/>
      <c r="I206" s="60"/>
      <c r="J206" s="60"/>
      <c r="K206" s="60"/>
      <c r="L206" s="60"/>
      <c r="M206" s="60"/>
    </row>
    <row r="207" spans="1:13" s="61" customFormat="1" x14ac:dyDescent="0.25">
      <c r="A207" s="526"/>
      <c r="B207" s="526"/>
      <c r="C207" s="119">
        <v>29</v>
      </c>
      <c r="D207" s="108">
        <v>76</v>
      </c>
      <c r="E207" s="49">
        <v>1980</v>
      </c>
      <c r="F207" s="332">
        <f t="shared" si="26"/>
        <v>39</v>
      </c>
      <c r="G207" s="59"/>
      <c r="H207" s="60"/>
      <c r="I207" s="60"/>
      <c r="J207" s="60"/>
      <c r="K207" s="60"/>
      <c r="L207" s="60"/>
      <c r="M207" s="60"/>
    </row>
    <row r="208" spans="1:13" s="61" customFormat="1" ht="15.75" customHeight="1" x14ac:dyDescent="0.25">
      <c r="A208" s="525" t="s">
        <v>285</v>
      </c>
      <c r="B208" s="525" t="s">
        <v>286</v>
      </c>
      <c r="C208" s="53"/>
      <c r="D208" s="108"/>
      <c r="E208" s="56"/>
      <c r="F208" s="327"/>
      <c r="G208" s="59"/>
      <c r="H208" s="60"/>
      <c r="I208" s="60"/>
      <c r="J208" s="60"/>
      <c r="K208" s="60"/>
      <c r="L208" s="60"/>
      <c r="M208" s="60"/>
    </row>
    <row r="209" spans="1:13" s="61" customFormat="1" ht="20.25" customHeight="1" x14ac:dyDescent="0.25">
      <c r="A209" s="531"/>
      <c r="B209" s="531"/>
      <c r="C209" s="55">
        <v>240</v>
      </c>
      <c r="D209" s="108">
        <v>133</v>
      </c>
      <c r="E209" s="49">
        <v>2012</v>
      </c>
      <c r="F209" s="332">
        <f t="shared" si="26"/>
        <v>7</v>
      </c>
      <c r="G209" s="59"/>
      <c r="H209" s="60"/>
      <c r="I209" s="60"/>
      <c r="J209" s="60"/>
      <c r="K209" s="60"/>
      <c r="L209" s="60"/>
      <c r="M209" s="60"/>
    </row>
    <row r="210" spans="1:13" s="61" customFormat="1" x14ac:dyDescent="0.25">
      <c r="A210" s="526"/>
      <c r="B210" s="526"/>
      <c r="C210" s="55">
        <v>240</v>
      </c>
      <c r="D210" s="108">
        <v>89</v>
      </c>
      <c r="E210" s="49">
        <v>2012</v>
      </c>
      <c r="F210" s="332">
        <f t="shared" si="26"/>
        <v>7</v>
      </c>
      <c r="G210" s="59"/>
      <c r="H210" s="60"/>
      <c r="I210" s="60"/>
      <c r="J210" s="60"/>
      <c r="K210" s="60"/>
      <c r="L210" s="60"/>
      <c r="M210" s="60"/>
    </row>
    <row r="211" spans="1:13" s="61" customFormat="1" ht="15.75" customHeight="1" x14ac:dyDescent="0.25">
      <c r="A211" s="525" t="s">
        <v>287</v>
      </c>
      <c r="B211" s="525" t="s">
        <v>288</v>
      </c>
      <c r="C211" s="53"/>
      <c r="D211" s="108"/>
      <c r="E211" s="56"/>
      <c r="F211" s="327"/>
      <c r="G211" s="59"/>
      <c r="H211" s="60"/>
      <c r="I211" s="60"/>
      <c r="J211" s="60"/>
      <c r="K211" s="60"/>
      <c r="L211" s="60"/>
      <c r="M211" s="60"/>
    </row>
    <row r="212" spans="1:13" s="61" customFormat="1" ht="19.5" customHeight="1" x14ac:dyDescent="0.25">
      <c r="A212" s="531"/>
      <c r="B212" s="531"/>
      <c r="C212" s="119">
        <v>21</v>
      </c>
      <c r="D212" s="108">
        <v>57</v>
      </c>
      <c r="E212" s="49">
        <v>1980</v>
      </c>
      <c r="F212" s="332">
        <f t="shared" si="26"/>
        <v>39</v>
      </c>
      <c r="G212" s="59"/>
      <c r="H212" s="60"/>
      <c r="I212" s="60"/>
      <c r="J212" s="60"/>
      <c r="K212" s="60"/>
      <c r="L212" s="60"/>
      <c r="M212" s="60"/>
    </row>
    <row r="213" spans="1:13" s="61" customFormat="1" x14ac:dyDescent="0.25">
      <c r="A213" s="526"/>
      <c r="B213" s="526"/>
      <c r="C213" s="119">
        <v>21</v>
      </c>
      <c r="D213" s="108">
        <v>40</v>
      </c>
      <c r="E213" s="49">
        <v>1980</v>
      </c>
      <c r="F213" s="332">
        <f t="shared" si="26"/>
        <v>39</v>
      </c>
      <c r="G213" s="59"/>
      <c r="H213" s="60"/>
      <c r="I213" s="60"/>
      <c r="J213" s="60"/>
      <c r="K213" s="60"/>
      <c r="L213" s="60"/>
      <c r="M213" s="60"/>
    </row>
    <row r="214" spans="1:13" s="61" customFormat="1" ht="15.75" customHeight="1" x14ac:dyDescent="0.25">
      <c r="A214" s="525" t="s">
        <v>241</v>
      </c>
      <c r="B214" s="525" t="s">
        <v>289</v>
      </c>
      <c r="C214" s="53"/>
      <c r="D214" s="108"/>
      <c r="E214" s="56"/>
      <c r="F214" s="327"/>
      <c r="G214" s="59"/>
      <c r="H214" s="60"/>
      <c r="I214" s="60"/>
      <c r="J214" s="60"/>
      <c r="K214" s="60"/>
      <c r="L214" s="60"/>
      <c r="M214" s="60"/>
    </row>
    <row r="215" spans="1:13" s="61" customFormat="1" ht="18.75" customHeight="1" x14ac:dyDescent="0.25">
      <c r="A215" s="531"/>
      <c r="B215" s="531"/>
      <c r="C215" s="119">
        <v>11</v>
      </c>
      <c r="D215" s="108">
        <v>89</v>
      </c>
      <c r="E215" s="49">
        <v>1978</v>
      </c>
      <c r="F215" s="332">
        <f t="shared" si="26"/>
        <v>41</v>
      </c>
      <c r="G215" s="59"/>
      <c r="H215" s="60"/>
      <c r="I215" s="60"/>
      <c r="J215" s="60"/>
      <c r="K215" s="60"/>
      <c r="L215" s="60"/>
      <c r="M215" s="60"/>
    </row>
    <row r="216" spans="1:13" s="61" customFormat="1" x14ac:dyDescent="0.25">
      <c r="A216" s="526"/>
      <c r="B216" s="526"/>
      <c r="C216" s="119">
        <v>11</v>
      </c>
      <c r="D216" s="108">
        <v>76</v>
      </c>
      <c r="E216" s="49">
        <v>1978</v>
      </c>
      <c r="F216" s="332">
        <f t="shared" ref="F216" si="27">2019-E216</f>
        <v>41</v>
      </c>
      <c r="G216" s="59"/>
      <c r="H216" s="60"/>
      <c r="I216" s="60"/>
      <c r="J216" s="60"/>
      <c r="K216" s="60"/>
      <c r="L216" s="60"/>
      <c r="M216" s="60"/>
    </row>
    <row r="217" spans="1:13" s="61" customFormat="1" ht="15.75" customHeight="1" x14ac:dyDescent="0.25">
      <c r="A217" s="525" t="s">
        <v>282</v>
      </c>
      <c r="B217" s="525" t="s">
        <v>290</v>
      </c>
      <c r="C217" s="119"/>
      <c r="D217" s="108"/>
      <c r="E217" s="56"/>
      <c r="F217" s="327"/>
      <c r="G217" s="59"/>
      <c r="H217" s="60"/>
      <c r="I217" s="60"/>
      <c r="J217" s="60"/>
      <c r="K217" s="60"/>
      <c r="L217" s="60"/>
      <c r="M217" s="60"/>
    </row>
    <row r="218" spans="1:13" s="61" customFormat="1" ht="17.25" customHeight="1" x14ac:dyDescent="0.25">
      <c r="A218" s="531"/>
      <c r="B218" s="531"/>
      <c r="C218" s="78">
        <v>33</v>
      </c>
      <c r="D218" s="108">
        <v>89</v>
      </c>
      <c r="E218" s="49">
        <v>2006</v>
      </c>
      <c r="F218" s="332">
        <f t="shared" ref="F218:F219" si="28">2019-E218</f>
        <v>13</v>
      </c>
      <c r="G218" s="59"/>
      <c r="H218" s="60"/>
      <c r="I218" s="60"/>
      <c r="J218" s="60"/>
      <c r="K218" s="60"/>
      <c r="L218" s="60"/>
      <c r="M218" s="60"/>
    </row>
    <row r="219" spans="1:13" s="61" customFormat="1" x14ac:dyDescent="0.25">
      <c r="A219" s="526"/>
      <c r="B219" s="526"/>
      <c r="C219" s="78">
        <v>33</v>
      </c>
      <c r="D219" s="108">
        <v>57</v>
      </c>
      <c r="E219" s="49">
        <v>2006</v>
      </c>
      <c r="F219" s="332">
        <f t="shared" si="28"/>
        <v>13</v>
      </c>
      <c r="G219" s="59"/>
      <c r="H219" s="60"/>
      <c r="I219" s="60"/>
      <c r="J219" s="60"/>
      <c r="K219" s="60"/>
      <c r="L219" s="60"/>
      <c r="M219" s="60"/>
    </row>
    <row r="220" spans="1:13" s="61" customFormat="1" ht="15.75" customHeight="1" x14ac:dyDescent="0.25">
      <c r="A220" s="525" t="s">
        <v>178</v>
      </c>
      <c r="B220" s="525" t="s">
        <v>291</v>
      </c>
      <c r="C220" s="53"/>
      <c r="D220" s="108"/>
      <c r="E220" s="56"/>
      <c r="F220" s="327"/>
      <c r="G220" s="59"/>
      <c r="H220" s="60"/>
      <c r="I220" s="60"/>
      <c r="J220" s="60"/>
      <c r="K220" s="60"/>
      <c r="L220" s="60"/>
      <c r="M220" s="60"/>
    </row>
    <row r="221" spans="1:13" s="61" customFormat="1" ht="18" customHeight="1" x14ac:dyDescent="0.25">
      <c r="A221" s="531"/>
      <c r="B221" s="531"/>
      <c r="C221" s="119">
        <v>8</v>
      </c>
      <c r="D221" s="108">
        <v>57</v>
      </c>
      <c r="E221" s="49">
        <v>1980</v>
      </c>
      <c r="F221" s="332">
        <f t="shared" ref="F221:F222" si="29">2019-E221</f>
        <v>39</v>
      </c>
      <c r="G221" s="59"/>
      <c r="H221" s="60"/>
      <c r="I221" s="60"/>
      <c r="J221" s="60"/>
      <c r="K221" s="60"/>
      <c r="L221" s="60"/>
      <c r="M221" s="60"/>
    </row>
    <row r="222" spans="1:13" s="61" customFormat="1" x14ac:dyDescent="0.25">
      <c r="A222" s="526"/>
      <c r="B222" s="526"/>
      <c r="C222" s="55">
        <v>8</v>
      </c>
      <c r="D222" s="108">
        <v>32</v>
      </c>
      <c r="E222" s="49">
        <v>1980</v>
      </c>
      <c r="F222" s="332">
        <f t="shared" si="29"/>
        <v>39</v>
      </c>
      <c r="G222" s="59"/>
      <c r="H222" s="60"/>
      <c r="I222" s="60"/>
      <c r="J222" s="60"/>
      <c r="K222" s="60"/>
      <c r="L222" s="60"/>
      <c r="M222" s="60"/>
    </row>
    <row r="223" spans="1:13" s="61" customFormat="1" ht="15.75" customHeight="1" x14ac:dyDescent="0.25">
      <c r="A223" s="525" t="s">
        <v>292</v>
      </c>
      <c r="B223" s="525" t="s">
        <v>293</v>
      </c>
      <c r="C223" s="53"/>
      <c r="D223" s="108"/>
      <c r="E223" s="56"/>
      <c r="F223" s="327"/>
      <c r="G223" s="59"/>
      <c r="H223" s="60"/>
      <c r="I223" s="60"/>
      <c r="J223" s="60"/>
      <c r="K223" s="60"/>
      <c r="L223" s="60"/>
      <c r="M223" s="60"/>
    </row>
    <row r="224" spans="1:13" s="61" customFormat="1" x14ac:dyDescent="0.25">
      <c r="A224" s="531"/>
      <c r="B224" s="531"/>
      <c r="C224" s="119">
        <v>15</v>
      </c>
      <c r="D224" s="108">
        <v>108</v>
      </c>
      <c r="E224" s="49">
        <v>1980</v>
      </c>
      <c r="F224" s="332">
        <f t="shared" ref="F224:F225" si="30">2019-E224</f>
        <v>39</v>
      </c>
      <c r="G224" s="59"/>
      <c r="H224" s="60"/>
      <c r="I224" s="60"/>
      <c r="J224" s="60"/>
      <c r="K224" s="60"/>
      <c r="L224" s="60"/>
      <c r="M224" s="60"/>
    </row>
    <row r="225" spans="1:13" s="61" customFormat="1" x14ac:dyDescent="0.25">
      <c r="A225" s="526"/>
      <c r="B225" s="526"/>
      <c r="C225" s="119">
        <v>15</v>
      </c>
      <c r="D225" s="108">
        <v>89</v>
      </c>
      <c r="E225" s="49">
        <v>1980</v>
      </c>
      <c r="F225" s="332">
        <f t="shared" si="30"/>
        <v>39</v>
      </c>
      <c r="G225" s="59"/>
      <c r="H225" s="60"/>
      <c r="I225" s="60"/>
      <c r="J225" s="60"/>
      <c r="K225" s="60"/>
      <c r="L225" s="60"/>
      <c r="M225" s="60"/>
    </row>
    <row r="226" spans="1:13" s="61" customFormat="1" ht="15.75" customHeight="1" x14ac:dyDescent="0.25">
      <c r="A226" s="525" t="s">
        <v>261</v>
      </c>
      <c r="B226" s="525" t="s">
        <v>294</v>
      </c>
      <c r="C226" s="119"/>
      <c r="D226" s="108"/>
      <c r="E226" s="56"/>
      <c r="F226" s="327"/>
      <c r="G226" s="59"/>
      <c r="H226" s="60"/>
      <c r="I226" s="60"/>
      <c r="J226" s="60"/>
      <c r="K226" s="60"/>
      <c r="L226" s="60"/>
      <c r="M226" s="60"/>
    </row>
    <row r="227" spans="1:13" s="61" customFormat="1" x14ac:dyDescent="0.25">
      <c r="A227" s="531"/>
      <c r="B227" s="531"/>
      <c r="C227" s="78">
        <v>196</v>
      </c>
      <c r="D227" s="108">
        <v>89</v>
      </c>
      <c r="E227" s="49">
        <v>2003</v>
      </c>
      <c r="F227" s="332">
        <f t="shared" ref="F227:F228" si="31">2019-E227</f>
        <v>16</v>
      </c>
      <c r="G227" s="59"/>
      <c r="H227" s="60"/>
      <c r="I227" s="60"/>
      <c r="J227" s="60"/>
      <c r="K227" s="60"/>
      <c r="L227" s="60"/>
      <c r="M227" s="60"/>
    </row>
    <row r="228" spans="1:13" s="61" customFormat="1" x14ac:dyDescent="0.25">
      <c r="A228" s="526"/>
      <c r="B228" s="526"/>
      <c r="C228" s="55">
        <v>196</v>
      </c>
      <c r="D228" s="108">
        <v>76</v>
      </c>
      <c r="E228" s="64">
        <v>2003</v>
      </c>
      <c r="F228" s="332">
        <f t="shared" si="31"/>
        <v>16</v>
      </c>
      <c r="G228" s="59"/>
      <c r="H228" s="60"/>
      <c r="I228" s="60"/>
      <c r="J228" s="60"/>
      <c r="K228" s="60"/>
      <c r="L228" s="60"/>
      <c r="M228" s="60"/>
    </row>
    <row r="229" spans="1:13" s="61" customFormat="1" ht="15.75" customHeight="1" x14ac:dyDescent="0.25">
      <c r="A229" s="525" t="s">
        <v>271</v>
      </c>
      <c r="B229" s="525" t="s">
        <v>295</v>
      </c>
      <c r="C229" s="119"/>
      <c r="D229" s="108"/>
      <c r="E229" s="56"/>
      <c r="F229" s="327"/>
      <c r="G229" s="59"/>
      <c r="H229" s="60"/>
      <c r="I229" s="60"/>
      <c r="J229" s="60"/>
      <c r="K229" s="60"/>
      <c r="L229" s="60"/>
      <c r="M229" s="60"/>
    </row>
    <row r="230" spans="1:13" s="61" customFormat="1" x14ac:dyDescent="0.25">
      <c r="A230" s="531"/>
      <c r="B230" s="531"/>
      <c r="C230" s="78">
        <v>64</v>
      </c>
      <c r="D230" s="108">
        <v>108</v>
      </c>
      <c r="E230" s="49">
        <v>2002</v>
      </c>
      <c r="F230" s="332">
        <f t="shared" ref="F230:F231" si="32">2019-E230</f>
        <v>17</v>
      </c>
      <c r="G230" s="59"/>
      <c r="H230" s="60"/>
      <c r="I230" s="60"/>
      <c r="J230" s="60"/>
      <c r="K230" s="60"/>
      <c r="L230" s="60"/>
      <c r="M230" s="60"/>
    </row>
    <row r="231" spans="1:13" s="61" customFormat="1" x14ac:dyDescent="0.25">
      <c r="A231" s="526"/>
      <c r="B231" s="526"/>
      <c r="C231" s="78">
        <v>64</v>
      </c>
      <c r="D231" s="108">
        <v>89</v>
      </c>
      <c r="E231" s="49">
        <v>2002</v>
      </c>
      <c r="F231" s="332">
        <f t="shared" si="32"/>
        <v>17</v>
      </c>
      <c r="G231" s="59"/>
      <c r="H231" s="60"/>
      <c r="I231" s="60"/>
      <c r="J231" s="60"/>
      <c r="K231" s="60"/>
      <c r="L231" s="60"/>
      <c r="M231" s="60"/>
    </row>
    <row r="232" spans="1:13" s="61" customFormat="1" ht="15.75" customHeight="1" x14ac:dyDescent="0.25">
      <c r="A232" s="565" t="s">
        <v>296</v>
      </c>
      <c r="B232" s="565" t="s">
        <v>297</v>
      </c>
      <c r="C232" s="53"/>
      <c r="D232" s="108"/>
      <c r="E232" s="56"/>
      <c r="F232" s="327"/>
      <c r="G232" s="59"/>
      <c r="H232" s="60"/>
      <c r="I232" s="60"/>
      <c r="J232" s="60"/>
      <c r="K232" s="60"/>
      <c r="L232" s="60"/>
      <c r="M232" s="60"/>
    </row>
    <row r="233" spans="1:13" s="61" customFormat="1" ht="18" customHeight="1" x14ac:dyDescent="0.25">
      <c r="A233" s="566"/>
      <c r="B233" s="566"/>
      <c r="C233" s="119">
        <v>60</v>
      </c>
      <c r="D233" s="108">
        <v>76</v>
      </c>
      <c r="E233" s="49">
        <v>1980</v>
      </c>
      <c r="F233" s="332">
        <f t="shared" ref="F233:F234" si="33">2019-E233</f>
        <v>39</v>
      </c>
      <c r="G233" s="59"/>
      <c r="H233" s="60"/>
      <c r="I233" s="60"/>
      <c r="J233" s="60"/>
      <c r="K233" s="60"/>
      <c r="L233" s="60"/>
      <c r="M233" s="60"/>
    </row>
    <row r="234" spans="1:13" s="61" customFormat="1" x14ac:dyDescent="0.25">
      <c r="A234" s="567"/>
      <c r="B234" s="567"/>
      <c r="C234" s="119">
        <v>60</v>
      </c>
      <c r="D234" s="108">
        <v>57</v>
      </c>
      <c r="E234" s="49">
        <v>1980</v>
      </c>
      <c r="F234" s="332">
        <f t="shared" si="33"/>
        <v>39</v>
      </c>
      <c r="G234" s="59"/>
      <c r="H234" s="60"/>
      <c r="I234" s="60"/>
      <c r="J234" s="60"/>
      <c r="K234" s="60"/>
      <c r="L234" s="60"/>
      <c r="M234" s="60"/>
    </row>
    <row r="235" spans="1:13" s="61" customFormat="1" ht="15.75" customHeight="1" x14ac:dyDescent="0.25">
      <c r="A235" s="565" t="s">
        <v>298</v>
      </c>
      <c r="B235" s="565" t="s">
        <v>299</v>
      </c>
      <c r="C235" s="53"/>
      <c r="D235" s="108"/>
      <c r="E235" s="56"/>
      <c r="F235" s="327"/>
      <c r="G235" s="59"/>
      <c r="H235" s="60"/>
      <c r="I235" s="60"/>
      <c r="J235" s="60"/>
      <c r="K235" s="60"/>
      <c r="L235" s="60"/>
      <c r="M235" s="60"/>
    </row>
    <row r="236" spans="1:13" s="61" customFormat="1" ht="18.75" customHeight="1" x14ac:dyDescent="0.25">
      <c r="A236" s="566"/>
      <c r="B236" s="566"/>
      <c r="C236" s="119">
        <v>18</v>
      </c>
      <c r="D236" s="108">
        <v>57</v>
      </c>
      <c r="E236" s="49">
        <v>1980</v>
      </c>
      <c r="F236" s="332">
        <f t="shared" ref="F236:F237" si="34">2019-E236</f>
        <v>39</v>
      </c>
      <c r="G236" s="59"/>
      <c r="H236" s="60"/>
      <c r="I236" s="60"/>
      <c r="J236" s="60"/>
      <c r="K236" s="60"/>
      <c r="L236" s="60"/>
      <c r="M236" s="60"/>
    </row>
    <row r="237" spans="1:13" s="61" customFormat="1" x14ac:dyDescent="0.25">
      <c r="A237" s="567"/>
      <c r="B237" s="567"/>
      <c r="C237" s="119">
        <v>18</v>
      </c>
      <c r="D237" s="108">
        <v>40</v>
      </c>
      <c r="E237" s="49">
        <v>1980</v>
      </c>
      <c r="F237" s="332">
        <f t="shared" si="34"/>
        <v>39</v>
      </c>
      <c r="G237" s="59"/>
      <c r="H237" s="60"/>
      <c r="I237" s="60"/>
      <c r="J237" s="60"/>
      <c r="K237" s="60"/>
      <c r="L237" s="60"/>
      <c r="M237" s="60"/>
    </row>
    <row r="238" spans="1:13" s="61" customFormat="1" ht="15.75" customHeight="1" x14ac:dyDescent="0.25">
      <c r="A238" s="565" t="s">
        <v>298</v>
      </c>
      <c r="B238" s="565" t="s">
        <v>300</v>
      </c>
      <c r="C238" s="53"/>
      <c r="D238" s="108"/>
      <c r="E238" s="56"/>
      <c r="F238" s="327"/>
      <c r="G238" s="59"/>
      <c r="H238" s="60"/>
      <c r="I238" s="60"/>
      <c r="J238" s="60"/>
      <c r="K238" s="60"/>
      <c r="L238" s="60"/>
      <c r="M238" s="60"/>
    </row>
    <row r="239" spans="1:13" s="61" customFormat="1" ht="18.75" customHeight="1" x14ac:dyDescent="0.25">
      <c r="A239" s="566"/>
      <c r="B239" s="566"/>
      <c r="C239" s="119">
        <v>44</v>
      </c>
      <c r="D239" s="108">
        <v>57</v>
      </c>
      <c r="E239" s="49">
        <v>1980</v>
      </c>
      <c r="F239" s="332">
        <f t="shared" ref="F239:F240" si="35">2019-E239</f>
        <v>39</v>
      </c>
      <c r="G239" s="59"/>
      <c r="H239" s="60"/>
      <c r="I239" s="60"/>
      <c r="J239" s="60"/>
      <c r="K239" s="60"/>
      <c r="L239" s="60"/>
      <c r="M239" s="60"/>
    </row>
    <row r="240" spans="1:13" s="61" customFormat="1" x14ac:dyDescent="0.25">
      <c r="A240" s="567"/>
      <c r="B240" s="567"/>
      <c r="C240" s="119">
        <v>44</v>
      </c>
      <c r="D240" s="108">
        <v>40</v>
      </c>
      <c r="E240" s="49">
        <v>1980</v>
      </c>
      <c r="F240" s="332">
        <f t="shared" si="35"/>
        <v>39</v>
      </c>
      <c r="G240" s="59"/>
      <c r="H240" s="60"/>
      <c r="I240" s="60"/>
      <c r="J240" s="60"/>
      <c r="K240" s="60"/>
      <c r="L240" s="60"/>
      <c r="M240" s="60"/>
    </row>
    <row r="241" spans="1:13" s="61" customFormat="1" ht="15.75" customHeight="1" x14ac:dyDescent="0.25">
      <c r="A241" s="525" t="s">
        <v>205</v>
      </c>
      <c r="B241" s="525" t="s">
        <v>301</v>
      </c>
      <c r="C241" s="53"/>
      <c r="D241" s="108"/>
      <c r="E241" s="56"/>
      <c r="F241" s="327"/>
      <c r="G241" s="59"/>
      <c r="H241" s="60"/>
      <c r="I241" s="60"/>
      <c r="J241" s="60"/>
      <c r="K241" s="60"/>
      <c r="L241" s="60"/>
      <c r="M241" s="60"/>
    </row>
    <row r="242" spans="1:13" s="61" customFormat="1" x14ac:dyDescent="0.25">
      <c r="A242" s="531"/>
      <c r="B242" s="531"/>
      <c r="C242" s="119">
        <v>49</v>
      </c>
      <c r="D242" s="108">
        <v>89</v>
      </c>
      <c r="E242" s="49">
        <v>1980</v>
      </c>
      <c r="F242" s="332">
        <f t="shared" ref="F242:F243" si="36">2019-E242</f>
        <v>39</v>
      </c>
      <c r="G242" s="59"/>
      <c r="H242" s="60"/>
      <c r="I242" s="60"/>
      <c r="J242" s="60"/>
      <c r="K242" s="60"/>
      <c r="L242" s="60"/>
      <c r="M242" s="60"/>
    </row>
    <row r="243" spans="1:13" s="61" customFormat="1" x14ac:dyDescent="0.25">
      <c r="A243" s="526"/>
      <c r="B243" s="526"/>
      <c r="C243" s="119">
        <v>49</v>
      </c>
      <c r="D243" s="108">
        <v>57</v>
      </c>
      <c r="E243" s="49">
        <v>1980</v>
      </c>
      <c r="F243" s="332">
        <f t="shared" si="36"/>
        <v>39</v>
      </c>
      <c r="G243" s="59"/>
      <c r="H243" s="60"/>
      <c r="I243" s="60"/>
      <c r="J243" s="60"/>
      <c r="K243" s="60"/>
      <c r="L243" s="60"/>
      <c r="M243" s="60"/>
    </row>
    <row r="244" spans="1:13" s="61" customFormat="1" ht="15.75" customHeight="1" x14ac:dyDescent="0.25">
      <c r="A244" s="525" t="s">
        <v>208</v>
      </c>
      <c r="B244" s="525" t="s">
        <v>302</v>
      </c>
      <c r="C244" s="53"/>
      <c r="D244" s="108"/>
      <c r="E244" s="56"/>
      <c r="F244" s="327"/>
      <c r="G244" s="59"/>
      <c r="H244" s="60"/>
      <c r="I244" s="60"/>
      <c r="J244" s="60"/>
      <c r="K244" s="60"/>
      <c r="L244" s="60"/>
      <c r="M244" s="60"/>
    </row>
    <row r="245" spans="1:13" s="61" customFormat="1" ht="18" customHeight="1" x14ac:dyDescent="0.25">
      <c r="A245" s="531"/>
      <c r="B245" s="531"/>
      <c r="C245" s="119">
        <v>116</v>
      </c>
      <c r="D245" s="108">
        <v>108</v>
      </c>
      <c r="E245" s="49">
        <v>1980</v>
      </c>
      <c r="F245" s="332">
        <f t="shared" ref="F245:F246" si="37">2019-E245</f>
        <v>39</v>
      </c>
      <c r="G245" s="59"/>
      <c r="H245" s="60"/>
      <c r="I245" s="60"/>
      <c r="J245" s="60"/>
      <c r="K245" s="60"/>
      <c r="L245" s="60"/>
      <c r="M245" s="60"/>
    </row>
    <row r="246" spans="1:13" s="61" customFormat="1" x14ac:dyDescent="0.25">
      <c r="A246" s="526"/>
      <c r="B246" s="526"/>
      <c r="C246" s="119">
        <v>116</v>
      </c>
      <c r="D246" s="108">
        <v>57</v>
      </c>
      <c r="E246" s="49">
        <v>1980</v>
      </c>
      <c r="F246" s="332">
        <f t="shared" si="37"/>
        <v>39</v>
      </c>
      <c r="G246" s="59"/>
      <c r="H246" s="60"/>
      <c r="I246" s="60"/>
      <c r="J246" s="60"/>
      <c r="K246" s="60"/>
      <c r="L246" s="60"/>
      <c r="M246" s="60"/>
    </row>
    <row r="247" spans="1:13" s="61" customFormat="1" ht="15.75" customHeight="1" x14ac:dyDescent="0.25">
      <c r="A247" s="525" t="s">
        <v>217</v>
      </c>
      <c r="B247" s="525" t="s">
        <v>214</v>
      </c>
      <c r="C247" s="119"/>
      <c r="D247" s="108"/>
      <c r="E247" s="56"/>
      <c r="F247" s="327"/>
      <c r="G247" s="59"/>
      <c r="H247" s="60"/>
      <c r="I247" s="60"/>
      <c r="J247" s="60"/>
      <c r="K247" s="60"/>
      <c r="L247" s="60"/>
      <c r="M247" s="60"/>
    </row>
    <row r="248" spans="1:13" s="61" customFormat="1" ht="21.75" customHeight="1" x14ac:dyDescent="0.25">
      <c r="A248" s="531"/>
      <c r="B248" s="531"/>
      <c r="C248" s="78">
        <v>69</v>
      </c>
      <c r="D248" s="108">
        <v>108</v>
      </c>
      <c r="E248" s="49">
        <v>2001</v>
      </c>
      <c r="F248" s="332">
        <f t="shared" ref="F248:F249" si="38">2019-E248</f>
        <v>18</v>
      </c>
      <c r="G248" s="59"/>
      <c r="H248" s="60"/>
      <c r="I248" s="60"/>
      <c r="J248" s="60"/>
      <c r="K248" s="60"/>
      <c r="L248" s="60"/>
      <c r="M248" s="60"/>
    </row>
    <row r="249" spans="1:13" s="61" customFormat="1" x14ac:dyDescent="0.25">
      <c r="A249" s="526"/>
      <c r="B249" s="526"/>
      <c r="C249" s="78">
        <v>69</v>
      </c>
      <c r="D249" s="108">
        <v>89</v>
      </c>
      <c r="E249" s="49">
        <v>2001</v>
      </c>
      <c r="F249" s="332">
        <f t="shared" si="38"/>
        <v>18</v>
      </c>
      <c r="G249" s="59"/>
      <c r="H249" s="60"/>
      <c r="I249" s="60"/>
      <c r="J249" s="60"/>
      <c r="K249" s="60"/>
      <c r="L249" s="60"/>
      <c r="M249" s="60"/>
    </row>
    <row r="250" spans="1:13" s="61" customFormat="1" ht="15.75" customHeight="1" x14ac:dyDescent="0.25">
      <c r="A250" s="565" t="s">
        <v>241</v>
      </c>
      <c r="B250" s="565" t="s">
        <v>303</v>
      </c>
      <c r="C250" s="119"/>
      <c r="D250" s="108"/>
      <c r="E250" s="56"/>
      <c r="F250" s="327"/>
      <c r="G250" s="59"/>
      <c r="H250" s="60"/>
      <c r="I250" s="60"/>
      <c r="J250" s="60"/>
      <c r="K250" s="60"/>
      <c r="L250" s="60"/>
      <c r="M250" s="60"/>
    </row>
    <row r="251" spans="1:13" s="61" customFormat="1" ht="20.25" customHeight="1" x14ac:dyDescent="0.25">
      <c r="A251" s="566"/>
      <c r="B251" s="566"/>
      <c r="C251" s="78">
        <v>154</v>
      </c>
      <c r="D251" s="108">
        <v>57</v>
      </c>
      <c r="E251" s="49">
        <v>2006</v>
      </c>
      <c r="F251" s="332">
        <f t="shared" ref="F251:F252" si="39">2019-E251</f>
        <v>13</v>
      </c>
      <c r="G251" s="59"/>
      <c r="H251" s="60"/>
      <c r="I251" s="60"/>
      <c r="J251" s="60"/>
      <c r="K251" s="60"/>
      <c r="L251" s="60"/>
      <c r="M251" s="60"/>
    </row>
    <row r="252" spans="1:13" s="61" customFormat="1" x14ac:dyDescent="0.25">
      <c r="A252" s="567"/>
      <c r="B252" s="567"/>
      <c r="C252" s="78">
        <v>154</v>
      </c>
      <c r="D252" s="108">
        <v>57</v>
      </c>
      <c r="E252" s="49">
        <v>2006</v>
      </c>
      <c r="F252" s="332">
        <f t="shared" si="39"/>
        <v>13</v>
      </c>
      <c r="G252" s="59"/>
      <c r="H252" s="60"/>
      <c r="I252" s="60"/>
      <c r="J252" s="60"/>
      <c r="K252" s="60"/>
      <c r="L252" s="60"/>
      <c r="M252" s="60"/>
    </row>
    <row r="253" spans="1:13" s="61" customFormat="1" ht="15.75" customHeight="1" x14ac:dyDescent="0.25">
      <c r="A253" s="525" t="s">
        <v>200</v>
      </c>
      <c r="B253" s="525" t="s">
        <v>304</v>
      </c>
      <c r="C253" s="119"/>
      <c r="D253" s="108"/>
      <c r="E253" s="56"/>
      <c r="F253" s="327"/>
      <c r="G253" s="59"/>
      <c r="H253" s="60"/>
      <c r="I253" s="60"/>
      <c r="J253" s="60"/>
      <c r="K253" s="60"/>
      <c r="L253" s="60"/>
      <c r="M253" s="60"/>
    </row>
    <row r="254" spans="1:13" s="61" customFormat="1" ht="18.75" customHeight="1" x14ac:dyDescent="0.25">
      <c r="A254" s="531"/>
      <c r="B254" s="531"/>
      <c r="C254" s="55">
        <v>21</v>
      </c>
      <c r="D254" s="108">
        <v>76</v>
      </c>
      <c r="E254" s="62">
        <v>2007</v>
      </c>
      <c r="F254" s="332">
        <f t="shared" ref="F254:F255" si="40">2019-E254</f>
        <v>12</v>
      </c>
      <c r="G254" s="59"/>
      <c r="H254" s="60"/>
      <c r="I254" s="60"/>
      <c r="J254" s="60"/>
      <c r="K254" s="60"/>
      <c r="L254" s="60"/>
      <c r="M254" s="60"/>
    </row>
    <row r="255" spans="1:13" s="61" customFormat="1" x14ac:dyDescent="0.25">
      <c r="A255" s="526"/>
      <c r="B255" s="526"/>
      <c r="C255" s="78">
        <v>21</v>
      </c>
      <c r="D255" s="108">
        <v>57</v>
      </c>
      <c r="E255" s="49">
        <v>2007</v>
      </c>
      <c r="F255" s="332">
        <f t="shared" si="40"/>
        <v>12</v>
      </c>
      <c r="G255" s="59"/>
      <c r="H255" s="60"/>
      <c r="I255" s="60"/>
      <c r="J255" s="60"/>
      <c r="K255" s="60"/>
      <c r="L255" s="60"/>
      <c r="M255" s="60"/>
    </row>
    <row r="256" spans="1:13" s="61" customFormat="1" ht="15.75" customHeight="1" x14ac:dyDescent="0.25">
      <c r="A256" s="525" t="s">
        <v>235</v>
      </c>
      <c r="B256" s="525" t="s">
        <v>305</v>
      </c>
      <c r="C256" s="53"/>
      <c r="D256" s="108"/>
      <c r="E256" s="56"/>
      <c r="F256" s="327"/>
      <c r="G256" s="59"/>
      <c r="H256" s="60"/>
      <c r="I256" s="60"/>
      <c r="J256" s="60"/>
      <c r="K256" s="60"/>
      <c r="L256" s="60"/>
      <c r="M256" s="60"/>
    </row>
    <row r="257" spans="1:13" s="61" customFormat="1" ht="18" customHeight="1" x14ac:dyDescent="0.25">
      <c r="A257" s="531"/>
      <c r="B257" s="531"/>
      <c r="C257" s="55">
        <v>22</v>
      </c>
      <c r="D257" s="108">
        <v>133</v>
      </c>
      <c r="E257" s="49">
        <v>2014</v>
      </c>
      <c r="F257" s="332">
        <f t="shared" ref="F257:F258" si="41">2019-E257</f>
        <v>5</v>
      </c>
      <c r="G257" s="59"/>
      <c r="H257" s="60"/>
      <c r="I257" s="60"/>
      <c r="J257" s="60"/>
      <c r="K257" s="60"/>
      <c r="L257" s="60"/>
      <c r="M257" s="60"/>
    </row>
    <row r="258" spans="1:13" s="61" customFormat="1" x14ac:dyDescent="0.25">
      <c r="A258" s="526"/>
      <c r="B258" s="526"/>
      <c r="C258" s="55">
        <v>22</v>
      </c>
      <c r="D258" s="108">
        <v>89</v>
      </c>
      <c r="E258" s="64">
        <v>2014</v>
      </c>
      <c r="F258" s="332">
        <f t="shared" si="41"/>
        <v>5</v>
      </c>
      <c r="G258" s="59"/>
      <c r="H258" s="60"/>
      <c r="I258" s="60"/>
      <c r="J258" s="60"/>
      <c r="K258" s="60"/>
      <c r="L258" s="60"/>
      <c r="M258" s="60"/>
    </row>
    <row r="259" spans="1:13" s="61" customFormat="1" ht="15.75" customHeight="1" x14ac:dyDescent="0.25">
      <c r="A259" s="525" t="s">
        <v>193</v>
      </c>
      <c r="B259" s="525" t="s">
        <v>306</v>
      </c>
      <c r="C259" s="53"/>
      <c r="D259" s="108"/>
      <c r="E259" s="56"/>
      <c r="F259" s="327"/>
      <c r="G259" s="59"/>
      <c r="H259" s="60"/>
      <c r="I259" s="60"/>
      <c r="J259" s="60"/>
      <c r="K259" s="60"/>
      <c r="L259" s="60"/>
      <c r="M259" s="60"/>
    </row>
    <row r="260" spans="1:13" s="61" customFormat="1" x14ac:dyDescent="0.25">
      <c r="A260" s="531"/>
      <c r="B260" s="531"/>
      <c r="C260" s="119">
        <v>3</v>
      </c>
      <c r="D260" s="108">
        <v>159</v>
      </c>
      <c r="E260" s="49">
        <v>1978</v>
      </c>
      <c r="F260" s="332">
        <f t="shared" ref="F260:F261" si="42">2019-E260</f>
        <v>41</v>
      </c>
      <c r="G260" s="59"/>
      <c r="H260" s="60"/>
      <c r="I260" s="60"/>
      <c r="J260" s="60"/>
      <c r="K260" s="60"/>
      <c r="L260" s="60"/>
      <c r="M260" s="60"/>
    </row>
    <row r="261" spans="1:13" s="61" customFormat="1" x14ac:dyDescent="0.25">
      <c r="A261" s="526"/>
      <c r="B261" s="526"/>
      <c r="C261" s="119">
        <v>3</v>
      </c>
      <c r="D261" s="108">
        <v>89</v>
      </c>
      <c r="E261" s="49">
        <v>1978</v>
      </c>
      <c r="F261" s="332">
        <f t="shared" si="42"/>
        <v>41</v>
      </c>
      <c r="G261" s="59"/>
      <c r="H261" s="60"/>
      <c r="I261" s="60"/>
      <c r="J261" s="60"/>
      <c r="K261" s="60"/>
      <c r="L261" s="60"/>
      <c r="M261" s="60"/>
    </row>
    <row r="262" spans="1:13" s="61" customFormat="1" ht="15.75" customHeight="1" x14ac:dyDescent="0.25">
      <c r="A262" s="525" t="s">
        <v>197</v>
      </c>
      <c r="B262" s="525" t="s">
        <v>307</v>
      </c>
      <c r="C262" s="53"/>
      <c r="D262" s="108"/>
      <c r="E262" s="56"/>
      <c r="F262" s="327"/>
      <c r="G262" s="59"/>
      <c r="H262" s="60"/>
      <c r="I262" s="60"/>
      <c r="J262" s="60"/>
      <c r="K262" s="60"/>
      <c r="L262" s="60"/>
      <c r="M262" s="60"/>
    </row>
    <row r="263" spans="1:13" s="61" customFormat="1" ht="21.75" customHeight="1" x14ac:dyDescent="0.25">
      <c r="A263" s="531"/>
      <c r="B263" s="531"/>
      <c r="C263" s="119">
        <v>25</v>
      </c>
      <c r="D263" s="108">
        <v>89</v>
      </c>
      <c r="E263" s="49">
        <v>1982</v>
      </c>
      <c r="F263" s="332">
        <f t="shared" ref="F263:F264" si="43">2019-E263</f>
        <v>37</v>
      </c>
      <c r="G263" s="59"/>
      <c r="H263" s="60"/>
      <c r="I263" s="60"/>
      <c r="J263" s="60"/>
      <c r="K263" s="60"/>
      <c r="L263" s="60"/>
      <c r="M263" s="60"/>
    </row>
    <row r="264" spans="1:13" s="61" customFormat="1" x14ac:dyDescent="0.25">
      <c r="A264" s="526"/>
      <c r="B264" s="526"/>
      <c r="C264" s="119">
        <v>25</v>
      </c>
      <c r="D264" s="108">
        <v>57</v>
      </c>
      <c r="E264" s="49">
        <v>1982</v>
      </c>
      <c r="F264" s="332">
        <f t="shared" si="43"/>
        <v>37</v>
      </c>
      <c r="G264" s="59"/>
      <c r="H264" s="60"/>
      <c r="I264" s="60"/>
      <c r="J264" s="60"/>
      <c r="K264" s="60"/>
      <c r="L264" s="60"/>
      <c r="M264" s="60"/>
    </row>
    <row r="265" spans="1:13" s="61" customFormat="1" ht="15.75" customHeight="1" x14ac:dyDescent="0.25">
      <c r="A265" s="525" t="s">
        <v>308</v>
      </c>
      <c r="B265" s="525" t="s">
        <v>309</v>
      </c>
      <c r="C265" s="53"/>
      <c r="D265" s="108"/>
      <c r="E265" s="56"/>
      <c r="F265" s="327"/>
      <c r="G265" s="59"/>
      <c r="H265" s="60"/>
      <c r="I265" s="60"/>
      <c r="J265" s="60"/>
      <c r="K265" s="60"/>
      <c r="L265" s="60"/>
      <c r="M265" s="60"/>
    </row>
    <row r="266" spans="1:13" s="61" customFormat="1" x14ac:dyDescent="0.25">
      <c r="A266" s="531"/>
      <c r="B266" s="531"/>
      <c r="C266" s="119">
        <v>32</v>
      </c>
      <c r="D266" s="108">
        <v>89</v>
      </c>
      <c r="E266" s="49">
        <v>1982</v>
      </c>
      <c r="F266" s="332">
        <f t="shared" ref="F266:F267" si="44">2019-E266</f>
        <v>37</v>
      </c>
      <c r="G266" s="59"/>
      <c r="H266" s="60"/>
      <c r="I266" s="60"/>
      <c r="J266" s="60"/>
      <c r="K266" s="60"/>
      <c r="L266" s="60"/>
      <c r="M266" s="60"/>
    </row>
    <row r="267" spans="1:13" s="61" customFormat="1" x14ac:dyDescent="0.25">
      <c r="A267" s="526"/>
      <c r="B267" s="526"/>
      <c r="C267" s="119">
        <v>32</v>
      </c>
      <c r="D267" s="108">
        <v>57</v>
      </c>
      <c r="E267" s="64">
        <v>1982</v>
      </c>
      <c r="F267" s="332">
        <f t="shared" si="44"/>
        <v>37</v>
      </c>
      <c r="G267" s="59"/>
      <c r="H267" s="60"/>
      <c r="I267" s="60"/>
      <c r="J267" s="60"/>
      <c r="K267" s="60"/>
      <c r="L267" s="60"/>
      <c r="M267" s="60"/>
    </row>
    <row r="268" spans="1:13" s="61" customFormat="1" ht="15.75" customHeight="1" x14ac:dyDescent="0.25">
      <c r="A268" s="525" t="s">
        <v>310</v>
      </c>
      <c r="B268" s="525" t="s">
        <v>311</v>
      </c>
      <c r="C268" s="119"/>
      <c r="D268" s="108"/>
      <c r="E268" s="56"/>
      <c r="F268" s="327"/>
      <c r="G268" s="59"/>
      <c r="H268" s="60"/>
      <c r="I268" s="60"/>
      <c r="J268" s="60"/>
      <c r="K268" s="60"/>
      <c r="L268" s="60"/>
      <c r="M268" s="60"/>
    </row>
    <row r="269" spans="1:13" s="61" customFormat="1" x14ac:dyDescent="0.25">
      <c r="A269" s="531"/>
      <c r="B269" s="531"/>
      <c r="C269" s="78">
        <v>43</v>
      </c>
      <c r="D269" s="108">
        <v>89</v>
      </c>
      <c r="E269" s="49">
        <v>2006</v>
      </c>
      <c r="F269" s="332">
        <f t="shared" ref="F269:F270" si="45">2019-E269</f>
        <v>13</v>
      </c>
      <c r="G269" s="59"/>
      <c r="H269" s="60"/>
      <c r="I269" s="60"/>
      <c r="J269" s="60"/>
      <c r="K269" s="60"/>
      <c r="L269" s="60"/>
      <c r="M269" s="60"/>
    </row>
    <row r="270" spans="1:13" s="61" customFormat="1" x14ac:dyDescent="0.25">
      <c r="A270" s="526"/>
      <c r="B270" s="526"/>
      <c r="C270" s="78">
        <v>43</v>
      </c>
      <c r="D270" s="108">
        <v>57</v>
      </c>
      <c r="E270" s="49">
        <v>2006</v>
      </c>
      <c r="F270" s="332">
        <f t="shared" si="45"/>
        <v>13</v>
      </c>
      <c r="G270" s="59"/>
      <c r="H270" s="60"/>
      <c r="I270" s="60"/>
      <c r="J270" s="60"/>
      <c r="K270" s="60"/>
      <c r="L270" s="60"/>
      <c r="M270" s="60"/>
    </row>
    <row r="271" spans="1:13" s="61" customFormat="1" ht="15.75" customHeight="1" x14ac:dyDescent="0.25">
      <c r="A271" s="525" t="s">
        <v>312</v>
      </c>
      <c r="B271" s="525" t="s">
        <v>313</v>
      </c>
      <c r="C271" s="119"/>
      <c r="D271" s="108"/>
      <c r="E271" s="56"/>
      <c r="F271" s="327"/>
      <c r="G271" s="59"/>
      <c r="H271" s="60"/>
      <c r="I271" s="60"/>
      <c r="J271" s="60"/>
      <c r="K271" s="60"/>
      <c r="L271" s="60"/>
      <c r="M271" s="60"/>
    </row>
    <row r="272" spans="1:13" s="61" customFormat="1" ht="18.75" customHeight="1" x14ac:dyDescent="0.25">
      <c r="A272" s="531"/>
      <c r="B272" s="531"/>
      <c r="C272" s="78">
        <v>54</v>
      </c>
      <c r="D272" s="108">
        <v>89</v>
      </c>
      <c r="E272" s="62">
        <v>2002</v>
      </c>
      <c r="F272" s="332">
        <f t="shared" ref="F272:F273" si="46">2019-E272</f>
        <v>17</v>
      </c>
      <c r="G272" s="59"/>
      <c r="H272" s="60"/>
      <c r="I272" s="60"/>
      <c r="J272" s="60"/>
      <c r="K272" s="60"/>
      <c r="L272" s="60"/>
      <c r="M272" s="60"/>
    </row>
    <row r="273" spans="1:13" s="61" customFormat="1" x14ac:dyDescent="0.25">
      <c r="A273" s="526"/>
      <c r="B273" s="526"/>
      <c r="C273" s="55">
        <v>54</v>
      </c>
      <c r="D273" s="108">
        <v>76</v>
      </c>
      <c r="E273" s="49">
        <v>2002</v>
      </c>
      <c r="F273" s="332">
        <f t="shared" si="46"/>
        <v>17</v>
      </c>
      <c r="G273" s="59"/>
      <c r="H273" s="60"/>
      <c r="I273" s="60"/>
      <c r="J273" s="60"/>
      <c r="K273" s="60"/>
      <c r="L273" s="60"/>
      <c r="M273" s="60"/>
    </row>
    <row r="274" spans="1:13" s="61" customFormat="1" ht="15.75" customHeight="1" x14ac:dyDescent="0.25">
      <c r="A274" s="525" t="s">
        <v>312</v>
      </c>
      <c r="B274" s="525" t="s">
        <v>314</v>
      </c>
      <c r="C274" s="53"/>
      <c r="D274" s="108"/>
      <c r="E274" s="56"/>
      <c r="F274" s="327"/>
      <c r="G274" s="59"/>
      <c r="H274" s="60"/>
      <c r="I274" s="60"/>
      <c r="J274" s="60"/>
      <c r="K274" s="60"/>
      <c r="L274" s="60"/>
      <c r="M274" s="60"/>
    </row>
    <row r="275" spans="1:13" s="61" customFormat="1" ht="17.25" customHeight="1" x14ac:dyDescent="0.25">
      <c r="A275" s="531"/>
      <c r="B275" s="531"/>
      <c r="C275" s="119">
        <v>93</v>
      </c>
      <c r="D275" s="108">
        <v>108</v>
      </c>
      <c r="E275" s="49">
        <v>1980</v>
      </c>
      <c r="F275" s="332">
        <f t="shared" ref="F275:F276" si="47">2019-E275</f>
        <v>39</v>
      </c>
      <c r="G275" s="59"/>
      <c r="H275" s="60"/>
      <c r="I275" s="60"/>
      <c r="J275" s="60"/>
      <c r="K275" s="60"/>
      <c r="L275" s="60"/>
      <c r="M275" s="60"/>
    </row>
    <row r="276" spans="1:13" s="61" customFormat="1" x14ac:dyDescent="0.25">
      <c r="A276" s="526"/>
      <c r="B276" s="526"/>
      <c r="C276" s="119">
        <v>93</v>
      </c>
      <c r="D276" s="108">
        <v>76</v>
      </c>
      <c r="E276" s="49">
        <v>1980</v>
      </c>
      <c r="F276" s="332">
        <f t="shared" si="47"/>
        <v>39</v>
      </c>
      <c r="G276" s="59"/>
      <c r="H276" s="60"/>
      <c r="I276" s="60"/>
      <c r="J276" s="60"/>
      <c r="K276" s="60"/>
      <c r="L276" s="60"/>
      <c r="M276" s="60"/>
    </row>
    <row r="277" spans="1:13" s="61" customFormat="1" ht="15.75" customHeight="1" x14ac:dyDescent="0.25">
      <c r="A277" s="565" t="s">
        <v>315</v>
      </c>
      <c r="B277" s="565" t="s">
        <v>316</v>
      </c>
      <c r="C277" s="53"/>
      <c r="D277" s="108"/>
      <c r="E277" s="56"/>
      <c r="F277" s="327"/>
      <c r="G277" s="59"/>
      <c r="H277" s="60"/>
      <c r="I277" s="60"/>
      <c r="J277" s="60"/>
      <c r="K277" s="60"/>
      <c r="L277" s="60"/>
      <c r="M277" s="60"/>
    </row>
    <row r="278" spans="1:13" s="61" customFormat="1" ht="18.75" customHeight="1" x14ac:dyDescent="0.25">
      <c r="A278" s="566"/>
      <c r="B278" s="566"/>
      <c r="C278" s="119">
        <v>25</v>
      </c>
      <c r="D278" s="108">
        <v>89</v>
      </c>
      <c r="E278" s="49">
        <v>1980</v>
      </c>
      <c r="F278" s="332">
        <f t="shared" ref="F278:F279" si="48">2019-E278</f>
        <v>39</v>
      </c>
      <c r="G278" s="59"/>
      <c r="H278" s="60"/>
      <c r="I278" s="60"/>
      <c r="J278" s="60"/>
      <c r="K278" s="60"/>
      <c r="L278" s="60"/>
      <c r="M278" s="60"/>
    </row>
    <row r="279" spans="1:13" s="61" customFormat="1" x14ac:dyDescent="0.25">
      <c r="A279" s="567"/>
      <c r="B279" s="567"/>
      <c r="C279" s="119">
        <v>25</v>
      </c>
      <c r="D279" s="108">
        <v>76</v>
      </c>
      <c r="E279" s="49">
        <v>1980</v>
      </c>
      <c r="F279" s="332">
        <f t="shared" si="48"/>
        <v>39</v>
      </c>
      <c r="G279" s="59"/>
      <c r="H279" s="60"/>
      <c r="I279" s="60"/>
      <c r="J279" s="60"/>
      <c r="K279" s="60"/>
      <c r="L279" s="60"/>
      <c r="M279" s="60"/>
    </row>
    <row r="280" spans="1:13" s="61" customFormat="1" ht="15.75" customHeight="1" x14ac:dyDescent="0.25">
      <c r="A280" s="525" t="s">
        <v>287</v>
      </c>
      <c r="B280" s="525" t="s">
        <v>317</v>
      </c>
      <c r="C280" s="119"/>
      <c r="D280" s="108"/>
      <c r="E280" s="56"/>
      <c r="F280" s="327"/>
      <c r="G280" s="59"/>
      <c r="H280" s="60"/>
      <c r="I280" s="60"/>
      <c r="J280" s="60"/>
      <c r="K280" s="60"/>
      <c r="L280" s="60"/>
      <c r="M280" s="60"/>
    </row>
    <row r="281" spans="1:13" s="61" customFormat="1" x14ac:dyDescent="0.25">
      <c r="A281" s="531"/>
      <c r="B281" s="531"/>
      <c r="C281" s="78">
        <v>24</v>
      </c>
      <c r="D281" s="108">
        <v>57</v>
      </c>
      <c r="E281" s="49">
        <v>2002</v>
      </c>
      <c r="F281" s="332">
        <f t="shared" ref="F281:F282" si="49">2019-E281</f>
        <v>17</v>
      </c>
      <c r="G281" s="59"/>
      <c r="H281" s="60"/>
      <c r="I281" s="60"/>
      <c r="J281" s="60"/>
      <c r="K281" s="60"/>
      <c r="L281" s="60"/>
      <c r="M281" s="60"/>
    </row>
    <row r="282" spans="1:13" s="61" customFormat="1" x14ac:dyDescent="0.25">
      <c r="A282" s="526"/>
      <c r="B282" s="526"/>
      <c r="C282" s="78">
        <v>24</v>
      </c>
      <c r="D282" s="108">
        <v>57</v>
      </c>
      <c r="E282" s="64">
        <v>2002</v>
      </c>
      <c r="F282" s="332">
        <f t="shared" si="49"/>
        <v>17</v>
      </c>
      <c r="G282" s="59"/>
      <c r="H282" s="60"/>
      <c r="I282" s="60"/>
      <c r="J282" s="60"/>
      <c r="K282" s="60"/>
      <c r="L282" s="60"/>
      <c r="M282" s="60"/>
    </row>
    <row r="283" spans="1:13" s="61" customFormat="1" ht="18" customHeight="1" x14ac:dyDescent="0.25">
      <c r="A283" s="525" t="s">
        <v>296</v>
      </c>
      <c r="B283" s="525" t="s">
        <v>318</v>
      </c>
      <c r="C283" s="53"/>
      <c r="D283" s="108"/>
      <c r="E283" s="56"/>
      <c r="F283" s="327"/>
      <c r="G283" s="59"/>
      <c r="H283" s="60"/>
      <c r="I283" s="60"/>
      <c r="J283" s="60"/>
      <c r="K283" s="60"/>
      <c r="L283" s="60"/>
      <c r="M283" s="60"/>
    </row>
    <row r="284" spans="1:13" s="61" customFormat="1" x14ac:dyDescent="0.25">
      <c r="A284" s="531"/>
      <c r="B284" s="531"/>
      <c r="C284" s="119">
        <v>9.1999999999999993</v>
      </c>
      <c r="D284" s="108">
        <v>133</v>
      </c>
      <c r="E284" s="49">
        <v>1980</v>
      </c>
      <c r="F284" s="332">
        <f t="shared" ref="F284:F285" si="50">2019-E284</f>
        <v>39</v>
      </c>
      <c r="G284" s="59"/>
      <c r="H284" s="60"/>
      <c r="I284" s="60"/>
      <c r="J284" s="60"/>
      <c r="K284" s="60"/>
      <c r="L284" s="60"/>
      <c r="M284" s="60"/>
    </row>
    <row r="285" spans="1:13" s="61" customFormat="1" x14ac:dyDescent="0.25">
      <c r="A285" s="526"/>
      <c r="B285" s="526"/>
      <c r="C285" s="119">
        <v>9.1999999999999993</v>
      </c>
      <c r="D285" s="108">
        <v>108</v>
      </c>
      <c r="E285" s="49">
        <v>1980</v>
      </c>
      <c r="F285" s="332">
        <f t="shared" si="50"/>
        <v>39</v>
      </c>
      <c r="G285" s="59"/>
      <c r="H285" s="60"/>
      <c r="I285" s="60"/>
      <c r="J285" s="60"/>
      <c r="K285" s="60"/>
      <c r="L285" s="60"/>
      <c r="M285" s="60"/>
    </row>
    <row r="286" spans="1:13" s="61" customFormat="1" ht="15.75" customHeight="1" x14ac:dyDescent="0.25">
      <c r="A286" s="534" t="s">
        <v>200</v>
      </c>
      <c r="B286" s="534" t="s">
        <v>319</v>
      </c>
      <c r="C286" s="119"/>
      <c r="D286" s="108"/>
      <c r="E286" s="56"/>
      <c r="F286" s="327"/>
      <c r="G286" s="59"/>
      <c r="H286" s="60"/>
      <c r="I286" s="60"/>
      <c r="J286" s="60"/>
      <c r="K286" s="60"/>
      <c r="L286" s="60"/>
      <c r="M286" s="60"/>
    </row>
    <row r="287" spans="1:13" s="61" customFormat="1" x14ac:dyDescent="0.25">
      <c r="A287" s="536"/>
      <c r="B287" s="536"/>
      <c r="C287" s="78">
        <v>92</v>
      </c>
      <c r="D287" s="108">
        <v>108</v>
      </c>
      <c r="E287" s="49">
        <v>2001</v>
      </c>
      <c r="F287" s="332">
        <f t="shared" ref="F287:F288" si="51">2019-E287</f>
        <v>18</v>
      </c>
      <c r="G287" s="59"/>
      <c r="H287" s="60"/>
      <c r="I287" s="60"/>
      <c r="J287" s="60"/>
      <c r="K287" s="60"/>
      <c r="L287" s="60"/>
      <c r="M287" s="60"/>
    </row>
    <row r="288" spans="1:13" s="61" customFormat="1" x14ac:dyDescent="0.25">
      <c r="A288" s="535"/>
      <c r="B288" s="535"/>
      <c r="C288" s="78">
        <v>92</v>
      </c>
      <c r="D288" s="108">
        <v>89</v>
      </c>
      <c r="E288" s="64">
        <v>2001</v>
      </c>
      <c r="F288" s="332">
        <f t="shared" si="51"/>
        <v>18</v>
      </c>
      <c r="G288" s="59"/>
      <c r="H288" s="60"/>
      <c r="I288" s="60"/>
      <c r="J288" s="60"/>
      <c r="K288" s="60"/>
      <c r="L288" s="60"/>
      <c r="M288" s="60"/>
    </row>
    <row r="289" spans="1:13" s="61" customFormat="1" ht="15.75" customHeight="1" x14ac:dyDescent="0.25">
      <c r="A289" s="525" t="s">
        <v>197</v>
      </c>
      <c r="B289" s="525" t="s">
        <v>320</v>
      </c>
      <c r="C289" s="119"/>
      <c r="D289" s="108"/>
      <c r="E289" s="56"/>
      <c r="F289" s="327"/>
      <c r="G289" s="59"/>
      <c r="H289" s="60"/>
      <c r="I289" s="60"/>
      <c r="J289" s="60"/>
      <c r="K289" s="60"/>
      <c r="L289" s="60"/>
      <c r="M289" s="60"/>
    </row>
    <row r="290" spans="1:13" s="61" customFormat="1" ht="21" customHeight="1" x14ac:dyDescent="0.25">
      <c r="A290" s="531"/>
      <c r="B290" s="531"/>
      <c r="C290" s="78">
        <v>37</v>
      </c>
      <c r="D290" s="108">
        <v>89</v>
      </c>
      <c r="E290" s="49">
        <v>1999</v>
      </c>
      <c r="F290" s="332">
        <f t="shared" ref="F290:F291" si="52">2019-E290</f>
        <v>20</v>
      </c>
      <c r="G290" s="59"/>
      <c r="H290" s="60"/>
      <c r="I290" s="60"/>
      <c r="J290" s="60"/>
      <c r="K290" s="60"/>
      <c r="L290" s="60"/>
      <c r="M290" s="60"/>
    </row>
    <row r="291" spans="1:13" s="61" customFormat="1" x14ac:dyDescent="0.25">
      <c r="A291" s="526"/>
      <c r="B291" s="526"/>
      <c r="C291" s="78">
        <v>37</v>
      </c>
      <c r="D291" s="108">
        <v>57</v>
      </c>
      <c r="E291" s="49">
        <v>1999</v>
      </c>
      <c r="F291" s="332">
        <f t="shared" si="52"/>
        <v>20</v>
      </c>
      <c r="G291" s="59"/>
      <c r="H291" s="60"/>
      <c r="I291" s="60"/>
      <c r="J291" s="60"/>
      <c r="K291" s="60"/>
      <c r="L291" s="60"/>
      <c r="M291" s="60"/>
    </row>
    <row r="292" spans="1:13" s="61" customFormat="1" ht="15.75" customHeight="1" x14ac:dyDescent="0.25">
      <c r="A292" s="525" t="s">
        <v>321</v>
      </c>
      <c r="B292" s="525" t="s">
        <v>322</v>
      </c>
      <c r="C292" s="53"/>
      <c r="D292" s="108"/>
      <c r="E292" s="56"/>
      <c r="F292" s="327"/>
      <c r="G292" s="59"/>
      <c r="H292" s="60"/>
      <c r="I292" s="60"/>
      <c r="J292" s="60"/>
      <c r="K292" s="60"/>
      <c r="L292" s="60"/>
      <c r="M292" s="60"/>
    </row>
    <row r="293" spans="1:13" s="61" customFormat="1" ht="20.25" customHeight="1" x14ac:dyDescent="0.25">
      <c r="A293" s="531"/>
      <c r="B293" s="531"/>
      <c r="C293" s="119">
        <v>26</v>
      </c>
      <c r="D293" s="108">
        <v>57</v>
      </c>
      <c r="E293" s="49">
        <v>1979</v>
      </c>
      <c r="F293" s="332">
        <f t="shared" ref="F293:F294" si="53">2019-E293</f>
        <v>40</v>
      </c>
      <c r="G293" s="59"/>
      <c r="H293" s="60"/>
      <c r="I293" s="60"/>
      <c r="J293" s="60"/>
      <c r="K293" s="60"/>
      <c r="L293" s="60"/>
      <c r="M293" s="60"/>
    </row>
    <row r="294" spans="1:13" s="61" customFormat="1" x14ac:dyDescent="0.25">
      <c r="A294" s="526"/>
      <c r="B294" s="526"/>
      <c r="C294" s="119">
        <v>26</v>
      </c>
      <c r="D294" s="108">
        <v>57</v>
      </c>
      <c r="E294" s="49">
        <v>1979</v>
      </c>
      <c r="F294" s="332">
        <f t="shared" si="53"/>
        <v>40</v>
      </c>
      <c r="G294" s="59"/>
      <c r="H294" s="60"/>
      <c r="I294" s="60"/>
      <c r="J294" s="60"/>
      <c r="K294" s="60"/>
      <c r="L294" s="60"/>
      <c r="M294" s="60"/>
    </row>
    <row r="295" spans="1:13" s="61" customFormat="1" ht="15.75" customHeight="1" x14ac:dyDescent="0.25">
      <c r="A295" s="525" t="s">
        <v>229</v>
      </c>
      <c r="B295" s="525" t="s">
        <v>323</v>
      </c>
      <c r="C295" s="53"/>
      <c r="D295" s="108"/>
      <c r="E295" s="56"/>
      <c r="F295" s="327"/>
      <c r="G295" s="59"/>
      <c r="H295" s="60"/>
      <c r="I295" s="60"/>
      <c r="J295" s="60"/>
      <c r="K295" s="60"/>
      <c r="L295" s="60"/>
      <c r="M295" s="60"/>
    </row>
    <row r="296" spans="1:13" s="61" customFormat="1" ht="20.25" customHeight="1" x14ac:dyDescent="0.25">
      <c r="A296" s="531"/>
      <c r="B296" s="531"/>
      <c r="C296" s="119">
        <v>74</v>
      </c>
      <c r="D296" s="108">
        <v>57</v>
      </c>
      <c r="E296" s="49">
        <v>1979</v>
      </c>
      <c r="F296" s="332">
        <f t="shared" ref="F296:F297" si="54">2019-E296</f>
        <v>40</v>
      </c>
      <c r="G296" s="59"/>
      <c r="H296" s="60"/>
      <c r="I296" s="60"/>
      <c r="J296" s="60"/>
      <c r="K296" s="60"/>
      <c r="L296" s="60"/>
      <c r="M296" s="60"/>
    </row>
    <row r="297" spans="1:13" s="61" customFormat="1" x14ac:dyDescent="0.25">
      <c r="A297" s="526"/>
      <c r="B297" s="526"/>
      <c r="C297" s="119">
        <v>74</v>
      </c>
      <c r="D297" s="108">
        <v>57</v>
      </c>
      <c r="E297" s="49">
        <v>1979</v>
      </c>
      <c r="F297" s="332">
        <f t="shared" si="54"/>
        <v>40</v>
      </c>
      <c r="G297" s="59"/>
      <c r="H297" s="60"/>
      <c r="I297" s="60"/>
      <c r="J297" s="60"/>
      <c r="K297" s="60"/>
      <c r="L297" s="60"/>
      <c r="M297" s="60"/>
    </row>
    <row r="298" spans="1:13" s="61" customFormat="1" ht="15.75" customHeight="1" x14ac:dyDescent="0.25">
      <c r="A298" s="525" t="s">
        <v>253</v>
      </c>
      <c r="B298" s="525" t="s">
        <v>324</v>
      </c>
      <c r="C298" s="53"/>
      <c r="D298" s="108"/>
      <c r="E298" s="56"/>
      <c r="F298" s="327"/>
      <c r="G298" s="59"/>
      <c r="H298" s="60"/>
      <c r="I298" s="60"/>
      <c r="J298" s="60"/>
      <c r="K298" s="60"/>
      <c r="L298" s="60"/>
      <c r="M298" s="60"/>
    </row>
    <row r="299" spans="1:13" s="61" customFormat="1" ht="22.5" customHeight="1" x14ac:dyDescent="0.25">
      <c r="A299" s="531"/>
      <c r="B299" s="531"/>
      <c r="C299" s="119">
        <v>46</v>
      </c>
      <c r="D299" s="108">
        <v>108</v>
      </c>
      <c r="E299" s="49">
        <v>1979</v>
      </c>
      <c r="F299" s="332">
        <f t="shared" ref="F299:F300" si="55">2019-E299</f>
        <v>40</v>
      </c>
      <c r="G299" s="59"/>
      <c r="H299" s="60"/>
      <c r="I299" s="60"/>
      <c r="J299" s="60"/>
      <c r="K299" s="60"/>
      <c r="L299" s="60"/>
      <c r="M299" s="60"/>
    </row>
    <row r="300" spans="1:13" s="61" customFormat="1" x14ac:dyDescent="0.25">
      <c r="A300" s="526"/>
      <c r="B300" s="526"/>
      <c r="C300" s="119">
        <v>46</v>
      </c>
      <c r="D300" s="108">
        <v>89</v>
      </c>
      <c r="E300" s="49">
        <v>1979</v>
      </c>
      <c r="F300" s="332">
        <f t="shared" si="55"/>
        <v>40</v>
      </c>
      <c r="G300" s="59"/>
      <c r="H300" s="60"/>
      <c r="I300" s="60"/>
      <c r="J300" s="60"/>
      <c r="K300" s="60"/>
      <c r="L300" s="60"/>
      <c r="M300" s="60"/>
    </row>
    <row r="301" spans="1:13" s="61" customFormat="1" ht="15.75" customHeight="1" x14ac:dyDescent="0.25">
      <c r="A301" s="525" t="s">
        <v>325</v>
      </c>
      <c r="B301" s="525" t="s">
        <v>326</v>
      </c>
      <c r="C301" s="119"/>
      <c r="D301" s="108"/>
      <c r="E301" s="56"/>
      <c r="F301" s="327"/>
      <c r="G301" s="59"/>
      <c r="H301" s="60"/>
      <c r="I301" s="60"/>
      <c r="J301" s="60"/>
      <c r="K301" s="60"/>
      <c r="L301" s="60"/>
      <c r="M301" s="60"/>
    </row>
    <row r="302" spans="1:13" s="61" customFormat="1" ht="20.25" customHeight="1" x14ac:dyDescent="0.25">
      <c r="A302" s="531"/>
      <c r="B302" s="531"/>
      <c r="C302" s="78">
        <v>42</v>
      </c>
      <c r="D302" s="108">
        <v>133</v>
      </c>
      <c r="E302" s="49">
        <v>2002</v>
      </c>
      <c r="F302" s="332">
        <f t="shared" ref="F302:F303" si="56">2019-E302</f>
        <v>17</v>
      </c>
      <c r="G302" s="59"/>
      <c r="H302" s="60"/>
      <c r="I302" s="60"/>
      <c r="J302" s="60"/>
      <c r="K302" s="60"/>
      <c r="L302" s="60"/>
      <c r="M302" s="60"/>
    </row>
    <row r="303" spans="1:13" s="61" customFormat="1" x14ac:dyDescent="0.25">
      <c r="A303" s="526"/>
      <c r="B303" s="526"/>
      <c r="C303" s="78">
        <v>42</v>
      </c>
      <c r="D303" s="108">
        <v>57</v>
      </c>
      <c r="E303" s="64">
        <v>2002</v>
      </c>
      <c r="F303" s="332">
        <f t="shared" si="56"/>
        <v>17</v>
      </c>
      <c r="G303" s="59"/>
      <c r="H303" s="60"/>
      <c r="I303" s="60"/>
      <c r="J303" s="60"/>
      <c r="K303" s="60"/>
      <c r="L303" s="60"/>
      <c r="M303" s="60"/>
    </row>
    <row r="304" spans="1:13" s="61" customFormat="1" ht="15.75" customHeight="1" x14ac:dyDescent="0.25">
      <c r="A304" s="525" t="s">
        <v>208</v>
      </c>
      <c r="B304" s="525" t="s">
        <v>327</v>
      </c>
      <c r="C304" s="53"/>
      <c r="D304" s="108"/>
      <c r="E304" s="56"/>
      <c r="F304" s="327"/>
      <c r="G304" s="59"/>
      <c r="H304" s="60"/>
      <c r="I304" s="60"/>
      <c r="J304" s="60"/>
      <c r="K304" s="60"/>
      <c r="L304" s="60"/>
      <c r="M304" s="60"/>
    </row>
    <row r="305" spans="1:13" s="61" customFormat="1" ht="18.75" customHeight="1" x14ac:dyDescent="0.25">
      <c r="A305" s="531"/>
      <c r="B305" s="531"/>
      <c r="C305" s="119">
        <v>15</v>
      </c>
      <c r="D305" s="108">
        <v>57</v>
      </c>
      <c r="E305" s="49">
        <v>1980</v>
      </c>
      <c r="F305" s="332">
        <f t="shared" ref="F305:F306" si="57">2019-E305</f>
        <v>39</v>
      </c>
      <c r="G305" s="59"/>
      <c r="H305" s="60"/>
      <c r="I305" s="60"/>
      <c r="J305" s="60"/>
      <c r="K305" s="60"/>
      <c r="L305" s="60"/>
      <c r="M305" s="60"/>
    </row>
    <row r="306" spans="1:13" s="61" customFormat="1" x14ac:dyDescent="0.25">
      <c r="A306" s="526"/>
      <c r="B306" s="526"/>
      <c r="C306" s="119">
        <v>15</v>
      </c>
      <c r="D306" s="108">
        <v>57</v>
      </c>
      <c r="E306" s="49">
        <v>1980</v>
      </c>
      <c r="F306" s="332">
        <f t="shared" si="57"/>
        <v>39</v>
      </c>
      <c r="G306" s="59"/>
      <c r="H306" s="60"/>
      <c r="I306" s="60"/>
      <c r="J306" s="60"/>
      <c r="K306" s="60"/>
      <c r="L306" s="60"/>
      <c r="M306" s="60"/>
    </row>
    <row r="307" spans="1:13" s="61" customFormat="1" ht="15.75" customHeight="1" x14ac:dyDescent="0.25">
      <c r="A307" s="525" t="s">
        <v>178</v>
      </c>
      <c r="B307" s="525" t="s">
        <v>328</v>
      </c>
      <c r="C307" s="53"/>
      <c r="D307" s="108"/>
      <c r="E307" s="56"/>
      <c r="F307" s="327"/>
      <c r="G307" s="59"/>
      <c r="H307" s="60"/>
      <c r="I307" s="60"/>
      <c r="J307" s="60"/>
      <c r="K307" s="60"/>
      <c r="L307" s="60"/>
      <c r="M307" s="60"/>
    </row>
    <row r="308" spans="1:13" s="61" customFormat="1" ht="21.75" customHeight="1" x14ac:dyDescent="0.25">
      <c r="A308" s="531"/>
      <c r="B308" s="531"/>
      <c r="C308" s="119">
        <v>18</v>
      </c>
      <c r="D308" s="108">
        <v>76</v>
      </c>
      <c r="E308" s="49">
        <v>1980</v>
      </c>
      <c r="F308" s="332">
        <f t="shared" ref="F308:F309" si="58">2019-E308</f>
        <v>39</v>
      </c>
      <c r="G308" s="59"/>
      <c r="H308" s="60"/>
      <c r="I308" s="60"/>
      <c r="J308" s="60"/>
      <c r="K308" s="60"/>
      <c r="L308" s="60"/>
      <c r="M308" s="60"/>
    </row>
    <row r="309" spans="1:13" s="61" customFormat="1" x14ac:dyDescent="0.25">
      <c r="A309" s="526"/>
      <c r="B309" s="526"/>
      <c r="C309" s="119">
        <v>18</v>
      </c>
      <c r="D309" s="108">
        <v>57</v>
      </c>
      <c r="E309" s="49">
        <v>1980</v>
      </c>
      <c r="F309" s="332">
        <f t="shared" si="58"/>
        <v>39</v>
      </c>
      <c r="G309" s="59"/>
      <c r="H309" s="60"/>
      <c r="I309" s="60"/>
      <c r="J309" s="60"/>
      <c r="K309" s="60"/>
      <c r="L309" s="60"/>
      <c r="M309" s="60"/>
    </row>
    <row r="310" spans="1:13" s="61" customFormat="1" ht="15.75" customHeight="1" x14ac:dyDescent="0.25">
      <c r="A310" s="525" t="s">
        <v>329</v>
      </c>
      <c r="B310" s="525" t="s">
        <v>295</v>
      </c>
      <c r="C310" s="119"/>
      <c r="D310" s="108"/>
      <c r="E310" s="56"/>
      <c r="F310" s="327"/>
      <c r="G310" s="59"/>
      <c r="H310" s="60"/>
      <c r="I310" s="60"/>
      <c r="J310" s="60"/>
      <c r="K310" s="60"/>
      <c r="L310" s="60"/>
      <c r="M310" s="60"/>
    </row>
    <row r="311" spans="1:13" s="61" customFormat="1" ht="20.25" customHeight="1" x14ac:dyDescent="0.25">
      <c r="A311" s="531"/>
      <c r="B311" s="531"/>
      <c r="C311" s="78">
        <v>75</v>
      </c>
      <c r="D311" s="108">
        <v>133</v>
      </c>
      <c r="E311" s="49">
        <v>2003</v>
      </c>
      <c r="F311" s="332">
        <f t="shared" ref="F311:F312" si="59">2019-E311</f>
        <v>16</v>
      </c>
      <c r="G311" s="59"/>
      <c r="H311" s="60"/>
      <c r="I311" s="60"/>
      <c r="J311" s="60"/>
      <c r="K311" s="60"/>
      <c r="L311" s="60"/>
      <c r="M311" s="60"/>
    </row>
    <row r="312" spans="1:13" s="61" customFormat="1" x14ac:dyDescent="0.25">
      <c r="A312" s="526"/>
      <c r="B312" s="526"/>
      <c r="C312" s="78">
        <v>75</v>
      </c>
      <c r="D312" s="108">
        <v>89</v>
      </c>
      <c r="E312" s="49">
        <v>2003</v>
      </c>
      <c r="F312" s="332">
        <f t="shared" si="59"/>
        <v>16</v>
      </c>
      <c r="G312" s="59"/>
      <c r="H312" s="60"/>
      <c r="I312" s="60"/>
      <c r="J312" s="60"/>
      <c r="K312" s="60"/>
      <c r="L312" s="60"/>
      <c r="M312" s="60"/>
    </row>
    <row r="313" spans="1:13" s="61" customFormat="1" ht="15.75" customHeight="1" x14ac:dyDescent="0.25">
      <c r="A313" s="525" t="s">
        <v>203</v>
      </c>
      <c r="B313" s="525" t="s">
        <v>330</v>
      </c>
      <c r="C313" s="53"/>
      <c r="D313" s="108"/>
      <c r="E313" s="56"/>
      <c r="F313" s="327"/>
      <c r="G313" s="59"/>
      <c r="H313" s="60"/>
      <c r="I313" s="60"/>
      <c r="J313" s="60"/>
      <c r="K313" s="60"/>
      <c r="L313" s="60"/>
      <c r="M313" s="60"/>
    </row>
    <row r="314" spans="1:13" s="61" customFormat="1" ht="21.75" customHeight="1" x14ac:dyDescent="0.25">
      <c r="A314" s="531"/>
      <c r="B314" s="531"/>
      <c r="C314" s="119">
        <v>24</v>
      </c>
      <c r="D314" s="108">
        <v>89</v>
      </c>
      <c r="E314" s="49">
        <v>1980</v>
      </c>
      <c r="F314" s="332">
        <f t="shared" ref="F314:F315" si="60">2019-E314</f>
        <v>39</v>
      </c>
      <c r="G314" s="59"/>
      <c r="H314" s="60"/>
      <c r="I314" s="60"/>
      <c r="J314" s="60"/>
      <c r="K314" s="60"/>
      <c r="L314" s="60"/>
      <c r="M314" s="60"/>
    </row>
    <row r="315" spans="1:13" s="61" customFormat="1" x14ac:dyDescent="0.25">
      <c r="A315" s="526"/>
      <c r="B315" s="526"/>
      <c r="C315" s="119">
        <v>24</v>
      </c>
      <c r="D315" s="108">
        <v>57</v>
      </c>
      <c r="E315" s="49">
        <v>1980</v>
      </c>
      <c r="F315" s="332">
        <f t="shared" si="60"/>
        <v>39</v>
      </c>
      <c r="G315" s="59"/>
      <c r="H315" s="60"/>
      <c r="I315" s="60"/>
      <c r="J315" s="60"/>
      <c r="K315" s="60"/>
      <c r="L315" s="60"/>
      <c r="M315" s="60"/>
    </row>
    <row r="316" spans="1:13" s="61" customFormat="1" ht="15.75" customHeight="1" x14ac:dyDescent="0.25">
      <c r="A316" s="525" t="s">
        <v>256</v>
      </c>
      <c r="B316" s="525" t="s">
        <v>274</v>
      </c>
      <c r="C316" s="53"/>
      <c r="D316" s="108"/>
      <c r="E316" s="56"/>
      <c r="F316" s="327"/>
      <c r="G316" s="59"/>
      <c r="H316" s="60"/>
      <c r="I316" s="60"/>
      <c r="J316" s="60"/>
      <c r="K316" s="60"/>
      <c r="L316" s="60"/>
      <c r="M316" s="60"/>
    </row>
    <row r="317" spans="1:13" s="61" customFormat="1" x14ac:dyDescent="0.25">
      <c r="A317" s="531"/>
      <c r="B317" s="531"/>
      <c r="C317" s="119">
        <v>33</v>
      </c>
      <c r="D317" s="108">
        <v>159</v>
      </c>
      <c r="E317" s="49">
        <v>1978</v>
      </c>
      <c r="F317" s="332">
        <f t="shared" ref="F317:F318" si="61">2019-E317</f>
        <v>41</v>
      </c>
      <c r="G317" s="59"/>
      <c r="H317" s="60"/>
      <c r="I317" s="60"/>
      <c r="J317" s="60"/>
      <c r="K317" s="60"/>
      <c r="L317" s="60"/>
      <c r="M317" s="60"/>
    </row>
    <row r="318" spans="1:13" s="61" customFormat="1" x14ac:dyDescent="0.25">
      <c r="A318" s="526"/>
      <c r="B318" s="526"/>
      <c r="C318" s="119">
        <v>33</v>
      </c>
      <c r="D318" s="108">
        <v>108</v>
      </c>
      <c r="E318" s="49">
        <v>1978</v>
      </c>
      <c r="F318" s="332">
        <f t="shared" si="61"/>
        <v>41</v>
      </c>
      <c r="G318" s="59"/>
      <c r="H318" s="60"/>
      <c r="I318" s="60"/>
      <c r="J318" s="60"/>
      <c r="K318" s="60"/>
      <c r="L318" s="60"/>
      <c r="M318" s="60"/>
    </row>
    <row r="319" spans="1:13" s="61" customFormat="1" ht="15.75" customHeight="1" x14ac:dyDescent="0.25">
      <c r="A319" s="525" t="s">
        <v>331</v>
      </c>
      <c r="B319" s="525" t="s">
        <v>332</v>
      </c>
      <c r="C319" s="53"/>
      <c r="D319" s="108"/>
      <c r="E319" s="56"/>
      <c r="F319" s="327"/>
      <c r="G319" s="59"/>
      <c r="H319" s="60"/>
      <c r="I319" s="60"/>
      <c r="J319" s="60"/>
      <c r="K319" s="60"/>
      <c r="L319" s="60"/>
      <c r="M319" s="60"/>
    </row>
    <row r="320" spans="1:13" s="61" customFormat="1" ht="20.25" customHeight="1" x14ac:dyDescent="0.25">
      <c r="A320" s="531"/>
      <c r="B320" s="531"/>
      <c r="C320" s="119">
        <v>63</v>
      </c>
      <c r="D320" s="108">
        <v>108</v>
      </c>
      <c r="E320" s="49">
        <v>1982</v>
      </c>
      <c r="F320" s="332">
        <f t="shared" ref="F320:F321" si="62">2019-E320</f>
        <v>37</v>
      </c>
      <c r="G320" s="59"/>
      <c r="H320" s="60"/>
      <c r="I320" s="60"/>
      <c r="J320" s="60"/>
      <c r="K320" s="60"/>
      <c r="L320" s="60"/>
      <c r="M320" s="60"/>
    </row>
    <row r="321" spans="1:13" s="61" customFormat="1" x14ac:dyDescent="0.25">
      <c r="A321" s="526"/>
      <c r="B321" s="526"/>
      <c r="C321" s="119">
        <v>63</v>
      </c>
      <c r="D321" s="108">
        <v>76</v>
      </c>
      <c r="E321" s="49">
        <v>1982</v>
      </c>
      <c r="F321" s="332">
        <f t="shared" si="62"/>
        <v>37</v>
      </c>
      <c r="G321" s="59"/>
      <c r="H321" s="60"/>
      <c r="I321" s="60"/>
      <c r="J321" s="60"/>
      <c r="K321" s="60"/>
      <c r="L321" s="60"/>
      <c r="M321" s="60"/>
    </row>
    <row r="322" spans="1:13" s="61" customFormat="1" ht="15.75" customHeight="1" x14ac:dyDescent="0.25">
      <c r="A322" s="525" t="s">
        <v>180</v>
      </c>
      <c r="B322" s="525" t="s">
        <v>333</v>
      </c>
      <c r="C322" s="53"/>
      <c r="D322" s="108"/>
      <c r="E322" s="56"/>
      <c r="F322" s="327"/>
      <c r="G322" s="59"/>
      <c r="H322" s="60"/>
      <c r="I322" s="60"/>
      <c r="J322" s="60"/>
      <c r="K322" s="60"/>
      <c r="L322" s="60"/>
      <c r="M322" s="60"/>
    </row>
    <row r="323" spans="1:13" s="61" customFormat="1" x14ac:dyDescent="0.25">
      <c r="A323" s="531"/>
      <c r="B323" s="531"/>
      <c r="C323" s="119">
        <v>9.1</v>
      </c>
      <c r="D323" s="108">
        <v>57</v>
      </c>
      <c r="E323" s="49">
        <v>1980</v>
      </c>
      <c r="F323" s="332">
        <f t="shared" ref="F323:F324" si="63">2019-E323</f>
        <v>39</v>
      </c>
      <c r="G323" s="59"/>
      <c r="H323" s="60"/>
      <c r="I323" s="60"/>
      <c r="J323" s="60"/>
      <c r="K323" s="60"/>
      <c r="L323" s="60"/>
      <c r="M323" s="60"/>
    </row>
    <row r="324" spans="1:13" s="61" customFormat="1" x14ac:dyDescent="0.25">
      <c r="A324" s="526"/>
      <c r="B324" s="526"/>
      <c r="C324" s="119">
        <v>9.1</v>
      </c>
      <c r="D324" s="108">
        <v>57</v>
      </c>
      <c r="E324" s="49">
        <v>1980</v>
      </c>
      <c r="F324" s="332">
        <f t="shared" si="63"/>
        <v>39</v>
      </c>
      <c r="G324" s="59"/>
      <c r="H324" s="60"/>
      <c r="I324" s="60"/>
      <c r="J324" s="60"/>
      <c r="K324" s="60"/>
      <c r="L324" s="60"/>
      <c r="M324" s="60"/>
    </row>
    <row r="325" spans="1:13" s="61" customFormat="1" ht="15.75" customHeight="1" x14ac:dyDescent="0.25">
      <c r="A325" s="525" t="s">
        <v>253</v>
      </c>
      <c r="B325" s="525" t="s">
        <v>334</v>
      </c>
      <c r="C325" s="53"/>
      <c r="D325" s="108"/>
      <c r="E325" s="56"/>
      <c r="F325" s="327"/>
      <c r="G325" s="59"/>
      <c r="H325" s="60"/>
      <c r="I325" s="60"/>
      <c r="J325" s="60"/>
      <c r="K325" s="60"/>
      <c r="L325" s="60"/>
      <c r="M325" s="60"/>
    </row>
    <row r="326" spans="1:13" s="61" customFormat="1" ht="18.75" customHeight="1" x14ac:dyDescent="0.25">
      <c r="A326" s="531"/>
      <c r="B326" s="531"/>
      <c r="C326" s="119">
        <v>16</v>
      </c>
      <c r="D326" s="108">
        <v>57</v>
      </c>
      <c r="E326" s="49">
        <v>1980</v>
      </c>
      <c r="F326" s="332">
        <f t="shared" ref="F326:F327" si="64">2019-E326</f>
        <v>39</v>
      </c>
      <c r="G326" s="59"/>
      <c r="H326" s="60"/>
      <c r="I326" s="60"/>
      <c r="J326" s="60"/>
      <c r="K326" s="60"/>
      <c r="L326" s="60"/>
      <c r="M326" s="60"/>
    </row>
    <row r="327" spans="1:13" s="61" customFormat="1" x14ac:dyDescent="0.25">
      <c r="A327" s="526"/>
      <c r="B327" s="526"/>
      <c r="C327" s="119">
        <v>16</v>
      </c>
      <c r="D327" s="108">
        <v>40</v>
      </c>
      <c r="E327" s="49">
        <v>1980</v>
      </c>
      <c r="F327" s="332">
        <f t="shared" si="64"/>
        <v>39</v>
      </c>
      <c r="G327" s="59"/>
      <c r="H327" s="60"/>
      <c r="I327" s="60"/>
      <c r="J327" s="60"/>
      <c r="K327" s="60"/>
      <c r="L327" s="60"/>
      <c r="M327" s="60"/>
    </row>
    <row r="328" spans="1:13" s="61" customFormat="1" ht="15.75" customHeight="1" x14ac:dyDescent="0.25">
      <c r="A328" s="525" t="s">
        <v>217</v>
      </c>
      <c r="B328" s="525" t="s">
        <v>335</v>
      </c>
      <c r="C328" s="119"/>
      <c r="D328" s="108"/>
      <c r="E328" s="56"/>
      <c r="F328" s="327"/>
      <c r="G328" s="59"/>
      <c r="H328" s="60"/>
      <c r="I328" s="60"/>
      <c r="J328" s="60"/>
      <c r="K328" s="60"/>
      <c r="L328" s="60"/>
      <c r="M328" s="60"/>
    </row>
    <row r="329" spans="1:13" s="61" customFormat="1" x14ac:dyDescent="0.25">
      <c r="A329" s="531"/>
      <c r="B329" s="531"/>
      <c r="C329" s="78">
        <v>56</v>
      </c>
      <c r="D329" s="108">
        <v>159</v>
      </c>
      <c r="E329" s="49">
        <v>2000</v>
      </c>
      <c r="F329" s="332">
        <f t="shared" ref="F329:F330" si="65">2019-E329</f>
        <v>19</v>
      </c>
      <c r="G329" s="59"/>
      <c r="H329" s="60"/>
      <c r="I329" s="60"/>
      <c r="J329" s="60"/>
      <c r="K329" s="60"/>
      <c r="L329" s="60"/>
      <c r="M329" s="60"/>
    </row>
    <row r="330" spans="1:13" s="61" customFormat="1" x14ac:dyDescent="0.25">
      <c r="A330" s="526"/>
      <c r="B330" s="526"/>
      <c r="C330" s="78">
        <v>56</v>
      </c>
      <c r="D330" s="108">
        <v>108</v>
      </c>
      <c r="E330" s="49">
        <v>2000</v>
      </c>
      <c r="F330" s="332">
        <f t="shared" si="65"/>
        <v>19</v>
      </c>
      <c r="G330" s="59"/>
      <c r="H330" s="60"/>
      <c r="I330" s="60"/>
      <c r="J330" s="60"/>
      <c r="K330" s="60"/>
      <c r="L330" s="60"/>
      <c r="M330" s="60"/>
    </row>
    <row r="331" spans="1:13" s="61" customFormat="1" ht="19.5" customHeight="1" x14ac:dyDescent="0.25">
      <c r="A331" s="525" t="s">
        <v>213</v>
      </c>
      <c r="B331" s="525" t="s">
        <v>214</v>
      </c>
      <c r="C331" s="53"/>
      <c r="D331" s="108"/>
      <c r="E331" s="56"/>
      <c r="F331" s="327"/>
      <c r="G331" s="59"/>
      <c r="H331" s="60"/>
      <c r="I331" s="60"/>
      <c r="J331" s="60"/>
      <c r="K331" s="60"/>
      <c r="L331" s="60"/>
      <c r="M331" s="60"/>
    </row>
    <row r="332" spans="1:13" s="61" customFormat="1" x14ac:dyDescent="0.25">
      <c r="A332" s="531"/>
      <c r="B332" s="531"/>
      <c r="C332" s="119">
        <v>67</v>
      </c>
      <c r="D332" s="108">
        <v>89</v>
      </c>
      <c r="E332" s="49">
        <v>1978</v>
      </c>
      <c r="F332" s="332">
        <f t="shared" ref="F332:F333" si="66">2019-E332</f>
        <v>41</v>
      </c>
      <c r="G332" s="59"/>
      <c r="H332" s="60"/>
      <c r="I332" s="60"/>
      <c r="J332" s="60"/>
      <c r="K332" s="60"/>
      <c r="L332" s="60"/>
      <c r="M332" s="60"/>
    </row>
    <row r="333" spans="1:13" s="61" customFormat="1" x14ac:dyDescent="0.25">
      <c r="A333" s="526"/>
      <c r="B333" s="526"/>
      <c r="C333" s="119">
        <v>67</v>
      </c>
      <c r="D333" s="108">
        <v>76</v>
      </c>
      <c r="E333" s="64">
        <v>1978</v>
      </c>
      <c r="F333" s="332">
        <f t="shared" si="66"/>
        <v>41</v>
      </c>
      <c r="G333" s="59"/>
      <c r="H333" s="60"/>
      <c r="I333" s="60"/>
      <c r="J333" s="60"/>
      <c r="K333" s="60"/>
      <c r="L333" s="60"/>
      <c r="M333" s="60"/>
    </row>
    <row r="334" spans="1:13" s="61" customFormat="1" ht="20.25" customHeight="1" x14ac:dyDescent="0.25">
      <c r="A334" s="534" t="s">
        <v>213</v>
      </c>
      <c r="B334" s="534" t="s">
        <v>336</v>
      </c>
      <c r="C334" s="53"/>
      <c r="D334" s="108"/>
      <c r="E334" s="56"/>
      <c r="F334" s="327"/>
      <c r="G334" s="59"/>
      <c r="H334" s="60"/>
      <c r="I334" s="60"/>
      <c r="J334" s="60"/>
      <c r="K334" s="60"/>
      <c r="L334" s="60"/>
      <c r="M334" s="60"/>
    </row>
    <row r="335" spans="1:13" s="61" customFormat="1" x14ac:dyDescent="0.25">
      <c r="A335" s="536"/>
      <c r="B335" s="536"/>
      <c r="C335" s="119">
        <v>25</v>
      </c>
      <c r="D335" s="108">
        <v>76</v>
      </c>
      <c r="E335" s="49">
        <v>1979</v>
      </c>
      <c r="F335" s="332">
        <f t="shared" ref="F335:F336" si="67">2019-E335</f>
        <v>40</v>
      </c>
      <c r="G335" s="59"/>
      <c r="H335" s="60"/>
      <c r="I335" s="60"/>
      <c r="J335" s="60"/>
      <c r="K335" s="60"/>
      <c r="L335" s="60"/>
      <c r="M335" s="60"/>
    </row>
    <row r="336" spans="1:13" s="61" customFormat="1" x14ac:dyDescent="0.25">
      <c r="A336" s="535"/>
      <c r="B336" s="535"/>
      <c r="C336" s="119">
        <v>25</v>
      </c>
      <c r="D336" s="108">
        <v>57</v>
      </c>
      <c r="E336" s="49">
        <v>1979</v>
      </c>
      <c r="F336" s="332">
        <f t="shared" si="67"/>
        <v>40</v>
      </c>
      <c r="G336" s="59"/>
      <c r="H336" s="60"/>
      <c r="I336" s="60"/>
      <c r="J336" s="60"/>
      <c r="K336" s="60"/>
      <c r="L336" s="60"/>
      <c r="M336" s="60"/>
    </row>
    <row r="337" spans="1:13" s="61" customFormat="1" ht="15.75" customHeight="1" x14ac:dyDescent="0.25">
      <c r="A337" s="534" t="s">
        <v>337</v>
      </c>
      <c r="B337" s="534" t="s">
        <v>338</v>
      </c>
      <c r="C337" s="119"/>
      <c r="D337" s="108"/>
      <c r="E337" s="56"/>
      <c r="F337" s="327"/>
      <c r="G337" s="59"/>
      <c r="H337" s="60"/>
      <c r="I337" s="60"/>
      <c r="J337" s="60"/>
      <c r="K337" s="60"/>
      <c r="L337" s="60"/>
      <c r="M337" s="60"/>
    </row>
    <row r="338" spans="1:13" s="61" customFormat="1" ht="17.25" customHeight="1" x14ac:dyDescent="0.25">
      <c r="A338" s="536"/>
      <c r="B338" s="536"/>
      <c r="C338" s="78">
        <v>32</v>
      </c>
      <c r="D338" s="108">
        <v>159</v>
      </c>
      <c r="E338" s="49">
        <v>2007</v>
      </c>
      <c r="F338" s="332">
        <f t="shared" ref="F338:F339" si="68">2019-E338</f>
        <v>12</v>
      </c>
      <c r="G338" s="59"/>
      <c r="H338" s="60"/>
      <c r="I338" s="60"/>
      <c r="J338" s="60"/>
      <c r="K338" s="60"/>
      <c r="L338" s="60"/>
      <c r="M338" s="60"/>
    </row>
    <row r="339" spans="1:13" s="61" customFormat="1" x14ac:dyDescent="0.25">
      <c r="A339" s="535"/>
      <c r="B339" s="535"/>
      <c r="C339" s="78">
        <v>32</v>
      </c>
      <c r="D339" s="108">
        <v>89</v>
      </c>
      <c r="E339" s="49">
        <v>2007</v>
      </c>
      <c r="F339" s="332">
        <f t="shared" si="68"/>
        <v>12</v>
      </c>
      <c r="G339" s="59"/>
      <c r="H339" s="60"/>
      <c r="I339" s="60"/>
      <c r="J339" s="60"/>
      <c r="K339" s="60"/>
      <c r="L339" s="60"/>
      <c r="M339" s="60"/>
    </row>
    <row r="340" spans="1:13" s="61" customFormat="1" ht="15.75" customHeight="1" x14ac:dyDescent="0.25">
      <c r="A340" s="525" t="s">
        <v>339</v>
      </c>
      <c r="B340" s="525" t="s">
        <v>340</v>
      </c>
      <c r="C340" s="119"/>
      <c r="D340" s="108"/>
      <c r="E340" s="56"/>
      <c r="F340" s="327"/>
      <c r="G340" s="59"/>
      <c r="H340" s="60"/>
      <c r="I340" s="60"/>
      <c r="J340" s="60"/>
      <c r="K340" s="60"/>
      <c r="L340" s="60"/>
      <c r="M340" s="60"/>
    </row>
    <row r="341" spans="1:13" s="61" customFormat="1" ht="23.25" customHeight="1" x14ac:dyDescent="0.25">
      <c r="A341" s="531"/>
      <c r="B341" s="531"/>
      <c r="C341" s="78">
        <v>36</v>
      </c>
      <c r="D341" s="108">
        <v>57</v>
      </c>
      <c r="E341" s="49">
        <v>2006</v>
      </c>
      <c r="F341" s="332">
        <f t="shared" ref="F341:F342" si="69">2019-E341</f>
        <v>13</v>
      </c>
      <c r="G341" s="59"/>
      <c r="H341" s="60"/>
      <c r="I341" s="60"/>
      <c r="J341" s="60"/>
      <c r="K341" s="60"/>
      <c r="L341" s="60"/>
      <c r="M341" s="60"/>
    </row>
    <row r="342" spans="1:13" s="61" customFormat="1" x14ac:dyDescent="0.25">
      <c r="A342" s="526"/>
      <c r="B342" s="526"/>
      <c r="C342" s="119">
        <v>36</v>
      </c>
      <c r="D342" s="108">
        <v>40</v>
      </c>
      <c r="E342" s="49">
        <v>2006</v>
      </c>
      <c r="F342" s="332">
        <f t="shared" si="69"/>
        <v>13</v>
      </c>
      <c r="G342" s="59"/>
      <c r="H342" s="60"/>
      <c r="I342" s="60"/>
      <c r="J342" s="60"/>
      <c r="K342" s="60"/>
      <c r="L342" s="60"/>
      <c r="M342" s="60"/>
    </row>
    <row r="343" spans="1:13" s="61" customFormat="1" ht="15.75" customHeight="1" x14ac:dyDescent="0.25">
      <c r="A343" s="525" t="s">
        <v>235</v>
      </c>
      <c r="B343" s="525" t="s">
        <v>341</v>
      </c>
      <c r="C343" s="53"/>
      <c r="D343" s="108"/>
      <c r="E343" s="56"/>
      <c r="F343" s="327"/>
      <c r="G343" s="59"/>
      <c r="H343" s="60"/>
      <c r="I343" s="60"/>
      <c r="J343" s="60"/>
      <c r="K343" s="60"/>
      <c r="L343" s="60"/>
      <c r="M343" s="60"/>
    </row>
    <row r="344" spans="1:13" s="61" customFormat="1" x14ac:dyDescent="0.25">
      <c r="A344" s="531"/>
      <c r="B344" s="531"/>
      <c r="C344" s="119">
        <v>97</v>
      </c>
      <c r="D344" s="108">
        <v>159</v>
      </c>
      <c r="E344" s="49">
        <v>1980</v>
      </c>
      <c r="F344" s="332">
        <f t="shared" ref="F344:F345" si="70">2019-E344</f>
        <v>39</v>
      </c>
      <c r="G344" s="59"/>
      <c r="H344" s="60"/>
      <c r="I344" s="60"/>
      <c r="J344" s="60"/>
      <c r="K344" s="60"/>
      <c r="L344" s="60"/>
      <c r="M344" s="60"/>
    </row>
    <row r="345" spans="1:13" s="61" customFormat="1" x14ac:dyDescent="0.25">
      <c r="A345" s="526"/>
      <c r="B345" s="526"/>
      <c r="C345" s="119">
        <v>97</v>
      </c>
      <c r="D345" s="108">
        <v>89</v>
      </c>
      <c r="E345" s="49">
        <v>1980</v>
      </c>
      <c r="F345" s="332">
        <f t="shared" si="70"/>
        <v>39</v>
      </c>
      <c r="G345" s="59"/>
      <c r="H345" s="60"/>
      <c r="I345" s="60"/>
      <c r="J345" s="60"/>
      <c r="K345" s="60"/>
      <c r="L345" s="60"/>
      <c r="M345" s="60"/>
    </row>
    <row r="346" spans="1:13" s="61" customFormat="1" ht="15.75" customHeight="1" x14ac:dyDescent="0.25">
      <c r="A346" s="525" t="s">
        <v>217</v>
      </c>
      <c r="B346" s="525" t="s">
        <v>342</v>
      </c>
      <c r="C346" s="119"/>
      <c r="D346" s="108"/>
      <c r="E346" s="56"/>
      <c r="F346" s="327"/>
      <c r="G346" s="59"/>
      <c r="H346" s="60"/>
      <c r="I346" s="60"/>
      <c r="J346" s="60"/>
      <c r="K346" s="60"/>
      <c r="L346" s="60"/>
      <c r="M346" s="60"/>
    </row>
    <row r="347" spans="1:13" s="61" customFormat="1" x14ac:dyDescent="0.25">
      <c r="A347" s="531"/>
      <c r="B347" s="531"/>
      <c r="C347" s="78">
        <v>31</v>
      </c>
      <c r="D347" s="108">
        <v>89</v>
      </c>
      <c r="E347" s="49">
        <v>2006</v>
      </c>
      <c r="F347" s="332">
        <f t="shared" ref="F347:F348" si="71">2019-E347</f>
        <v>13</v>
      </c>
      <c r="G347" s="59"/>
      <c r="H347" s="60"/>
      <c r="I347" s="60"/>
      <c r="J347" s="60"/>
      <c r="K347" s="60"/>
      <c r="L347" s="60"/>
      <c r="M347" s="60"/>
    </row>
    <row r="348" spans="1:13" s="61" customFormat="1" x14ac:dyDescent="0.25">
      <c r="A348" s="526"/>
      <c r="B348" s="526"/>
      <c r="C348" s="78">
        <v>31</v>
      </c>
      <c r="D348" s="108">
        <v>57</v>
      </c>
      <c r="E348" s="49">
        <v>2006</v>
      </c>
      <c r="F348" s="332">
        <f t="shared" si="71"/>
        <v>13</v>
      </c>
      <c r="G348" s="59"/>
      <c r="H348" s="60"/>
      <c r="I348" s="60"/>
      <c r="J348" s="60"/>
      <c r="K348" s="60"/>
      <c r="L348" s="60"/>
      <c r="M348" s="60"/>
    </row>
    <row r="349" spans="1:13" s="61" customFormat="1" ht="18.75" customHeight="1" x14ac:dyDescent="0.25">
      <c r="A349" s="525" t="s">
        <v>193</v>
      </c>
      <c r="B349" s="525" t="s">
        <v>306</v>
      </c>
      <c r="C349" s="53"/>
      <c r="D349" s="108"/>
      <c r="E349" s="56"/>
      <c r="F349" s="327"/>
      <c r="G349" s="59"/>
      <c r="H349" s="60"/>
      <c r="I349" s="60"/>
      <c r="J349" s="60"/>
      <c r="K349" s="60"/>
      <c r="L349" s="60"/>
      <c r="M349" s="60"/>
    </row>
    <row r="350" spans="1:13" s="61" customFormat="1" x14ac:dyDescent="0.25">
      <c r="A350" s="531"/>
      <c r="B350" s="531"/>
      <c r="C350" s="119">
        <v>3.1</v>
      </c>
      <c r="D350" s="108">
        <v>159</v>
      </c>
      <c r="E350" s="49">
        <v>1979</v>
      </c>
      <c r="F350" s="332">
        <f t="shared" ref="F350:F351" si="72">2019-E350</f>
        <v>40</v>
      </c>
      <c r="G350" s="59"/>
      <c r="H350" s="60"/>
      <c r="I350" s="60"/>
      <c r="J350" s="60"/>
      <c r="K350" s="60"/>
      <c r="L350" s="60"/>
      <c r="M350" s="60"/>
    </row>
    <row r="351" spans="1:13" s="61" customFormat="1" x14ac:dyDescent="0.25">
      <c r="A351" s="526"/>
      <c r="B351" s="526"/>
      <c r="C351" s="119">
        <v>3.1</v>
      </c>
      <c r="D351" s="108">
        <v>108</v>
      </c>
      <c r="E351" s="49">
        <v>1979</v>
      </c>
      <c r="F351" s="332">
        <f t="shared" si="72"/>
        <v>40</v>
      </c>
      <c r="G351" s="59"/>
      <c r="H351" s="60"/>
      <c r="I351" s="60"/>
      <c r="J351" s="60"/>
      <c r="K351" s="60"/>
      <c r="L351" s="60"/>
      <c r="M351" s="60"/>
    </row>
    <row r="352" spans="1:13" s="61" customFormat="1" ht="20.25" customHeight="1" x14ac:dyDescent="0.25">
      <c r="A352" s="534" t="s">
        <v>343</v>
      </c>
      <c r="B352" s="534" t="s">
        <v>344</v>
      </c>
      <c r="C352" s="53"/>
      <c r="D352" s="108"/>
      <c r="E352" s="56"/>
      <c r="F352" s="327"/>
      <c r="G352" s="59"/>
      <c r="H352" s="60"/>
      <c r="I352" s="60"/>
      <c r="J352" s="60"/>
      <c r="K352" s="60"/>
      <c r="L352" s="60"/>
      <c r="M352" s="60"/>
    </row>
    <row r="353" spans="1:13" s="61" customFormat="1" x14ac:dyDescent="0.25">
      <c r="A353" s="536"/>
      <c r="B353" s="536"/>
      <c r="C353" s="119">
        <v>66</v>
      </c>
      <c r="D353" s="108">
        <v>133</v>
      </c>
      <c r="E353" s="49">
        <v>1979</v>
      </c>
      <c r="F353" s="332">
        <f t="shared" ref="F353:F354" si="73">2019-E353</f>
        <v>40</v>
      </c>
      <c r="G353" s="59"/>
      <c r="H353" s="60"/>
      <c r="I353" s="60"/>
      <c r="J353" s="60"/>
      <c r="K353" s="60"/>
      <c r="L353" s="60"/>
      <c r="M353" s="60"/>
    </row>
    <row r="354" spans="1:13" s="61" customFormat="1" x14ac:dyDescent="0.25">
      <c r="A354" s="535"/>
      <c r="B354" s="535"/>
      <c r="C354" s="119">
        <v>66</v>
      </c>
      <c r="D354" s="108">
        <v>89</v>
      </c>
      <c r="E354" s="49">
        <v>1979</v>
      </c>
      <c r="F354" s="332">
        <f t="shared" si="73"/>
        <v>40</v>
      </c>
      <c r="G354" s="59"/>
      <c r="H354" s="60"/>
      <c r="I354" s="60"/>
      <c r="J354" s="60"/>
      <c r="K354" s="60"/>
      <c r="L354" s="60"/>
      <c r="M354" s="60"/>
    </row>
    <row r="355" spans="1:13" s="61" customFormat="1" ht="15.75" customHeight="1" x14ac:dyDescent="0.25">
      <c r="A355" s="534" t="s">
        <v>345</v>
      </c>
      <c r="B355" s="541" t="s">
        <v>346</v>
      </c>
      <c r="C355" s="53"/>
      <c r="D355" s="108"/>
      <c r="E355" s="56"/>
      <c r="F355" s="327"/>
      <c r="G355" s="59"/>
      <c r="H355" s="60"/>
      <c r="I355" s="60"/>
      <c r="J355" s="60"/>
      <c r="K355" s="60"/>
      <c r="L355" s="60"/>
      <c r="M355" s="60"/>
    </row>
    <row r="356" spans="1:13" s="61" customFormat="1" ht="20.25" customHeight="1" x14ac:dyDescent="0.25">
      <c r="A356" s="536"/>
      <c r="B356" s="542"/>
      <c r="C356" s="78">
        <v>20</v>
      </c>
      <c r="D356" s="108">
        <v>76</v>
      </c>
      <c r="E356" s="49">
        <v>1991</v>
      </c>
      <c r="F356" s="332">
        <f t="shared" ref="F356:F357" si="74">2019-E356</f>
        <v>28</v>
      </c>
      <c r="G356" s="59"/>
      <c r="H356" s="60"/>
      <c r="I356" s="60"/>
      <c r="J356" s="60"/>
      <c r="K356" s="60"/>
      <c r="L356" s="60"/>
      <c r="M356" s="60"/>
    </row>
    <row r="357" spans="1:13" s="61" customFormat="1" x14ac:dyDescent="0.25">
      <c r="A357" s="535"/>
      <c r="B357" s="543"/>
      <c r="C357" s="78">
        <v>20</v>
      </c>
      <c r="D357" s="108">
        <v>57</v>
      </c>
      <c r="E357" s="64">
        <v>1991</v>
      </c>
      <c r="F357" s="332">
        <f t="shared" si="74"/>
        <v>28</v>
      </c>
      <c r="G357" s="59"/>
      <c r="H357" s="60"/>
      <c r="I357" s="60"/>
      <c r="J357" s="60"/>
      <c r="K357" s="60"/>
      <c r="L357" s="60"/>
      <c r="M357" s="60"/>
    </row>
    <row r="358" spans="1:13" s="67" customFormat="1" ht="15.75" customHeight="1" x14ac:dyDescent="0.25">
      <c r="A358" s="525" t="s">
        <v>271</v>
      </c>
      <c r="B358" s="525" t="s">
        <v>347</v>
      </c>
      <c r="C358" s="119"/>
      <c r="D358" s="108"/>
      <c r="E358" s="56"/>
      <c r="F358" s="328"/>
      <c r="G358" s="65"/>
      <c r="H358" s="66"/>
      <c r="I358" s="66"/>
      <c r="J358" s="66"/>
      <c r="K358" s="66"/>
      <c r="L358" s="66"/>
      <c r="M358" s="66"/>
    </row>
    <row r="359" spans="1:13" s="67" customFormat="1" ht="21" customHeight="1" x14ac:dyDescent="0.25">
      <c r="A359" s="531"/>
      <c r="B359" s="531"/>
      <c r="C359" s="78">
        <v>103</v>
      </c>
      <c r="D359" s="108">
        <v>159</v>
      </c>
      <c r="E359" s="49">
        <v>2006</v>
      </c>
      <c r="F359" s="332">
        <f t="shared" ref="F359:F360" si="75">2019-E359</f>
        <v>13</v>
      </c>
      <c r="G359" s="65"/>
      <c r="H359" s="66"/>
      <c r="I359" s="66"/>
      <c r="J359" s="66"/>
      <c r="K359" s="66"/>
      <c r="L359" s="66"/>
      <c r="M359" s="66"/>
    </row>
    <row r="360" spans="1:13" s="67" customFormat="1" x14ac:dyDescent="0.25">
      <c r="A360" s="526"/>
      <c r="B360" s="526"/>
      <c r="C360" s="78">
        <v>103</v>
      </c>
      <c r="D360" s="108">
        <v>108</v>
      </c>
      <c r="E360" s="49">
        <v>2006</v>
      </c>
      <c r="F360" s="332">
        <f t="shared" si="75"/>
        <v>13</v>
      </c>
      <c r="G360" s="65"/>
      <c r="H360" s="66"/>
      <c r="I360" s="66"/>
      <c r="J360" s="66"/>
      <c r="K360" s="66"/>
      <c r="L360" s="66"/>
      <c r="M360" s="66"/>
    </row>
    <row r="361" spans="1:13" s="67" customFormat="1" ht="15.75" customHeight="1" x14ac:dyDescent="0.25">
      <c r="A361" s="525" t="s">
        <v>271</v>
      </c>
      <c r="B361" s="525" t="s">
        <v>348</v>
      </c>
      <c r="C361" s="119"/>
      <c r="D361" s="108"/>
      <c r="E361" s="56"/>
      <c r="F361" s="328"/>
      <c r="G361" s="65"/>
      <c r="H361" s="66"/>
      <c r="I361" s="66"/>
      <c r="J361" s="66"/>
      <c r="K361" s="66"/>
      <c r="L361" s="66"/>
      <c r="M361" s="66"/>
    </row>
    <row r="362" spans="1:13" s="67" customFormat="1" ht="21.75" customHeight="1" x14ac:dyDescent="0.25">
      <c r="A362" s="531"/>
      <c r="B362" s="531"/>
      <c r="C362" s="78">
        <v>61</v>
      </c>
      <c r="D362" s="108">
        <v>57</v>
      </c>
      <c r="E362" s="49">
        <v>2006</v>
      </c>
      <c r="F362" s="332">
        <f t="shared" ref="F362:F363" si="76">2019-E362</f>
        <v>13</v>
      </c>
      <c r="G362" s="65"/>
      <c r="H362" s="66"/>
      <c r="I362" s="66"/>
      <c r="J362" s="66"/>
      <c r="K362" s="66"/>
      <c r="L362" s="66"/>
      <c r="M362" s="66"/>
    </row>
    <row r="363" spans="1:13" s="67" customFormat="1" x14ac:dyDescent="0.25">
      <c r="A363" s="526"/>
      <c r="B363" s="526"/>
      <c r="C363" s="119">
        <v>61</v>
      </c>
      <c r="D363" s="108">
        <v>40</v>
      </c>
      <c r="E363" s="49">
        <v>2006</v>
      </c>
      <c r="F363" s="332">
        <f t="shared" si="76"/>
        <v>13</v>
      </c>
      <c r="G363" s="65"/>
      <c r="H363" s="66"/>
      <c r="I363" s="66"/>
      <c r="J363" s="66"/>
      <c r="K363" s="66"/>
      <c r="L363" s="66"/>
      <c r="M363" s="66"/>
    </row>
    <row r="364" spans="1:13" s="67" customFormat="1" ht="15.75" customHeight="1" x14ac:dyDescent="0.25">
      <c r="A364" s="525" t="s">
        <v>203</v>
      </c>
      <c r="B364" s="525" t="s">
        <v>349</v>
      </c>
      <c r="C364" s="53"/>
      <c r="D364" s="108"/>
      <c r="E364" s="56"/>
      <c r="F364" s="328"/>
      <c r="G364" s="65"/>
      <c r="H364" s="66"/>
      <c r="I364" s="66"/>
      <c r="J364" s="66"/>
      <c r="K364" s="66"/>
      <c r="L364" s="66"/>
      <c r="M364" s="66"/>
    </row>
    <row r="365" spans="1:13" s="67" customFormat="1" ht="18" customHeight="1" x14ac:dyDescent="0.25">
      <c r="A365" s="531"/>
      <c r="B365" s="531"/>
      <c r="C365" s="119">
        <v>32</v>
      </c>
      <c r="D365" s="108">
        <v>57</v>
      </c>
      <c r="E365" s="49">
        <v>1981</v>
      </c>
      <c r="F365" s="332">
        <f t="shared" ref="F365:F366" si="77">2019-E365</f>
        <v>38</v>
      </c>
      <c r="G365" s="65"/>
      <c r="H365" s="66"/>
      <c r="I365" s="66"/>
      <c r="J365" s="66"/>
      <c r="K365" s="66"/>
      <c r="L365" s="66"/>
      <c r="M365" s="66"/>
    </row>
    <row r="366" spans="1:13" s="67" customFormat="1" x14ac:dyDescent="0.25">
      <c r="A366" s="526"/>
      <c r="B366" s="526"/>
      <c r="C366" s="119">
        <v>32</v>
      </c>
      <c r="D366" s="108">
        <v>40</v>
      </c>
      <c r="E366" s="49">
        <v>1981</v>
      </c>
      <c r="F366" s="332">
        <f t="shared" si="77"/>
        <v>38</v>
      </c>
      <c r="G366" s="65"/>
      <c r="H366" s="66"/>
      <c r="I366" s="66"/>
      <c r="J366" s="66"/>
      <c r="K366" s="66"/>
      <c r="L366" s="66"/>
      <c r="M366" s="66"/>
    </row>
    <row r="367" spans="1:13" s="67" customFormat="1" ht="15.75" customHeight="1" x14ac:dyDescent="0.25">
      <c r="A367" s="525" t="s">
        <v>350</v>
      </c>
      <c r="B367" s="525" t="s">
        <v>351</v>
      </c>
      <c r="C367" s="53"/>
      <c r="D367" s="108"/>
      <c r="E367" s="56"/>
      <c r="F367" s="328"/>
      <c r="G367" s="65"/>
      <c r="H367" s="66"/>
      <c r="I367" s="66"/>
      <c r="J367" s="66"/>
      <c r="K367" s="66"/>
      <c r="L367" s="66"/>
      <c r="M367" s="66"/>
    </row>
    <row r="368" spans="1:13" s="67" customFormat="1" ht="20.25" customHeight="1" x14ac:dyDescent="0.25">
      <c r="A368" s="531"/>
      <c r="B368" s="531"/>
      <c r="C368" s="119">
        <v>17</v>
      </c>
      <c r="D368" s="108">
        <v>133</v>
      </c>
      <c r="E368" s="49">
        <v>1982</v>
      </c>
      <c r="F368" s="332">
        <f t="shared" ref="F368:F369" si="78">2019-E368</f>
        <v>37</v>
      </c>
      <c r="G368" s="65"/>
      <c r="H368" s="66"/>
      <c r="I368" s="66"/>
      <c r="J368" s="66"/>
      <c r="K368" s="66"/>
      <c r="L368" s="66"/>
      <c r="M368" s="66"/>
    </row>
    <row r="369" spans="1:13" s="67" customFormat="1" x14ac:dyDescent="0.25">
      <c r="A369" s="526"/>
      <c r="B369" s="526"/>
      <c r="C369" s="119">
        <v>17</v>
      </c>
      <c r="D369" s="108">
        <v>108</v>
      </c>
      <c r="E369" s="64">
        <v>1982</v>
      </c>
      <c r="F369" s="332">
        <f t="shared" si="78"/>
        <v>37</v>
      </c>
      <c r="G369" s="65"/>
      <c r="H369" s="66"/>
      <c r="I369" s="66"/>
      <c r="J369" s="66"/>
      <c r="K369" s="66"/>
      <c r="L369" s="66"/>
      <c r="M369" s="66"/>
    </row>
    <row r="370" spans="1:13" s="67" customFormat="1" ht="15.75" customHeight="1" x14ac:dyDescent="0.25">
      <c r="A370" s="525" t="s">
        <v>352</v>
      </c>
      <c r="B370" s="525" t="s">
        <v>353</v>
      </c>
      <c r="C370" s="119"/>
      <c r="D370" s="108"/>
      <c r="E370" s="56"/>
      <c r="F370" s="328"/>
      <c r="G370" s="65"/>
      <c r="H370" s="66"/>
      <c r="I370" s="66"/>
      <c r="J370" s="66"/>
      <c r="K370" s="66"/>
      <c r="L370" s="66"/>
      <c r="M370" s="66"/>
    </row>
    <row r="371" spans="1:13" s="67" customFormat="1" ht="21" customHeight="1" x14ac:dyDescent="0.25">
      <c r="A371" s="531"/>
      <c r="B371" s="531"/>
      <c r="C371" s="78">
        <v>26</v>
      </c>
      <c r="D371" s="108">
        <v>57</v>
      </c>
      <c r="E371" s="49">
        <v>2004</v>
      </c>
      <c r="F371" s="332">
        <f t="shared" ref="F371:F372" si="79">2019-E371</f>
        <v>15</v>
      </c>
      <c r="G371" s="65"/>
      <c r="H371" s="66"/>
      <c r="I371" s="66"/>
      <c r="J371" s="66"/>
      <c r="K371" s="66"/>
      <c r="L371" s="66"/>
      <c r="M371" s="66"/>
    </row>
    <row r="372" spans="1:13" s="67" customFormat="1" x14ac:dyDescent="0.25">
      <c r="A372" s="526"/>
      <c r="B372" s="526"/>
      <c r="C372" s="78">
        <v>26</v>
      </c>
      <c r="D372" s="108">
        <v>57</v>
      </c>
      <c r="E372" s="64">
        <v>2004</v>
      </c>
      <c r="F372" s="332">
        <f t="shared" si="79"/>
        <v>15</v>
      </c>
      <c r="G372" s="65"/>
      <c r="H372" s="66"/>
      <c r="I372" s="66"/>
      <c r="J372" s="66"/>
      <c r="K372" s="66"/>
      <c r="L372" s="66"/>
      <c r="M372" s="66"/>
    </row>
    <row r="373" spans="1:13" s="67" customFormat="1" ht="15.75" customHeight="1" x14ac:dyDescent="0.25">
      <c r="A373" s="525" t="s">
        <v>354</v>
      </c>
      <c r="B373" s="525" t="s">
        <v>214</v>
      </c>
      <c r="C373" s="119"/>
      <c r="D373" s="108"/>
      <c r="E373" s="56"/>
      <c r="F373" s="328"/>
      <c r="G373" s="65"/>
      <c r="H373" s="66"/>
      <c r="I373" s="66"/>
      <c r="J373" s="66"/>
      <c r="K373" s="66"/>
      <c r="L373" s="66"/>
      <c r="M373" s="66"/>
    </row>
    <row r="374" spans="1:13" s="67" customFormat="1" ht="20.25" customHeight="1" x14ac:dyDescent="0.25">
      <c r="A374" s="531"/>
      <c r="B374" s="531"/>
      <c r="C374" s="78">
        <v>12</v>
      </c>
      <c r="D374" s="108">
        <v>159</v>
      </c>
      <c r="E374" s="49">
        <v>1999</v>
      </c>
      <c r="F374" s="332">
        <f t="shared" ref="F374:F375" si="80">2019-E374</f>
        <v>20</v>
      </c>
      <c r="G374" s="65"/>
      <c r="H374" s="66"/>
      <c r="I374" s="66"/>
      <c r="J374" s="66"/>
      <c r="K374" s="66"/>
      <c r="L374" s="66"/>
      <c r="M374" s="66"/>
    </row>
    <row r="375" spans="1:13" s="67" customFormat="1" x14ac:dyDescent="0.25">
      <c r="A375" s="526"/>
      <c r="B375" s="526"/>
      <c r="C375" s="78">
        <v>12</v>
      </c>
      <c r="D375" s="108">
        <v>108</v>
      </c>
      <c r="E375" s="64">
        <v>1999</v>
      </c>
      <c r="F375" s="332">
        <f t="shared" si="80"/>
        <v>20</v>
      </c>
      <c r="G375" s="65"/>
      <c r="H375" s="66"/>
      <c r="I375" s="66"/>
      <c r="J375" s="66"/>
      <c r="K375" s="66"/>
      <c r="L375" s="66"/>
      <c r="M375" s="66"/>
    </row>
    <row r="376" spans="1:13" s="67" customFormat="1" ht="15.75" customHeight="1" x14ac:dyDescent="0.25">
      <c r="A376" s="525" t="s">
        <v>354</v>
      </c>
      <c r="B376" s="525" t="s">
        <v>355</v>
      </c>
      <c r="C376" s="53"/>
      <c r="D376" s="108"/>
      <c r="E376" s="56"/>
      <c r="F376" s="328"/>
      <c r="G376" s="65"/>
      <c r="H376" s="66"/>
      <c r="I376" s="66"/>
      <c r="J376" s="66"/>
      <c r="K376" s="66"/>
      <c r="L376" s="66"/>
      <c r="M376" s="66"/>
    </row>
    <row r="377" spans="1:13" s="67" customFormat="1" ht="18" customHeight="1" x14ac:dyDescent="0.25">
      <c r="A377" s="531"/>
      <c r="B377" s="531"/>
      <c r="C377" s="119">
        <v>19</v>
      </c>
      <c r="D377" s="108">
        <v>159</v>
      </c>
      <c r="E377" s="49">
        <v>1980</v>
      </c>
      <c r="F377" s="332">
        <f t="shared" ref="F377:F378" si="81">2019-E377</f>
        <v>39</v>
      </c>
      <c r="G377" s="65"/>
      <c r="H377" s="66"/>
      <c r="I377" s="66"/>
      <c r="J377" s="66"/>
      <c r="K377" s="66"/>
      <c r="L377" s="66"/>
      <c r="M377" s="66"/>
    </row>
    <row r="378" spans="1:13" s="67" customFormat="1" x14ac:dyDescent="0.25">
      <c r="A378" s="526"/>
      <c r="B378" s="526"/>
      <c r="C378" s="119">
        <v>19</v>
      </c>
      <c r="D378" s="108">
        <v>108</v>
      </c>
      <c r="E378" s="64">
        <v>1980</v>
      </c>
      <c r="F378" s="332">
        <f t="shared" si="81"/>
        <v>39</v>
      </c>
      <c r="G378" s="65"/>
      <c r="H378" s="66"/>
      <c r="I378" s="66"/>
      <c r="J378" s="66"/>
      <c r="K378" s="66"/>
      <c r="L378" s="66"/>
      <c r="M378" s="66"/>
    </row>
    <row r="379" spans="1:13" s="67" customFormat="1" ht="15.75" customHeight="1" x14ac:dyDescent="0.25">
      <c r="A379" s="525" t="s">
        <v>256</v>
      </c>
      <c r="B379" s="525" t="s">
        <v>274</v>
      </c>
      <c r="C379" s="119"/>
      <c r="D379" s="108"/>
      <c r="E379" s="56"/>
      <c r="F379" s="328"/>
      <c r="G379" s="65"/>
      <c r="H379" s="66"/>
      <c r="I379" s="66"/>
      <c r="J379" s="66"/>
      <c r="K379" s="66"/>
      <c r="L379" s="66"/>
      <c r="M379" s="66"/>
    </row>
    <row r="380" spans="1:13" s="67" customFormat="1" ht="18.75" customHeight="1" x14ac:dyDescent="0.25">
      <c r="A380" s="531"/>
      <c r="B380" s="531"/>
      <c r="C380" s="78">
        <v>11</v>
      </c>
      <c r="D380" s="108">
        <v>219</v>
      </c>
      <c r="E380" s="49">
        <v>2000</v>
      </c>
      <c r="F380" s="332">
        <f t="shared" ref="F380:F443" si="82">2019-E380</f>
        <v>19</v>
      </c>
      <c r="G380" s="65"/>
      <c r="H380" s="66"/>
      <c r="I380" s="66"/>
      <c r="J380" s="66"/>
      <c r="K380" s="66"/>
      <c r="L380" s="66"/>
      <c r="M380" s="66"/>
    </row>
    <row r="381" spans="1:13" s="67" customFormat="1" x14ac:dyDescent="0.25">
      <c r="A381" s="526"/>
      <c r="B381" s="526"/>
      <c r="C381" s="78">
        <v>11</v>
      </c>
      <c r="D381" s="108">
        <v>108</v>
      </c>
      <c r="E381" s="49">
        <v>2000</v>
      </c>
      <c r="F381" s="332">
        <f t="shared" si="82"/>
        <v>19</v>
      </c>
      <c r="G381" s="65"/>
      <c r="H381" s="66"/>
      <c r="I381" s="66"/>
      <c r="J381" s="66"/>
      <c r="K381" s="66"/>
      <c r="L381" s="66"/>
      <c r="M381" s="66"/>
    </row>
    <row r="382" spans="1:13" s="67" customFormat="1" ht="15.75" customHeight="1" x14ac:dyDescent="0.25">
      <c r="A382" s="525" t="s">
        <v>356</v>
      </c>
      <c r="B382" s="525" t="s">
        <v>357</v>
      </c>
      <c r="C382" s="53"/>
      <c r="D382" s="108"/>
      <c r="E382" s="56"/>
      <c r="F382" s="328"/>
      <c r="G382" s="65"/>
      <c r="H382" s="66"/>
      <c r="I382" s="66"/>
      <c r="J382" s="66"/>
      <c r="K382" s="66"/>
      <c r="L382" s="66"/>
      <c r="M382" s="66"/>
    </row>
    <row r="383" spans="1:13" s="67" customFormat="1" x14ac:dyDescent="0.25">
      <c r="A383" s="531"/>
      <c r="B383" s="531"/>
      <c r="C383" s="119">
        <v>14</v>
      </c>
      <c r="D383" s="108">
        <v>57</v>
      </c>
      <c r="E383" s="49">
        <v>1981</v>
      </c>
      <c r="F383" s="332">
        <f t="shared" si="82"/>
        <v>38</v>
      </c>
      <c r="G383" s="65"/>
      <c r="H383" s="66"/>
      <c r="I383" s="66"/>
      <c r="J383" s="66"/>
      <c r="K383" s="66"/>
      <c r="L383" s="66"/>
      <c r="M383" s="66"/>
    </row>
    <row r="384" spans="1:13" s="67" customFormat="1" x14ac:dyDescent="0.25">
      <c r="A384" s="526"/>
      <c r="B384" s="526"/>
      <c r="C384" s="55">
        <v>14</v>
      </c>
      <c r="D384" s="108">
        <v>32</v>
      </c>
      <c r="E384" s="49">
        <v>1981</v>
      </c>
      <c r="F384" s="332">
        <f t="shared" si="82"/>
        <v>38</v>
      </c>
      <c r="G384" s="65"/>
      <c r="H384" s="66"/>
      <c r="I384" s="66"/>
      <c r="J384" s="66"/>
      <c r="K384" s="66"/>
      <c r="L384" s="66"/>
      <c r="M384" s="66"/>
    </row>
    <row r="385" spans="1:13" s="67" customFormat="1" ht="15.75" customHeight="1" x14ac:dyDescent="0.25">
      <c r="A385" s="525" t="s">
        <v>358</v>
      </c>
      <c r="B385" s="525" t="s">
        <v>359</v>
      </c>
      <c r="C385" s="53"/>
      <c r="D385" s="108"/>
      <c r="E385" s="56"/>
      <c r="F385" s="328"/>
      <c r="G385" s="65"/>
      <c r="H385" s="66"/>
      <c r="I385" s="66"/>
      <c r="J385" s="66"/>
      <c r="K385" s="66"/>
      <c r="L385" s="66"/>
      <c r="M385" s="66"/>
    </row>
    <row r="386" spans="1:13" s="67" customFormat="1" ht="16.5" customHeight="1" x14ac:dyDescent="0.25">
      <c r="A386" s="531"/>
      <c r="B386" s="531"/>
      <c r="C386" s="55">
        <v>80</v>
      </c>
      <c r="D386" s="108">
        <v>108</v>
      </c>
      <c r="E386" s="49">
        <v>2013</v>
      </c>
      <c r="F386" s="332">
        <f t="shared" si="82"/>
        <v>6</v>
      </c>
      <c r="G386" s="65"/>
      <c r="H386" s="66"/>
      <c r="I386" s="66"/>
      <c r="J386" s="66"/>
      <c r="K386" s="66"/>
      <c r="L386" s="66"/>
      <c r="M386" s="66"/>
    </row>
    <row r="387" spans="1:13" s="67" customFormat="1" x14ac:dyDescent="0.25">
      <c r="A387" s="526"/>
      <c r="B387" s="526"/>
      <c r="C387" s="55">
        <v>80</v>
      </c>
      <c r="D387" s="108">
        <v>57</v>
      </c>
      <c r="E387" s="64">
        <v>2013</v>
      </c>
      <c r="F387" s="332">
        <f t="shared" si="82"/>
        <v>6</v>
      </c>
      <c r="G387" s="65"/>
      <c r="H387" s="66"/>
      <c r="I387" s="66"/>
      <c r="J387" s="66"/>
      <c r="K387" s="66"/>
      <c r="L387" s="66"/>
      <c r="M387" s="66"/>
    </row>
    <row r="388" spans="1:13" s="67" customFormat="1" ht="15.75" customHeight="1" x14ac:dyDescent="0.25">
      <c r="A388" s="525" t="s">
        <v>360</v>
      </c>
      <c r="B388" s="525" t="s">
        <v>361</v>
      </c>
      <c r="C388" s="119"/>
      <c r="D388" s="108"/>
      <c r="E388" s="56"/>
      <c r="F388" s="328"/>
      <c r="G388" s="65"/>
      <c r="H388" s="66"/>
      <c r="I388" s="66"/>
      <c r="J388" s="66"/>
      <c r="K388" s="66"/>
      <c r="L388" s="66"/>
      <c r="M388" s="66"/>
    </row>
    <row r="389" spans="1:13" s="67" customFormat="1" x14ac:dyDescent="0.25">
      <c r="A389" s="531"/>
      <c r="B389" s="531"/>
      <c r="C389" s="78">
        <v>25</v>
      </c>
      <c r="D389" s="108">
        <v>159</v>
      </c>
      <c r="E389" s="49">
        <v>2000</v>
      </c>
      <c r="F389" s="332">
        <f t="shared" si="82"/>
        <v>19</v>
      </c>
      <c r="G389" s="65"/>
      <c r="H389" s="66"/>
      <c r="I389" s="66"/>
      <c r="J389" s="66"/>
      <c r="K389" s="66"/>
      <c r="L389" s="66"/>
      <c r="M389" s="66"/>
    </row>
    <row r="390" spans="1:13" s="67" customFormat="1" x14ac:dyDescent="0.25">
      <c r="A390" s="526"/>
      <c r="B390" s="526"/>
      <c r="C390" s="78">
        <v>25</v>
      </c>
      <c r="D390" s="108">
        <v>108</v>
      </c>
      <c r="E390" s="64">
        <v>2000</v>
      </c>
      <c r="F390" s="332">
        <f t="shared" si="82"/>
        <v>19</v>
      </c>
      <c r="G390" s="65"/>
      <c r="H390" s="66"/>
      <c r="I390" s="66"/>
      <c r="J390" s="66"/>
      <c r="K390" s="66"/>
      <c r="L390" s="66"/>
      <c r="M390" s="66"/>
    </row>
    <row r="391" spans="1:13" s="67" customFormat="1" ht="15.75" customHeight="1" x14ac:dyDescent="0.25">
      <c r="A391" s="525" t="s">
        <v>362</v>
      </c>
      <c r="B391" s="532" t="s">
        <v>363</v>
      </c>
      <c r="C391" s="119"/>
      <c r="D391" s="108"/>
      <c r="E391" s="56"/>
      <c r="F391" s="328"/>
      <c r="G391" s="65"/>
      <c r="H391" s="66"/>
      <c r="I391" s="66"/>
      <c r="J391" s="66"/>
      <c r="K391" s="66"/>
      <c r="L391" s="66"/>
      <c r="M391" s="66"/>
    </row>
    <row r="392" spans="1:13" s="67" customFormat="1" x14ac:dyDescent="0.25">
      <c r="A392" s="531"/>
      <c r="B392" s="531"/>
      <c r="C392" s="119">
        <v>7</v>
      </c>
      <c r="D392" s="108">
        <v>76</v>
      </c>
      <c r="E392" s="49">
        <v>1984</v>
      </c>
      <c r="F392" s="332">
        <f t="shared" si="82"/>
        <v>35</v>
      </c>
      <c r="G392" s="65"/>
      <c r="H392" s="66"/>
      <c r="I392" s="66"/>
      <c r="J392" s="66"/>
      <c r="K392" s="66"/>
      <c r="L392" s="66"/>
      <c r="M392" s="66"/>
    </row>
    <row r="393" spans="1:13" s="67" customFormat="1" x14ac:dyDescent="0.25">
      <c r="A393" s="526"/>
      <c r="B393" s="526"/>
      <c r="C393" s="55">
        <v>7</v>
      </c>
      <c r="D393" s="108">
        <v>32</v>
      </c>
      <c r="E393" s="49">
        <v>1984</v>
      </c>
      <c r="F393" s="332">
        <f t="shared" si="82"/>
        <v>35</v>
      </c>
      <c r="G393" s="65"/>
      <c r="H393" s="66"/>
      <c r="I393" s="66"/>
      <c r="J393" s="66"/>
      <c r="K393" s="66"/>
      <c r="L393" s="66"/>
      <c r="M393" s="66"/>
    </row>
    <row r="394" spans="1:13" s="67" customFormat="1" ht="15.75" customHeight="1" x14ac:dyDescent="0.25">
      <c r="A394" s="525" t="s">
        <v>193</v>
      </c>
      <c r="B394" s="525" t="s">
        <v>201</v>
      </c>
      <c r="C394" s="53"/>
      <c r="D394" s="108"/>
      <c r="E394" s="56"/>
      <c r="F394" s="328"/>
      <c r="G394" s="65"/>
      <c r="H394" s="66"/>
      <c r="I394" s="66"/>
      <c r="J394" s="66"/>
      <c r="K394" s="66"/>
      <c r="L394" s="66"/>
      <c r="M394" s="66"/>
    </row>
    <row r="395" spans="1:13" s="67" customFormat="1" ht="15.75" customHeight="1" x14ac:dyDescent="0.25">
      <c r="A395" s="531"/>
      <c r="B395" s="531"/>
      <c r="C395" s="55">
        <v>66</v>
      </c>
      <c r="D395" s="108">
        <v>133</v>
      </c>
      <c r="E395" s="49">
        <v>2014</v>
      </c>
      <c r="F395" s="332">
        <f t="shared" si="82"/>
        <v>5</v>
      </c>
      <c r="G395" s="65"/>
      <c r="H395" s="66"/>
      <c r="I395" s="66"/>
      <c r="J395" s="66"/>
      <c r="K395" s="66"/>
      <c r="L395" s="66"/>
      <c r="M395" s="66"/>
    </row>
    <row r="396" spans="1:13" s="67" customFormat="1" x14ac:dyDescent="0.25">
      <c r="A396" s="526"/>
      <c r="B396" s="526"/>
      <c r="C396" s="55">
        <v>66</v>
      </c>
      <c r="D396" s="108">
        <v>108</v>
      </c>
      <c r="E396" s="64">
        <v>2014</v>
      </c>
      <c r="F396" s="332">
        <f t="shared" si="82"/>
        <v>5</v>
      </c>
      <c r="G396" s="65"/>
      <c r="H396" s="66"/>
      <c r="I396" s="66"/>
      <c r="J396" s="66"/>
      <c r="K396" s="66"/>
      <c r="L396" s="66"/>
      <c r="M396" s="66"/>
    </row>
    <row r="397" spans="1:13" s="67" customFormat="1" ht="15.75" customHeight="1" x14ac:dyDescent="0.25">
      <c r="A397" s="525" t="s">
        <v>217</v>
      </c>
      <c r="B397" s="525" t="s">
        <v>324</v>
      </c>
      <c r="C397" s="53"/>
      <c r="D397" s="108"/>
      <c r="E397" s="56"/>
      <c r="F397" s="328"/>
      <c r="G397" s="65"/>
      <c r="H397" s="66"/>
      <c r="I397" s="66"/>
      <c r="J397" s="66"/>
      <c r="K397" s="66"/>
      <c r="L397" s="66"/>
      <c r="M397" s="66"/>
    </row>
    <row r="398" spans="1:13" s="67" customFormat="1" x14ac:dyDescent="0.25">
      <c r="A398" s="531"/>
      <c r="B398" s="531"/>
      <c r="C398" s="55">
        <v>83</v>
      </c>
      <c r="D398" s="108">
        <v>159</v>
      </c>
      <c r="E398" s="49">
        <v>2016</v>
      </c>
      <c r="F398" s="332">
        <f t="shared" si="82"/>
        <v>3</v>
      </c>
      <c r="G398" s="65"/>
      <c r="H398" s="66"/>
      <c r="I398" s="66"/>
      <c r="J398" s="66"/>
      <c r="K398" s="66"/>
      <c r="L398" s="66"/>
      <c r="M398" s="66"/>
    </row>
    <row r="399" spans="1:13" s="67" customFormat="1" x14ac:dyDescent="0.25">
      <c r="A399" s="526"/>
      <c r="B399" s="526"/>
      <c r="C399" s="55">
        <v>83</v>
      </c>
      <c r="D399" s="108">
        <v>108</v>
      </c>
      <c r="E399" s="49">
        <v>2016</v>
      </c>
      <c r="F399" s="332">
        <f t="shared" si="82"/>
        <v>3</v>
      </c>
      <c r="G399" s="65"/>
      <c r="H399" s="66"/>
      <c r="I399" s="66"/>
      <c r="J399" s="66"/>
      <c r="K399" s="66"/>
      <c r="L399" s="66"/>
      <c r="M399" s="66"/>
    </row>
    <row r="400" spans="1:13" s="67" customFormat="1" ht="15.75" customHeight="1" x14ac:dyDescent="0.25">
      <c r="A400" s="525" t="s">
        <v>184</v>
      </c>
      <c r="B400" s="525" t="s">
        <v>364</v>
      </c>
      <c r="C400" s="53"/>
      <c r="D400" s="108"/>
      <c r="E400" s="56"/>
      <c r="F400" s="328"/>
      <c r="G400" s="65"/>
      <c r="H400" s="66"/>
      <c r="I400" s="66"/>
      <c r="J400" s="66"/>
      <c r="K400" s="66"/>
      <c r="L400" s="66"/>
      <c r="M400" s="66"/>
    </row>
    <row r="401" spans="1:13" s="67" customFormat="1" ht="20.25" customHeight="1" x14ac:dyDescent="0.25">
      <c r="A401" s="531"/>
      <c r="B401" s="531"/>
      <c r="C401" s="119">
        <v>11</v>
      </c>
      <c r="D401" s="108">
        <v>108</v>
      </c>
      <c r="E401" s="49">
        <v>1980</v>
      </c>
      <c r="F401" s="332">
        <f t="shared" si="82"/>
        <v>39</v>
      </c>
      <c r="G401" s="65"/>
      <c r="H401" s="66"/>
      <c r="I401" s="66"/>
      <c r="J401" s="66"/>
      <c r="K401" s="66"/>
      <c r="L401" s="66"/>
      <c r="M401" s="66"/>
    </row>
    <row r="402" spans="1:13" s="67" customFormat="1" x14ac:dyDescent="0.25">
      <c r="A402" s="526"/>
      <c r="B402" s="526"/>
      <c r="C402" s="119">
        <v>11</v>
      </c>
      <c r="D402" s="108">
        <v>76</v>
      </c>
      <c r="E402" s="64">
        <v>1980</v>
      </c>
      <c r="F402" s="332">
        <f t="shared" si="82"/>
        <v>39</v>
      </c>
      <c r="G402" s="65"/>
      <c r="H402" s="66"/>
      <c r="I402" s="66"/>
      <c r="J402" s="66"/>
      <c r="K402" s="66"/>
      <c r="L402" s="66"/>
      <c r="M402" s="66"/>
    </row>
    <row r="403" spans="1:13" s="67" customFormat="1" ht="15.75" customHeight="1" x14ac:dyDescent="0.25">
      <c r="A403" s="525" t="s">
        <v>365</v>
      </c>
      <c r="B403" s="525" t="s">
        <v>366</v>
      </c>
      <c r="C403" s="53"/>
      <c r="D403" s="108"/>
      <c r="E403" s="56"/>
      <c r="F403" s="328"/>
      <c r="G403" s="65"/>
      <c r="H403" s="66"/>
      <c r="I403" s="66"/>
      <c r="J403" s="66"/>
      <c r="K403" s="66"/>
      <c r="L403" s="66"/>
      <c r="M403" s="66"/>
    </row>
    <row r="404" spans="1:13" s="67" customFormat="1" ht="18.75" customHeight="1" x14ac:dyDescent="0.25">
      <c r="A404" s="531"/>
      <c r="B404" s="531"/>
      <c r="C404" s="55">
        <v>45</v>
      </c>
      <c r="D404" s="108">
        <v>57</v>
      </c>
      <c r="E404" s="49">
        <v>2014</v>
      </c>
      <c r="F404" s="332">
        <f t="shared" si="82"/>
        <v>5</v>
      </c>
      <c r="G404" s="65"/>
      <c r="H404" s="66"/>
      <c r="I404" s="66"/>
      <c r="J404" s="66"/>
      <c r="K404" s="66"/>
      <c r="L404" s="66"/>
      <c r="M404" s="66"/>
    </row>
    <row r="405" spans="1:13" s="67" customFormat="1" x14ac:dyDescent="0.25">
      <c r="A405" s="526"/>
      <c r="B405" s="526"/>
      <c r="C405" s="55">
        <v>45</v>
      </c>
      <c r="D405" s="108">
        <v>57</v>
      </c>
      <c r="E405" s="64">
        <v>2014</v>
      </c>
      <c r="F405" s="332">
        <f t="shared" si="82"/>
        <v>5</v>
      </c>
      <c r="G405" s="65"/>
      <c r="H405" s="66"/>
      <c r="I405" s="66"/>
      <c r="J405" s="66"/>
      <c r="K405" s="66"/>
      <c r="L405" s="66"/>
      <c r="M405" s="66"/>
    </row>
    <row r="406" spans="1:13" s="67" customFormat="1" ht="15.75" customHeight="1" x14ac:dyDescent="0.25">
      <c r="A406" s="525" t="s">
        <v>197</v>
      </c>
      <c r="B406" s="525" t="s">
        <v>367</v>
      </c>
      <c r="C406" s="53"/>
      <c r="D406" s="108"/>
      <c r="E406" s="56"/>
      <c r="F406" s="328"/>
      <c r="G406" s="65"/>
      <c r="H406" s="66"/>
      <c r="I406" s="66"/>
      <c r="J406" s="66"/>
      <c r="K406" s="66"/>
      <c r="L406" s="66"/>
      <c r="M406" s="66"/>
    </row>
    <row r="407" spans="1:13" s="67" customFormat="1" x14ac:dyDescent="0.25">
      <c r="A407" s="531"/>
      <c r="B407" s="531"/>
      <c r="C407" s="55">
        <v>146</v>
      </c>
      <c r="D407" s="108">
        <v>159</v>
      </c>
      <c r="E407" s="49">
        <v>2009</v>
      </c>
      <c r="F407" s="332">
        <f t="shared" si="82"/>
        <v>10</v>
      </c>
      <c r="G407" s="65"/>
      <c r="H407" s="66"/>
      <c r="I407" s="66"/>
      <c r="J407" s="66"/>
      <c r="K407" s="66"/>
      <c r="L407" s="66"/>
      <c r="M407" s="66"/>
    </row>
    <row r="408" spans="1:13" s="72" customFormat="1" x14ac:dyDescent="0.25">
      <c r="A408" s="526"/>
      <c r="B408" s="526"/>
      <c r="C408" s="55">
        <v>146</v>
      </c>
      <c r="D408" s="108">
        <v>108</v>
      </c>
      <c r="E408" s="49">
        <v>2009</v>
      </c>
      <c r="F408" s="332">
        <f t="shared" si="82"/>
        <v>10</v>
      </c>
      <c r="G408" s="68"/>
      <c r="H408" s="69"/>
      <c r="I408" s="70"/>
      <c r="J408" s="71"/>
      <c r="K408" s="71"/>
      <c r="L408" s="71"/>
      <c r="M408" s="71"/>
    </row>
    <row r="409" spans="1:13" s="72" customFormat="1" ht="20.25" customHeight="1" x14ac:dyDescent="0.25">
      <c r="A409" s="525" t="s">
        <v>365</v>
      </c>
      <c r="B409" s="525" t="s">
        <v>368</v>
      </c>
      <c r="C409" s="53"/>
      <c r="D409" s="108"/>
      <c r="E409" s="56"/>
      <c r="F409" s="329"/>
      <c r="G409" s="68"/>
      <c r="H409" s="69"/>
      <c r="I409" s="70"/>
      <c r="J409" s="71"/>
      <c r="K409" s="71"/>
      <c r="L409" s="71"/>
      <c r="M409" s="71"/>
    </row>
    <row r="410" spans="1:13" s="72" customFormat="1" x14ac:dyDescent="0.25">
      <c r="A410" s="531"/>
      <c r="B410" s="531"/>
      <c r="C410" s="55">
        <v>20</v>
      </c>
      <c r="D410" s="108">
        <v>89</v>
      </c>
      <c r="E410" s="49">
        <v>2013</v>
      </c>
      <c r="F410" s="332">
        <f t="shared" si="82"/>
        <v>6</v>
      </c>
      <c r="G410" s="68"/>
      <c r="H410" s="69"/>
      <c r="I410" s="70"/>
      <c r="J410" s="71"/>
      <c r="K410" s="71"/>
      <c r="L410" s="71"/>
      <c r="M410" s="71"/>
    </row>
    <row r="411" spans="1:13" s="72" customFormat="1" x14ac:dyDescent="0.25">
      <c r="A411" s="526"/>
      <c r="B411" s="526"/>
      <c r="C411" s="55">
        <v>20</v>
      </c>
      <c r="D411" s="108">
        <v>57</v>
      </c>
      <c r="E411" s="49">
        <v>2013</v>
      </c>
      <c r="F411" s="332">
        <f t="shared" si="82"/>
        <v>6</v>
      </c>
      <c r="G411" s="68"/>
      <c r="H411" s="69"/>
      <c r="I411" s="70"/>
      <c r="J411" s="71"/>
      <c r="K411" s="71"/>
      <c r="L411" s="71"/>
      <c r="M411" s="71"/>
    </row>
    <row r="412" spans="1:13" s="72" customFormat="1" ht="19.5" customHeight="1" x14ac:dyDescent="0.25">
      <c r="A412" s="534" t="s">
        <v>369</v>
      </c>
      <c r="B412" s="534" t="s">
        <v>370</v>
      </c>
      <c r="C412" s="53"/>
      <c r="D412" s="108"/>
      <c r="E412" s="56"/>
      <c r="F412" s="329"/>
      <c r="G412" s="68"/>
      <c r="H412" s="69"/>
      <c r="I412" s="70"/>
      <c r="J412" s="71"/>
      <c r="K412" s="71"/>
      <c r="L412" s="71"/>
      <c r="M412" s="71"/>
    </row>
    <row r="413" spans="1:13" s="72" customFormat="1" x14ac:dyDescent="0.25">
      <c r="A413" s="536"/>
      <c r="B413" s="536"/>
      <c r="C413" s="55">
        <v>24.4</v>
      </c>
      <c r="D413" s="108">
        <v>89</v>
      </c>
      <c r="E413" s="49">
        <v>2013</v>
      </c>
      <c r="F413" s="332">
        <f t="shared" si="82"/>
        <v>6</v>
      </c>
      <c r="G413" s="68"/>
      <c r="H413" s="69"/>
      <c r="I413" s="70"/>
      <c r="J413" s="71"/>
      <c r="K413" s="71"/>
      <c r="L413" s="71"/>
      <c r="M413" s="71"/>
    </row>
    <row r="414" spans="1:13" s="72" customFormat="1" x14ac:dyDescent="0.25">
      <c r="A414" s="535"/>
      <c r="B414" s="535"/>
      <c r="C414" s="55">
        <v>24.4</v>
      </c>
      <c r="D414" s="108">
        <v>40</v>
      </c>
      <c r="E414" s="49">
        <v>2013</v>
      </c>
      <c r="F414" s="332">
        <f t="shared" si="82"/>
        <v>6</v>
      </c>
      <c r="G414" s="68"/>
      <c r="H414" s="69"/>
      <c r="I414" s="70"/>
      <c r="J414" s="71"/>
      <c r="K414" s="71"/>
      <c r="L414" s="71"/>
      <c r="M414" s="71"/>
    </row>
    <row r="415" spans="1:13" s="72" customFormat="1" ht="15.75" customHeight="1" x14ac:dyDescent="0.25">
      <c r="A415" s="534" t="s">
        <v>235</v>
      </c>
      <c r="B415" s="534" t="s">
        <v>371</v>
      </c>
      <c r="C415" s="53"/>
      <c r="D415" s="108"/>
      <c r="E415" s="56"/>
      <c r="F415" s="329"/>
      <c r="G415" s="68"/>
      <c r="H415" s="69"/>
      <c r="I415" s="70"/>
      <c r="J415" s="71"/>
      <c r="K415" s="71"/>
      <c r="L415" s="71"/>
      <c r="M415" s="71"/>
    </row>
    <row r="416" spans="1:13" s="72" customFormat="1" ht="21.75" customHeight="1" x14ac:dyDescent="0.25">
      <c r="A416" s="536"/>
      <c r="B416" s="536"/>
      <c r="C416" s="119">
        <v>72</v>
      </c>
      <c r="D416" s="108">
        <v>219</v>
      </c>
      <c r="E416" s="49">
        <v>1978</v>
      </c>
      <c r="F416" s="332">
        <f t="shared" si="82"/>
        <v>41</v>
      </c>
      <c r="G416" s="68"/>
      <c r="H416" s="69"/>
      <c r="I416" s="70"/>
      <c r="J416" s="71"/>
      <c r="K416" s="71"/>
      <c r="L416" s="71"/>
      <c r="M416" s="71"/>
    </row>
    <row r="417" spans="1:13" s="72" customFormat="1" x14ac:dyDescent="0.25">
      <c r="A417" s="535"/>
      <c r="B417" s="535"/>
      <c r="C417" s="119">
        <v>72</v>
      </c>
      <c r="D417" s="108">
        <v>159</v>
      </c>
      <c r="E417" s="64">
        <v>1978</v>
      </c>
      <c r="F417" s="332">
        <f t="shared" si="82"/>
        <v>41</v>
      </c>
      <c r="G417" s="68"/>
      <c r="H417" s="69"/>
      <c r="I417" s="70"/>
      <c r="J417" s="71"/>
      <c r="K417" s="71"/>
      <c r="L417" s="71"/>
      <c r="M417" s="71"/>
    </row>
    <row r="418" spans="1:13" s="72" customFormat="1" ht="15.75" customHeight="1" x14ac:dyDescent="0.25">
      <c r="A418" s="525" t="s">
        <v>372</v>
      </c>
      <c r="B418" s="525" t="s">
        <v>373</v>
      </c>
      <c r="C418" s="53"/>
      <c r="D418" s="108"/>
      <c r="E418" s="56"/>
      <c r="F418" s="329"/>
      <c r="G418" s="68"/>
      <c r="H418" s="69"/>
      <c r="I418" s="70"/>
      <c r="J418" s="71"/>
      <c r="K418" s="71"/>
      <c r="L418" s="71"/>
      <c r="M418" s="71"/>
    </row>
    <row r="419" spans="1:13" s="72" customFormat="1" x14ac:dyDescent="0.25">
      <c r="A419" s="531"/>
      <c r="B419" s="531"/>
      <c r="C419" s="119">
        <v>56</v>
      </c>
      <c r="D419" s="108">
        <v>57</v>
      </c>
      <c r="E419" s="49">
        <v>1980</v>
      </c>
      <c r="F419" s="332">
        <f t="shared" si="82"/>
        <v>39</v>
      </c>
      <c r="G419" s="68"/>
      <c r="H419" s="69"/>
      <c r="I419" s="70"/>
      <c r="J419" s="71"/>
      <c r="K419" s="71"/>
      <c r="L419" s="71"/>
      <c r="M419" s="71"/>
    </row>
    <row r="420" spans="1:13" s="72" customFormat="1" x14ac:dyDescent="0.25">
      <c r="A420" s="526"/>
      <c r="B420" s="526"/>
      <c r="C420" s="119">
        <v>56</v>
      </c>
      <c r="D420" s="108">
        <v>40</v>
      </c>
      <c r="E420" s="49">
        <v>1980</v>
      </c>
      <c r="F420" s="332">
        <f t="shared" si="82"/>
        <v>39</v>
      </c>
      <c r="G420" s="68"/>
      <c r="H420" s="69"/>
      <c r="I420" s="70"/>
      <c r="J420" s="71"/>
      <c r="K420" s="71"/>
      <c r="L420" s="71"/>
      <c r="M420" s="71"/>
    </row>
    <row r="421" spans="1:13" s="72" customFormat="1" ht="15.75" customHeight="1" x14ac:dyDescent="0.25">
      <c r="A421" s="525" t="s">
        <v>374</v>
      </c>
      <c r="B421" s="525" t="s">
        <v>375</v>
      </c>
      <c r="C421" s="119"/>
      <c r="D421" s="108"/>
      <c r="E421" s="56"/>
      <c r="F421" s="329"/>
      <c r="G421" s="68"/>
      <c r="H421" s="69"/>
      <c r="I421" s="70"/>
      <c r="J421" s="71"/>
      <c r="K421" s="71"/>
      <c r="L421" s="71"/>
      <c r="M421" s="71"/>
    </row>
    <row r="422" spans="1:13" s="72" customFormat="1" ht="19.5" customHeight="1" x14ac:dyDescent="0.25">
      <c r="A422" s="531"/>
      <c r="B422" s="531"/>
      <c r="C422" s="78">
        <v>132</v>
      </c>
      <c r="D422" s="108">
        <v>133</v>
      </c>
      <c r="E422" s="49">
        <v>2006</v>
      </c>
      <c r="F422" s="332">
        <f t="shared" si="82"/>
        <v>13</v>
      </c>
      <c r="G422" s="68"/>
      <c r="H422" s="69"/>
      <c r="I422" s="70"/>
      <c r="J422" s="71"/>
      <c r="K422" s="71"/>
      <c r="L422" s="71"/>
      <c r="M422" s="71"/>
    </row>
    <row r="423" spans="1:13" s="72" customFormat="1" x14ac:dyDescent="0.25">
      <c r="A423" s="526"/>
      <c r="B423" s="526"/>
      <c r="C423" s="55">
        <v>132</v>
      </c>
      <c r="D423" s="108">
        <v>76</v>
      </c>
      <c r="E423" s="49">
        <v>2006</v>
      </c>
      <c r="F423" s="332">
        <f t="shared" si="82"/>
        <v>13</v>
      </c>
      <c r="G423" s="68"/>
      <c r="H423" s="69"/>
      <c r="I423" s="70"/>
      <c r="J423" s="71"/>
      <c r="K423" s="71"/>
      <c r="L423" s="71"/>
      <c r="M423" s="71"/>
    </row>
    <row r="424" spans="1:13" s="72" customFormat="1" ht="15.75" customHeight="1" x14ac:dyDescent="0.25">
      <c r="A424" s="525" t="s">
        <v>372</v>
      </c>
      <c r="B424" s="525" t="s">
        <v>261</v>
      </c>
      <c r="C424" s="119"/>
      <c r="D424" s="108"/>
      <c r="E424" s="56"/>
      <c r="F424" s="329"/>
      <c r="G424" s="68"/>
      <c r="H424" s="69"/>
      <c r="I424" s="70"/>
      <c r="J424" s="71"/>
      <c r="K424" s="71"/>
      <c r="L424" s="71"/>
      <c r="M424" s="71"/>
    </row>
    <row r="425" spans="1:13" s="72" customFormat="1" ht="19.5" customHeight="1" x14ac:dyDescent="0.25">
      <c r="A425" s="531"/>
      <c r="B425" s="531"/>
      <c r="C425" s="78">
        <v>158</v>
      </c>
      <c r="D425" s="108">
        <v>159</v>
      </c>
      <c r="E425" s="49">
        <v>2008</v>
      </c>
      <c r="F425" s="332">
        <f t="shared" si="82"/>
        <v>11</v>
      </c>
      <c r="G425" s="68"/>
      <c r="H425" s="69"/>
      <c r="I425" s="70"/>
      <c r="J425" s="71"/>
      <c r="K425" s="71"/>
      <c r="L425" s="71"/>
      <c r="M425" s="71"/>
    </row>
    <row r="426" spans="1:13" s="72" customFormat="1" x14ac:dyDescent="0.25">
      <c r="A426" s="526"/>
      <c r="B426" s="526"/>
      <c r="C426" s="78">
        <v>158</v>
      </c>
      <c r="D426" s="108">
        <v>108</v>
      </c>
      <c r="E426" s="64">
        <v>2008</v>
      </c>
      <c r="F426" s="332">
        <f t="shared" si="82"/>
        <v>11</v>
      </c>
      <c r="G426" s="68"/>
      <c r="H426" s="69"/>
      <c r="I426" s="70"/>
      <c r="J426" s="71"/>
      <c r="K426" s="71"/>
      <c r="L426" s="71"/>
      <c r="M426" s="71"/>
    </row>
    <row r="427" spans="1:13" s="72" customFormat="1" ht="15.75" customHeight="1" x14ac:dyDescent="0.25">
      <c r="A427" s="525" t="s">
        <v>253</v>
      </c>
      <c r="B427" s="525" t="s">
        <v>294</v>
      </c>
      <c r="C427" s="53"/>
      <c r="D427" s="108"/>
      <c r="E427" s="56"/>
      <c r="F427" s="329"/>
      <c r="G427" s="68"/>
      <c r="H427" s="69"/>
      <c r="I427" s="70"/>
      <c r="J427" s="71"/>
      <c r="K427" s="71"/>
      <c r="L427" s="71"/>
      <c r="M427" s="71"/>
    </row>
    <row r="428" spans="1:13" s="72" customFormat="1" ht="17.25" customHeight="1" x14ac:dyDescent="0.25">
      <c r="A428" s="531"/>
      <c r="B428" s="531"/>
      <c r="C428" s="119">
        <v>251</v>
      </c>
      <c r="D428" s="108">
        <v>159</v>
      </c>
      <c r="E428" s="49">
        <v>1980</v>
      </c>
      <c r="F428" s="332">
        <f t="shared" si="82"/>
        <v>39</v>
      </c>
      <c r="G428" s="68"/>
      <c r="H428" s="69"/>
      <c r="I428" s="70"/>
      <c r="J428" s="71"/>
      <c r="K428" s="71"/>
      <c r="L428" s="71"/>
      <c r="M428" s="71"/>
    </row>
    <row r="429" spans="1:13" s="72" customFormat="1" x14ac:dyDescent="0.25">
      <c r="A429" s="526"/>
      <c r="B429" s="526"/>
      <c r="C429" s="119">
        <v>251</v>
      </c>
      <c r="D429" s="108">
        <v>108</v>
      </c>
      <c r="E429" s="49">
        <v>1980</v>
      </c>
      <c r="F429" s="332">
        <f t="shared" si="82"/>
        <v>39</v>
      </c>
      <c r="G429" s="68"/>
      <c r="H429" s="69"/>
      <c r="I429" s="70"/>
      <c r="J429" s="71"/>
      <c r="K429" s="71"/>
      <c r="L429" s="71"/>
      <c r="M429" s="71"/>
    </row>
    <row r="430" spans="1:13" s="72" customFormat="1" ht="15.75" customHeight="1" x14ac:dyDescent="0.25">
      <c r="A430" s="525" t="s">
        <v>229</v>
      </c>
      <c r="B430" s="525" t="s">
        <v>376</v>
      </c>
      <c r="C430" s="53"/>
      <c r="D430" s="108"/>
      <c r="E430" s="56"/>
      <c r="F430" s="329"/>
      <c r="G430" s="68"/>
      <c r="H430" s="69"/>
      <c r="I430" s="70"/>
      <c r="J430" s="71"/>
      <c r="K430" s="71"/>
      <c r="L430" s="71"/>
      <c r="M430" s="71"/>
    </row>
    <row r="431" spans="1:13" s="72" customFormat="1" x14ac:dyDescent="0.25">
      <c r="A431" s="531"/>
      <c r="B431" s="531"/>
      <c r="C431" s="119">
        <v>71</v>
      </c>
      <c r="D431" s="108">
        <v>159</v>
      </c>
      <c r="E431" s="49">
        <v>1980</v>
      </c>
      <c r="F431" s="332">
        <f t="shared" si="82"/>
        <v>39</v>
      </c>
      <c r="G431" s="68"/>
      <c r="H431" s="69"/>
      <c r="I431" s="70"/>
      <c r="J431" s="71"/>
      <c r="K431" s="71"/>
      <c r="L431" s="71"/>
      <c r="M431" s="71"/>
    </row>
    <row r="432" spans="1:13" s="72" customFormat="1" x14ac:dyDescent="0.25">
      <c r="A432" s="526"/>
      <c r="B432" s="526"/>
      <c r="C432" s="119">
        <v>71</v>
      </c>
      <c r="D432" s="108">
        <v>108</v>
      </c>
      <c r="E432" s="49">
        <v>1980</v>
      </c>
      <c r="F432" s="332">
        <f t="shared" si="82"/>
        <v>39</v>
      </c>
      <c r="G432" s="68"/>
      <c r="H432" s="69"/>
      <c r="I432" s="70"/>
      <c r="J432" s="71"/>
      <c r="K432" s="71"/>
      <c r="L432" s="71"/>
      <c r="M432" s="71"/>
    </row>
    <row r="433" spans="1:13" s="72" customFormat="1" ht="15.75" customHeight="1" x14ac:dyDescent="0.25">
      <c r="A433" s="525" t="s">
        <v>197</v>
      </c>
      <c r="B433" s="525" t="s">
        <v>377</v>
      </c>
      <c r="C433" s="53"/>
      <c r="D433" s="108"/>
      <c r="E433" s="56"/>
      <c r="F433" s="329"/>
      <c r="G433" s="68"/>
      <c r="H433" s="69"/>
      <c r="I433" s="70"/>
      <c r="J433" s="71"/>
      <c r="K433" s="71"/>
      <c r="L433" s="71"/>
      <c r="M433" s="71"/>
    </row>
    <row r="434" spans="1:13" s="72" customFormat="1" x14ac:dyDescent="0.25">
      <c r="A434" s="531"/>
      <c r="B434" s="531"/>
      <c r="C434" s="55">
        <v>49</v>
      </c>
      <c r="D434" s="108">
        <v>108</v>
      </c>
      <c r="E434" s="49">
        <v>2009</v>
      </c>
      <c r="F434" s="332">
        <f t="shared" si="82"/>
        <v>10</v>
      </c>
      <c r="G434" s="68"/>
      <c r="H434" s="69"/>
      <c r="I434" s="70"/>
      <c r="J434" s="71"/>
      <c r="K434" s="71"/>
      <c r="L434" s="71"/>
      <c r="M434" s="71"/>
    </row>
    <row r="435" spans="1:13" s="72" customFormat="1" x14ac:dyDescent="0.25">
      <c r="A435" s="526"/>
      <c r="B435" s="526"/>
      <c r="C435" s="55">
        <v>49</v>
      </c>
      <c r="D435" s="108">
        <v>57</v>
      </c>
      <c r="E435" s="64">
        <v>2009</v>
      </c>
      <c r="F435" s="332">
        <f t="shared" si="82"/>
        <v>10</v>
      </c>
      <c r="G435" s="68"/>
      <c r="H435" s="69"/>
      <c r="I435" s="70"/>
      <c r="J435" s="71"/>
      <c r="K435" s="71"/>
      <c r="L435" s="71"/>
      <c r="M435" s="71"/>
    </row>
    <row r="436" spans="1:13" s="72" customFormat="1" ht="15.75" customHeight="1" x14ac:dyDescent="0.25">
      <c r="A436" s="525" t="s">
        <v>180</v>
      </c>
      <c r="B436" s="525" t="s">
        <v>378</v>
      </c>
      <c r="C436" s="53"/>
      <c r="D436" s="108"/>
      <c r="E436" s="56"/>
      <c r="F436" s="329"/>
      <c r="G436" s="68"/>
      <c r="H436" s="69"/>
      <c r="I436" s="70"/>
      <c r="J436" s="71"/>
      <c r="K436" s="71"/>
      <c r="L436" s="71"/>
      <c r="M436" s="71"/>
    </row>
    <row r="437" spans="1:13" s="72" customFormat="1" ht="17.25" customHeight="1" x14ac:dyDescent="0.25">
      <c r="A437" s="531"/>
      <c r="B437" s="531"/>
      <c r="C437" s="119">
        <v>18.3</v>
      </c>
      <c r="D437" s="108">
        <v>89</v>
      </c>
      <c r="E437" s="49">
        <v>1980</v>
      </c>
      <c r="F437" s="332">
        <f t="shared" si="82"/>
        <v>39</v>
      </c>
      <c r="G437" s="68"/>
      <c r="H437" s="69"/>
      <c r="I437" s="70"/>
      <c r="J437" s="71"/>
      <c r="K437" s="71"/>
      <c r="L437" s="71"/>
      <c r="M437" s="71"/>
    </row>
    <row r="438" spans="1:13" s="72" customFormat="1" x14ac:dyDescent="0.25">
      <c r="A438" s="526"/>
      <c r="B438" s="526"/>
      <c r="C438" s="119">
        <v>18.3</v>
      </c>
      <c r="D438" s="108">
        <v>57</v>
      </c>
      <c r="E438" s="49">
        <v>1980</v>
      </c>
      <c r="F438" s="332">
        <f t="shared" si="82"/>
        <v>39</v>
      </c>
      <c r="G438" s="68"/>
      <c r="H438" s="69"/>
      <c r="I438" s="70"/>
      <c r="J438" s="71"/>
      <c r="K438" s="71"/>
      <c r="L438" s="71"/>
      <c r="M438" s="71"/>
    </row>
    <row r="439" spans="1:13" s="72" customFormat="1" ht="15.75" customHeight="1" x14ac:dyDescent="0.25">
      <c r="A439" s="525" t="s">
        <v>246</v>
      </c>
      <c r="B439" s="525" t="s">
        <v>379</v>
      </c>
      <c r="C439" s="53"/>
      <c r="D439" s="108"/>
      <c r="E439" s="56"/>
      <c r="F439" s="329"/>
      <c r="G439" s="68"/>
      <c r="H439" s="69"/>
      <c r="I439" s="70"/>
      <c r="J439" s="71"/>
      <c r="K439" s="71"/>
      <c r="L439" s="71"/>
      <c r="M439" s="71"/>
    </row>
    <row r="440" spans="1:13" s="72" customFormat="1" x14ac:dyDescent="0.25">
      <c r="A440" s="531"/>
      <c r="B440" s="531"/>
      <c r="C440" s="119">
        <v>48</v>
      </c>
      <c r="D440" s="108">
        <v>159</v>
      </c>
      <c r="E440" s="49">
        <v>1980</v>
      </c>
      <c r="F440" s="332">
        <f t="shared" si="82"/>
        <v>39</v>
      </c>
      <c r="G440" s="68"/>
      <c r="H440" s="69"/>
      <c r="I440" s="70"/>
      <c r="J440" s="71"/>
      <c r="K440" s="71"/>
      <c r="L440" s="71"/>
      <c r="M440" s="71"/>
    </row>
    <row r="441" spans="1:13" s="72" customFormat="1" x14ac:dyDescent="0.25">
      <c r="A441" s="526"/>
      <c r="B441" s="526"/>
      <c r="C441" s="119">
        <v>48</v>
      </c>
      <c r="D441" s="108">
        <v>108</v>
      </c>
      <c r="E441" s="49">
        <v>1980</v>
      </c>
      <c r="F441" s="332">
        <f t="shared" si="82"/>
        <v>39</v>
      </c>
      <c r="G441" s="68"/>
      <c r="H441" s="69"/>
      <c r="I441" s="70"/>
      <c r="J441" s="71"/>
      <c r="K441" s="71"/>
      <c r="L441" s="71"/>
      <c r="M441" s="71"/>
    </row>
    <row r="442" spans="1:13" s="72" customFormat="1" ht="15.75" customHeight="1" x14ac:dyDescent="0.25">
      <c r="A442" s="525" t="s">
        <v>271</v>
      </c>
      <c r="B442" s="525" t="s">
        <v>209</v>
      </c>
      <c r="C442" s="53"/>
      <c r="D442" s="109"/>
      <c r="E442" s="74"/>
      <c r="F442" s="329"/>
      <c r="G442" s="68"/>
      <c r="H442" s="69"/>
      <c r="I442" s="70"/>
      <c r="J442" s="71"/>
      <c r="K442" s="71"/>
      <c r="L442" s="71"/>
      <c r="M442" s="71"/>
    </row>
    <row r="443" spans="1:13" s="72" customFormat="1" ht="18" customHeight="1" x14ac:dyDescent="0.25">
      <c r="A443" s="531"/>
      <c r="B443" s="531"/>
      <c r="C443" s="119">
        <v>123</v>
      </c>
      <c r="D443" s="109">
        <v>108</v>
      </c>
      <c r="E443" s="49">
        <v>1980</v>
      </c>
      <c r="F443" s="332">
        <f t="shared" si="82"/>
        <v>39</v>
      </c>
      <c r="G443" s="68"/>
      <c r="H443" s="69"/>
      <c r="I443" s="70"/>
      <c r="J443" s="71"/>
      <c r="K443" s="71"/>
      <c r="L443" s="71"/>
      <c r="M443" s="71"/>
    </row>
    <row r="444" spans="1:13" s="72" customFormat="1" x14ac:dyDescent="0.25">
      <c r="A444" s="526"/>
      <c r="B444" s="526"/>
      <c r="C444" s="119">
        <v>123</v>
      </c>
      <c r="D444" s="109">
        <v>76</v>
      </c>
      <c r="E444" s="49">
        <v>1980</v>
      </c>
      <c r="F444" s="332">
        <f t="shared" ref="F444" si="83">2019-E444</f>
        <v>39</v>
      </c>
      <c r="G444" s="68"/>
      <c r="H444" s="69"/>
      <c r="I444" s="70"/>
      <c r="J444" s="71"/>
      <c r="K444" s="71"/>
      <c r="L444" s="71"/>
      <c r="M444" s="71"/>
    </row>
    <row r="445" spans="1:13" s="72" customFormat="1" ht="15.75" customHeight="1" x14ac:dyDescent="0.25">
      <c r="A445" s="525" t="s">
        <v>217</v>
      </c>
      <c r="B445" s="525" t="s">
        <v>255</v>
      </c>
      <c r="C445" s="53"/>
      <c r="D445" s="109"/>
      <c r="E445" s="74"/>
      <c r="F445" s="329"/>
      <c r="G445" s="68"/>
      <c r="H445" s="69"/>
      <c r="I445" s="70"/>
      <c r="J445" s="71"/>
      <c r="K445" s="71"/>
      <c r="L445" s="71"/>
      <c r="M445" s="71"/>
    </row>
    <row r="446" spans="1:13" s="72" customFormat="1" x14ac:dyDescent="0.25">
      <c r="A446" s="531"/>
      <c r="B446" s="531"/>
      <c r="C446" s="119">
        <v>68</v>
      </c>
      <c r="D446" s="109">
        <v>159</v>
      </c>
      <c r="E446" s="49">
        <v>1980</v>
      </c>
      <c r="F446" s="332">
        <f t="shared" ref="F446:F447" si="84">2019-E446</f>
        <v>39</v>
      </c>
      <c r="G446" s="68"/>
      <c r="H446" s="69"/>
      <c r="I446" s="70"/>
      <c r="J446" s="71"/>
      <c r="K446" s="71"/>
      <c r="L446" s="71"/>
      <c r="M446" s="71"/>
    </row>
    <row r="447" spans="1:13" s="72" customFormat="1" x14ac:dyDescent="0.25">
      <c r="A447" s="526"/>
      <c r="B447" s="526"/>
      <c r="C447" s="119">
        <v>68</v>
      </c>
      <c r="D447" s="109">
        <v>108</v>
      </c>
      <c r="E447" s="49">
        <v>1980</v>
      </c>
      <c r="F447" s="332">
        <f t="shared" si="84"/>
        <v>39</v>
      </c>
      <c r="G447" s="68"/>
      <c r="H447" s="69"/>
      <c r="I447" s="70"/>
      <c r="J447" s="71"/>
      <c r="K447" s="71"/>
      <c r="L447" s="71"/>
      <c r="M447" s="71"/>
    </row>
    <row r="448" spans="1:13" s="72" customFormat="1" ht="15.75" customHeight="1" x14ac:dyDescent="0.25">
      <c r="A448" s="525" t="s">
        <v>203</v>
      </c>
      <c r="B448" s="525" t="s">
        <v>380</v>
      </c>
      <c r="C448" s="53"/>
      <c r="D448" s="109"/>
      <c r="E448" s="74"/>
      <c r="F448" s="329"/>
      <c r="G448" s="68"/>
      <c r="H448" s="69"/>
      <c r="I448" s="70"/>
      <c r="J448" s="71"/>
      <c r="K448" s="71"/>
      <c r="L448" s="71"/>
      <c r="M448" s="71"/>
    </row>
    <row r="449" spans="1:13" s="72" customFormat="1" ht="18" customHeight="1" x14ac:dyDescent="0.25">
      <c r="A449" s="531"/>
      <c r="B449" s="531"/>
      <c r="C449" s="119">
        <v>30</v>
      </c>
      <c r="D449" s="109">
        <v>108</v>
      </c>
      <c r="E449" s="75">
        <v>1982</v>
      </c>
      <c r="F449" s="332">
        <f t="shared" ref="F449:F450" si="85">2019-E449</f>
        <v>37</v>
      </c>
      <c r="G449" s="68"/>
      <c r="H449" s="69"/>
      <c r="I449" s="70"/>
      <c r="J449" s="71"/>
      <c r="K449" s="71"/>
      <c r="L449" s="71"/>
      <c r="M449" s="71"/>
    </row>
    <row r="450" spans="1:13" s="72" customFormat="1" x14ac:dyDescent="0.25">
      <c r="A450" s="526"/>
      <c r="B450" s="526"/>
      <c r="C450" s="119">
        <v>30</v>
      </c>
      <c r="D450" s="109">
        <v>57</v>
      </c>
      <c r="E450" s="76">
        <v>1982</v>
      </c>
      <c r="F450" s="332">
        <f t="shared" si="85"/>
        <v>37</v>
      </c>
      <c r="G450" s="68"/>
      <c r="H450" s="69"/>
      <c r="I450" s="70"/>
      <c r="J450" s="71"/>
      <c r="K450" s="71"/>
      <c r="L450" s="71"/>
      <c r="M450" s="71"/>
    </row>
    <row r="451" spans="1:13" s="72" customFormat="1" ht="15.75" customHeight="1" x14ac:dyDescent="0.25">
      <c r="A451" s="525" t="s">
        <v>329</v>
      </c>
      <c r="B451" s="532" t="s">
        <v>381</v>
      </c>
      <c r="C451" s="119"/>
      <c r="D451" s="109"/>
      <c r="E451" s="74"/>
      <c r="F451" s="329"/>
      <c r="G451" s="68"/>
      <c r="H451" s="69"/>
      <c r="I451" s="70"/>
      <c r="J451" s="71"/>
      <c r="K451" s="71"/>
      <c r="L451" s="71"/>
      <c r="M451" s="71"/>
    </row>
    <row r="452" spans="1:13" s="72" customFormat="1" x14ac:dyDescent="0.25">
      <c r="A452" s="531"/>
      <c r="B452" s="540"/>
      <c r="C452" s="78">
        <v>75</v>
      </c>
      <c r="D452" s="109">
        <v>76</v>
      </c>
      <c r="E452" s="76">
        <v>1992</v>
      </c>
      <c r="F452" s="332">
        <f t="shared" ref="F452:F453" si="86">2019-E452</f>
        <v>27</v>
      </c>
      <c r="G452" s="68"/>
      <c r="H452" s="69"/>
      <c r="I452" s="70"/>
      <c r="J452" s="71"/>
      <c r="K452" s="71"/>
      <c r="L452" s="71"/>
      <c r="M452" s="71"/>
    </row>
    <row r="453" spans="1:13" s="72" customFormat="1" x14ac:dyDescent="0.25">
      <c r="A453" s="526"/>
      <c r="B453" s="533"/>
      <c r="C453" s="78">
        <v>75</v>
      </c>
      <c r="D453" s="109">
        <v>40</v>
      </c>
      <c r="E453" s="76">
        <v>1992</v>
      </c>
      <c r="F453" s="332">
        <f t="shared" si="86"/>
        <v>27</v>
      </c>
      <c r="G453" s="68"/>
      <c r="H453" s="69"/>
      <c r="I453" s="70"/>
      <c r="J453" s="71"/>
      <c r="K453" s="71"/>
      <c r="L453" s="71"/>
      <c r="M453" s="71"/>
    </row>
    <row r="454" spans="1:13" s="72" customFormat="1" ht="22.5" customHeight="1" x14ac:dyDescent="0.25">
      <c r="A454" s="525" t="s">
        <v>208</v>
      </c>
      <c r="B454" s="525" t="s">
        <v>382</v>
      </c>
      <c r="C454" s="53"/>
      <c r="D454" s="109"/>
      <c r="E454" s="74"/>
      <c r="F454" s="329"/>
      <c r="G454" s="68"/>
      <c r="H454" s="69"/>
      <c r="I454" s="70"/>
      <c r="J454" s="71"/>
      <c r="K454" s="71"/>
      <c r="L454" s="71"/>
      <c r="M454" s="71"/>
    </row>
    <row r="455" spans="1:13" s="72" customFormat="1" x14ac:dyDescent="0.25">
      <c r="A455" s="531"/>
      <c r="B455" s="531"/>
      <c r="C455" s="119">
        <v>280</v>
      </c>
      <c r="D455" s="109">
        <v>57</v>
      </c>
      <c r="E455" s="76">
        <v>1980</v>
      </c>
      <c r="F455" s="332">
        <f t="shared" ref="F455:F456" si="87">2019-E455</f>
        <v>39</v>
      </c>
      <c r="G455" s="68"/>
      <c r="H455" s="69"/>
      <c r="I455" s="70"/>
      <c r="J455" s="71"/>
      <c r="K455" s="71"/>
      <c r="L455" s="71"/>
      <c r="M455" s="71"/>
    </row>
    <row r="456" spans="1:13" s="72" customFormat="1" x14ac:dyDescent="0.25">
      <c r="A456" s="526"/>
      <c r="B456" s="526"/>
      <c r="C456" s="119">
        <v>280</v>
      </c>
      <c r="D456" s="109">
        <v>40</v>
      </c>
      <c r="E456" s="76">
        <v>1980</v>
      </c>
      <c r="F456" s="332">
        <f t="shared" si="87"/>
        <v>39</v>
      </c>
      <c r="G456" s="68"/>
      <c r="H456" s="69"/>
      <c r="I456" s="70"/>
      <c r="J456" s="71"/>
      <c r="K456" s="71"/>
      <c r="L456" s="71"/>
      <c r="M456" s="71"/>
    </row>
    <row r="457" spans="1:13" s="72" customFormat="1" ht="15.75" customHeight="1" x14ac:dyDescent="0.25">
      <c r="A457" s="564" t="s">
        <v>329</v>
      </c>
      <c r="B457" s="564" t="s">
        <v>253</v>
      </c>
      <c r="C457" s="53"/>
      <c r="D457" s="109"/>
      <c r="E457" s="74"/>
      <c r="F457" s="329"/>
      <c r="G457" s="68"/>
      <c r="H457" s="69"/>
      <c r="I457" s="70"/>
      <c r="J457" s="71"/>
      <c r="K457" s="71"/>
      <c r="L457" s="71"/>
      <c r="M457" s="71"/>
    </row>
    <row r="458" spans="1:13" s="72" customFormat="1" x14ac:dyDescent="0.25">
      <c r="A458" s="564"/>
      <c r="B458" s="564"/>
      <c r="C458" s="119">
        <v>121</v>
      </c>
      <c r="D458" s="109">
        <v>159</v>
      </c>
      <c r="E458" s="76">
        <v>1980</v>
      </c>
      <c r="F458" s="332">
        <f t="shared" ref="F458:F459" si="88">2019-E458</f>
        <v>39</v>
      </c>
      <c r="G458" s="68"/>
      <c r="H458" s="69"/>
      <c r="I458" s="70"/>
      <c r="J458" s="71"/>
      <c r="K458" s="71"/>
      <c r="L458" s="71"/>
      <c r="M458" s="71"/>
    </row>
    <row r="459" spans="1:13" s="72" customFormat="1" x14ac:dyDescent="0.25">
      <c r="A459" s="564"/>
      <c r="B459" s="564"/>
      <c r="C459" s="119">
        <v>121</v>
      </c>
      <c r="D459" s="109">
        <v>108</v>
      </c>
      <c r="E459" s="76">
        <v>1980</v>
      </c>
      <c r="F459" s="332">
        <f t="shared" si="88"/>
        <v>39</v>
      </c>
      <c r="G459" s="68"/>
      <c r="H459" s="69"/>
      <c r="I459" s="70"/>
      <c r="J459" s="71"/>
      <c r="K459" s="71"/>
      <c r="L459" s="71"/>
      <c r="M459" s="71"/>
    </row>
    <row r="460" spans="1:13" s="72" customFormat="1" ht="15.75" customHeight="1" x14ac:dyDescent="0.25">
      <c r="A460" s="534" t="s">
        <v>197</v>
      </c>
      <c r="B460" s="525" t="s">
        <v>383</v>
      </c>
      <c r="C460" s="73"/>
      <c r="D460" s="109"/>
      <c r="E460" s="77"/>
      <c r="F460" s="329"/>
      <c r="G460" s="68"/>
      <c r="H460" s="69"/>
      <c r="I460" s="70"/>
      <c r="J460" s="71"/>
      <c r="K460" s="71"/>
      <c r="L460" s="71"/>
      <c r="M460" s="71"/>
    </row>
    <row r="461" spans="1:13" s="72" customFormat="1" ht="16.5" customHeight="1" x14ac:dyDescent="0.25">
      <c r="A461" s="536"/>
      <c r="B461" s="531"/>
      <c r="C461" s="122">
        <v>11</v>
      </c>
      <c r="D461" s="109">
        <v>89</v>
      </c>
      <c r="E461" s="79">
        <v>1985</v>
      </c>
      <c r="F461" s="332">
        <f t="shared" ref="F461:F462" si="89">2019-E461</f>
        <v>34</v>
      </c>
      <c r="G461" s="68"/>
      <c r="H461" s="69"/>
      <c r="I461" s="70"/>
      <c r="J461" s="71"/>
      <c r="K461" s="71"/>
      <c r="L461" s="71"/>
      <c r="M461" s="71"/>
    </row>
    <row r="462" spans="1:13" s="72" customFormat="1" x14ac:dyDescent="0.25">
      <c r="A462" s="535"/>
      <c r="B462" s="526"/>
      <c r="C462" s="122">
        <v>11</v>
      </c>
      <c r="D462" s="109">
        <v>57</v>
      </c>
      <c r="E462" s="79">
        <v>1985</v>
      </c>
      <c r="F462" s="332">
        <f t="shared" si="89"/>
        <v>34</v>
      </c>
      <c r="G462" s="68"/>
      <c r="H462" s="69"/>
      <c r="I462" s="70"/>
      <c r="J462" s="71"/>
      <c r="K462" s="71"/>
      <c r="L462" s="71"/>
      <c r="M462" s="71"/>
    </row>
    <row r="463" spans="1:13" s="72" customFormat="1" ht="15.75" customHeight="1" x14ac:dyDescent="0.25">
      <c r="A463" s="525" t="s">
        <v>217</v>
      </c>
      <c r="B463" s="525" t="s">
        <v>384</v>
      </c>
      <c r="C463" s="122"/>
      <c r="D463" s="109"/>
      <c r="E463" s="77"/>
      <c r="F463" s="329"/>
      <c r="G463" s="68"/>
      <c r="H463" s="69"/>
      <c r="I463" s="70"/>
      <c r="J463" s="71"/>
      <c r="K463" s="71"/>
      <c r="L463" s="71"/>
      <c r="M463" s="71"/>
    </row>
    <row r="464" spans="1:13" s="72" customFormat="1" x14ac:dyDescent="0.25">
      <c r="A464" s="531"/>
      <c r="B464" s="531"/>
      <c r="C464" s="118">
        <v>22</v>
      </c>
      <c r="D464" s="109">
        <v>89</v>
      </c>
      <c r="E464" s="79">
        <v>2003</v>
      </c>
      <c r="F464" s="332">
        <f t="shared" ref="F464:F465" si="90">2019-E464</f>
        <v>16</v>
      </c>
      <c r="G464" s="68"/>
      <c r="H464" s="69"/>
      <c r="I464" s="70"/>
      <c r="J464" s="71"/>
      <c r="K464" s="71"/>
      <c r="L464" s="71"/>
      <c r="M464" s="71"/>
    </row>
    <row r="465" spans="1:13" s="72" customFormat="1" x14ac:dyDescent="0.25">
      <c r="A465" s="526"/>
      <c r="B465" s="526"/>
      <c r="C465" s="118">
        <v>22</v>
      </c>
      <c r="D465" s="109">
        <v>57</v>
      </c>
      <c r="E465" s="79">
        <v>2003</v>
      </c>
      <c r="F465" s="332">
        <f t="shared" si="90"/>
        <v>16</v>
      </c>
      <c r="G465" s="68"/>
      <c r="H465" s="69"/>
      <c r="I465" s="70"/>
      <c r="J465" s="71"/>
      <c r="K465" s="71"/>
      <c r="L465" s="71"/>
      <c r="M465" s="71"/>
    </row>
    <row r="466" spans="1:13" s="72" customFormat="1" ht="15.75" customHeight="1" x14ac:dyDescent="0.25">
      <c r="A466" s="525" t="s">
        <v>193</v>
      </c>
      <c r="B466" s="532" t="s">
        <v>274</v>
      </c>
      <c r="C466" s="122"/>
      <c r="D466" s="109"/>
      <c r="E466" s="77"/>
      <c r="F466" s="329"/>
      <c r="G466" s="68"/>
      <c r="H466" s="69"/>
      <c r="I466" s="70"/>
      <c r="J466" s="71"/>
      <c r="K466" s="71"/>
      <c r="L466" s="71"/>
      <c r="M466" s="71"/>
    </row>
    <row r="467" spans="1:13" s="72" customFormat="1" ht="21" customHeight="1" x14ac:dyDescent="0.25">
      <c r="A467" s="531"/>
      <c r="B467" s="540"/>
      <c r="C467" s="118">
        <v>32</v>
      </c>
      <c r="D467" s="109">
        <v>159</v>
      </c>
      <c r="E467" s="79">
        <v>1997</v>
      </c>
      <c r="F467" s="332">
        <f t="shared" ref="F467:F468" si="91">2019-E467</f>
        <v>22</v>
      </c>
      <c r="G467" s="68"/>
      <c r="H467" s="69"/>
      <c r="I467" s="70"/>
      <c r="J467" s="71"/>
      <c r="K467" s="71"/>
      <c r="L467" s="71"/>
      <c r="M467" s="71"/>
    </row>
    <row r="468" spans="1:13" s="72" customFormat="1" x14ac:dyDescent="0.25">
      <c r="A468" s="526"/>
      <c r="B468" s="533"/>
      <c r="C468" s="118">
        <v>32</v>
      </c>
      <c r="D468" s="109">
        <v>108</v>
      </c>
      <c r="E468" s="79">
        <v>1997</v>
      </c>
      <c r="F468" s="332">
        <f t="shared" si="91"/>
        <v>22</v>
      </c>
      <c r="G468" s="68"/>
      <c r="H468" s="69"/>
      <c r="I468" s="70"/>
      <c r="J468" s="71"/>
      <c r="K468" s="71"/>
      <c r="L468" s="71"/>
      <c r="M468" s="71"/>
    </row>
    <row r="469" spans="1:13" s="72" customFormat="1" ht="15.75" customHeight="1" x14ac:dyDescent="0.25">
      <c r="A469" s="525" t="s">
        <v>385</v>
      </c>
      <c r="B469" s="525" t="s">
        <v>386</v>
      </c>
      <c r="C469" s="122"/>
      <c r="D469" s="109"/>
      <c r="E469" s="77"/>
      <c r="F469" s="329"/>
      <c r="G469" s="68"/>
      <c r="H469" s="69"/>
      <c r="I469" s="70"/>
      <c r="J469" s="71"/>
      <c r="K469" s="71"/>
      <c r="L469" s="71"/>
      <c r="M469" s="71"/>
    </row>
    <row r="470" spans="1:13" s="72" customFormat="1" ht="16.5" customHeight="1" x14ac:dyDescent="0.25">
      <c r="A470" s="531"/>
      <c r="B470" s="531"/>
      <c r="C470" s="118">
        <v>58</v>
      </c>
      <c r="D470" s="109">
        <v>133</v>
      </c>
      <c r="E470" s="79">
        <v>2007</v>
      </c>
      <c r="F470" s="332">
        <f t="shared" ref="F470:F471" si="92">2019-E470</f>
        <v>12</v>
      </c>
      <c r="G470" s="68"/>
      <c r="H470" s="69"/>
      <c r="I470" s="70"/>
      <c r="J470" s="71"/>
      <c r="K470" s="71"/>
      <c r="L470" s="71"/>
      <c r="M470" s="71"/>
    </row>
    <row r="471" spans="1:13" s="72" customFormat="1" x14ac:dyDescent="0.25">
      <c r="A471" s="526"/>
      <c r="B471" s="526"/>
      <c r="C471" s="118">
        <v>58</v>
      </c>
      <c r="D471" s="109">
        <v>108</v>
      </c>
      <c r="E471" s="79">
        <v>2007</v>
      </c>
      <c r="F471" s="332">
        <f t="shared" si="92"/>
        <v>12</v>
      </c>
      <c r="G471" s="68"/>
      <c r="H471" s="69"/>
      <c r="I471" s="70"/>
      <c r="J471" s="71"/>
      <c r="K471" s="71"/>
      <c r="L471" s="71"/>
      <c r="M471" s="71"/>
    </row>
    <row r="472" spans="1:13" s="72" customFormat="1" ht="15.75" customHeight="1" x14ac:dyDescent="0.25">
      <c r="A472" s="525" t="s">
        <v>253</v>
      </c>
      <c r="B472" s="525" t="s">
        <v>294</v>
      </c>
      <c r="C472" s="73"/>
      <c r="D472" s="109"/>
      <c r="E472" s="77"/>
      <c r="F472" s="329"/>
      <c r="G472" s="68"/>
      <c r="H472" s="69"/>
      <c r="I472" s="70"/>
      <c r="J472" s="71"/>
      <c r="K472" s="71"/>
      <c r="L472" s="71"/>
      <c r="M472" s="71"/>
    </row>
    <row r="473" spans="1:13" s="72" customFormat="1" ht="19.5" customHeight="1" x14ac:dyDescent="0.25">
      <c r="A473" s="531"/>
      <c r="B473" s="531"/>
      <c r="C473" s="122">
        <v>50</v>
      </c>
      <c r="D473" s="109">
        <v>76</v>
      </c>
      <c r="E473" s="79">
        <v>1980</v>
      </c>
      <c r="F473" s="332">
        <f t="shared" ref="F473:F474" si="93">2019-E473</f>
        <v>39</v>
      </c>
      <c r="G473" s="68"/>
      <c r="H473" s="69"/>
      <c r="I473" s="70"/>
      <c r="J473" s="71"/>
      <c r="K473" s="71"/>
      <c r="L473" s="71"/>
      <c r="M473" s="71"/>
    </row>
    <row r="474" spans="1:13" s="72" customFormat="1" x14ac:dyDescent="0.25">
      <c r="A474" s="526"/>
      <c r="B474" s="526"/>
      <c r="C474" s="122">
        <v>50</v>
      </c>
      <c r="D474" s="109">
        <v>57</v>
      </c>
      <c r="E474" s="79">
        <v>1980</v>
      </c>
      <c r="F474" s="332">
        <f t="shared" si="93"/>
        <v>39</v>
      </c>
      <c r="G474" s="68"/>
      <c r="H474" s="69"/>
      <c r="I474" s="70"/>
      <c r="J474" s="71"/>
      <c r="K474" s="71"/>
      <c r="L474" s="71"/>
      <c r="M474" s="71"/>
    </row>
    <row r="475" spans="1:13" s="72" customFormat="1" ht="15.75" customHeight="1" x14ac:dyDescent="0.25">
      <c r="A475" s="525" t="s">
        <v>193</v>
      </c>
      <c r="B475" s="525" t="s">
        <v>214</v>
      </c>
      <c r="C475" s="73"/>
      <c r="D475" s="109"/>
      <c r="E475" s="77"/>
      <c r="F475" s="329"/>
      <c r="G475" s="68"/>
      <c r="H475" s="69"/>
      <c r="I475" s="70"/>
      <c r="J475" s="71"/>
      <c r="K475" s="71"/>
      <c r="L475" s="71"/>
      <c r="M475" s="71"/>
    </row>
    <row r="476" spans="1:13" s="72" customFormat="1" ht="15.75" customHeight="1" x14ac:dyDescent="0.25">
      <c r="A476" s="531"/>
      <c r="B476" s="531"/>
      <c r="C476" s="122">
        <v>62</v>
      </c>
      <c r="D476" s="109">
        <v>108</v>
      </c>
      <c r="E476" s="79">
        <v>1978</v>
      </c>
      <c r="F476" s="332">
        <f t="shared" ref="F476:F477" si="94">2019-E476</f>
        <v>41</v>
      </c>
      <c r="G476" s="68"/>
      <c r="H476" s="69"/>
      <c r="I476" s="70"/>
      <c r="J476" s="71"/>
      <c r="K476" s="71"/>
      <c r="L476" s="71"/>
      <c r="M476" s="71"/>
    </row>
    <row r="477" spans="1:13" s="72" customFormat="1" x14ac:dyDescent="0.25">
      <c r="A477" s="526"/>
      <c r="B477" s="526"/>
      <c r="C477" s="122">
        <v>62</v>
      </c>
      <c r="D477" s="109">
        <v>89</v>
      </c>
      <c r="E477" s="79">
        <v>1978</v>
      </c>
      <c r="F477" s="332">
        <f t="shared" si="94"/>
        <v>41</v>
      </c>
      <c r="G477" s="68"/>
      <c r="H477" s="69"/>
      <c r="I477" s="70"/>
      <c r="J477" s="71"/>
      <c r="K477" s="71"/>
      <c r="L477" s="71"/>
      <c r="M477" s="71"/>
    </row>
    <row r="478" spans="1:13" s="72" customFormat="1" ht="15.75" customHeight="1" x14ac:dyDescent="0.25">
      <c r="A478" s="525" t="s">
        <v>180</v>
      </c>
      <c r="B478" s="525" t="s">
        <v>387</v>
      </c>
      <c r="C478" s="73"/>
      <c r="D478" s="109"/>
      <c r="E478" s="77"/>
      <c r="F478" s="329"/>
      <c r="G478" s="68"/>
      <c r="H478" s="69"/>
      <c r="I478" s="70"/>
      <c r="J478" s="71"/>
      <c r="K478" s="71"/>
      <c r="L478" s="71"/>
      <c r="M478" s="71"/>
    </row>
    <row r="479" spans="1:13" s="72" customFormat="1" x14ac:dyDescent="0.25">
      <c r="A479" s="531"/>
      <c r="B479" s="531"/>
      <c r="C479" s="80">
        <v>27</v>
      </c>
      <c r="D479" s="109">
        <v>57</v>
      </c>
      <c r="E479" s="109">
        <v>2011</v>
      </c>
      <c r="F479" s="332">
        <f t="shared" ref="F479:F480" si="95">2019-E479</f>
        <v>8</v>
      </c>
      <c r="G479" s="68"/>
      <c r="H479" s="69"/>
      <c r="I479" s="70"/>
      <c r="J479" s="71"/>
      <c r="K479" s="71"/>
      <c r="L479" s="71"/>
      <c r="M479" s="71"/>
    </row>
    <row r="480" spans="1:13" s="72" customFormat="1" x14ac:dyDescent="0.25">
      <c r="A480" s="526"/>
      <c r="B480" s="526"/>
      <c r="C480" s="80">
        <v>27</v>
      </c>
      <c r="D480" s="109">
        <v>40</v>
      </c>
      <c r="E480" s="109">
        <v>2011</v>
      </c>
      <c r="F480" s="332">
        <f t="shared" si="95"/>
        <v>8</v>
      </c>
      <c r="G480" s="68"/>
      <c r="H480" s="69"/>
      <c r="I480" s="70"/>
      <c r="J480" s="71"/>
      <c r="K480" s="71"/>
      <c r="L480" s="71"/>
      <c r="M480" s="71"/>
    </row>
    <row r="481" spans="1:13" s="72" customFormat="1" ht="15.75" customHeight="1" x14ac:dyDescent="0.25">
      <c r="A481" s="525" t="s">
        <v>388</v>
      </c>
      <c r="B481" s="532" t="s">
        <v>389</v>
      </c>
      <c r="C481" s="122"/>
      <c r="D481" s="109"/>
      <c r="E481" s="77"/>
      <c r="F481" s="329"/>
      <c r="G481" s="68"/>
      <c r="H481" s="69"/>
      <c r="I481" s="70"/>
      <c r="J481" s="71"/>
      <c r="K481" s="71"/>
      <c r="L481" s="71"/>
      <c r="M481" s="71"/>
    </row>
    <row r="482" spans="1:13" s="72" customFormat="1" x14ac:dyDescent="0.25">
      <c r="A482" s="531"/>
      <c r="B482" s="540"/>
      <c r="C482" s="80">
        <v>20</v>
      </c>
      <c r="D482" s="109">
        <v>89</v>
      </c>
      <c r="E482" s="79">
        <v>1998</v>
      </c>
      <c r="F482" s="332">
        <f t="shared" ref="F482:F483" si="96">2019-E482</f>
        <v>21</v>
      </c>
      <c r="G482" s="68"/>
      <c r="H482" s="69"/>
      <c r="I482" s="70"/>
      <c r="J482" s="71"/>
      <c r="K482" s="71"/>
      <c r="L482" s="71"/>
      <c r="M482" s="71"/>
    </row>
    <row r="483" spans="1:13" s="72" customFormat="1" x14ac:dyDescent="0.25">
      <c r="A483" s="526"/>
      <c r="B483" s="533"/>
      <c r="C483" s="122">
        <v>20</v>
      </c>
      <c r="D483" s="109">
        <v>57</v>
      </c>
      <c r="E483" s="79">
        <v>1998</v>
      </c>
      <c r="F483" s="332">
        <f t="shared" si="96"/>
        <v>21</v>
      </c>
      <c r="G483" s="68"/>
      <c r="H483" s="69"/>
      <c r="I483" s="70"/>
      <c r="J483" s="71"/>
      <c r="K483" s="71"/>
      <c r="L483" s="71"/>
      <c r="M483" s="71"/>
    </row>
    <row r="484" spans="1:13" s="72" customFormat="1" ht="15.75" customHeight="1" x14ac:dyDescent="0.25">
      <c r="A484" s="534" t="s">
        <v>390</v>
      </c>
      <c r="B484" s="525" t="s">
        <v>391</v>
      </c>
      <c r="C484" s="73"/>
      <c r="D484" s="109"/>
      <c r="E484" s="77"/>
      <c r="F484" s="329"/>
      <c r="G484" s="68"/>
      <c r="H484" s="69"/>
      <c r="I484" s="70"/>
      <c r="J484" s="71"/>
      <c r="K484" s="71"/>
      <c r="L484" s="71"/>
      <c r="M484" s="71"/>
    </row>
    <row r="485" spans="1:13" s="72" customFormat="1" x14ac:dyDescent="0.25">
      <c r="A485" s="536"/>
      <c r="B485" s="531"/>
      <c r="C485" s="80">
        <v>28.5</v>
      </c>
      <c r="D485" s="109">
        <v>25</v>
      </c>
      <c r="E485" s="79">
        <v>1976</v>
      </c>
      <c r="F485" s="332">
        <f t="shared" ref="F485:F486" si="97">2019-E485</f>
        <v>43</v>
      </c>
      <c r="G485" s="68"/>
      <c r="H485" s="69"/>
      <c r="I485" s="70"/>
      <c r="J485" s="71"/>
      <c r="K485" s="71"/>
      <c r="L485" s="71"/>
      <c r="M485" s="71"/>
    </row>
    <row r="486" spans="1:13" s="72" customFormat="1" x14ac:dyDescent="0.25">
      <c r="A486" s="535"/>
      <c r="B486" s="526"/>
      <c r="C486" s="80">
        <v>28.5</v>
      </c>
      <c r="D486" s="109">
        <v>20</v>
      </c>
      <c r="E486" s="81">
        <v>1976</v>
      </c>
      <c r="F486" s="332">
        <f t="shared" si="97"/>
        <v>43</v>
      </c>
      <c r="G486" s="68"/>
      <c r="H486" s="69"/>
      <c r="I486" s="70"/>
      <c r="J486" s="71"/>
      <c r="K486" s="71"/>
      <c r="L486" s="71"/>
      <c r="M486" s="71"/>
    </row>
    <row r="487" spans="1:13" s="72" customFormat="1" ht="15.75" customHeight="1" x14ac:dyDescent="0.25">
      <c r="A487" s="534" t="s">
        <v>392</v>
      </c>
      <c r="B487" s="525" t="s">
        <v>393</v>
      </c>
      <c r="C487" s="53"/>
      <c r="D487" s="109"/>
      <c r="E487" s="82"/>
      <c r="F487" s="329"/>
      <c r="G487" s="68"/>
      <c r="H487" s="69"/>
      <c r="I487" s="70"/>
      <c r="J487" s="71"/>
      <c r="K487" s="71"/>
      <c r="L487" s="71"/>
      <c r="M487" s="71"/>
    </row>
    <row r="488" spans="1:13" s="72" customFormat="1" x14ac:dyDescent="0.25">
      <c r="A488" s="536"/>
      <c r="B488" s="531"/>
      <c r="C488" s="119">
        <v>130</v>
      </c>
      <c r="D488" s="109">
        <v>108</v>
      </c>
      <c r="E488" s="83">
        <v>1988</v>
      </c>
      <c r="F488" s="332">
        <f t="shared" ref="F488:F489" si="98">2019-E488</f>
        <v>31</v>
      </c>
      <c r="G488" s="68"/>
      <c r="H488" s="69"/>
      <c r="I488" s="70"/>
      <c r="J488" s="71"/>
      <c r="K488" s="71"/>
      <c r="L488" s="71"/>
      <c r="M488" s="71"/>
    </row>
    <row r="489" spans="1:13" s="72" customFormat="1" x14ac:dyDescent="0.25">
      <c r="A489" s="535"/>
      <c r="B489" s="526"/>
      <c r="C489" s="119">
        <v>130</v>
      </c>
      <c r="D489" s="109">
        <v>76</v>
      </c>
      <c r="E489" s="83">
        <v>1988</v>
      </c>
      <c r="F489" s="332">
        <f t="shared" si="98"/>
        <v>31</v>
      </c>
      <c r="G489" s="68"/>
      <c r="H489" s="69"/>
      <c r="I489" s="70"/>
      <c r="J489" s="71"/>
      <c r="K489" s="71"/>
      <c r="L489" s="71"/>
      <c r="M489" s="71"/>
    </row>
    <row r="490" spans="1:13" s="72" customFormat="1" ht="15.75" customHeight="1" x14ac:dyDescent="0.25">
      <c r="A490" s="525" t="s">
        <v>203</v>
      </c>
      <c r="B490" s="525" t="s">
        <v>394</v>
      </c>
      <c r="C490" s="53"/>
      <c r="D490" s="109"/>
      <c r="E490" s="82"/>
      <c r="F490" s="329"/>
      <c r="G490" s="68"/>
      <c r="H490" s="69"/>
      <c r="I490" s="70"/>
      <c r="J490" s="71"/>
      <c r="K490" s="71"/>
      <c r="L490" s="71"/>
      <c r="M490" s="71"/>
    </row>
    <row r="491" spans="1:13" s="72" customFormat="1" x14ac:dyDescent="0.25">
      <c r="A491" s="531"/>
      <c r="B491" s="531"/>
      <c r="C491" s="119">
        <v>7</v>
      </c>
      <c r="D491" s="109">
        <v>76</v>
      </c>
      <c r="E491" s="83">
        <v>1988</v>
      </c>
      <c r="F491" s="332">
        <f t="shared" ref="F491:F492" si="99">2019-E491</f>
        <v>31</v>
      </c>
      <c r="G491" s="68"/>
      <c r="H491" s="69"/>
      <c r="I491" s="70"/>
      <c r="J491" s="71"/>
      <c r="K491" s="71"/>
      <c r="L491" s="71"/>
      <c r="M491" s="71"/>
    </row>
    <row r="492" spans="1:13" s="72" customFormat="1" x14ac:dyDescent="0.25">
      <c r="A492" s="531"/>
      <c r="B492" s="531"/>
      <c r="C492" s="119">
        <v>7</v>
      </c>
      <c r="D492" s="109">
        <v>57</v>
      </c>
      <c r="E492" s="83">
        <v>1988</v>
      </c>
      <c r="F492" s="332">
        <f t="shared" si="99"/>
        <v>31</v>
      </c>
      <c r="G492" s="68"/>
      <c r="H492" s="69"/>
      <c r="I492" s="70"/>
      <c r="J492" s="71"/>
      <c r="K492" s="71"/>
      <c r="L492" s="71"/>
      <c r="M492" s="71"/>
    </row>
    <row r="493" spans="1:13" s="72" customFormat="1" ht="15.75" customHeight="1" x14ac:dyDescent="0.25">
      <c r="A493" s="525" t="s">
        <v>178</v>
      </c>
      <c r="B493" s="525" t="s">
        <v>395</v>
      </c>
      <c r="C493" s="53"/>
      <c r="D493" s="109"/>
      <c r="E493" s="82"/>
      <c r="F493" s="329"/>
      <c r="G493" s="68"/>
      <c r="H493" s="69"/>
      <c r="I493" s="70"/>
      <c r="J493" s="71"/>
      <c r="K493" s="71"/>
      <c r="L493" s="71"/>
      <c r="M493" s="71"/>
    </row>
    <row r="494" spans="1:13" s="72" customFormat="1" x14ac:dyDescent="0.25">
      <c r="A494" s="531"/>
      <c r="B494" s="531"/>
      <c r="C494" s="119">
        <v>122</v>
      </c>
      <c r="D494" s="109">
        <v>159</v>
      </c>
      <c r="E494" s="83">
        <v>1982</v>
      </c>
      <c r="F494" s="332">
        <f t="shared" ref="F494:F495" si="100">2019-E494</f>
        <v>37</v>
      </c>
      <c r="G494" s="68"/>
      <c r="H494" s="69"/>
      <c r="I494" s="70"/>
      <c r="J494" s="71"/>
      <c r="K494" s="71"/>
      <c r="L494" s="71"/>
      <c r="M494" s="71"/>
    </row>
    <row r="495" spans="1:13" s="72" customFormat="1" x14ac:dyDescent="0.25">
      <c r="A495" s="526"/>
      <c r="B495" s="526"/>
      <c r="C495" s="119">
        <v>122</v>
      </c>
      <c r="D495" s="109">
        <v>89</v>
      </c>
      <c r="E495" s="83">
        <v>1982</v>
      </c>
      <c r="F495" s="332">
        <f t="shared" si="100"/>
        <v>37</v>
      </c>
      <c r="G495" s="68"/>
      <c r="H495" s="69"/>
      <c r="I495" s="70"/>
      <c r="J495" s="71"/>
      <c r="K495" s="71"/>
      <c r="L495" s="71"/>
      <c r="M495" s="71"/>
    </row>
    <row r="496" spans="1:13" s="72" customFormat="1" ht="15.75" customHeight="1" x14ac:dyDescent="0.25">
      <c r="A496" s="525" t="s">
        <v>253</v>
      </c>
      <c r="B496" s="525" t="s">
        <v>220</v>
      </c>
      <c r="C496" s="119"/>
      <c r="D496" s="109"/>
      <c r="E496" s="82"/>
      <c r="F496" s="329"/>
      <c r="G496" s="68"/>
      <c r="H496" s="69"/>
      <c r="I496" s="70"/>
      <c r="J496" s="71"/>
      <c r="K496" s="71"/>
      <c r="L496" s="71"/>
      <c r="M496" s="71"/>
    </row>
    <row r="497" spans="1:13" s="72" customFormat="1" x14ac:dyDescent="0.25">
      <c r="A497" s="531"/>
      <c r="B497" s="531"/>
      <c r="C497" s="78">
        <v>60</v>
      </c>
      <c r="D497" s="109">
        <v>108</v>
      </c>
      <c r="E497" s="83">
        <v>2002</v>
      </c>
      <c r="F497" s="332">
        <f t="shared" ref="F497:F498" si="101">2019-E497</f>
        <v>17</v>
      </c>
      <c r="G497" s="68"/>
      <c r="H497" s="69"/>
      <c r="I497" s="70"/>
      <c r="J497" s="71"/>
      <c r="K497" s="71"/>
      <c r="L497" s="71"/>
      <c r="M497" s="71"/>
    </row>
    <row r="498" spans="1:13" s="72" customFormat="1" x14ac:dyDescent="0.25">
      <c r="A498" s="526"/>
      <c r="B498" s="526"/>
      <c r="C498" s="78">
        <v>60</v>
      </c>
      <c r="D498" s="109">
        <v>89</v>
      </c>
      <c r="E498" s="83">
        <v>2002</v>
      </c>
      <c r="F498" s="332">
        <f t="shared" si="101"/>
        <v>17</v>
      </c>
      <c r="G498" s="68"/>
      <c r="H498" s="69"/>
      <c r="I498" s="70"/>
      <c r="J498" s="71"/>
      <c r="K498" s="71"/>
      <c r="L498" s="71"/>
      <c r="M498" s="71"/>
    </row>
    <row r="499" spans="1:13" s="72" customFormat="1" ht="15.75" customHeight="1" x14ac:dyDescent="0.25">
      <c r="A499" s="525" t="s">
        <v>193</v>
      </c>
      <c r="B499" s="525" t="s">
        <v>396</v>
      </c>
      <c r="C499" s="53"/>
      <c r="D499" s="109"/>
      <c r="E499" s="82"/>
      <c r="F499" s="329"/>
      <c r="G499" s="68"/>
      <c r="H499" s="69"/>
      <c r="I499" s="70"/>
      <c r="J499" s="71"/>
      <c r="K499" s="71"/>
      <c r="L499" s="71"/>
      <c r="M499" s="71"/>
    </row>
    <row r="500" spans="1:13" s="72" customFormat="1" x14ac:dyDescent="0.25">
      <c r="A500" s="531"/>
      <c r="B500" s="531"/>
      <c r="C500" s="119">
        <v>68</v>
      </c>
      <c r="D500" s="109">
        <v>89</v>
      </c>
      <c r="E500" s="83">
        <v>1979</v>
      </c>
      <c r="F500" s="332">
        <f t="shared" ref="F500:F501" si="102">2019-E500</f>
        <v>40</v>
      </c>
      <c r="G500" s="68"/>
      <c r="H500" s="69"/>
      <c r="I500" s="70"/>
      <c r="J500" s="71"/>
      <c r="K500" s="71"/>
      <c r="L500" s="71"/>
      <c r="M500" s="71"/>
    </row>
    <row r="501" spans="1:13" s="72" customFormat="1" x14ac:dyDescent="0.25">
      <c r="A501" s="526"/>
      <c r="B501" s="526"/>
      <c r="C501" s="119">
        <v>68</v>
      </c>
      <c r="D501" s="109">
        <v>57</v>
      </c>
      <c r="E501" s="83">
        <v>1979</v>
      </c>
      <c r="F501" s="332">
        <f t="shared" si="102"/>
        <v>40</v>
      </c>
      <c r="G501" s="68"/>
      <c r="H501" s="69"/>
      <c r="I501" s="70"/>
      <c r="J501" s="71"/>
      <c r="K501" s="71"/>
      <c r="L501" s="71"/>
      <c r="M501" s="71"/>
    </row>
    <row r="502" spans="1:13" s="72" customFormat="1" ht="15.75" customHeight="1" x14ac:dyDescent="0.25">
      <c r="A502" s="525" t="s">
        <v>256</v>
      </c>
      <c r="B502" s="525" t="s">
        <v>397</v>
      </c>
      <c r="C502" s="119"/>
      <c r="D502" s="109"/>
      <c r="E502" s="82"/>
      <c r="F502" s="329"/>
      <c r="G502" s="68"/>
      <c r="H502" s="69"/>
      <c r="I502" s="70"/>
      <c r="J502" s="71"/>
      <c r="K502" s="71"/>
      <c r="L502" s="71"/>
      <c r="M502" s="71"/>
    </row>
    <row r="503" spans="1:13" s="72" customFormat="1" x14ac:dyDescent="0.25">
      <c r="A503" s="531"/>
      <c r="B503" s="531"/>
      <c r="C503" s="78">
        <v>4</v>
      </c>
      <c r="D503" s="109">
        <v>159</v>
      </c>
      <c r="E503" s="83">
        <v>2007</v>
      </c>
      <c r="F503" s="332">
        <f t="shared" ref="F503:F504" si="103">2019-E503</f>
        <v>12</v>
      </c>
      <c r="G503" s="68"/>
      <c r="H503" s="69"/>
      <c r="I503" s="70"/>
      <c r="J503" s="71"/>
      <c r="K503" s="71"/>
      <c r="L503" s="71"/>
      <c r="M503" s="71"/>
    </row>
    <row r="504" spans="1:13" s="72" customFormat="1" x14ac:dyDescent="0.25">
      <c r="A504" s="526"/>
      <c r="B504" s="526"/>
      <c r="C504" s="78">
        <v>4</v>
      </c>
      <c r="D504" s="109">
        <v>108</v>
      </c>
      <c r="E504" s="83">
        <v>2007</v>
      </c>
      <c r="F504" s="332">
        <f t="shared" si="103"/>
        <v>12</v>
      </c>
      <c r="G504" s="68"/>
      <c r="H504" s="69"/>
      <c r="I504" s="70"/>
      <c r="J504" s="71"/>
      <c r="K504" s="71"/>
      <c r="L504" s="71"/>
      <c r="M504" s="71"/>
    </row>
    <row r="505" spans="1:13" s="72" customFormat="1" ht="15.75" customHeight="1" x14ac:dyDescent="0.25">
      <c r="A505" s="525" t="s">
        <v>398</v>
      </c>
      <c r="B505" s="525" t="s">
        <v>399</v>
      </c>
      <c r="C505" s="53"/>
      <c r="D505" s="109"/>
      <c r="E505" s="82"/>
      <c r="F505" s="329"/>
      <c r="G505" s="68"/>
      <c r="H505" s="69"/>
      <c r="I505" s="70"/>
      <c r="J505" s="71"/>
      <c r="K505" s="71"/>
      <c r="L505" s="71"/>
      <c r="M505" s="71"/>
    </row>
    <row r="506" spans="1:13" s="72" customFormat="1" ht="16.5" customHeight="1" x14ac:dyDescent="0.25">
      <c r="A506" s="531"/>
      <c r="B506" s="531"/>
      <c r="C506" s="55">
        <v>7</v>
      </c>
      <c r="D506" s="109">
        <v>32</v>
      </c>
      <c r="E506" s="83">
        <v>1982</v>
      </c>
      <c r="F506" s="332">
        <f t="shared" ref="F506:F507" si="104">2019-E506</f>
        <v>37</v>
      </c>
      <c r="G506" s="68"/>
      <c r="H506" s="69"/>
      <c r="I506" s="70"/>
      <c r="J506" s="71"/>
      <c r="K506" s="71"/>
      <c r="L506" s="71"/>
      <c r="M506" s="71"/>
    </row>
    <row r="507" spans="1:13" s="72" customFormat="1" x14ac:dyDescent="0.25">
      <c r="A507" s="526"/>
      <c r="B507" s="526"/>
      <c r="C507" s="55">
        <v>7</v>
      </c>
      <c r="D507" s="109">
        <v>25</v>
      </c>
      <c r="E507" s="83">
        <v>1982</v>
      </c>
      <c r="F507" s="332">
        <f t="shared" si="104"/>
        <v>37</v>
      </c>
      <c r="G507" s="68"/>
      <c r="H507" s="69"/>
      <c r="I507" s="70"/>
      <c r="J507" s="71"/>
      <c r="K507" s="71"/>
      <c r="L507" s="71"/>
      <c r="M507" s="71"/>
    </row>
    <row r="508" spans="1:13" s="72" customFormat="1" ht="15.75" customHeight="1" x14ac:dyDescent="0.25">
      <c r="A508" s="525" t="s">
        <v>400</v>
      </c>
      <c r="B508" s="525" t="s">
        <v>401</v>
      </c>
      <c r="C508" s="119"/>
      <c r="D508" s="109"/>
      <c r="E508" s="82"/>
      <c r="F508" s="329"/>
      <c r="G508" s="68"/>
      <c r="H508" s="69"/>
      <c r="I508" s="70"/>
      <c r="J508" s="71"/>
      <c r="K508" s="71"/>
      <c r="L508" s="71"/>
      <c r="M508" s="71"/>
    </row>
    <row r="509" spans="1:13" s="72" customFormat="1" ht="13.5" customHeight="1" x14ac:dyDescent="0.25">
      <c r="A509" s="531"/>
      <c r="B509" s="531"/>
      <c r="C509" s="78">
        <v>56</v>
      </c>
      <c r="D509" s="109">
        <v>89</v>
      </c>
      <c r="E509" s="84">
        <v>2007</v>
      </c>
      <c r="F509" s="332">
        <f t="shared" ref="F509:F510" si="105">2019-E509</f>
        <v>12</v>
      </c>
      <c r="G509" s="68"/>
      <c r="H509" s="69"/>
      <c r="I509" s="70"/>
      <c r="J509" s="71"/>
      <c r="K509" s="71"/>
      <c r="L509" s="71"/>
      <c r="M509" s="71"/>
    </row>
    <row r="510" spans="1:13" s="72" customFormat="1" x14ac:dyDescent="0.25">
      <c r="A510" s="526"/>
      <c r="B510" s="526"/>
      <c r="C510" s="78">
        <v>56</v>
      </c>
      <c r="D510" s="109">
        <v>57</v>
      </c>
      <c r="E510" s="83">
        <v>2007</v>
      </c>
      <c r="F510" s="332">
        <f t="shared" si="105"/>
        <v>12</v>
      </c>
      <c r="G510" s="68"/>
      <c r="H510" s="69"/>
      <c r="I510" s="70"/>
      <c r="J510" s="71"/>
      <c r="K510" s="71"/>
      <c r="L510" s="71"/>
      <c r="M510" s="71"/>
    </row>
    <row r="511" spans="1:13" s="72" customFormat="1" ht="15.75" customHeight="1" x14ac:dyDescent="0.25">
      <c r="A511" s="525" t="s">
        <v>329</v>
      </c>
      <c r="B511" s="525" t="s">
        <v>402</v>
      </c>
      <c r="C511" s="53"/>
      <c r="D511" s="109"/>
      <c r="E511" s="82"/>
      <c r="F511" s="329"/>
      <c r="G511" s="68"/>
      <c r="H511" s="69"/>
      <c r="I511" s="70"/>
      <c r="J511" s="71"/>
      <c r="K511" s="71"/>
      <c r="L511" s="71"/>
      <c r="M511" s="71"/>
    </row>
    <row r="512" spans="1:13" s="72" customFormat="1" ht="18" customHeight="1" x14ac:dyDescent="0.25">
      <c r="A512" s="531"/>
      <c r="B512" s="531"/>
      <c r="C512" s="119">
        <v>22</v>
      </c>
      <c r="D512" s="109">
        <v>108</v>
      </c>
      <c r="E512" s="83">
        <v>1982</v>
      </c>
      <c r="F512" s="332">
        <f t="shared" ref="F512:F513" si="106">2019-E512</f>
        <v>37</v>
      </c>
      <c r="G512" s="68"/>
      <c r="H512" s="69"/>
      <c r="I512" s="70"/>
      <c r="J512" s="71"/>
      <c r="K512" s="71"/>
      <c r="L512" s="71"/>
      <c r="M512" s="71"/>
    </row>
    <row r="513" spans="1:13" s="72" customFormat="1" x14ac:dyDescent="0.25">
      <c r="A513" s="526"/>
      <c r="B513" s="526"/>
      <c r="C513" s="119">
        <v>22</v>
      </c>
      <c r="D513" s="109">
        <v>76</v>
      </c>
      <c r="E513" s="83">
        <v>1982</v>
      </c>
      <c r="F513" s="332">
        <f t="shared" si="106"/>
        <v>37</v>
      </c>
      <c r="G513" s="68"/>
      <c r="H513" s="69"/>
      <c r="I513" s="70"/>
      <c r="J513" s="71"/>
      <c r="K513" s="71"/>
      <c r="L513" s="71"/>
      <c r="M513" s="71"/>
    </row>
    <row r="514" spans="1:13" s="72" customFormat="1" ht="15.75" customHeight="1" x14ac:dyDescent="0.25">
      <c r="A514" s="525" t="s">
        <v>403</v>
      </c>
      <c r="B514" s="525" t="s">
        <v>404</v>
      </c>
      <c r="C514" s="53"/>
      <c r="D514" s="109"/>
      <c r="E514" s="82"/>
      <c r="F514" s="329"/>
      <c r="G514" s="68"/>
      <c r="H514" s="69"/>
      <c r="I514" s="70"/>
      <c r="J514" s="71"/>
      <c r="K514" s="71"/>
      <c r="L514" s="71"/>
      <c r="M514" s="71"/>
    </row>
    <row r="515" spans="1:13" s="72" customFormat="1" ht="16.5" customHeight="1" x14ac:dyDescent="0.25">
      <c r="A515" s="531"/>
      <c r="B515" s="531"/>
      <c r="C515" s="119">
        <v>13</v>
      </c>
      <c r="D515" s="109">
        <v>76</v>
      </c>
      <c r="E515" s="83">
        <v>1985</v>
      </c>
      <c r="F515" s="332">
        <f t="shared" ref="F515:F516" si="107">2019-E515</f>
        <v>34</v>
      </c>
      <c r="G515" s="68"/>
      <c r="H515" s="69"/>
      <c r="I515" s="70"/>
      <c r="J515" s="71"/>
      <c r="K515" s="71"/>
      <c r="L515" s="71"/>
      <c r="M515" s="71"/>
    </row>
    <row r="516" spans="1:13" s="72" customFormat="1" x14ac:dyDescent="0.25">
      <c r="A516" s="526"/>
      <c r="B516" s="526"/>
      <c r="C516" s="119">
        <v>13</v>
      </c>
      <c r="D516" s="109">
        <v>40</v>
      </c>
      <c r="E516" s="85">
        <v>1985</v>
      </c>
      <c r="F516" s="332">
        <f t="shared" si="107"/>
        <v>34</v>
      </c>
      <c r="G516" s="68"/>
      <c r="H516" s="69"/>
      <c r="I516" s="70"/>
      <c r="J516" s="71"/>
      <c r="K516" s="71"/>
      <c r="L516" s="71"/>
      <c r="M516" s="71"/>
    </row>
    <row r="517" spans="1:13" s="72" customFormat="1" ht="15.75" customHeight="1" x14ac:dyDescent="0.25">
      <c r="A517" s="525" t="s">
        <v>405</v>
      </c>
      <c r="B517" s="525" t="s">
        <v>406</v>
      </c>
      <c r="C517" s="119"/>
      <c r="D517" s="109"/>
      <c r="E517" s="82"/>
      <c r="F517" s="329"/>
      <c r="G517" s="68"/>
      <c r="H517" s="69"/>
      <c r="I517" s="70"/>
      <c r="J517" s="71"/>
      <c r="K517" s="71"/>
      <c r="L517" s="71"/>
      <c r="M517" s="71"/>
    </row>
    <row r="518" spans="1:13" s="72" customFormat="1" ht="18" customHeight="1" x14ac:dyDescent="0.25">
      <c r="A518" s="531"/>
      <c r="B518" s="531"/>
      <c r="C518" s="78">
        <v>107</v>
      </c>
      <c r="D518" s="109">
        <v>159</v>
      </c>
      <c r="E518" s="83">
        <v>2000</v>
      </c>
      <c r="F518" s="332">
        <f t="shared" ref="F518:F519" si="108">2019-E518</f>
        <v>19</v>
      </c>
      <c r="G518" s="68"/>
      <c r="H518" s="69"/>
      <c r="I518" s="70"/>
      <c r="J518" s="71"/>
      <c r="K518" s="71"/>
      <c r="L518" s="71"/>
      <c r="M518" s="71"/>
    </row>
    <row r="519" spans="1:13" s="72" customFormat="1" x14ac:dyDescent="0.25">
      <c r="A519" s="526"/>
      <c r="B519" s="526"/>
      <c r="C519" s="55">
        <v>107</v>
      </c>
      <c r="D519" s="109">
        <v>76</v>
      </c>
      <c r="E519" s="83">
        <v>2000</v>
      </c>
      <c r="F519" s="332">
        <f t="shared" si="108"/>
        <v>19</v>
      </c>
      <c r="G519" s="68"/>
      <c r="H519" s="69"/>
      <c r="I519" s="70"/>
      <c r="J519" s="71"/>
      <c r="K519" s="71"/>
      <c r="L519" s="71"/>
      <c r="M519" s="71"/>
    </row>
    <row r="520" spans="1:13" s="72" customFormat="1" ht="15.75" customHeight="1" x14ac:dyDescent="0.25">
      <c r="A520" s="525" t="s">
        <v>213</v>
      </c>
      <c r="B520" s="525" t="s">
        <v>347</v>
      </c>
      <c r="C520" s="119"/>
      <c r="D520" s="109"/>
      <c r="E520" s="82"/>
      <c r="F520" s="329"/>
      <c r="G520" s="68"/>
      <c r="H520" s="69"/>
      <c r="I520" s="70"/>
      <c r="J520" s="71"/>
      <c r="K520" s="71"/>
      <c r="L520" s="71"/>
      <c r="M520" s="71"/>
    </row>
    <row r="521" spans="1:13" s="72" customFormat="1" ht="18" customHeight="1" x14ac:dyDescent="0.25">
      <c r="A521" s="531"/>
      <c r="B521" s="531"/>
      <c r="C521" s="78">
        <v>73</v>
      </c>
      <c r="D521" s="109">
        <v>159</v>
      </c>
      <c r="E521" s="49">
        <v>2005</v>
      </c>
      <c r="F521" s="332">
        <f t="shared" ref="F521:F522" si="109">2019-E521</f>
        <v>14</v>
      </c>
      <c r="G521" s="68"/>
      <c r="H521" s="69"/>
      <c r="I521" s="70"/>
      <c r="J521" s="71"/>
      <c r="K521" s="71"/>
      <c r="L521" s="71"/>
      <c r="M521" s="71"/>
    </row>
    <row r="522" spans="1:13" s="72" customFormat="1" x14ac:dyDescent="0.25">
      <c r="A522" s="526"/>
      <c r="B522" s="526"/>
      <c r="C522" s="78">
        <v>73</v>
      </c>
      <c r="D522" s="109">
        <v>89</v>
      </c>
      <c r="E522" s="49">
        <v>2005</v>
      </c>
      <c r="F522" s="332">
        <f t="shared" si="109"/>
        <v>14</v>
      </c>
      <c r="G522" s="68"/>
      <c r="H522" s="69"/>
      <c r="I522" s="70"/>
      <c r="J522" s="71"/>
      <c r="K522" s="71"/>
      <c r="L522" s="71"/>
      <c r="M522" s="71"/>
    </row>
    <row r="523" spans="1:13" s="72" customFormat="1" ht="15.75" customHeight="1" x14ac:dyDescent="0.25">
      <c r="A523" s="525" t="s">
        <v>407</v>
      </c>
      <c r="B523" s="525" t="s">
        <v>367</v>
      </c>
      <c r="C523" s="119"/>
      <c r="D523" s="109"/>
      <c r="E523" s="82"/>
      <c r="F523" s="329"/>
      <c r="G523" s="68"/>
      <c r="H523" s="69"/>
      <c r="I523" s="70"/>
      <c r="J523" s="71"/>
      <c r="K523" s="71"/>
      <c r="L523" s="71"/>
      <c r="M523" s="71"/>
    </row>
    <row r="524" spans="1:13" s="72" customFormat="1" ht="20.25" customHeight="1" x14ac:dyDescent="0.25">
      <c r="A524" s="531"/>
      <c r="B524" s="531"/>
      <c r="C524" s="78">
        <v>36</v>
      </c>
      <c r="D524" s="109">
        <v>108</v>
      </c>
      <c r="E524" s="83">
        <v>2000</v>
      </c>
      <c r="F524" s="332">
        <f t="shared" ref="F524:F525" si="110">2019-E524</f>
        <v>19</v>
      </c>
      <c r="G524" s="68"/>
      <c r="H524" s="69"/>
      <c r="I524" s="70"/>
      <c r="J524" s="71"/>
      <c r="K524" s="71"/>
      <c r="L524" s="71"/>
      <c r="M524" s="71"/>
    </row>
    <row r="525" spans="1:13" s="72" customFormat="1" x14ac:dyDescent="0.25">
      <c r="A525" s="526"/>
      <c r="B525" s="526"/>
      <c r="C525" s="55">
        <v>36</v>
      </c>
      <c r="D525" s="109">
        <v>76</v>
      </c>
      <c r="E525" s="83">
        <v>2000</v>
      </c>
      <c r="F525" s="332">
        <f t="shared" si="110"/>
        <v>19</v>
      </c>
      <c r="G525" s="68"/>
      <c r="H525" s="69"/>
      <c r="I525" s="70"/>
      <c r="J525" s="71"/>
      <c r="K525" s="71"/>
      <c r="L525" s="71"/>
      <c r="M525" s="71"/>
    </row>
    <row r="526" spans="1:13" s="72" customFormat="1" ht="15.75" customHeight="1" x14ac:dyDescent="0.25">
      <c r="A526" s="525" t="s">
        <v>408</v>
      </c>
      <c r="B526" s="525" t="s">
        <v>409</v>
      </c>
      <c r="C526" s="53"/>
      <c r="D526" s="109"/>
      <c r="E526" s="82"/>
      <c r="F526" s="329"/>
      <c r="G526" s="68"/>
      <c r="H526" s="69"/>
      <c r="I526" s="70"/>
      <c r="J526" s="71"/>
      <c r="K526" s="71"/>
      <c r="L526" s="71"/>
      <c r="M526" s="71"/>
    </row>
    <row r="527" spans="1:13" s="72" customFormat="1" ht="18" customHeight="1" x14ac:dyDescent="0.25">
      <c r="A527" s="531"/>
      <c r="B527" s="531"/>
      <c r="C527" s="119">
        <v>16</v>
      </c>
      <c r="D527" s="109">
        <v>159</v>
      </c>
      <c r="E527" s="49">
        <v>1977</v>
      </c>
      <c r="F527" s="332">
        <f t="shared" ref="F527:F528" si="111">2019-E527</f>
        <v>42</v>
      </c>
      <c r="G527" s="68"/>
      <c r="H527" s="69"/>
      <c r="I527" s="70"/>
      <c r="J527" s="71"/>
      <c r="K527" s="71"/>
      <c r="L527" s="71"/>
      <c r="M527" s="71"/>
    </row>
    <row r="528" spans="1:13" s="72" customFormat="1" x14ac:dyDescent="0.25">
      <c r="A528" s="526"/>
      <c r="B528" s="526"/>
      <c r="C528" s="119">
        <v>16</v>
      </c>
      <c r="D528" s="109">
        <v>76</v>
      </c>
      <c r="E528" s="49">
        <v>1977</v>
      </c>
      <c r="F528" s="332">
        <f t="shared" si="111"/>
        <v>42</v>
      </c>
      <c r="G528" s="68"/>
      <c r="H528" s="69"/>
      <c r="I528" s="70"/>
      <c r="J528" s="71"/>
      <c r="K528" s="71"/>
      <c r="L528" s="71"/>
      <c r="M528" s="71"/>
    </row>
    <row r="529" spans="1:13" s="72" customFormat="1" ht="15.75" customHeight="1" x14ac:dyDescent="0.25">
      <c r="A529" s="557" t="s">
        <v>410</v>
      </c>
      <c r="B529" s="525" t="s">
        <v>411</v>
      </c>
      <c r="C529" s="53"/>
      <c r="D529" s="109"/>
      <c r="E529" s="82"/>
      <c r="F529" s="329"/>
      <c r="G529" s="68"/>
      <c r="H529" s="69"/>
      <c r="I529" s="70"/>
      <c r="J529" s="71"/>
      <c r="K529" s="71"/>
      <c r="L529" s="71"/>
      <c r="M529" s="71"/>
    </row>
    <row r="530" spans="1:13" s="72" customFormat="1" ht="17.25" customHeight="1" x14ac:dyDescent="0.25">
      <c r="A530" s="558"/>
      <c r="B530" s="531"/>
      <c r="C530" s="119">
        <v>16</v>
      </c>
      <c r="D530" s="109">
        <v>108</v>
      </c>
      <c r="E530" s="83">
        <v>1988</v>
      </c>
      <c r="F530" s="332">
        <f t="shared" ref="F530:F531" si="112">2019-E530</f>
        <v>31</v>
      </c>
      <c r="G530" s="68"/>
      <c r="H530" s="69"/>
      <c r="I530" s="70"/>
      <c r="J530" s="71"/>
      <c r="K530" s="71"/>
      <c r="L530" s="71"/>
      <c r="M530" s="71"/>
    </row>
    <row r="531" spans="1:13" s="72" customFormat="1" x14ac:dyDescent="0.25">
      <c r="A531" s="559"/>
      <c r="B531" s="526"/>
      <c r="C531" s="119">
        <v>16</v>
      </c>
      <c r="D531" s="109">
        <v>76</v>
      </c>
      <c r="E531" s="83">
        <v>1988</v>
      </c>
      <c r="F531" s="332">
        <f t="shared" si="112"/>
        <v>31</v>
      </c>
      <c r="G531" s="68"/>
      <c r="H531" s="69"/>
      <c r="I531" s="70"/>
      <c r="J531" s="71"/>
      <c r="K531" s="71"/>
      <c r="L531" s="71"/>
      <c r="M531" s="71"/>
    </row>
    <row r="532" spans="1:13" s="72" customFormat="1" ht="15.75" customHeight="1" x14ac:dyDescent="0.25">
      <c r="A532" s="560" t="s">
        <v>412</v>
      </c>
      <c r="B532" s="563" t="s">
        <v>411</v>
      </c>
      <c r="C532" s="53"/>
      <c r="D532" s="109"/>
      <c r="E532" s="82"/>
      <c r="F532" s="329"/>
      <c r="G532" s="68"/>
      <c r="H532" s="69"/>
      <c r="I532" s="70"/>
      <c r="J532" s="71"/>
      <c r="K532" s="71"/>
      <c r="L532" s="71"/>
      <c r="M532" s="71"/>
    </row>
    <row r="533" spans="1:13" s="72" customFormat="1" ht="17.25" customHeight="1" x14ac:dyDescent="0.25">
      <c r="A533" s="561"/>
      <c r="B533" s="563"/>
      <c r="C533" s="119">
        <v>32</v>
      </c>
      <c r="D533" s="109">
        <v>76</v>
      </c>
      <c r="E533" s="83">
        <v>1988</v>
      </c>
      <c r="F533" s="332">
        <f t="shared" ref="F533:F534" si="113">2019-E533</f>
        <v>31</v>
      </c>
      <c r="G533" s="68"/>
      <c r="H533" s="69"/>
      <c r="I533" s="70"/>
      <c r="J533" s="71"/>
      <c r="K533" s="71"/>
      <c r="L533" s="71"/>
      <c r="M533" s="71"/>
    </row>
    <row r="534" spans="1:13" s="72" customFormat="1" x14ac:dyDescent="0.25">
      <c r="A534" s="562"/>
      <c r="B534" s="563"/>
      <c r="C534" s="119">
        <v>32</v>
      </c>
      <c r="D534" s="109">
        <v>40</v>
      </c>
      <c r="E534" s="83">
        <v>1988</v>
      </c>
      <c r="F534" s="332">
        <f t="shared" si="113"/>
        <v>31</v>
      </c>
      <c r="G534" s="68"/>
      <c r="H534" s="69"/>
      <c r="I534" s="70"/>
      <c r="J534" s="71"/>
      <c r="K534" s="71"/>
      <c r="L534" s="71"/>
      <c r="M534" s="71"/>
    </row>
    <row r="535" spans="1:13" s="72" customFormat="1" ht="15.75" customHeight="1" x14ac:dyDescent="0.25">
      <c r="A535" s="525" t="s">
        <v>253</v>
      </c>
      <c r="B535" s="525" t="s">
        <v>413</v>
      </c>
      <c r="C535" s="53"/>
      <c r="D535" s="109"/>
      <c r="E535" s="82"/>
      <c r="F535" s="329"/>
      <c r="G535" s="68"/>
      <c r="H535" s="69"/>
      <c r="I535" s="70"/>
      <c r="J535" s="71"/>
      <c r="K535" s="71"/>
      <c r="L535" s="71"/>
      <c r="M535" s="71"/>
    </row>
    <row r="536" spans="1:13" s="72" customFormat="1" x14ac:dyDescent="0.25">
      <c r="A536" s="531"/>
      <c r="B536" s="531"/>
      <c r="C536" s="78">
        <v>10.7</v>
      </c>
      <c r="D536" s="109">
        <v>89</v>
      </c>
      <c r="E536" s="83">
        <v>2007</v>
      </c>
      <c r="F536" s="332">
        <f t="shared" ref="F536:F537" si="114">2019-E536</f>
        <v>12</v>
      </c>
      <c r="G536" s="68"/>
      <c r="H536" s="69"/>
      <c r="I536" s="70"/>
      <c r="J536" s="71"/>
      <c r="K536" s="71"/>
      <c r="L536" s="71"/>
      <c r="M536" s="71"/>
    </row>
    <row r="537" spans="1:13" s="72" customFormat="1" x14ac:dyDescent="0.25">
      <c r="A537" s="526"/>
      <c r="B537" s="526"/>
      <c r="C537" s="78">
        <v>10.7</v>
      </c>
      <c r="D537" s="109">
        <v>57</v>
      </c>
      <c r="E537" s="83">
        <v>2007</v>
      </c>
      <c r="F537" s="332">
        <f t="shared" si="114"/>
        <v>12</v>
      </c>
      <c r="G537" s="68"/>
      <c r="H537" s="69"/>
      <c r="I537" s="70"/>
      <c r="J537" s="71"/>
      <c r="K537" s="71"/>
      <c r="L537" s="71"/>
      <c r="M537" s="71"/>
    </row>
    <row r="538" spans="1:13" s="72" customFormat="1" ht="15.75" customHeight="1" x14ac:dyDescent="0.25">
      <c r="A538" s="525" t="s">
        <v>414</v>
      </c>
      <c r="B538" s="532" t="s">
        <v>415</v>
      </c>
      <c r="C538" s="119"/>
      <c r="D538" s="109"/>
      <c r="E538" s="82"/>
      <c r="F538" s="329"/>
      <c r="G538" s="68"/>
      <c r="H538" s="69"/>
      <c r="I538" s="70"/>
      <c r="J538" s="71"/>
      <c r="K538" s="71"/>
      <c r="L538" s="71"/>
      <c r="M538" s="71"/>
    </row>
    <row r="539" spans="1:13" s="72" customFormat="1" x14ac:dyDescent="0.25">
      <c r="A539" s="531"/>
      <c r="B539" s="540"/>
      <c r="C539" s="55">
        <v>70</v>
      </c>
      <c r="D539" s="109">
        <v>89</v>
      </c>
      <c r="E539" s="64">
        <v>1997</v>
      </c>
      <c r="F539" s="332">
        <f t="shared" ref="F539:F540" si="115">2019-E539</f>
        <v>22</v>
      </c>
      <c r="G539" s="68"/>
      <c r="H539" s="69"/>
      <c r="I539" s="70"/>
      <c r="J539" s="71"/>
      <c r="K539" s="71"/>
      <c r="L539" s="71"/>
      <c r="M539" s="71"/>
    </row>
    <row r="540" spans="1:13" s="72" customFormat="1" x14ac:dyDescent="0.25">
      <c r="A540" s="526"/>
      <c r="B540" s="533"/>
      <c r="C540" s="119">
        <v>70</v>
      </c>
      <c r="D540" s="109">
        <v>57</v>
      </c>
      <c r="E540" s="62">
        <v>1997</v>
      </c>
      <c r="F540" s="332">
        <f t="shared" si="115"/>
        <v>22</v>
      </c>
      <c r="G540" s="68"/>
      <c r="H540" s="69"/>
      <c r="I540" s="70"/>
      <c r="J540" s="71"/>
      <c r="K540" s="71"/>
      <c r="L540" s="71"/>
      <c r="M540" s="71"/>
    </row>
    <row r="541" spans="1:13" s="72" customFormat="1" ht="20.25" customHeight="1" x14ac:dyDescent="0.25">
      <c r="A541" s="534" t="s">
        <v>416</v>
      </c>
      <c r="B541" s="525" t="s">
        <v>417</v>
      </c>
      <c r="C541" s="53"/>
      <c r="D541" s="109"/>
      <c r="E541" s="82"/>
      <c r="F541" s="329"/>
      <c r="G541" s="68"/>
      <c r="H541" s="69"/>
      <c r="I541" s="70"/>
      <c r="J541" s="71"/>
      <c r="K541" s="71"/>
      <c r="L541" s="71"/>
      <c r="M541" s="71"/>
    </row>
    <row r="542" spans="1:13" s="72" customFormat="1" x14ac:dyDescent="0.25">
      <c r="A542" s="536"/>
      <c r="B542" s="531"/>
      <c r="C542" s="78">
        <v>36</v>
      </c>
      <c r="D542" s="109">
        <v>108</v>
      </c>
      <c r="E542" s="83">
        <v>2002</v>
      </c>
      <c r="F542" s="332">
        <f t="shared" ref="F542:F543" si="116">2019-E542</f>
        <v>17</v>
      </c>
      <c r="G542" s="68"/>
      <c r="H542" s="69"/>
      <c r="I542" s="70"/>
      <c r="J542" s="71"/>
      <c r="K542" s="71"/>
      <c r="L542" s="71"/>
      <c r="M542" s="71"/>
    </row>
    <row r="543" spans="1:13" s="72" customFormat="1" x14ac:dyDescent="0.25">
      <c r="A543" s="535"/>
      <c r="B543" s="526"/>
      <c r="C543" s="78">
        <v>36</v>
      </c>
      <c r="D543" s="109">
        <v>89</v>
      </c>
      <c r="E543" s="49">
        <v>2002</v>
      </c>
      <c r="F543" s="332">
        <f t="shared" si="116"/>
        <v>17</v>
      </c>
      <c r="G543" s="68"/>
      <c r="H543" s="69"/>
      <c r="I543" s="70"/>
      <c r="J543" s="71"/>
      <c r="K543" s="71"/>
      <c r="L543" s="71"/>
      <c r="M543" s="71"/>
    </row>
    <row r="544" spans="1:13" s="61" customFormat="1" ht="15.75" customHeight="1" x14ac:dyDescent="0.25">
      <c r="A544" s="534" t="s">
        <v>296</v>
      </c>
      <c r="B544" s="534" t="s">
        <v>418</v>
      </c>
      <c r="C544" s="53"/>
      <c r="D544" s="108"/>
      <c r="E544" s="56"/>
      <c r="F544" s="329"/>
      <c r="G544" s="68"/>
      <c r="H544" s="69"/>
      <c r="I544" s="70"/>
      <c r="J544" s="60"/>
      <c r="K544" s="60"/>
      <c r="L544" s="60"/>
      <c r="M544" s="60"/>
    </row>
    <row r="545" spans="1:13" s="61" customFormat="1" ht="18" customHeight="1" x14ac:dyDescent="0.25">
      <c r="A545" s="536"/>
      <c r="B545" s="536"/>
      <c r="C545" s="119">
        <v>38</v>
      </c>
      <c r="D545" s="108">
        <v>76</v>
      </c>
      <c r="E545" s="83">
        <v>1988</v>
      </c>
      <c r="F545" s="332">
        <f t="shared" ref="F545:F546" si="117">2019-E545</f>
        <v>31</v>
      </c>
      <c r="G545" s="68"/>
      <c r="H545" s="69"/>
      <c r="I545" s="70"/>
      <c r="J545" s="60"/>
      <c r="K545" s="60"/>
      <c r="L545" s="60"/>
      <c r="M545" s="60"/>
    </row>
    <row r="546" spans="1:13" s="61" customFormat="1" x14ac:dyDescent="0.25">
      <c r="A546" s="535"/>
      <c r="B546" s="535"/>
      <c r="C546" s="119">
        <v>38</v>
      </c>
      <c r="D546" s="108">
        <v>57</v>
      </c>
      <c r="E546" s="83">
        <v>1988</v>
      </c>
      <c r="F546" s="332">
        <f t="shared" si="117"/>
        <v>31</v>
      </c>
      <c r="G546" s="68"/>
      <c r="H546" s="69"/>
      <c r="I546" s="70"/>
      <c r="J546" s="60"/>
      <c r="K546" s="60"/>
      <c r="L546" s="60"/>
      <c r="M546" s="60"/>
    </row>
    <row r="547" spans="1:13" s="72" customFormat="1" ht="15.75" customHeight="1" x14ac:dyDescent="0.25">
      <c r="A547" s="525" t="s">
        <v>419</v>
      </c>
      <c r="B547" s="525" t="s">
        <v>420</v>
      </c>
      <c r="C547" s="53"/>
      <c r="D547" s="109"/>
      <c r="E547" s="74"/>
      <c r="F547" s="327"/>
      <c r="G547" s="68"/>
      <c r="H547" s="69"/>
      <c r="I547" s="70"/>
      <c r="J547" s="71"/>
      <c r="K547" s="71"/>
      <c r="L547" s="71"/>
      <c r="M547" s="71"/>
    </row>
    <row r="548" spans="1:13" s="72" customFormat="1" ht="16.5" customHeight="1" x14ac:dyDescent="0.25">
      <c r="A548" s="531"/>
      <c r="B548" s="531"/>
      <c r="C548" s="119">
        <v>15</v>
      </c>
      <c r="D548" s="109">
        <v>76</v>
      </c>
      <c r="E548" s="83">
        <v>1988</v>
      </c>
      <c r="F548" s="332">
        <f t="shared" ref="F548:F549" si="118">2019-E548</f>
        <v>31</v>
      </c>
      <c r="G548" s="68"/>
      <c r="H548" s="69"/>
      <c r="I548" s="70"/>
      <c r="J548" s="71"/>
      <c r="K548" s="71"/>
      <c r="L548" s="71"/>
      <c r="M548" s="71"/>
    </row>
    <row r="549" spans="1:13" s="72" customFormat="1" x14ac:dyDescent="0.25">
      <c r="A549" s="526"/>
      <c r="B549" s="526"/>
      <c r="C549" s="119">
        <v>15</v>
      </c>
      <c r="D549" s="109">
        <v>57</v>
      </c>
      <c r="E549" s="83">
        <v>1988</v>
      </c>
      <c r="F549" s="332">
        <f t="shared" si="118"/>
        <v>31</v>
      </c>
      <c r="G549" s="68"/>
      <c r="H549" s="69"/>
      <c r="I549" s="70"/>
      <c r="J549" s="71"/>
      <c r="K549" s="71"/>
      <c r="L549" s="71"/>
      <c r="M549" s="71"/>
    </row>
    <row r="550" spans="1:13" s="72" customFormat="1" ht="15.75" customHeight="1" x14ac:dyDescent="0.25">
      <c r="A550" s="525" t="s">
        <v>193</v>
      </c>
      <c r="B550" s="525" t="s">
        <v>226</v>
      </c>
      <c r="C550" s="53"/>
      <c r="D550" s="109"/>
      <c r="E550" s="74"/>
      <c r="F550" s="329"/>
      <c r="G550" s="68"/>
      <c r="H550" s="69"/>
      <c r="I550" s="70"/>
      <c r="J550" s="71"/>
      <c r="K550" s="71"/>
      <c r="L550" s="71"/>
      <c r="M550" s="71"/>
    </row>
    <row r="551" spans="1:13" s="72" customFormat="1" ht="19.5" customHeight="1" x14ac:dyDescent="0.25">
      <c r="A551" s="531"/>
      <c r="B551" s="531"/>
      <c r="C551" s="119">
        <v>13</v>
      </c>
      <c r="D551" s="109">
        <v>159</v>
      </c>
      <c r="E551" s="76">
        <v>1978</v>
      </c>
      <c r="F551" s="332">
        <f t="shared" ref="F551:F552" si="119">2019-E551</f>
        <v>41</v>
      </c>
      <c r="G551" s="68"/>
      <c r="H551" s="69"/>
      <c r="I551" s="70"/>
      <c r="J551" s="71"/>
      <c r="K551" s="71"/>
      <c r="L551" s="71"/>
      <c r="M551" s="71"/>
    </row>
    <row r="552" spans="1:13" s="72" customFormat="1" x14ac:dyDescent="0.25">
      <c r="A552" s="526"/>
      <c r="B552" s="526"/>
      <c r="C552" s="119">
        <v>13</v>
      </c>
      <c r="D552" s="109">
        <v>133</v>
      </c>
      <c r="E552" s="49">
        <v>1978</v>
      </c>
      <c r="F552" s="332">
        <f t="shared" si="119"/>
        <v>41</v>
      </c>
      <c r="G552" s="68"/>
      <c r="H552" s="69"/>
      <c r="I552" s="70"/>
      <c r="J552" s="71"/>
      <c r="K552" s="71"/>
      <c r="L552" s="71"/>
      <c r="M552" s="71"/>
    </row>
    <row r="553" spans="1:13" s="72" customFormat="1" ht="15.75" customHeight="1" x14ac:dyDescent="0.25">
      <c r="A553" s="525" t="s">
        <v>360</v>
      </c>
      <c r="B553" s="525" t="s">
        <v>421</v>
      </c>
      <c r="C553" s="53"/>
      <c r="D553" s="109"/>
      <c r="E553" s="74"/>
      <c r="F553" s="329"/>
      <c r="G553" s="68"/>
      <c r="H553" s="69"/>
      <c r="I553" s="70"/>
      <c r="J553" s="71"/>
      <c r="K553" s="71"/>
      <c r="L553" s="71"/>
      <c r="M553" s="71"/>
    </row>
    <row r="554" spans="1:13" s="72" customFormat="1" ht="18" customHeight="1" x14ac:dyDescent="0.25">
      <c r="A554" s="531"/>
      <c r="B554" s="531"/>
      <c r="C554" s="119">
        <v>51</v>
      </c>
      <c r="D554" s="109">
        <v>89</v>
      </c>
      <c r="E554" s="49">
        <v>1981</v>
      </c>
      <c r="F554" s="332">
        <f t="shared" ref="F554:F555" si="120">2019-E554</f>
        <v>38</v>
      </c>
      <c r="G554" s="68"/>
      <c r="H554" s="69"/>
      <c r="I554" s="70"/>
      <c r="J554" s="71"/>
      <c r="K554" s="71"/>
      <c r="L554" s="71"/>
      <c r="M554" s="71"/>
    </row>
    <row r="555" spans="1:13" s="72" customFormat="1" x14ac:dyDescent="0.25">
      <c r="A555" s="526"/>
      <c r="B555" s="526"/>
      <c r="C555" s="119">
        <v>51</v>
      </c>
      <c r="D555" s="109">
        <v>57</v>
      </c>
      <c r="E555" s="49">
        <v>1981</v>
      </c>
      <c r="F555" s="332">
        <f t="shared" si="120"/>
        <v>38</v>
      </c>
      <c r="G555" s="68"/>
      <c r="H555" s="69"/>
      <c r="I555" s="70"/>
      <c r="J555" s="71"/>
      <c r="K555" s="71"/>
      <c r="L555" s="71"/>
      <c r="M555" s="71"/>
    </row>
    <row r="556" spans="1:13" s="72" customFormat="1" ht="15.75" customHeight="1" x14ac:dyDescent="0.25">
      <c r="A556" s="525" t="s">
        <v>422</v>
      </c>
      <c r="B556" s="525" t="s">
        <v>423</v>
      </c>
      <c r="C556" s="53"/>
      <c r="D556" s="109"/>
      <c r="E556" s="74"/>
      <c r="F556" s="329"/>
      <c r="G556" s="68"/>
      <c r="H556" s="69"/>
      <c r="I556" s="70"/>
      <c r="J556" s="71"/>
      <c r="K556" s="71"/>
      <c r="L556" s="71"/>
      <c r="M556" s="71"/>
    </row>
    <row r="557" spans="1:13" s="72" customFormat="1" ht="18.75" customHeight="1" x14ac:dyDescent="0.25">
      <c r="A557" s="531"/>
      <c r="B557" s="531"/>
      <c r="C557" s="78">
        <v>183</v>
      </c>
      <c r="D557" s="109">
        <v>108</v>
      </c>
      <c r="E557" s="76">
        <v>2001</v>
      </c>
      <c r="F557" s="332">
        <f t="shared" ref="F557:F558" si="121">2019-E557</f>
        <v>18</v>
      </c>
      <c r="G557" s="68"/>
      <c r="H557" s="69"/>
      <c r="I557" s="70"/>
      <c r="J557" s="71"/>
      <c r="K557" s="71"/>
      <c r="L557" s="71"/>
      <c r="M557" s="71"/>
    </row>
    <row r="558" spans="1:13" s="72" customFormat="1" x14ac:dyDescent="0.25">
      <c r="A558" s="526"/>
      <c r="B558" s="526"/>
      <c r="C558" s="78">
        <v>183</v>
      </c>
      <c r="D558" s="109">
        <v>89</v>
      </c>
      <c r="E558" s="49">
        <v>2001</v>
      </c>
      <c r="F558" s="332">
        <f t="shared" si="121"/>
        <v>18</v>
      </c>
      <c r="G558" s="68"/>
      <c r="H558" s="69"/>
      <c r="I558" s="70"/>
      <c r="J558" s="71"/>
      <c r="K558" s="71"/>
      <c r="L558" s="71"/>
      <c r="M558" s="71"/>
    </row>
    <row r="559" spans="1:13" s="72" customFormat="1" ht="15.75" customHeight="1" x14ac:dyDescent="0.25">
      <c r="A559" s="525" t="s">
        <v>184</v>
      </c>
      <c r="B559" s="525" t="s">
        <v>424</v>
      </c>
      <c r="C559" s="53"/>
      <c r="D559" s="109"/>
      <c r="E559" s="74"/>
      <c r="F559" s="329"/>
      <c r="G559" s="68"/>
      <c r="H559" s="69"/>
      <c r="I559" s="70"/>
      <c r="J559" s="71"/>
      <c r="K559" s="71"/>
      <c r="L559" s="71"/>
      <c r="M559" s="71"/>
    </row>
    <row r="560" spans="1:13" s="72" customFormat="1" ht="18" customHeight="1" x14ac:dyDescent="0.25">
      <c r="A560" s="531"/>
      <c r="B560" s="531"/>
      <c r="C560" s="55">
        <v>33</v>
      </c>
      <c r="D560" s="109">
        <v>76</v>
      </c>
      <c r="E560" s="49">
        <v>2003</v>
      </c>
      <c r="F560" s="332">
        <f t="shared" ref="F560:F561" si="122">2019-E560</f>
        <v>16</v>
      </c>
      <c r="G560" s="68"/>
      <c r="H560" s="69"/>
      <c r="I560" s="70"/>
      <c r="J560" s="71"/>
      <c r="K560" s="71"/>
      <c r="L560" s="71"/>
      <c r="M560" s="71"/>
    </row>
    <row r="561" spans="1:13" s="72" customFormat="1" x14ac:dyDescent="0.25">
      <c r="A561" s="526"/>
      <c r="B561" s="526"/>
      <c r="C561" s="78">
        <v>33</v>
      </c>
      <c r="D561" s="109">
        <v>57</v>
      </c>
      <c r="E561" s="49">
        <v>2003</v>
      </c>
      <c r="F561" s="332">
        <f t="shared" si="122"/>
        <v>16</v>
      </c>
      <c r="G561" s="68"/>
      <c r="H561" s="69"/>
      <c r="I561" s="70"/>
      <c r="J561" s="71"/>
      <c r="K561" s="71"/>
      <c r="L561" s="71"/>
      <c r="M561" s="71"/>
    </row>
    <row r="562" spans="1:13" s="72" customFormat="1" ht="15.75" customHeight="1" x14ac:dyDescent="0.25">
      <c r="A562" s="525" t="s">
        <v>385</v>
      </c>
      <c r="B562" s="525" t="s">
        <v>255</v>
      </c>
      <c r="C562" s="53"/>
      <c r="D562" s="109"/>
      <c r="E562" s="74"/>
      <c r="F562" s="329"/>
      <c r="G562" s="68"/>
      <c r="H562" s="69"/>
      <c r="I562" s="70"/>
      <c r="J562" s="71"/>
      <c r="K562" s="71"/>
      <c r="L562" s="71"/>
      <c r="M562" s="71"/>
    </row>
    <row r="563" spans="1:13" s="72" customFormat="1" x14ac:dyDescent="0.25">
      <c r="A563" s="531"/>
      <c r="B563" s="531"/>
      <c r="C563" s="78">
        <v>60</v>
      </c>
      <c r="D563" s="109">
        <v>159</v>
      </c>
      <c r="E563" s="49">
        <v>1999</v>
      </c>
      <c r="F563" s="332">
        <f t="shared" ref="F563:F564" si="123">2019-E563</f>
        <v>20</v>
      </c>
      <c r="G563" s="68"/>
      <c r="H563" s="69"/>
      <c r="I563" s="70"/>
      <c r="J563" s="71"/>
      <c r="K563" s="71"/>
      <c r="L563" s="71"/>
      <c r="M563" s="71"/>
    </row>
    <row r="564" spans="1:13" s="72" customFormat="1" x14ac:dyDescent="0.25">
      <c r="A564" s="526"/>
      <c r="B564" s="526"/>
      <c r="C564" s="78">
        <v>60</v>
      </c>
      <c r="D564" s="109">
        <v>108</v>
      </c>
      <c r="E564" s="49">
        <v>1999</v>
      </c>
      <c r="F564" s="332">
        <f t="shared" si="123"/>
        <v>20</v>
      </c>
      <c r="G564" s="68"/>
      <c r="H564" s="69"/>
      <c r="I564" s="70"/>
      <c r="J564" s="71"/>
      <c r="K564" s="71"/>
      <c r="L564" s="71"/>
      <c r="M564" s="71"/>
    </row>
    <row r="565" spans="1:13" s="72" customFormat="1" ht="17.25" customHeight="1" x14ac:dyDescent="0.25">
      <c r="A565" s="525" t="s">
        <v>217</v>
      </c>
      <c r="B565" s="525" t="s">
        <v>367</v>
      </c>
      <c r="C565" s="53"/>
      <c r="D565" s="109"/>
      <c r="E565" s="74"/>
      <c r="F565" s="329"/>
      <c r="G565" s="68"/>
      <c r="H565" s="69"/>
      <c r="I565" s="70"/>
      <c r="J565" s="71"/>
      <c r="K565" s="71"/>
      <c r="L565" s="71"/>
      <c r="M565" s="71"/>
    </row>
    <row r="566" spans="1:13" s="72" customFormat="1" x14ac:dyDescent="0.25">
      <c r="A566" s="531"/>
      <c r="B566" s="531"/>
      <c r="C566" s="78">
        <v>45.5</v>
      </c>
      <c r="D566" s="109">
        <v>108</v>
      </c>
      <c r="E566" s="76">
        <v>2003</v>
      </c>
      <c r="F566" s="332">
        <f t="shared" ref="F566:F567" si="124">2019-E566</f>
        <v>16</v>
      </c>
      <c r="G566" s="68"/>
      <c r="H566" s="69"/>
      <c r="I566" s="70"/>
      <c r="J566" s="71"/>
      <c r="K566" s="71"/>
      <c r="L566" s="71"/>
      <c r="M566" s="71"/>
    </row>
    <row r="567" spans="1:13" s="72" customFormat="1" ht="18.75" customHeight="1" x14ac:dyDescent="0.25">
      <c r="A567" s="526"/>
      <c r="B567" s="526"/>
      <c r="C567" s="78">
        <v>45.5</v>
      </c>
      <c r="D567" s="109">
        <v>89</v>
      </c>
      <c r="E567" s="64">
        <v>2003</v>
      </c>
      <c r="F567" s="332">
        <f t="shared" si="124"/>
        <v>16</v>
      </c>
      <c r="G567" s="68"/>
      <c r="H567" s="69"/>
      <c r="I567" s="70"/>
      <c r="J567" s="71"/>
      <c r="K567" s="71"/>
      <c r="L567" s="71"/>
      <c r="M567" s="71"/>
    </row>
    <row r="568" spans="1:13" s="72" customFormat="1" ht="18.75" customHeight="1" x14ac:dyDescent="0.25">
      <c r="A568" s="534" t="s">
        <v>407</v>
      </c>
      <c r="B568" s="525" t="s">
        <v>425</v>
      </c>
      <c r="C568" s="53"/>
      <c r="D568" s="109"/>
      <c r="E568" s="74"/>
      <c r="F568" s="329"/>
      <c r="G568" s="68"/>
      <c r="H568" s="69"/>
      <c r="I568" s="70"/>
      <c r="J568" s="71"/>
      <c r="K568" s="71"/>
      <c r="L568" s="71"/>
      <c r="M568" s="71"/>
    </row>
    <row r="569" spans="1:13" s="72" customFormat="1" x14ac:dyDescent="0.25">
      <c r="A569" s="536"/>
      <c r="B569" s="531"/>
      <c r="C569" s="119">
        <v>25</v>
      </c>
      <c r="D569" s="109">
        <v>76</v>
      </c>
      <c r="E569" s="83">
        <v>1988</v>
      </c>
      <c r="F569" s="332">
        <f t="shared" ref="F569:F570" si="125">2019-E569</f>
        <v>31</v>
      </c>
      <c r="G569" s="68"/>
      <c r="H569" s="69"/>
      <c r="I569" s="70"/>
      <c r="J569" s="71"/>
      <c r="K569" s="71"/>
      <c r="L569" s="71"/>
      <c r="M569" s="71"/>
    </row>
    <row r="570" spans="1:13" s="72" customFormat="1" x14ac:dyDescent="0.25">
      <c r="A570" s="535"/>
      <c r="B570" s="526"/>
      <c r="C570" s="119">
        <v>25</v>
      </c>
      <c r="D570" s="109">
        <v>57</v>
      </c>
      <c r="E570" s="83">
        <v>1988</v>
      </c>
      <c r="F570" s="332">
        <f t="shared" si="125"/>
        <v>31</v>
      </c>
      <c r="G570" s="68"/>
      <c r="H570" s="69"/>
      <c r="I570" s="70"/>
      <c r="J570" s="71"/>
      <c r="K570" s="71"/>
      <c r="L570" s="71"/>
      <c r="M570" s="71"/>
    </row>
    <row r="571" spans="1:13" s="72" customFormat="1" ht="15.75" customHeight="1" x14ac:dyDescent="0.25">
      <c r="A571" s="534" t="s">
        <v>312</v>
      </c>
      <c r="B571" s="525" t="s">
        <v>426</v>
      </c>
      <c r="C571" s="53"/>
      <c r="D571" s="109"/>
      <c r="E571" s="74"/>
      <c r="F571" s="329"/>
      <c r="G571" s="68"/>
      <c r="H571" s="69"/>
      <c r="I571" s="70"/>
      <c r="J571" s="71"/>
      <c r="K571" s="71"/>
      <c r="L571" s="71"/>
      <c r="M571" s="71"/>
    </row>
    <row r="572" spans="1:13" s="72" customFormat="1" ht="19.5" customHeight="1" x14ac:dyDescent="0.25">
      <c r="A572" s="536"/>
      <c r="B572" s="531"/>
      <c r="C572" s="119">
        <v>60</v>
      </c>
      <c r="D572" s="109">
        <v>89</v>
      </c>
      <c r="E572" s="76">
        <v>1984</v>
      </c>
      <c r="F572" s="332">
        <f t="shared" ref="F572:F573" si="126">2019-E572</f>
        <v>35</v>
      </c>
      <c r="G572" s="68"/>
      <c r="H572" s="69"/>
      <c r="I572" s="70"/>
      <c r="J572" s="71"/>
      <c r="K572" s="71"/>
      <c r="L572" s="71"/>
      <c r="M572" s="71"/>
    </row>
    <row r="573" spans="1:13" s="72" customFormat="1" x14ac:dyDescent="0.25">
      <c r="A573" s="535"/>
      <c r="B573" s="526"/>
      <c r="C573" s="119">
        <v>60</v>
      </c>
      <c r="D573" s="109">
        <v>40</v>
      </c>
      <c r="E573" s="49">
        <v>1984</v>
      </c>
      <c r="F573" s="332">
        <f t="shared" si="126"/>
        <v>35</v>
      </c>
      <c r="G573" s="68"/>
      <c r="H573" s="69"/>
      <c r="I573" s="70"/>
      <c r="J573" s="71"/>
      <c r="K573" s="71"/>
      <c r="L573" s="71"/>
      <c r="M573" s="71"/>
    </row>
    <row r="574" spans="1:13" s="72" customFormat="1" ht="15.75" customHeight="1" x14ac:dyDescent="0.25">
      <c r="A574" s="525" t="s">
        <v>427</v>
      </c>
      <c r="B574" s="525" t="s">
        <v>428</v>
      </c>
      <c r="C574" s="53"/>
      <c r="D574" s="109"/>
      <c r="E574" s="74"/>
      <c r="F574" s="329"/>
      <c r="G574" s="68"/>
      <c r="H574" s="69"/>
      <c r="I574" s="70"/>
      <c r="J574" s="71"/>
      <c r="K574" s="71"/>
      <c r="L574" s="71"/>
      <c r="M574" s="71"/>
    </row>
    <row r="575" spans="1:13" s="72" customFormat="1" ht="18.75" customHeight="1" x14ac:dyDescent="0.25">
      <c r="A575" s="531"/>
      <c r="B575" s="531"/>
      <c r="C575" s="119">
        <v>42</v>
      </c>
      <c r="D575" s="109">
        <v>89</v>
      </c>
      <c r="E575" s="49">
        <v>1981</v>
      </c>
      <c r="F575" s="332">
        <f t="shared" ref="F575:F576" si="127">2019-E575</f>
        <v>38</v>
      </c>
      <c r="G575" s="68"/>
      <c r="H575" s="69"/>
      <c r="I575" s="70"/>
      <c r="J575" s="71"/>
      <c r="K575" s="71"/>
      <c r="L575" s="71"/>
      <c r="M575" s="71"/>
    </row>
    <row r="576" spans="1:13" s="72" customFormat="1" x14ac:dyDescent="0.25">
      <c r="A576" s="526"/>
      <c r="B576" s="526"/>
      <c r="C576" s="119">
        <v>42</v>
      </c>
      <c r="D576" s="109">
        <v>57</v>
      </c>
      <c r="E576" s="49">
        <v>1981</v>
      </c>
      <c r="F576" s="332">
        <f t="shared" si="127"/>
        <v>38</v>
      </c>
      <c r="G576" s="68"/>
      <c r="H576" s="69"/>
      <c r="I576" s="70"/>
      <c r="J576" s="71"/>
      <c r="K576" s="71"/>
      <c r="L576" s="71"/>
      <c r="M576" s="71"/>
    </row>
    <row r="577" spans="1:13" s="72" customFormat="1" ht="15.75" customHeight="1" x14ac:dyDescent="0.25">
      <c r="A577" s="525" t="s">
        <v>205</v>
      </c>
      <c r="B577" s="525" t="s">
        <v>206</v>
      </c>
      <c r="C577" s="53"/>
      <c r="D577" s="109"/>
      <c r="E577" s="74"/>
      <c r="F577" s="329"/>
      <c r="G577" s="68"/>
      <c r="H577" s="69"/>
      <c r="I577" s="70"/>
      <c r="J577" s="71"/>
      <c r="K577" s="71"/>
      <c r="L577" s="71"/>
      <c r="M577" s="71"/>
    </row>
    <row r="578" spans="1:13" s="72" customFormat="1" ht="18.75" customHeight="1" x14ac:dyDescent="0.25">
      <c r="A578" s="531"/>
      <c r="B578" s="531"/>
      <c r="C578" s="119">
        <v>22</v>
      </c>
      <c r="D578" s="109">
        <v>89</v>
      </c>
      <c r="E578" s="76">
        <v>1982</v>
      </c>
      <c r="F578" s="332">
        <f t="shared" ref="F578:F579" si="128">2019-E578</f>
        <v>37</v>
      </c>
      <c r="G578" s="68"/>
      <c r="H578" s="69"/>
      <c r="I578" s="70"/>
      <c r="J578" s="71"/>
      <c r="K578" s="71"/>
      <c r="L578" s="71"/>
      <c r="M578" s="71"/>
    </row>
    <row r="579" spans="1:13" s="72" customFormat="1" x14ac:dyDescent="0.25">
      <c r="A579" s="526"/>
      <c r="B579" s="526"/>
      <c r="C579" s="119">
        <v>22</v>
      </c>
      <c r="D579" s="109">
        <v>76</v>
      </c>
      <c r="E579" s="49">
        <v>1982</v>
      </c>
      <c r="F579" s="332">
        <f t="shared" si="128"/>
        <v>37</v>
      </c>
      <c r="G579" s="68"/>
      <c r="H579" s="69"/>
      <c r="I579" s="70"/>
      <c r="J579" s="71"/>
      <c r="K579" s="71"/>
      <c r="L579" s="71"/>
      <c r="M579" s="71"/>
    </row>
    <row r="580" spans="1:13" s="72" customFormat="1" ht="15.75" customHeight="1" x14ac:dyDescent="0.25">
      <c r="A580" s="525" t="s">
        <v>312</v>
      </c>
      <c r="B580" s="525" t="s">
        <v>429</v>
      </c>
      <c r="C580" s="53"/>
      <c r="D580" s="109"/>
      <c r="E580" s="74"/>
      <c r="F580" s="329"/>
      <c r="G580" s="68"/>
      <c r="H580" s="69"/>
      <c r="I580" s="70"/>
      <c r="J580" s="71"/>
      <c r="K580" s="71"/>
      <c r="L580" s="71"/>
      <c r="M580" s="71"/>
    </row>
    <row r="581" spans="1:13" s="72" customFormat="1" x14ac:dyDescent="0.25">
      <c r="A581" s="531"/>
      <c r="B581" s="531"/>
      <c r="C581" s="119">
        <v>14</v>
      </c>
      <c r="D581" s="109">
        <v>76</v>
      </c>
      <c r="E581" s="49">
        <v>1984</v>
      </c>
      <c r="F581" s="332">
        <f t="shared" ref="F581:F582" si="129">2019-E581</f>
        <v>35</v>
      </c>
      <c r="G581" s="68"/>
      <c r="H581" s="69"/>
      <c r="I581" s="70"/>
      <c r="J581" s="71"/>
      <c r="K581" s="71"/>
      <c r="L581" s="71"/>
      <c r="M581" s="71"/>
    </row>
    <row r="582" spans="1:13" s="72" customFormat="1" x14ac:dyDescent="0.25">
      <c r="A582" s="526"/>
      <c r="B582" s="526"/>
      <c r="C582" s="119">
        <v>14</v>
      </c>
      <c r="D582" s="109">
        <v>40</v>
      </c>
      <c r="E582" s="49">
        <v>1984</v>
      </c>
      <c r="F582" s="332">
        <f t="shared" si="129"/>
        <v>35</v>
      </c>
      <c r="G582" s="68"/>
      <c r="H582" s="69"/>
      <c r="I582" s="70"/>
      <c r="J582" s="71"/>
      <c r="K582" s="71"/>
      <c r="L582" s="71"/>
      <c r="M582" s="71"/>
    </row>
    <row r="583" spans="1:13" s="72" customFormat="1" ht="15.75" customHeight="1" x14ac:dyDescent="0.25">
      <c r="A583" s="525" t="s">
        <v>180</v>
      </c>
      <c r="B583" s="525" t="s">
        <v>430</v>
      </c>
      <c r="C583" s="53"/>
      <c r="D583" s="109"/>
      <c r="E583" s="74"/>
      <c r="F583" s="329"/>
      <c r="G583" s="68"/>
      <c r="H583" s="69"/>
      <c r="I583" s="70"/>
      <c r="J583" s="71"/>
      <c r="K583" s="71"/>
      <c r="L583" s="71"/>
      <c r="M583" s="71"/>
    </row>
    <row r="584" spans="1:13" s="72" customFormat="1" ht="18.75" customHeight="1" x14ac:dyDescent="0.25">
      <c r="A584" s="531"/>
      <c r="B584" s="531"/>
      <c r="C584" s="119">
        <v>36</v>
      </c>
      <c r="D584" s="109">
        <v>159</v>
      </c>
      <c r="E584" s="49">
        <v>1981</v>
      </c>
      <c r="F584" s="332">
        <f t="shared" ref="F584:F585" si="130">2019-E584</f>
        <v>38</v>
      </c>
      <c r="G584" s="68"/>
      <c r="H584" s="69"/>
      <c r="I584" s="70"/>
      <c r="J584" s="71"/>
      <c r="K584" s="71"/>
      <c r="L584" s="71"/>
      <c r="M584" s="71"/>
    </row>
    <row r="585" spans="1:13" s="72" customFormat="1" x14ac:dyDescent="0.25">
      <c r="A585" s="526"/>
      <c r="B585" s="526"/>
      <c r="C585" s="119">
        <v>36</v>
      </c>
      <c r="D585" s="109">
        <v>108</v>
      </c>
      <c r="E585" s="49">
        <v>1981</v>
      </c>
      <c r="F585" s="332">
        <f t="shared" si="130"/>
        <v>38</v>
      </c>
      <c r="G585" s="68"/>
      <c r="H585" s="69"/>
      <c r="I585" s="70"/>
      <c r="J585" s="71"/>
      <c r="K585" s="71"/>
      <c r="L585" s="71"/>
      <c r="M585" s="71"/>
    </row>
    <row r="586" spans="1:13" s="72" customFormat="1" ht="15.75" customHeight="1" x14ac:dyDescent="0.25">
      <c r="A586" s="525" t="s">
        <v>180</v>
      </c>
      <c r="B586" s="525" t="s">
        <v>431</v>
      </c>
      <c r="C586" s="53"/>
      <c r="D586" s="109"/>
      <c r="E586" s="74"/>
      <c r="F586" s="329"/>
      <c r="G586" s="68"/>
      <c r="H586" s="69"/>
      <c r="I586" s="70"/>
      <c r="J586" s="71"/>
      <c r="K586" s="71"/>
      <c r="L586" s="71"/>
      <c r="M586" s="71"/>
    </row>
    <row r="587" spans="1:13" s="72" customFormat="1" ht="20.25" customHeight="1" x14ac:dyDescent="0.25">
      <c r="A587" s="531"/>
      <c r="B587" s="531"/>
      <c r="C587" s="119">
        <v>34</v>
      </c>
      <c r="D587" s="109">
        <v>89</v>
      </c>
      <c r="E587" s="49">
        <v>1981</v>
      </c>
      <c r="F587" s="332">
        <f t="shared" ref="F587:F588" si="131">2019-E587</f>
        <v>38</v>
      </c>
      <c r="G587" s="68"/>
      <c r="H587" s="69"/>
      <c r="I587" s="70"/>
      <c r="J587" s="71"/>
      <c r="K587" s="71"/>
      <c r="L587" s="71"/>
      <c r="M587" s="71"/>
    </row>
    <row r="588" spans="1:13" s="72" customFormat="1" x14ac:dyDescent="0.25">
      <c r="A588" s="526"/>
      <c r="B588" s="526"/>
      <c r="C588" s="119">
        <v>34</v>
      </c>
      <c r="D588" s="109">
        <v>57</v>
      </c>
      <c r="E588" s="49">
        <v>1981</v>
      </c>
      <c r="F588" s="332">
        <f t="shared" si="131"/>
        <v>38</v>
      </c>
      <c r="G588" s="68"/>
      <c r="H588" s="69"/>
      <c r="I588" s="70"/>
      <c r="J588" s="71"/>
      <c r="K588" s="71"/>
      <c r="L588" s="71"/>
      <c r="M588" s="71"/>
    </row>
    <row r="589" spans="1:13" s="72" customFormat="1" ht="15.75" customHeight="1" x14ac:dyDescent="0.25">
      <c r="A589" s="525" t="s">
        <v>432</v>
      </c>
      <c r="B589" s="525" t="s">
        <v>433</v>
      </c>
      <c r="C589" s="53"/>
      <c r="D589" s="109"/>
      <c r="E589" s="74"/>
      <c r="F589" s="329"/>
      <c r="G589" s="68"/>
      <c r="H589" s="69"/>
      <c r="I589" s="70"/>
      <c r="J589" s="71"/>
      <c r="K589" s="71"/>
      <c r="L589" s="71"/>
      <c r="M589" s="71"/>
    </row>
    <row r="590" spans="1:13" s="72" customFormat="1" ht="18" customHeight="1" x14ac:dyDescent="0.25">
      <c r="A590" s="531"/>
      <c r="B590" s="531"/>
      <c r="C590" s="119">
        <v>47</v>
      </c>
      <c r="D590" s="109">
        <v>89</v>
      </c>
      <c r="E590" s="49">
        <v>1981</v>
      </c>
      <c r="F590" s="332">
        <f t="shared" ref="F590:F591" si="132">2019-E590</f>
        <v>38</v>
      </c>
      <c r="G590" s="68"/>
      <c r="H590" s="69"/>
      <c r="I590" s="70"/>
      <c r="J590" s="71"/>
      <c r="K590" s="71"/>
      <c r="L590" s="71"/>
      <c r="M590" s="71"/>
    </row>
    <row r="591" spans="1:13" s="72" customFormat="1" x14ac:dyDescent="0.25">
      <c r="A591" s="526"/>
      <c r="B591" s="526"/>
      <c r="C591" s="119">
        <v>47</v>
      </c>
      <c r="D591" s="109">
        <v>57</v>
      </c>
      <c r="E591" s="49">
        <v>1981</v>
      </c>
      <c r="F591" s="332">
        <f t="shared" si="132"/>
        <v>38</v>
      </c>
      <c r="G591" s="68"/>
      <c r="H591" s="69"/>
      <c r="I591" s="70"/>
      <c r="J591" s="71"/>
      <c r="K591" s="71"/>
      <c r="L591" s="71"/>
      <c r="M591" s="71"/>
    </row>
    <row r="592" spans="1:13" s="72" customFormat="1" ht="15.75" customHeight="1" x14ac:dyDescent="0.25">
      <c r="A592" s="525" t="s">
        <v>434</v>
      </c>
      <c r="B592" s="525" t="s">
        <v>435</v>
      </c>
      <c r="C592" s="53"/>
      <c r="D592" s="109"/>
      <c r="E592" s="74"/>
      <c r="F592" s="329"/>
      <c r="G592" s="68"/>
      <c r="H592" s="69"/>
      <c r="I592" s="70"/>
      <c r="J592" s="71"/>
      <c r="K592" s="71"/>
      <c r="L592" s="71"/>
      <c r="M592" s="71"/>
    </row>
    <row r="593" spans="1:13" s="72" customFormat="1" x14ac:dyDescent="0.25">
      <c r="A593" s="531"/>
      <c r="B593" s="531"/>
      <c r="C593" s="78">
        <v>15</v>
      </c>
      <c r="D593" s="109">
        <v>89</v>
      </c>
      <c r="E593" s="76">
        <v>2006</v>
      </c>
      <c r="F593" s="332">
        <f t="shared" ref="F593:F594" si="133">2019-E593</f>
        <v>13</v>
      </c>
      <c r="G593" s="68"/>
      <c r="H593" s="69"/>
      <c r="I593" s="70"/>
      <c r="J593" s="71"/>
      <c r="K593" s="71"/>
      <c r="L593" s="71"/>
      <c r="M593" s="71"/>
    </row>
    <row r="594" spans="1:13" s="72" customFormat="1" x14ac:dyDescent="0.25">
      <c r="A594" s="526"/>
      <c r="B594" s="526"/>
      <c r="C594" s="78">
        <v>15</v>
      </c>
      <c r="D594" s="109">
        <v>57</v>
      </c>
      <c r="E594" s="76">
        <v>2006</v>
      </c>
      <c r="F594" s="332">
        <f t="shared" si="133"/>
        <v>13</v>
      </c>
      <c r="G594" s="68"/>
      <c r="H594" s="69"/>
      <c r="I594" s="70"/>
      <c r="J594" s="71"/>
      <c r="K594" s="71"/>
      <c r="L594" s="71"/>
      <c r="M594" s="71"/>
    </row>
    <row r="595" spans="1:13" s="72" customFormat="1" ht="15.75" customHeight="1" x14ac:dyDescent="0.25">
      <c r="A595" s="525" t="s">
        <v>436</v>
      </c>
      <c r="B595" s="525" t="s">
        <v>437</v>
      </c>
      <c r="C595" s="53"/>
      <c r="D595" s="109"/>
      <c r="E595" s="74"/>
      <c r="F595" s="329"/>
      <c r="G595" s="68"/>
      <c r="H595" s="69"/>
      <c r="I595" s="70"/>
      <c r="J595" s="71"/>
      <c r="K595" s="71"/>
      <c r="L595" s="71"/>
      <c r="M595" s="71"/>
    </row>
    <row r="596" spans="1:13" s="72" customFormat="1" ht="18.75" customHeight="1" x14ac:dyDescent="0.25">
      <c r="A596" s="531"/>
      <c r="B596" s="531"/>
      <c r="C596" s="78">
        <v>78</v>
      </c>
      <c r="D596" s="109">
        <v>133</v>
      </c>
      <c r="E596" s="76">
        <v>2008</v>
      </c>
      <c r="F596" s="332">
        <f t="shared" ref="F596:F597" si="134">2019-E596</f>
        <v>11</v>
      </c>
      <c r="G596" s="68"/>
      <c r="H596" s="69"/>
      <c r="I596" s="70"/>
      <c r="J596" s="71"/>
      <c r="K596" s="71"/>
      <c r="L596" s="71"/>
      <c r="M596" s="71"/>
    </row>
    <row r="597" spans="1:13" s="72" customFormat="1" x14ac:dyDescent="0.25">
      <c r="A597" s="526"/>
      <c r="B597" s="526"/>
      <c r="C597" s="78">
        <v>78</v>
      </c>
      <c r="D597" s="109">
        <v>89</v>
      </c>
      <c r="E597" s="76">
        <v>2008</v>
      </c>
      <c r="F597" s="332">
        <f t="shared" si="134"/>
        <v>11</v>
      </c>
      <c r="G597" s="68"/>
      <c r="H597" s="69"/>
      <c r="I597" s="70"/>
      <c r="J597" s="71"/>
      <c r="K597" s="71"/>
      <c r="L597" s="71"/>
      <c r="M597" s="71"/>
    </row>
    <row r="598" spans="1:13" s="72" customFormat="1" ht="15.75" customHeight="1" x14ac:dyDescent="0.25">
      <c r="A598" s="525" t="s">
        <v>208</v>
      </c>
      <c r="B598" s="525" t="s">
        <v>438</v>
      </c>
      <c r="C598" s="53"/>
      <c r="D598" s="109"/>
      <c r="E598" s="74"/>
      <c r="F598" s="329"/>
      <c r="G598" s="68"/>
      <c r="H598" s="69"/>
      <c r="I598" s="70"/>
      <c r="J598" s="71"/>
      <c r="K598" s="71"/>
      <c r="L598" s="71"/>
      <c r="M598" s="71"/>
    </row>
    <row r="599" spans="1:13" s="72" customFormat="1" x14ac:dyDescent="0.25">
      <c r="A599" s="531"/>
      <c r="B599" s="531"/>
      <c r="C599" s="119">
        <v>90</v>
      </c>
      <c r="D599" s="109">
        <v>219</v>
      </c>
      <c r="E599" s="49">
        <v>1982</v>
      </c>
      <c r="F599" s="332">
        <f t="shared" ref="F599:F600" si="135">2019-E599</f>
        <v>37</v>
      </c>
      <c r="G599" s="68"/>
      <c r="H599" s="69"/>
      <c r="I599" s="70"/>
      <c r="J599" s="71"/>
      <c r="K599" s="71"/>
      <c r="L599" s="71"/>
      <c r="M599" s="71"/>
    </row>
    <row r="600" spans="1:13" s="72" customFormat="1" x14ac:dyDescent="0.25">
      <c r="A600" s="526"/>
      <c r="B600" s="526"/>
      <c r="C600" s="119">
        <v>90</v>
      </c>
      <c r="D600" s="109">
        <v>133</v>
      </c>
      <c r="E600" s="49">
        <v>1982</v>
      </c>
      <c r="F600" s="332">
        <f t="shared" si="135"/>
        <v>37</v>
      </c>
      <c r="G600" s="68"/>
      <c r="H600" s="69"/>
      <c r="I600" s="70"/>
      <c r="J600" s="71"/>
      <c r="K600" s="71"/>
      <c r="L600" s="71"/>
      <c r="M600" s="71"/>
    </row>
    <row r="601" spans="1:13" s="72" customFormat="1" ht="15.75" customHeight="1" x14ac:dyDescent="0.25">
      <c r="A601" s="525" t="s">
        <v>208</v>
      </c>
      <c r="B601" s="525" t="s">
        <v>439</v>
      </c>
      <c r="C601" s="53"/>
      <c r="D601" s="109"/>
      <c r="E601" s="74"/>
      <c r="F601" s="329"/>
      <c r="G601" s="68"/>
      <c r="H601" s="69"/>
      <c r="I601" s="70"/>
      <c r="J601" s="71"/>
      <c r="K601" s="71"/>
      <c r="L601" s="71"/>
      <c r="M601" s="71"/>
    </row>
    <row r="602" spans="1:13" s="72" customFormat="1" ht="18.75" customHeight="1" x14ac:dyDescent="0.25">
      <c r="A602" s="531"/>
      <c r="B602" s="531"/>
      <c r="C602" s="119">
        <v>21</v>
      </c>
      <c r="D602" s="109">
        <v>89</v>
      </c>
      <c r="E602" s="76">
        <v>1983</v>
      </c>
      <c r="F602" s="332">
        <f t="shared" ref="F602:F603" si="136">2019-E602</f>
        <v>36</v>
      </c>
      <c r="G602" s="68"/>
      <c r="H602" s="69"/>
      <c r="I602" s="70"/>
      <c r="J602" s="71"/>
      <c r="K602" s="71"/>
      <c r="L602" s="71"/>
      <c r="M602" s="71"/>
    </row>
    <row r="603" spans="1:13" s="72" customFormat="1" x14ac:dyDescent="0.25">
      <c r="A603" s="526"/>
      <c r="B603" s="526"/>
      <c r="C603" s="119">
        <v>21</v>
      </c>
      <c r="D603" s="109">
        <v>76</v>
      </c>
      <c r="E603" s="49">
        <v>1983</v>
      </c>
      <c r="F603" s="332">
        <f t="shared" si="136"/>
        <v>36</v>
      </c>
      <c r="G603" s="68"/>
      <c r="H603" s="69"/>
      <c r="I603" s="70"/>
      <c r="J603" s="71"/>
      <c r="K603" s="71"/>
      <c r="L603" s="71"/>
      <c r="M603" s="71"/>
    </row>
    <row r="604" spans="1:13" s="72" customFormat="1" ht="15.75" customHeight="1" x14ac:dyDescent="0.25">
      <c r="A604" s="525" t="s">
        <v>200</v>
      </c>
      <c r="B604" s="525" t="s">
        <v>440</v>
      </c>
      <c r="C604" s="53"/>
      <c r="D604" s="109"/>
      <c r="E604" s="74"/>
      <c r="F604" s="329"/>
      <c r="G604" s="68"/>
      <c r="H604" s="69"/>
      <c r="I604" s="70"/>
      <c r="J604" s="71"/>
      <c r="K604" s="71"/>
      <c r="L604" s="71"/>
      <c r="M604" s="71"/>
    </row>
    <row r="605" spans="1:13" s="72" customFormat="1" ht="15" customHeight="1" x14ac:dyDescent="0.25">
      <c r="A605" s="531"/>
      <c r="B605" s="531"/>
      <c r="C605" s="119">
        <v>30</v>
      </c>
      <c r="D605" s="109">
        <v>89</v>
      </c>
      <c r="E605" s="83">
        <v>1988</v>
      </c>
      <c r="F605" s="332">
        <f t="shared" ref="F605:F606" si="137">2019-E605</f>
        <v>31</v>
      </c>
      <c r="G605" s="68"/>
      <c r="H605" s="69"/>
      <c r="I605" s="70"/>
      <c r="J605" s="71"/>
      <c r="K605" s="71"/>
      <c r="L605" s="71"/>
      <c r="M605" s="71"/>
    </row>
    <row r="606" spans="1:13" s="72" customFormat="1" x14ac:dyDescent="0.25">
      <c r="A606" s="526"/>
      <c r="B606" s="526"/>
      <c r="C606" s="119">
        <v>30</v>
      </c>
      <c r="D606" s="109">
        <v>57</v>
      </c>
      <c r="E606" s="83">
        <v>1988</v>
      </c>
      <c r="F606" s="332">
        <f t="shared" si="137"/>
        <v>31</v>
      </c>
      <c r="G606" s="68"/>
      <c r="H606" s="69"/>
      <c r="I606" s="70"/>
      <c r="J606" s="71"/>
      <c r="K606" s="71"/>
      <c r="L606" s="71"/>
      <c r="M606" s="71"/>
    </row>
    <row r="607" spans="1:13" s="72" customFormat="1" ht="15.75" customHeight="1" x14ac:dyDescent="0.25">
      <c r="A607" s="525" t="s">
        <v>200</v>
      </c>
      <c r="B607" s="525" t="s">
        <v>441</v>
      </c>
      <c r="C607" s="53"/>
      <c r="D607" s="109"/>
      <c r="E607" s="74"/>
      <c r="F607" s="329"/>
      <c r="G607" s="68"/>
      <c r="H607" s="69"/>
      <c r="I607" s="70"/>
      <c r="J607" s="71"/>
      <c r="K607" s="71"/>
      <c r="L607" s="71"/>
      <c r="M607" s="71"/>
    </row>
    <row r="608" spans="1:13" s="72" customFormat="1" ht="18" customHeight="1" x14ac:dyDescent="0.25">
      <c r="A608" s="531"/>
      <c r="B608" s="531"/>
      <c r="C608" s="119">
        <v>38</v>
      </c>
      <c r="D608" s="109">
        <v>57</v>
      </c>
      <c r="E608" s="83">
        <v>1988</v>
      </c>
      <c r="F608" s="332">
        <f t="shared" ref="F608:F609" si="138">2019-E608</f>
        <v>31</v>
      </c>
      <c r="G608" s="68"/>
      <c r="H608" s="69"/>
      <c r="I608" s="70"/>
      <c r="J608" s="71"/>
      <c r="K608" s="71"/>
      <c r="L608" s="71"/>
      <c r="M608" s="71"/>
    </row>
    <row r="609" spans="1:13" s="72" customFormat="1" x14ac:dyDescent="0.25">
      <c r="A609" s="526"/>
      <c r="B609" s="526"/>
      <c r="C609" s="119">
        <v>38</v>
      </c>
      <c r="D609" s="109">
        <v>57</v>
      </c>
      <c r="E609" s="83">
        <v>1988</v>
      </c>
      <c r="F609" s="332">
        <f t="shared" si="138"/>
        <v>31</v>
      </c>
      <c r="G609" s="68"/>
      <c r="H609" s="69"/>
      <c r="I609" s="70"/>
      <c r="J609" s="71"/>
      <c r="K609" s="71"/>
      <c r="L609" s="71"/>
      <c r="M609" s="71"/>
    </row>
    <row r="610" spans="1:13" s="72" customFormat="1" ht="15.75" customHeight="1" x14ac:dyDescent="0.25">
      <c r="A610" s="525" t="s">
        <v>362</v>
      </c>
      <c r="B610" s="525" t="s">
        <v>442</v>
      </c>
      <c r="C610" s="53"/>
      <c r="D610" s="109"/>
      <c r="E610" s="74"/>
      <c r="F610" s="329"/>
      <c r="G610" s="68"/>
      <c r="H610" s="69"/>
      <c r="I610" s="70"/>
      <c r="J610" s="71"/>
      <c r="K610" s="71"/>
      <c r="L610" s="71"/>
      <c r="M610" s="71"/>
    </row>
    <row r="611" spans="1:13" s="72" customFormat="1" ht="17.25" customHeight="1" x14ac:dyDescent="0.25">
      <c r="A611" s="531"/>
      <c r="B611" s="531"/>
      <c r="C611" s="119">
        <v>35</v>
      </c>
      <c r="D611" s="109">
        <v>108</v>
      </c>
      <c r="E611" s="49">
        <v>1982</v>
      </c>
      <c r="F611" s="332">
        <f t="shared" ref="F611:F612" si="139">2019-E611</f>
        <v>37</v>
      </c>
      <c r="G611" s="68"/>
      <c r="H611" s="69"/>
      <c r="I611" s="70"/>
      <c r="J611" s="71"/>
      <c r="K611" s="71"/>
      <c r="L611" s="71"/>
      <c r="M611" s="71"/>
    </row>
    <row r="612" spans="1:13" s="72" customFormat="1" x14ac:dyDescent="0.25">
      <c r="A612" s="526"/>
      <c r="B612" s="526"/>
      <c r="C612" s="119">
        <v>35</v>
      </c>
      <c r="D612" s="109">
        <v>89</v>
      </c>
      <c r="E612" s="49">
        <v>1982</v>
      </c>
      <c r="F612" s="332">
        <f t="shared" si="139"/>
        <v>37</v>
      </c>
      <c r="G612" s="68"/>
      <c r="H612" s="69"/>
      <c r="I612" s="70"/>
      <c r="J612" s="71"/>
      <c r="K612" s="71"/>
      <c r="L612" s="71"/>
      <c r="M612" s="71"/>
    </row>
    <row r="613" spans="1:13" s="72" customFormat="1" ht="15.75" customHeight="1" x14ac:dyDescent="0.25">
      <c r="A613" s="525" t="s">
        <v>354</v>
      </c>
      <c r="B613" s="525" t="s">
        <v>443</v>
      </c>
      <c r="C613" s="53"/>
      <c r="D613" s="109"/>
      <c r="E613" s="74"/>
      <c r="F613" s="329"/>
      <c r="G613" s="68"/>
      <c r="H613" s="69"/>
      <c r="I613" s="70"/>
      <c r="J613" s="71"/>
      <c r="K613" s="71"/>
      <c r="L613" s="71"/>
      <c r="M613" s="71"/>
    </row>
    <row r="614" spans="1:13" s="72" customFormat="1" ht="18" customHeight="1" x14ac:dyDescent="0.25">
      <c r="A614" s="531"/>
      <c r="B614" s="531"/>
      <c r="C614" s="119">
        <v>101</v>
      </c>
      <c r="D614" s="109">
        <v>159</v>
      </c>
      <c r="E614" s="49">
        <v>1982</v>
      </c>
      <c r="F614" s="332">
        <f t="shared" ref="F614:F615" si="140">2019-E614</f>
        <v>37</v>
      </c>
      <c r="G614" s="68"/>
      <c r="H614" s="69"/>
      <c r="I614" s="70"/>
      <c r="J614" s="71"/>
      <c r="K614" s="71"/>
      <c r="L614" s="71"/>
      <c r="M614" s="71"/>
    </row>
    <row r="615" spans="1:13" s="72" customFormat="1" x14ac:dyDescent="0.25">
      <c r="A615" s="526"/>
      <c r="B615" s="526"/>
      <c r="C615" s="119">
        <v>101</v>
      </c>
      <c r="D615" s="109">
        <v>108</v>
      </c>
      <c r="E615" s="49">
        <v>1982</v>
      </c>
      <c r="F615" s="332">
        <f t="shared" si="140"/>
        <v>37</v>
      </c>
      <c r="G615" s="68"/>
      <c r="H615" s="69"/>
      <c r="I615" s="70"/>
      <c r="J615" s="71"/>
      <c r="K615" s="71"/>
      <c r="L615" s="71"/>
      <c r="M615" s="71"/>
    </row>
    <row r="616" spans="1:13" s="72" customFormat="1" ht="15.75" customHeight="1" x14ac:dyDescent="0.25">
      <c r="A616" s="525" t="s">
        <v>276</v>
      </c>
      <c r="B616" s="525" t="s">
        <v>444</v>
      </c>
      <c r="C616" s="53"/>
      <c r="D616" s="109"/>
      <c r="E616" s="74"/>
      <c r="F616" s="329"/>
      <c r="G616" s="68"/>
      <c r="H616" s="69"/>
      <c r="I616" s="70"/>
      <c r="J616" s="71"/>
      <c r="K616" s="71"/>
      <c r="L616" s="71"/>
      <c r="M616" s="71"/>
    </row>
    <row r="617" spans="1:13" s="72" customFormat="1" ht="19.5" customHeight="1" x14ac:dyDescent="0.25">
      <c r="A617" s="531"/>
      <c r="B617" s="531"/>
      <c r="C617" s="119">
        <v>5</v>
      </c>
      <c r="D617" s="109">
        <v>273</v>
      </c>
      <c r="E617" s="76">
        <v>1980</v>
      </c>
      <c r="F617" s="332">
        <f t="shared" ref="F617:F618" si="141">2019-E617</f>
        <v>39</v>
      </c>
      <c r="G617" s="68"/>
      <c r="H617" s="69"/>
      <c r="I617" s="70"/>
      <c r="J617" s="71"/>
      <c r="K617" s="71"/>
      <c r="L617" s="71"/>
      <c r="M617" s="71"/>
    </row>
    <row r="618" spans="1:13" s="72" customFormat="1" x14ac:dyDescent="0.25">
      <c r="A618" s="526"/>
      <c r="B618" s="526"/>
      <c r="C618" s="119">
        <v>5</v>
      </c>
      <c r="D618" s="109">
        <v>159</v>
      </c>
      <c r="E618" s="76">
        <v>1980</v>
      </c>
      <c r="F618" s="332">
        <f t="shared" si="141"/>
        <v>39</v>
      </c>
      <c r="G618" s="68"/>
      <c r="H618" s="69"/>
      <c r="I618" s="70"/>
      <c r="J618" s="71"/>
      <c r="K618" s="71"/>
      <c r="L618" s="71"/>
      <c r="M618" s="71"/>
    </row>
    <row r="619" spans="1:13" s="72" customFormat="1" ht="15.75" customHeight="1" x14ac:dyDescent="0.25">
      <c r="A619" s="525" t="s">
        <v>445</v>
      </c>
      <c r="B619" s="525" t="s">
        <v>446</v>
      </c>
      <c r="C619" s="53"/>
      <c r="D619" s="109"/>
      <c r="E619" s="74"/>
      <c r="F619" s="329"/>
      <c r="G619" s="68"/>
      <c r="H619" s="69"/>
      <c r="I619" s="70"/>
      <c r="J619" s="71"/>
      <c r="K619" s="71"/>
      <c r="L619" s="71"/>
      <c r="M619" s="71"/>
    </row>
    <row r="620" spans="1:13" s="72" customFormat="1" ht="18" customHeight="1" x14ac:dyDescent="0.25">
      <c r="A620" s="531"/>
      <c r="B620" s="540"/>
      <c r="C620" s="55">
        <v>30</v>
      </c>
      <c r="D620" s="109">
        <v>89</v>
      </c>
      <c r="E620" s="76">
        <v>1989</v>
      </c>
      <c r="F620" s="332">
        <f t="shared" ref="F620:F621" si="142">2019-E620</f>
        <v>30</v>
      </c>
      <c r="G620" s="68"/>
      <c r="H620" s="69"/>
      <c r="I620" s="70"/>
      <c r="J620" s="71"/>
      <c r="K620" s="71"/>
      <c r="L620" s="71"/>
      <c r="M620" s="71"/>
    </row>
    <row r="621" spans="1:13" s="72" customFormat="1" x14ac:dyDescent="0.25">
      <c r="A621" s="526"/>
      <c r="B621" s="533"/>
      <c r="C621" s="78">
        <v>30</v>
      </c>
      <c r="D621" s="109">
        <v>57</v>
      </c>
      <c r="E621" s="76">
        <v>1989</v>
      </c>
      <c r="F621" s="332">
        <f t="shared" si="142"/>
        <v>30</v>
      </c>
      <c r="G621" s="68"/>
      <c r="H621" s="69"/>
      <c r="I621" s="70"/>
      <c r="J621" s="71"/>
      <c r="K621" s="71"/>
      <c r="L621" s="71"/>
      <c r="M621" s="71"/>
    </row>
    <row r="622" spans="1:13" s="72" customFormat="1" ht="15.75" customHeight="1" x14ac:dyDescent="0.25">
      <c r="A622" s="525" t="s">
        <v>213</v>
      </c>
      <c r="B622" s="525" t="s">
        <v>255</v>
      </c>
      <c r="C622" s="119"/>
      <c r="D622" s="109"/>
      <c r="E622" s="74"/>
      <c r="F622" s="329"/>
      <c r="G622" s="68"/>
      <c r="H622" s="69"/>
      <c r="I622" s="70"/>
      <c r="J622" s="71"/>
      <c r="K622" s="71"/>
      <c r="L622" s="71"/>
      <c r="M622" s="71"/>
    </row>
    <row r="623" spans="1:13" s="72" customFormat="1" ht="15" customHeight="1" x14ac:dyDescent="0.25">
      <c r="A623" s="531"/>
      <c r="B623" s="531"/>
      <c r="C623" s="55">
        <v>31</v>
      </c>
      <c r="D623" s="109">
        <v>273</v>
      </c>
      <c r="E623" s="76">
        <v>2003</v>
      </c>
      <c r="F623" s="332">
        <f t="shared" ref="F623:F624" si="143">2019-E623</f>
        <v>16</v>
      </c>
      <c r="G623" s="68"/>
      <c r="H623" s="69"/>
      <c r="I623" s="70"/>
      <c r="J623" s="71"/>
      <c r="K623" s="71"/>
      <c r="L623" s="71"/>
      <c r="M623" s="71"/>
    </row>
    <row r="624" spans="1:13" s="72" customFormat="1" x14ac:dyDescent="0.25">
      <c r="A624" s="526"/>
      <c r="B624" s="526"/>
      <c r="C624" s="78">
        <v>31</v>
      </c>
      <c r="D624" s="109">
        <v>159</v>
      </c>
      <c r="E624" s="76">
        <v>2003</v>
      </c>
      <c r="F624" s="332">
        <f t="shared" si="143"/>
        <v>16</v>
      </c>
      <c r="G624" s="68"/>
      <c r="H624" s="69"/>
      <c r="I624" s="70"/>
      <c r="J624" s="71"/>
      <c r="K624" s="71"/>
      <c r="L624" s="71"/>
      <c r="M624" s="71"/>
    </row>
    <row r="625" spans="1:13" s="72" customFormat="1" ht="15.75" customHeight="1" x14ac:dyDescent="0.25">
      <c r="A625" s="525" t="s">
        <v>195</v>
      </c>
      <c r="B625" s="525" t="s">
        <v>447</v>
      </c>
      <c r="C625" s="53"/>
      <c r="D625" s="109"/>
      <c r="E625" s="74"/>
      <c r="F625" s="329"/>
      <c r="G625" s="68"/>
      <c r="H625" s="69"/>
      <c r="I625" s="70"/>
      <c r="J625" s="71"/>
      <c r="K625" s="71"/>
      <c r="L625" s="71"/>
      <c r="M625" s="71"/>
    </row>
    <row r="626" spans="1:13" s="72" customFormat="1" ht="19.5" customHeight="1" x14ac:dyDescent="0.25">
      <c r="A626" s="531"/>
      <c r="B626" s="531"/>
      <c r="C626" s="119">
        <v>34</v>
      </c>
      <c r="D626" s="109">
        <v>89</v>
      </c>
      <c r="E626" s="83">
        <v>1988</v>
      </c>
      <c r="F626" s="332">
        <f t="shared" ref="F626:F627" si="144">2019-E626</f>
        <v>31</v>
      </c>
      <c r="G626" s="68"/>
      <c r="H626" s="69"/>
      <c r="I626" s="70"/>
      <c r="J626" s="71"/>
      <c r="K626" s="71"/>
      <c r="L626" s="71"/>
      <c r="M626" s="71"/>
    </row>
    <row r="627" spans="1:13" s="72" customFormat="1" x14ac:dyDescent="0.25">
      <c r="A627" s="526"/>
      <c r="B627" s="526"/>
      <c r="C627" s="119">
        <v>34</v>
      </c>
      <c r="D627" s="109">
        <v>57</v>
      </c>
      <c r="E627" s="83">
        <v>1988</v>
      </c>
      <c r="F627" s="332">
        <f t="shared" si="144"/>
        <v>31</v>
      </c>
      <c r="G627" s="68"/>
      <c r="H627" s="69"/>
      <c r="I627" s="70"/>
      <c r="J627" s="71"/>
      <c r="K627" s="71"/>
      <c r="L627" s="71"/>
      <c r="M627" s="71"/>
    </row>
    <row r="628" spans="1:13" s="72" customFormat="1" ht="15.75" customHeight="1" x14ac:dyDescent="0.25">
      <c r="A628" s="525" t="s">
        <v>216</v>
      </c>
      <c r="B628" s="525" t="s">
        <v>201</v>
      </c>
      <c r="C628" s="53"/>
      <c r="D628" s="109"/>
      <c r="E628" s="74"/>
      <c r="F628" s="329"/>
      <c r="G628" s="68"/>
      <c r="H628" s="69"/>
      <c r="I628" s="70"/>
      <c r="J628" s="71"/>
      <c r="K628" s="71"/>
      <c r="L628" s="71"/>
      <c r="M628" s="71"/>
    </row>
    <row r="629" spans="1:13" s="72" customFormat="1" ht="20.25" customHeight="1" x14ac:dyDescent="0.25">
      <c r="A629" s="531"/>
      <c r="B629" s="531"/>
      <c r="C629" s="119">
        <v>23</v>
      </c>
      <c r="D629" s="109">
        <v>219</v>
      </c>
      <c r="E629" s="49">
        <v>1982</v>
      </c>
      <c r="F629" s="332">
        <f t="shared" ref="F629:F630" si="145">2019-E629</f>
        <v>37</v>
      </c>
      <c r="G629" s="68"/>
      <c r="H629" s="69"/>
      <c r="I629" s="70"/>
      <c r="J629" s="71"/>
      <c r="K629" s="71"/>
      <c r="L629" s="71"/>
      <c r="M629" s="71"/>
    </row>
    <row r="630" spans="1:13" s="72" customFormat="1" x14ac:dyDescent="0.25">
      <c r="A630" s="526"/>
      <c r="B630" s="526"/>
      <c r="C630" s="119">
        <v>23</v>
      </c>
      <c r="D630" s="109">
        <v>133</v>
      </c>
      <c r="E630" s="49">
        <v>1982</v>
      </c>
      <c r="F630" s="332">
        <f t="shared" si="145"/>
        <v>37</v>
      </c>
      <c r="G630" s="68"/>
      <c r="H630" s="69"/>
      <c r="I630" s="70"/>
      <c r="J630" s="71"/>
      <c r="K630" s="71"/>
      <c r="L630" s="71"/>
      <c r="M630" s="71"/>
    </row>
    <row r="631" spans="1:13" s="72" customFormat="1" ht="15.75" customHeight="1" x14ac:dyDescent="0.25">
      <c r="A631" s="525" t="s">
        <v>216</v>
      </c>
      <c r="B631" s="525" t="s">
        <v>448</v>
      </c>
      <c r="C631" s="53"/>
      <c r="D631" s="109"/>
      <c r="E631" s="74"/>
      <c r="F631" s="329"/>
      <c r="G631" s="68"/>
      <c r="H631" s="69"/>
      <c r="I631" s="70"/>
      <c r="J631" s="71"/>
      <c r="K631" s="71"/>
      <c r="L631" s="71"/>
      <c r="M631" s="71"/>
    </row>
    <row r="632" spans="1:13" s="72" customFormat="1" ht="16.5" customHeight="1" x14ac:dyDescent="0.25">
      <c r="A632" s="531"/>
      <c r="B632" s="531"/>
      <c r="C632" s="55">
        <v>37</v>
      </c>
      <c r="D632" s="109">
        <v>89</v>
      </c>
      <c r="E632" s="83">
        <v>2009</v>
      </c>
      <c r="F632" s="332">
        <f t="shared" ref="F632:F633" si="146">2019-E632</f>
        <v>10</v>
      </c>
      <c r="G632" s="68"/>
      <c r="H632" s="69"/>
      <c r="I632" s="70"/>
      <c r="J632" s="71"/>
      <c r="K632" s="71"/>
      <c r="L632" s="71"/>
      <c r="M632" s="71"/>
    </row>
    <row r="633" spans="1:13" s="72" customFormat="1" x14ac:dyDescent="0.25">
      <c r="A633" s="526"/>
      <c r="B633" s="526"/>
      <c r="C633" s="55">
        <v>37</v>
      </c>
      <c r="D633" s="109">
        <v>57</v>
      </c>
      <c r="E633" s="83">
        <v>2009</v>
      </c>
      <c r="F633" s="332">
        <f t="shared" si="146"/>
        <v>10</v>
      </c>
      <c r="G633" s="68"/>
      <c r="H633" s="69"/>
      <c r="I633" s="70"/>
      <c r="J633" s="71"/>
      <c r="K633" s="71"/>
      <c r="L633" s="71"/>
      <c r="M633" s="71"/>
    </row>
    <row r="634" spans="1:13" s="72" customFormat="1" ht="15.75" customHeight="1" x14ac:dyDescent="0.25">
      <c r="A634" s="525" t="s">
        <v>449</v>
      </c>
      <c r="B634" s="525" t="s">
        <v>450</v>
      </c>
      <c r="C634" s="53"/>
      <c r="D634" s="109"/>
      <c r="E634" s="74"/>
      <c r="F634" s="329"/>
      <c r="G634" s="68"/>
      <c r="H634" s="69"/>
      <c r="I634" s="70"/>
      <c r="J634" s="71"/>
      <c r="K634" s="71"/>
      <c r="L634" s="71"/>
      <c r="M634" s="71"/>
    </row>
    <row r="635" spans="1:13" s="72" customFormat="1" ht="18" customHeight="1" x14ac:dyDescent="0.25">
      <c r="A635" s="531"/>
      <c r="B635" s="531"/>
      <c r="C635" s="78">
        <v>34</v>
      </c>
      <c r="D635" s="109">
        <v>89</v>
      </c>
      <c r="E635" s="76">
        <v>2007</v>
      </c>
      <c r="F635" s="332">
        <f t="shared" ref="F635:F636" si="147">2019-E635</f>
        <v>12</v>
      </c>
      <c r="G635" s="68"/>
      <c r="H635" s="69"/>
      <c r="I635" s="70"/>
      <c r="J635" s="71"/>
      <c r="K635" s="71"/>
      <c r="L635" s="71"/>
      <c r="M635" s="71"/>
    </row>
    <row r="636" spans="1:13" s="72" customFormat="1" x14ac:dyDescent="0.25">
      <c r="A636" s="526"/>
      <c r="B636" s="526"/>
      <c r="C636" s="78">
        <v>34</v>
      </c>
      <c r="D636" s="109">
        <v>57</v>
      </c>
      <c r="E636" s="76">
        <v>2007</v>
      </c>
      <c r="F636" s="332">
        <f t="shared" si="147"/>
        <v>12</v>
      </c>
      <c r="G636" s="68"/>
      <c r="H636" s="69"/>
      <c r="I636" s="70"/>
      <c r="J636" s="71"/>
      <c r="K636" s="71"/>
      <c r="L636" s="71"/>
      <c r="M636" s="71"/>
    </row>
    <row r="637" spans="1:13" s="72" customFormat="1" ht="15.75" customHeight="1" x14ac:dyDescent="0.25">
      <c r="A637" s="525" t="s">
        <v>451</v>
      </c>
      <c r="B637" s="525" t="s">
        <v>359</v>
      </c>
      <c r="C637" s="53"/>
      <c r="D637" s="109"/>
      <c r="E637" s="74"/>
      <c r="F637" s="329"/>
      <c r="G637" s="68"/>
      <c r="H637" s="69"/>
      <c r="I637" s="70"/>
      <c r="J637" s="71"/>
      <c r="K637" s="71"/>
      <c r="L637" s="71"/>
      <c r="M637" s="71"/>
    </row>
    <row r="638" spans="1:13" s="72" customFormat="1" ht="18.75" customHeight="1" x14ac:dyDescent="0.25">
      <c r="A638" s="531"/>
      <c r="B638" s="531"/>
      <c r="C638" s="119">
        <v>30</v>
      </c>
      <c r="D638" s="109">
        <v>108</v>
      </c>
      <c r="E638" s="49">
        <v>1983</v>
      </c>
      <c r="F638" s="332">
        <f t="shared" ref="F638:F639" si="148">2019-E638</f>
        <v>36</v>
      </c>
      <c r="G638" s="68"/>
      <c r="H638" s="69"/>
      <c r="I638" s="70"/>
      <c r="J638" s="71"/>
      <c r="K638" s="71"/>
      <c r="L638" s="71"/>
      <c r="M638" s="71"/>
    </row>
    <row r="639" spans="1:13" s="72" customFormat="1" x14ac:dyDescent="0.25">
      <c r="A639" s="526"/>
      <c r="B639" s="526"/>
      <c r="C639" s="119">
        <v>30</v>
      </c>
      <c r="D639" s="109">
        <v>89</v>
      </c>
      <c r="E639" s="49">
        <v>1983</v>
      </c>
      <c r="F639" s="332">
        <f t="shared" si="148"/>
        <v>36</v>
      </c>
      <c r="G639" s="68"/>
      <c r="H639" s="69"/>
      <c r="I639" s="70"/>
      <c r="J639" s="71"/>
      <c r="K639" s="71"/>
      <c r="L639" s="71"/>
      <c r="M639" s="71"/>
    </row>
    <row r="640" spans="1:13" s="72" customFormat="1" ht="15.75" customHeight="1" x14ac:dyDescent="0.25">
      <c r="A640" s="525" t="s">
        <v>197</v>
      </c>
      <c r="B640" s="525" t="s">
        <v>452</v>
      </c>
      <c r="C640" s="53"/>
      <c r="D640" s="109"/>
      <c r="E640" s="74"/>
      <c r="F640" s="329"/>
      <c r="G640" s="68"/>
      <c r="H640" s="69"/>
      <c r="I640" s="70"/>
      <c r="J640" s="71"/>
      <c r="K640" s="71"/>
      <c r="L640" s="71"/>
      <c r="M640" s="71"/>
    </row>
    <row r="641" spans="1:13" s="72" customFormat="1" x14ac:dyDescent="0.25">
      <c r="A641" s="531"/>
      <c r="B641" s="531"/>
      <c r="C641" s="119">
        <v>27</v>
      </c>
      <c r="D641" s="109">
        <v>108</v>
      </c>
      <c r="E641" s="49">
        <v>1981</v>
      </c>
      <c r="F641" s="332">
        <f t="shared" ref="F641:F642" si="149">2019-E641</f>
        <v>38</v>
      </c>
      <c r="G641" s="68"/>
      <c r="H641" s="69"/>
      <c r="I641" s="70"/>
      <c r="J641" s="71"/>
      <c r="K641" s="71"/>
      <c r="L641" s="71"/>
      <c r="M641" s="71"/>
    </row>
    <row r="642" spans="1:13" s="72" customFormat="1" x14ac:dyDescent="0.25">
      <c r="A642" s="526"/>
      <c r="B642" s="526"/>
      <c r="C642" s="119">
        <v>27</v>
      </c>
      <c r="D642" s="109">
        <v>57</v>
      </c>
      <c r="E642" s="49">
        <v>1981</v>
      </c>
      <c r="F642" s="332">
        <f t="shared" si="149"/>
        <v>38</v>
      </c>
      <c r="G642" s="68"/>
      <c r="H642" s="69"/>
      <c r="I642" s="70"/>
      <c r="J642" s="71"/>
      <c r="K642" s="71"/>
      <c r="L642" s="71"/>
      <c r="M642" s="71"/>
    </row>
    <row r="643" spans="1:13" s="72" customFormat="1" ht="15.75" customHeight="1" x14ac:dyDescent="0.25">
      <c r="A643" s="525" t="s">
        <v>329</v>
      </c>
      <c r="B643" s="525" t="s">
        <v>453</v>
      </c>
      <c r="C643" s="53"/>
      <c r="D643" s="109"/>
      <c r="E643" s="74"/>
      <c r="F643" s="329"/>
      <c r="G643" s="68"/>
      <c r="H643" s="69"/>
      <c r="I643" s="70"/>
      <c r="J643" s="71"/>
      <c r="K643" s="71"/>
      <c r="L643" s="71"/>
      <c r="M643" s="71"/>
    </row>
    <row r="644" spans="1:13" s="72" customFormat="1" ht="20.25" customHeight="1" x14ac:dyDescent="0.25">
      <c r="A644" s="531"/>
      <c r="B644" s="531"/>
      <c r="C644" s="119">
        <v>27</v>
      </c>
      <c r="D644" s="109">
        <v>40</v>
      </c>
      <c r="E644" s="49">
        <v>1981</v>
      </c>
      <c r="F644" s="332">
        <f t="shared" ref="F644:F645" si="150">2019-E644</f>
        <v>38</v>
      </c>
      <c r="G644" s="68"/>
      <c r="H644" s="69"/>
      <c r="I644" s="70"/>
      <c r="J644" s="71"/>
      <c r="K644" s="71"/>
      <c r="L644" s="71"/>
      <c r="M644" s="71"/>
    </row>
    <row r="645" spans="1:13" s="72" customFormat="1" x14ac:dyDescent="0.25">
      <c r="A645" s="526"/>
      <c r="B645" s="526"/>
      <c r="C645" s="55">
        <v>27</v>
      </c>
      <c r="D645" s="109">
        <v>25</v>
      </c>
      <c r="E645" s="49">
        <v>1981</v>
      </c>
      <c r="F645" s="332">
        <f t="shared" si="150"/>
        <v>38</v>
      </c>
      <c r="G645" s="68"/>
      <c r="H645" s="69"/>
      <c r="I645" s="70"/>
      <c r="J645" s="71"/>
      <c r="K645" s="71"/>
      <c r="L645" s="71"/>
      <c r="M645" s="71"/>
    </row>
    <row r="646" spans="1:13" s="72" customFormat="1" ht="15.75" customHeight="1" x14ac:dyDescent="0.25">
      <c r="A646" s="525" t="s">
        <v>454</v>
      </c>
      <c r="B646" s="525" t="s">
        <v>455</v>
      </c>
      <c r="C646" s="53"/>
      <c r="D646" s="109"/>
      <c r="E646" s="74"/>
      <c r="F646" s="329"/>
      <c r="G646" s="68"/>
      <c r="H646" s="69"/>
      <c r="I646" s="70"/>
      <c r="J646" s="71"/>
      <c r="K646" s="71"/>
      <c r="L646" s="71"/>
      <c r="M646" s="71"/>
    </row>
    <row r="647" spans="1:13" s="72" customFormat="1" ht="18" customHeight="1" x14ac:dyDescent="0.25">
      <c r="A647" s="531"/>
      <c r="B647" s="531"/>
      <c r="C647" s="119">
        <v>51</v>
      </c>
      <c r="D647" s="109">
        <v>159</v>
      </c>
      <c r="E647" s="49">
        <v>1981</v>
      </c>
      <c r="F647" s="332">
        <f t="shared" ref="F647:F648" si="151">2019-E647</f>
        <v>38</v>
      </c>
      <c r="G647" s="68"/>
      <c r="H647" s="69"/>
      <c r="I647" s="70"/>
      <c r="J647" s="71"/>
      <c r="K647" s="71"/>
      <c r="L647" s="71"/>
      <c r="M647" s="71"/>
    </row>
    <row r="648" spans="1:13" s="72" customFormat="1" x14ac:dyDescent="0.25">
      <c r="A648" s="526"/>
      <c r="B648" s="526"/>
      <c r="C648" s="119">
        <v>51</v>
      </c>
      <c r="D648" s="109">
        <v>108</v>
      </c>
      <c r="E648" s="49">
        <v>1981</v>
      </c>
      <c r="F648" s="332">
        <f t="shared" si="151"/>
        <v>38</v>
      </c>
      <c r="G648" s="68"/>
      <c r="H648" s="69"/>
      <c r="I648" s="70"/>
      <c r="J648" s="71"/>
      <c r="K648" s="71"/>
      <c r="L648" s="71"/>
      <c r="M648" s="71"/>
    </row>
    <row r="649" spans="1:13" s="72" customFormat="1" ht="15.75" customHeight="1" x14ac:dyDescent="0.25">
      <c r="A649" s="525" t="s">
        <v>178</v>
      </c>
      <c r="B649" s="525" t="s">
        <v>295</v>
      </c>
      <c r="C649" s="53"/>
      <c r="D649" s="109"/>
      <c r="E649" s="74"/>
      <c r="F649" s="329"/>
      <c r="G649" s="68"/>
      <c r="H649" s="69"/>
      <c r="I649" s="70"/>
      <c r="J649" s="71"/>
      <c r="K649" s="71"/>
      <c r="L649" s="71"/>
      <c r="M649" s="71"/>
    </row>
    <row r="650" spans="1:13" s="72" customFormat="1" ht="19.5" customHeight="1" x14ac:dyDescent="0.25">
      <c r="A650" s="531"/>
      <c r="B650" s="531"/>
      <c r="C650" s="55">
        <v>120</v>
      </c>
      <c r="D650" s="109">
        <v>159</v>
      </c>
      <c r="E650" s="76">
        <v>2013</v>
      </c>
      <c r="F650" s="332">
        <f t="shared" ref="F650:F651" si="152">2019-E650</f>
        <v>6</v>
      </c>
      <c r="G650" s="68"/>
      <c r="H650" s="69"/>
      <c r="I650" s="70"/>
      <c r="J650" s="71"/>
      <c r="K650" s="71"/>
      <c r="L650" s="71"/>
      <c r="M650" s="71"/>
    </row>
    <row r="651" spans="1:13" s="72" customFormat="1" x14ac:dyDescent="0.25">
      <c r="A651" s="526"/>
      <c r="B651" s="526"/>
      <c r="C651" s="55">
        <v>120</v>
      </c>
      <c r="D651" s="109">
        <v>133</v>
      </c>
      <c r="E651" s="76">
        <v>2013</v>
      </c>
      <c r="F651" s="332">
        <f t="shared" si="152"/>
        <v>6</v>
      </c>
      <c r="G651" s="68"/>
      <c r="H651" s="69"/>
      <c r="I651" s="70"/>
      <c r="J651" s="71"/>
      <c r="K651" s="71"/>
      <c r="L651" s="71"/>
      <c r="M651" s="71"/>
    </row>
    <row r="652" spans="1:13" s="72" customFormat="1" ht="15.75" customHeight="1" x14ac:dyDescent="0.25">
      <c r="A652" s="525" t="s">
        <v>456</v>
      </c>
      <c r="B652" s="525" t="s">
        <v>457</v>
      </c>
      <c r="C652" s="53"/>
      <c r="D652" s="109"/>
      <c r="E652" s="74"/>
      <c r="F652" s="329"/>
      <c r="G652" s="68"/>
      <c r="H652" s="69"/>
      <c r="I652" s="70"/>
      <c r="J652" s="71"/>
      <c r="K652" s="71"/>
      <c r="L652" s="71"/>
      <c r="M652" s="71"/>
    </row>
    <row r="653" spans="1:13" s="72" customFormat="1" ht="19.5" customHeight="1" x14ac:dyDescent="0.25">
      <c r="A653" s="531"/>
      <c r="B653" s="531"/>
      <c r="C653" s="119">
        <v>42</v>
      </c>
      <c r="D653" s="109">
        <v>159</v>
      </c>
      <c r="E653" s="49">
        <v>1981</v>
      </c>
      <c r="F653" s="332">
        <f t="shared" ref="F653:F654" si="153">2019-E653</f>
        <v>38</v>
      </c>
      <c r="G653" s="68"/>
      <c r="H653" s="69"/>
      <c r="I653" s="70"/>
      <c r="J653" s="71"/>
      <c r="K653" s="71"/>
      <c r="L653" s="71"/>
      <c r="M653" s="71"/>
    </row>
    <row r="654" spans="1:13" s="72" customFormat="1" x14ac:dyDescent="0.25">
      <c r="A654" s="526"/>
      <c r="B654" s="526"/>
      <c r="C654" s="119">
        <v>42</v>
      </c>
      <c r="D654" s="109">
        <v>108</v>
      </c>
      <c r="E654" s="49">
        <v>1981</v>
      </c>
      <c r="F654" s="332">
        <f t="shared" si="153"/>
        <v>38</v>
      </c>
      <c r="G654" s="68"/>
      <c r="H654" s="69"/>
      <c r="I654" s="70"/>
      <c r="J654" s="71"/>
      <c r="K654" s="71"/>
      <c r="L654" s="71"/>
      <c r="M654" s="71"/>
    </row>
    <row r="655" spans="1:13" s="72" customFormat="1" ht="15.75" customHeight="1" x14ac:dyDescent="0.25">
      <c r="A655" s="525" t="s">
        <v>458</v>
      </c>
      <c r="B655" s="525" t="s">
        <v>459</v>
      </c>
      <c r="C655" s="53"/>
      <c r="D655" s="109"/>
      <c r="E655" s="74"/>
      <c r="F655" s="329"/>
      <c r="G655" s="68"/>
      <c r="H655" s="69"/>
      <c r="I655" s="70"/>
      <c r="J655" s="71"/>
      <c r="K655" s="71"/>
      <c r="L655" s="71"/>
      <c r="M655" s="71"/>
    </row>
    <row r="656" spans="1:13" s="72" customFormat="1" ht="15.75" customHeight="1" x14ac:dyDescent="0.25">
      <c r="A656" s="531"/>
      <c r="B656" s="531"/>
      <c r="C656" s="119">
        <v>21</v>
      </c>
      <c r="D656" s="109">
        <v>133</v>
      </c>
      <c r="E656" s="49">
        <v>1983</v>
      </c>
      <c r="F656" s="332">
        <f t="shared" ref="F656:F657" si="154">2019-E656</f>
        <v>36</v>
      </c>
      <c r="G656" s="68"/>
      <c r="H656" s="69"/>
      <c r="I656" s="70"/>
      <c r="J656" s="71"/>
      <c r="K656" s="71"/>
      <c r="L656" s="71"/>
      <c r="M656" s="71"/>
    </row>
    <row r="657" spans="1:13" s="72" customFormat="1" x14ac:dyDescent="0.25">
      <c r="A657" s="526"/>
      <c r="B657" s="526"/>
      <c r="C657" s="119">
        <v>21</v>
      </c>
      <c r="D657" s="109">
        <v>108</v>
      </c>
      <c r="E657" s="49">
        <v>1983</v>
      </c>
      <c r="F657" s="332">
        <f t="shared" si="154"/>
        <v>36</v>
      </c>
      <c r="G657" s="68"/>
      <c r="H657" s="69"/>
      <c r="I657" s="70"/>
      <c r="J657" s="71"/>
      <c r="K657" s="71"/>
      <c r="L657" s="71"/>
      <c r="M657" s="71"/>
    </row>
    <row r="658" spans="1:13" s="72" customFormat="1" ht="15.75" customHeight="1" x14ac:dyDescent="0.25">
      <c r="A658" s="525" t="s">
        <v>456</v>
      </c>
      <c r="B658" s="525" t="s">
        <v>460</v>
      </c>
      <c r="C658" s="53"/>
      <c r="D658" s="109"/>
      <c r="E658" s="74"/>
      <c r="F658" s="329"/>
      <c r="G658" s="68"/>
      <c r="H658" s="69"/>
      <c r="I658" s="70"/>
      <c r="J658" s="71"/>
      <c r="K658" s="71"/>
      <c r="L658" s="71"/>
      <c r="M658" s="71"/>
    </row>
    <row r="659" spans="1:13" s="72" customFormat="1" ht="19.5" customHeight="1" x14ac:dyDescent="0.25">
      <c r="A659" s="531"/>
      <c r="B659" s="531"/>
      <c r="C659" s="119">
        <v>99</v>
      </c>
      <c r="D659" s="109">
        <v>108</v>
      </c>
      <c r="E659" s="49">
        <v>1981</v>
      </c>
      <c r="F659" s="332">
        <f t="shared" ref="F659:F660" si="155">2019-E659</f>
        <v>38</v>
      </c>
      <c r="G659" s="68"/>
      <c r="H659" s="69"/>
      <c r="I659" s="70"/>
      <c r="J659" s="71"/>
      <c r="K659" s="71"/>
      <c r="L659" s="71"/>
      <c r="M659" s="71"/>
    </row>
    <row r="660" spans="1:13" s="72" customFormat="1" x14ac:dyDescent="0.25">
      <c r="A660" s="526"/>
      <c r="B660" s="526"/>
      <c r="C660" s="119">
        <v>99</v>
      </c>
      <c r="D660" s="109">
        <v>89</v>
      </c>
      <c r="E660" s="49">
        <v>1981</v>
      </c>
      <c r="F660" s="332">
        <f t="shared" si="155"/>
        <v>38</v>
      </c>
      <c r="G660" s="68"/>
      <c r="H660" s="69"/>
      <c r="I660" s="70"/>
      <c r="J660" s="71"/>
      <c r="K660" s="71"/>
      <c r="L660" s="71"/>
      <c r="M660" s="71"/>
    </row>
    <row r="661" spans="1:13" s="72" customFormat="1" ht="15.75" customHeight="1" x14ac:dyDescent="0.25">
      <c r="A661" s="525" t="s">
        <v>461</v>
      </c>
      <c r="B661" s="525" t="s">
        <v>462</v>
      </c>
      <c r="C661" s="53"/>
      <c r="D661" s="109"/>
      <c r="E661" s="74"/>
      <c r="F661" s="329"/>
      <c r="G661" s="68"/>
      <c r="H661" s="69"/>
      <c r="I661" s="70"/>
      <c r="J661" s="71"/>
      <c r="K661" s="71"/>
      <c r="L661" s="71"/>
      <c r="M661" s="71"/>
    </row>
    <row r="662" spans="1:13" s="72" customFormat="1" ht="22.5" customHeight="1" x14ac:dyDescent="0.25">
      <c r="A662" s="531"/>
      <c r="B662" s="531"/>
      <c r="C662" s="55">
        <v>4.0999999999999996</v>
      </c>
      <c r="D662" s="109">
        <v>32</v>
      </c>
      <c r="E662" s="49">
        <v>1981</v>
      </c>
      <c r="F662" s="332">
        <f t="shared" ref="F662:F663" si="156">2019-E662</f>
        <v>38</v>
      </c>
      <c r="G662" s="68"/>
      <c r="H662" s="69"/>
      <c r="I662" s="70"/>
      <c r="J662" s="71"/>
      <c r="K662" s="71"/>
      <c r="L662" s="71"/>
      <c r="M662" s="71"/>
    </row>
    <row r="663" spans="1:13" s="72" customFormat="1" x14ac:dyDescent="0.25">
      <c r="A663" s="526"/>
      <c r="B663" s="526"/>
      <c r="C663" s="55">
        <v>4.0999999999999996</v>
      </c>
      <c r="D663" s="109">
        <v>32</v>
      </c>
      <c r="E663" s="49">
        <v>1981</v>
      </c>
      <c r="F663" s="332">
        <f t="shared" si="156"/>
        <v>38</v>
      </c>
      <c r="G663" s="68"/>
      <c r="H663" s="69"/>
      <c r="I663" s="70"/>
      <c r="J663" s="71"/>
      <c r="K663" s="71"/>
      <c r="L663" s="71"/>
      <c r="M663" s="71"/>
    </row>
    <row r="664" spans="1:13" s="72" customFormat="1" ht="15.75" customHeight="1" x14ac:dyDescent="0.25">
      <c r="A664" s="525" t="s">
        <v>197</v>
      </c>
      <c r="B664" s="525" t="s">
        <v>281</v>
      </c>
      <c r="C664" s="53"/>
      <c r="D664" s="109"/>
      <c r="E664" s="74"/>
      <c r="F664" s="329"/>
      <c r="G664" s="68"/>
      <c r="H664" s="69"/>
      <c r="I664" s="70"/>
      <c r="J664" s="71"/>
      <c r="K664" s="71"/>
      <c r="L664" s="71"/>
      <c r="M664" s="71"/>
    </row>
    <row r="665" spans="1:13" s="72" customFormat="1" ht="17.25" customHeight="1" x14ac:dyDescent="0.25">
      <c r="A665" s="531"/>
      <c r="B665" s="531"/>
      <c r="C665" s="78">
        <v>106</v>
      </c>
      <c r="D665" s="109">
        <v>219</v>
      </c>
      <c r="E665" s="76">
        <v>2001</v>
      </c>
      <c r="F665" s="332">
        <f t="shared" ref="F665:F666" si="157">2019-E665</f>
        <v>18</v>
      </c>
      <c r="G665" s="68"/>
      <c r="H665" s="69"/>
      <c r="I665" s="70"/>
      <c r="J665" s="71"/>
      <c r="K665" s="71"/>
      <c r="L665" s="71"/>
      <c r="M665" s="71"/>
    </row>
    <row r="666" spans="1:13" s="72" customFormat="1" x14ac:dyDescent="0.25">
      <c r="A666" s="526"/>
      <c r="B666" s="526"/>
      <c r="C666" s="78">
        <v>106</v>
      </c>
      <c r="D666" s="109">
        <v>133</v>
      </c>
      <c r="E666" s="76">
        <v>2001</v>
      </c>
      <c r="F666" s="332">
        <f t="shared" si="157"/>
        <v>18</v>
      </c>
      <c r="G666" s="68"/>
      <c r="H666" s="69"/>
      <c r="I666" s="70"/>
      <c r="J666" s="71"/>
      <c r="K666" s="71"/>
      <c r="L666" s="71"/>
      <c r="M666" s="71"/>
    </row>
    <row r="667" spans="1:13" s="72" customFormat="1" ht="15.75" customHeight="1" x14ac:dyDescent="0.25">
      <c r="A667" s="525" t="s">
        <v>463</v>
      </c>
      <c r="B667" s="525" t="s">
        <v>464</v>
      </c>
      <c r="C667" s="53"/>
      <c r="D667" s="109"/>
      <c r="E667" s="74"/>
      <c r="F667" s="329"/>
      <c r="G667" s="68"/>
      <c r="H667" s="69"/>
      <c r="I667" s="70"/>
      <c r="J667" s="71"/>
      <c r="K667" s="71"/>
      <c r="L667" s="71"/>
      <c r="M667" s="71"/>
    </row>
    <row r="668" spans="1:13" s="72" customFormat="1" ht="19.5" customHeight="1" x14ac:dyDescent="0.25">
      <c r="A668" s="531"/>
      <c r="B668" s="531"/>
      <c r="C668" s="119">
        <v>19</v>
      </c>
      <c r="D668" s="109">
        <v>89</v>
      </c>
      <c r="E668" s="76">
        <v>1984</v>
      </c>
      <c r="F668" s="332">
        <f t="shared" ref="F668:F669" si="158">2019-E668</f>
        <v>35</v>
      </c>
      <c r="G668" s="68"/>
      <c r="H668" s="69"/>
      <c r="I668" s="70"/>
      <c r="J668" s="71"/>
      <c r="K668" s="71"/>
      <c r="L668" s="71"/>
      <c r="M668" s="71"/>
    </row>
    <row r="669" spans="1:13" s="72" customFormat="1" x14ac:dyDescent="0.25">
      <c r="A669" s="526"/>
      <c r="B669" s="526"/>
      <c r="C669" s="119">
        <v>19</v>
      </c>
      <c r="D669" s="109">
        <v>57</v>
      </c>
      <c r="E669" s="76">
        <v>1984</v>
      </c>
      <c r="F669" s="332">
        <f t="shared" si="158"/>
        <v>35</v>
      </c>
      <c r="G669" s="68"/>
      <c r="H669" s="69"/>
      <c r="I669" s="70"/>
      <c r="J669" s="71"/>
      <c r="K669" s="71"/>
      <c r="L669" s="71"/>
      <c r="M669" s="71"/>
    </row>
    <row r="670" spans="1:13" s="72" customFormat="1" ht="15.75" customHeight="1" x14ac:dyDescent="0.25">
      <c r="A670" s="525" t="s">
        <v>451</v>
      </c>
      <c r="B670" s="525" t="s">
        <v>465</v>
      </c>
      <c r="C670" s="53"/>
      <c r="D670" s="109"/>
      <c r="E670" s="74"/>
      <c r="F670" s="329"/>
      <c r="G670" s="68"/>
      <c r="H670" s="69"/>
      <c r="I670" s="70"/>
      <c r="J670" s="71"/>
      <c r="K670" s="71"/>
      <c r="L670" s="71"/>
      <c r="M670" s="71"/>
    </row>
    <row r="671" spans="1:13" s="72" customFormat="1" ht="15" customHeight="1" x14ac:dyDescent="0.25">
      <c r="A671" s="531"/>
      <c r="B671" s="531"/>
      <c r="C671" s="119">
        <v>17</v>
      </c>
      <c r="D671" s="109">
        <v>89</v>
      </c>
      <c r="E671" s="76">
        <v>1984</v>
      </c>
      <c r="F671" s="332">
        <f t="shared" ref="F671:F672" si="159">2019-E671</f>
        <v>35</v>
      </c>
      <c r="G671" s="68"/>
      <c r="H671" s="69"/>
      <c r="I671" s="70"/>
      <c r="J671" s="71"/>
      <c r="K671" s="71"/>
      <c r="L671" s="71"/>
      <c r="M671" s="71"/>
    </row>
    <row r="672" spans="1:13" s="72" customFormat="1" x14ac:dyDescent="0.25">
      <c r="A672" s="526"/>
      <c r="B672" s="526"/>
      <c r="C672" s="119">
        <v>17</v>
      </c>
      <c r="D672" s="109">
        <v>57</v>
      </c>
      <c r="E672" s="76">
        <v>1984</v>
      </c>
      <c r="F672" s="332">
        <f t="shared" si="159"/>
        <v>35</v>
      </c>
      <c r="G672" s="68"/>
      <c r="H672" s="69"/>
      <c r="I672" s="70"/>
      <c r="J672" s="71"/>
      <c r="K672" s="71"/>
      <c r="L672" s="71"/>
      <c r="M672" s="71"/>
    </row>
    <row r="673" spans="1:13" s="72" customFormat="1" ht="15.75" customHeight="1" x14ac:dyDescent="0.25">
      <c r="A673" s="525" t="s">
        <v>456</v>
      </c>
      <c r="B673" s="525" t="s">
        <v>466</v>
      </c>
      <c r="C673" s="53"/>
      <c r="D673" s="109"/>
      <c r="E673" s="74"/>
      <c r="F673" s="329"/>
      <c r="G673" s="68"/>
      <c r="H673" s="69"/>
      <c r="I673" s="70"/>
      <c r="J673" s="71"/>
      <c r="K673" s="71"/>
      <c r="L673" s="71"/>
      <c r="M673" s="71"/>
    </row>
    <row r="674" spans="1:13" s="72" customFormat="1" ht="19.5" customHeight="1" x14ac:dyDescent="0.25">
      <c r="A674" s="531"/>
      <c r="B674" s="531"/>
      <c r="C674" s="119">
        <v>55</v>
      </c>
      <c r="D674" s="109">
        <v>108</v>
      </c>
      <c r="E674" s="49">
        <v>1981</v>
      </c>
      <c r="F674" s="332">
        <f t="shared" ref="F674:F675" si="160">2019-E674</f>
        <v>38</v>
      </c>
      <c r="G674" s="68"/>
      <c r="H674" s="69"/>
      <c r="I674" s="70"/>
      <c r="J674" s="71"/>
      <c r="K674" s="71"/>
      <c r="L674" s="71"/>
      <c r="M674" s="71"/>
    </row>
    <row r="675" spans="1:13" s="72" customFormat="1" x14ac:dyDescent="0.25">
      <c r="A675" s="526"/>
      <c r="B675" s="526"/>
      <c r="C675" s="119">
        <v>55</v>
      </c>
      <c r="D675" s="109">
        <v>89</v>
      </c>
      <c r="E675" s="49">
        <v>1981</v>
      </c>
      <c r="F675" s="332">
        <f t="shared" si="160"/>
        <v>38</v>
      </c>
      <c r="G675" s="68"/>
      <c r="H675" s="69"/>
      <c r="I675" s="70"/>
      <c r="J675" s="71"/>
      <c r="K675" s="71"/>
      <c r="L675" s="71"/>
      <c r="M675" s="71"/>
    </row>
    <row r="676" spans="1:13" s="72" customFormat="1" ht="15.75" customHeight="1" x14ac:dyDescent="0.25">
      <c r="A676" s="525" t="s">
        <v>203</v>
      </c>
      <c r="B676" s="525" t="s">
        <v>467</v>
      </c>
      <c r="C676" s="53"/>
      <c r="D676" s="109"/>
      <c r="E676" s="74"/>
      <c r="F676" s="329"/>
      <c r="G676" s="68"/>
      <c r="H676" s="69"/>
      <c r="I676" s="70"/>
      <c r="J676" s="71"/>
      <c r="K676" s="71"/>
      <c r="L676" s="71"/>
      <c r="M676" s="71"/>
    </row>
    <row r="677" spans="1:13" s="72" customFormat="1" ht="20.25" customHeight="1" x14ac:dyDescent="0.25">
      <c r="A677" s="531"/>
      <c r="B677" s="531"/>
      <c r="C677" s="78">
        <v>28</v>
      </c>
      <c r="D677" s="109">
        <v>108</v>
      </c>
      <c r="E677" s="76">
        <v>2003</v>
      </c>
      <c r="F677" s="332">
        <f t="shared" ref="F677:F678" si="161">2019-E677</f>
        <v>16</v>
      </c>
      <c r="G677" s="68"/>
      <c r="H677" s="69"/>
      <c r="I677" s="70"/>
      <c r="J677" s="71"/>
      <c r="K677" s="71"/>
      <c r="L677" s="71"/>
      <c r="M677" s="71"/>
    </row>
    <row r="678" spans="1:13" s="72" customFormat="1" x14ac:dyDescent="0.25">
      <c r="A678" s="526"/>
      <c r="B678" s="526"/>
      <c r="C678" s="78">
        <v>28</v>
      </c>
      <c r="D678" s="109">
        <v>57</v>
      </c>
      <c r="E678" s="76">
        <v>2003</v>
      </c>
      <c r="F678" s="332">
        <f t="shared" si="161"/>
        <v>16</v>
      </c>
      <c r="G678" s="68"/>
      <c r="H678" s="69"/>
      <c r="I678" s="70"/>
      <c r="J678" s="71"/>
      <c r="K678" s="71"/>
      <c r="L678" s="71"/>
      <c r="M678" s="71"/>
    </row>
    <row r="679" spans="1:13" s="72" customFormat="1" ht="15.75" customHeight="1" x14ac:dyDescent="0.25">
      <c r="A679" s="525" t="s">
        <v>468</v>
      </c>
      <c r="B679" s="525" t="s">
        <v>469</v>
      </c>
      <c r="C679" s="53"/>
      <c r="D679" s="109"/>
      <c r="E679" s="74"/>
      <c r="F679" s="329"/>
      <c r="G679" s="68"/>
      <c r="H679" s="69"/>
      <c r="I679" s="70"/>
      <c r="J679" s="71"/>
      <c r="K679" s="71"/>
      <c r="L679" s="71"/>
      <c r="M679" s="71"/>
    </row>
    <row r="680" spans="1:13" s="72" customFormat="1" ht="18" customHeight="1" x14ac:dyDescent="0.25">
      <c r="A680" s="531"/>
      <c r="B680" s="531"/>
      <c r="C680" s="119">
        <v>65</v>
      </c>
      <c r="D680" s="109">
        <v>159</v>
      </c>
      <c r="E680" s="49">
        <v>1981</v>
      </c>
      <c r="F680" s="332">
        <f t="shared" ref="F680:F681" si="162">2019-E680</f>
        <v>38</v>
      </c>
      <c r="G680" s="68"/>
      <c r="H680" s="69"/>
      <c r="I680" s="70"/>
      <c r="J680" s="71"/>
      <c r="K680" s="71"/>
      <c r="L680" s="71"/>
      <c r="M680" s="71"/>
    </row>
    <row r="681" spans="1:13" s="72" customFormat="1" x14ac:dyDescent="0.25">
      <c r="A681" s="526"/>
      <c r="B681" s="526"/>
      <c r="C681" s="119">
        <v>65</v>
      </c>
      <c r="D681" s="109">
        <v>108</v>
      </c>
      <c r="E681" s="49">
        <v>1981</v>
      </c>
      <c r="F681" s="332">
        <f t="shared" si="162"/>
        <v>38</v>
      </c>
      <c r="G681" s="68"/>
      <c r="H681" s="69"/>
      <c r="I681" s="70"/>
      <c r="J681" s="71"/>
      <c r="K681" s="71"/>
      <c r="L681" s="71"/>
      <c r="M681" s="71"/>
    </row>
    <row r="682" spans="1:13" s="72" customFormat="1" ht="15.75" customHeight="1" x14ac:dyDescent="0.25">
      <c r="A682" s="525" t="s">
        <v>276</v>
      </c>
      <c r="B682" s="525" t="s">
        <v>356</v>
      </c>
      <c r="C682" s="53"/>
      <c r="D682" s="109"/>
      <c r="E682" s="74"/>
      <c r="F682" s="329"/>
      <c r="G682" s="68"/>
      <c r="H682" s="69"/>
      <c r="I682" s="70"/>
      <c r="J682" s="71"/>
      <c r="K682" s="71"/>
      <c r="L682" s="71"/>
      <c r="M682" s="71"/>
    </row>
    <row r="683" spans="1:13" s="72" customFormat="1" ht="19.5" customHeight="1" x14ac:dyDescent="0.25">
      <c r="A683" s="531"/>
      <c r="B683" s="531"/>
      <c r="C683" s="119">
        <v>19</v>
      </c>
      <c r="D683" s="109">
        <v>108</v>
      </c>
      <c r="E683" s="49">
        <v>1981</v>
      </c>
      <c r="F683" s="332">
        <f t="shared" ref="F683:F684" si="163">2019-E683</f>
        <v>38</v>
      </c>
      <c r="G683" s="68"/>
      <c r="H683" s="69"/>
      <c r="I683" s="70"/>
      <c r="J683" s="71"/>
      <c r="K683" s="71"/>
      <c r="L683" s="71"/>
      <c r="M683" s="71"/>
    </row>
    <row r="684" spans="1:13" s="72" customFormat="1" x14ac:dyDescent="0.25">
      <c r="A684" s="526"/>
      <c r="B684" s="526"/>
      <c r="C684" s="119">
        <v>19</v>
      </c>
      <c r="D684" s="109">
        <v>89</v>
      </c>
      <c r="E684" s="49">
        <v>1981</v>
      </c>
      <c r="F684" s="332">
        <f t="shared" si="163"/>
        <v>38</v>
      </c>
      <c r="G684" s="68"/>
      <c r="H684" s="69"/>
      <c r="I684" s="70"/>
      <c r="J684" s="71"/>
      <c r="K684" s="71"/>
      <c r="L684" s="71"/>
      <c r="M684" s="71"/>
    </row>
    <row r="685" spans="1:13" s="72" customFormat="1" ht="15.75" customHeight="1" x14ac:dyDescent="0.25">
      <c r="A685" s="525" t="s">
        <v>253</v>
      </c>
      <c r="B685" s="525" t="s">
        <v>324</v>
      </c>
      <c r="C685" s="53"/>
      <c r="D685" s="109"/>
      <c r="E685" s="74"/>
      <c r="F685" s="329"/>
      <c r="G685" s="68"/>
      <c r="H685" s="69"/>
      <c r="I685" s="70"/>
      <c r="J685" s="71"/>
      <c r="K685" s="71"/>
      <c r="L685" s="71"/>
      <c r="M685" s="71"/>
    </row>
    <row r="686" spans="1:13" s="72" customFormat="1" x14ac:dyDescent="0.25">
      <c r="A686" s="531"/>
      <c r="B686" s="531"/>
      <c r="C686" s="55">
        <v>86</v>
      </c>
      <c r="D686" s="109">
        <v>219</v>
      </c>
      <c r="E686" s="76">
        <v>2009</v>
      </c>
      <c r="F686" s="332">
        <f t="shared" ref="F686:F687" si="164">2019-E686</f>
        <v>10</v>
      </c>
      <c r="G686" s="68"/>
      <c r="H686" s="69"/>
      <c r="I686" s="70"/>
      <c r="J686" s="71"/>
      <c r="K686" s="71"/>
      <c r="L686" s="71"/>
      <c r="M686" s="71"/>
    </row>
    <row r="687" spans="1:13" s="72" customFormat="1" x14ac:dyDescent="0.25">
      <c r="A687" s="526"/>
      <c r="B687" s="526"/>
      <c r="C687" s="55">
        <v>86</v>
      </c>
      <c r="D687" s="109">
        <v>133</v>
      </c>
      <c r="E687" s="76">
        <v>2009</v>
      </c>
      <c r="F687" s="332">
        <f t="shared" si="164"/>
        <v>10</v>
      </c>
      <c r="G687" s="68"/>
      <c r="H687" s="69"/>
      <c r="I687" s="70"/>
      <c r="J687" s="71"/>
      <c r="K687" s="71"/>
      <c r="L687" s="71"/>
      <c r="M687" s="71"/>
    </row>
    <row r="688" spans="1:13" s="72" customFormat="1" ht="17.25" customHeight="1" x14ac:dyDescent="0.25">
      <c r="A688" s="525" t="s">
        <v>271</v>
      </c>
      <c r="B688" s="525" t="s">
        <v>470</v>
      </c>
      <c r="C688" s="53"/>
      <c r="D688" s="109"/>
      <c r="E688" s="74"/>
      <c r="F688" s="329"/>
      <c r="G688" s="68"/>
      <c r="H688" s="69"/>
      <c r="I688" s="70"/>
      <c r="J688" s="71"/>
      <c r="K688" s="71"/>
      <c r="L688" s="71"/>
      <c r="M688" s="71"/>
    </row>
    <row r="689" spans="1:13" s="72" customFormat="1" x14ac:dyDescent="0.25">
      <c r="A689" s="531"/>
      <c r="B689" s="531"/>
      <c r="C689" s="119">
        <v>2</v>
      </c>
      <c r="D689" s="109">
        <v>219</v>
      </c>
      <c r="E689" s="76">
        <v>1984</v>
      </c>
      <c r="F689" s="332">
        <f t="shared" ref="F689:F690" si="165">2019-E689</f>
        <v>35</v>
      </c>
      <c r="G689" s="68"/>
      <c r="H689" s="69"/>
      <c r="I689" s="70"/>
      <c r="J689" s="71"/>
      <c r="K689" s="71"/>
      <c r="L689" s="71"/>
      <c r="M689" s="71"/>
    </row>
    <row r="690" spans="1:13" s="72" customFormat="1" x14ac:dyDescent="0.25">
      <c r="A690" s="526"/>
      <c r="B690" s="526"/>
      <c r="C690" s="119">
        <v>2</v>
      </c>
      <c r="D690" s="109">
        <v>133</v>
      </c>
      <c r="E690" s="76">
        <v>1984</v>
      </c>
      <c r="F690" s="332">
        <f t="shared" si="165"/>
        <v>35</v>
      </c>
      <c r="G690" s="68"/>
      <c r="H690" s="69"/>
      <c r="I690" s="70"/>
      <c r="J690" s="71"/>
      <c r="K690" s="71"/>
      <c r="L690" s="71"/>
      <c r="M690" s="71"/>
    </row>
    <row r="691" spans="1:13" s="72" customFormat="1" ht="15.75" customHeight="1" x14ac:dyDescent="0.25">
      <c r="A691" s="534" t="s">
        <v>190</v>
      </c>
      <c r="B691" s="525" t="s">
        <v>314</v>
      </c>
      <c r="C691" s="53"/>
      <c r="D691" s="109"/>
      <c r="E691" s="74"/>
      <c r="F691" s="329"/>
      <c r="G691" s="68"/>
      <c r="H691" s="69"/>
      <c r="I691" s="70"/>
      <c r="J691" s="71"/>
      <c r="K691" s="71"/>
      <c r="L691" s="71"/>
      <c r="M691" s="71"/>
    </row>
    <row r="692" spans="1:13" s="72" customFormat="1" x14ac:dyDescent="0.25">
      <c r="A692" s="536"/>
      <c r="B692" s="531"/>
      <c r="C692" s="119">
        <v>66</v>
      </c>
      <c r="D692" s="109">
        <v>133</v>
      </c>
      <c r="E692" s="76">
        <v>1982</v>
      </c>
      <c r="F692" s="332">
        <f t="shared" ref="F692:F693" si="166">2019-E692</f>
        <v>37</v>
      </c>
      <c r="G692" s="68"/>
      <c r="H692" s="69"/>
      <c r="I692" s="70"/>
      <c r="J692" s="71"/>
      <c r="K692" s="71"/>
      <c r="L692" s="71"/>
      <c r="M692" s="71"/>
    </row>
    <row r="693" spans="1:13" s="72" customFormat="1" x14ac:dyDescent="0.25">
      <c r="A693" s="535"/>
      <c r="B693" s="526"/>
      <c r="C693" s="119">
        <v>66</v>
      </c>
      <c r="D693" s="109">
        <v>108</v>
      </c>
      <c r="E693" s="76">
        <v>1982</v>
      </c>
      <c r="F693" s="332">
        <f t="shared" si="166"/>
        <v>37</v>
      </c>
      <c r="G693" s="68"/>
      <c r="H693" s="69"/>
      <c r="I693" s="70"/>
      <c r="J693" s="71"/>
      <c r="K693" s="71"/>
      <c r="L693" s="71"/>
      <c r="M693" s="71"/>
    </row>
    <row r="694" spans="1:13" s="72" customFormat="1" ht="15.75" customHeight="1" x14ac:dyDescent="0.25">
      <c r="A694" s="534" t="s">
        <v>337</v>
      </c>
      <c r="B694" s="525" t="s">
        <v>471</v>
      </c>
      <c r="C694" s="53"/>
      <c r="D694" s="109"/>
      <c r="E694" s="74"/>
      <c r="F694" s="329"/>
      <c r="G694" s="68"/>
      <c r="H694" s="69"/>
      <c r="I694" s="70"/>
      <c r="J694" s="71"/>
      <c r="K694" s="71"/>
      <c r="L694" s="71"/>
      <c r="M694" s="71"/>
    </row>
    <row r="695" spans="1:13" s="72" customFormat="1" ht="20.25" customHeight="1" x14ac:dyDescent="0.25">
      <c r="A695" s="536"/>
      <c r="B695" s="531"/>
      <c r="C695" s="119">
        <v>14</v>
      </c>
      <c r="D695" s="109">
        <v>159</v>
      </c>
      <c r="E695" s="49">
        <v>1983</v>
      </c>
      <c r="F695" s="332">
        <f t="shared" ref="F695:F696" si="167">2019-E695</f>
        <v>36</v>
      </c>
      <c r="G695" s="68"/>
      <c r="H695" s="69"/>
      <c r="I695" s="70"/>
      <c r="J695" s="71"/>
      <c r="K695" s="71"/>
      <c r="L695" s="71"/>
      <c r="M695" s="71"/>
    </row>
    <row r="696" spans="1:13" s="72" customFormat="1" x14ac:dyDescent="0.25">
      <c r="A696" s="535"/>
      <c r="B696" s="526"/>
      <c r="C696" s="119">
        <v>14</v>
      </c>
      <c r="D696" s="109">
        <v>133</v>
      </c>
      <c r="E696" s="49">
        <v>1983</v>
      </c>
      <c r="F696" s="332">
        <f t="shared" si="167"/>
        <v>36</v>
      </c>
      <c r="G696" s="68"/>
      <c r="H696" s="69"/>
      <c r="I696" s="70"/>
      <c r="J696" s="71"/>
      <c r="K696" s="71"/>
      <c r="L696" s="71"/>
      <c r="M696" s="71"/>
    </row>
    <row r="697" spans="1:13" s="72" customFormat="1" ht="15.75" customHeight="1" x14ac:dyDescent="0.25">
      <c r="A697" s="525" t="s">
        <v>472</v>
      </c>
      <c r="B697" s="525" t="s">
        <v>473</v>
      </c>
      <c r="C697" s="53"/>
      <c r="D697" s="109"/>
      <c r="E697" s="74"/>
      <c r="F697" s="329"/>
      <c r="G697" s="68"/>
      <c r="H697" s="69"/>
      <c r="I697" s="70"/>
      <c r="J697" s="71"/>
      <c r="K697" s="71"/>
      <c r="L697" s="71"/>
      <c r="M697" s="71"/>
    </row>
    <row r="698" spans="1:13" s="72" customFormat="1" ht="17.25" customHeight="1" x14ac:dyDescent="0.25">
      <c r="A698" s="531"/>
      <c r="B698" s="531"/>
      <c r="C698" s="119">
        <v>80</v>
      </c>
      <c r="D698" s="109">
        <v>159</v>
      </c>
      <c r="E698" s="49">
        <v>1983</v>
      </c>
      <c r="F698" s="332">
        <f t="shared" ref="F698:F699" si="168">2019-E698</f>
        <v>36</v>
      </c>
      <c r="G698" s="68"/>
      <c r="H698" s="69"/>
      <c r="I698" s="70"/>
      <c r="J698" s="71"/>
      <c r="K698" s="71"/>
      <c r="L698" s="71"/>
      <c r="M698" s="71"/>
    </row>
    <row r="699" spans="1:13" s="72" customFormat="1" x14ac:dyDescent="0.25">
      <c r="A699" s="526"/>
      <c r="B699" s="526"/>
      <c r="C699" s="119">
        <v>80</v>
      </c>
      <c r="D699" s="109">
        <v>133</v>
      </c>
      <c r="E699" s="49">
        <v>1983</v>
      </c>
      <c r="F699" s="332">
        <f t="shared" si="168"/>
        <v>36</v>
      </c>
      <c r="G699" s="68"/>
      <c r="H699" s="69"/>
      <c r="I699" s="70"/>
      <c r="J699" s="71"/>
      <c r="K699" s="71"/>
      <c r="L699" s="71"/>
      <c r="M699" s="71"/>
    </row>
    <row r="700" spans="1:13" s="72" customFormat="1" ht="15.75" customHeight="1" x14ac:dyDescent="0.25">
      <c r="A700" s="525" t="s">
        <v>253</v>
      </c>
      <c r="B700" s="525" t="s">
        <v>474</v>
      </c>
      <c r="C700" s="53"/>
      <c r="D700" s="109"/>
      <c r="E700" s="74"/>
      <c r="F700" s="329"/>
      <c r="G700" s="68"/>
      <c r="H700" s="69"/>
      <c r="I700" s="70"/>
      <c r="J700" s="71"/>
      <c r="K700" s="71"/>
      <c r="L700" s="71"/>
      <c r="M700" s="71"/>
    </row>
    <row r="701" spans="1:13" s="72" customFormat="1" ht="18" customHeight="1" x14ac:dyDescent="0.25">
      <c r="A701" s="531"/>
      <c r="B701" s="531"/>
      <c r="C701" s="119">
        <v>32</v>
      </c>
      <c r="D701" s="109">
        <v>89</v>
      </c>
      <c r="E701" s="76">
        <v>1982</v>
      </c>
      <c r="F701" s="332">
        <f t="shared" ref="F701:F702" si="169">2019-E701</f>
        <v>37</v>
      </c>
      <c r="G701" s="68"/>
      <c r="H701" s="69"/>
      <c r="I701" s="70"/>
      <c r="J701" s="71"/>
      <c r="K701" s="71"/>
      <c r="L701" s="71"/>
      <c r="M701" s="71"/>
    </row>
    <row r="702" spans="1:13" s="72" customFormat="1" x14ac:dyDescent="0.25">
      <c r="A702" s="526"/>
      <c r="B702" s="526"/>
      <c r="C702" s="119">
        <v>32</v>
      </c>
      <c r="D702" s="109">
        <v>57</v>
      </c>
      <c r="E702" s="76">
        <v>1982</v>
      </c>
      <c r="F702" s="332">
        <f t="shared" si="169"/>
        <v>37</v>
      </c>
      <c r="G702" s="68"/>
      <c r="H702" s="69"/>
      <c r="I702" s="70"/>
      <c r="J702" s="71"/>
      <c r="K702" s="71"/>
      <c r="L702" s="71"/>
      <c r="M702" s="71"/>
    </row>
    <row r="703" spans="1:13" s="72" customFormat="1" ht="15.75" customHeight="1" x14ac:dyDescent="0.25">
      <c r="A703" s="525" t="s">
        <v>276</v>
      </c>
      <c r="B703" s="525" t="s">
        <v>475</v>
      </c>
      <c r="C703" s="53"/>
      <c r="D703" s="109"/>
      <c r="E703" s="74"/>
      <c r="F703" s="329"/>
      <c r="G703" s="68"/>
      <c r="H703" s="69"/>
      <c r="I703" s="70"/>
      <c r="J703" s="71"/>
      <c r="K703" s="71"/>
      <c r="L703" s="71"/>
      <c r="M703" s="71"/>
    </row>
    <row r="704" spans="1:13" s="72" customFormat="1" ht="18" customHeight="1" x14ac:dyDescent="0.25">
      <c r="A704" s="531"/>
      <c r="B704" s="531"/>
      <c r="C704" s="119">
        <v>69</v>
      </c>
      <c r="D704" s="109">
        <v>108</v>
      </c>
      <c r="E704" s="49">
        <v>1983</v>
      </c>
      <c r="F704" s="332">
        <f t="shared" ref="F704:F705" si="170">2019-E704</f>
        <v>36</v>
      </c>
      <c r="G704" s="68"/>
      <c r="H704" s="69"/>
      <c r="I704" s="70"/>
      <c r="J704" s="71"/>
      <c r="K704" s="71"/>
      <c r="L704" s="71"/>
      <c r="M704" s="71"/>
    </row>
    <row r="705" spans="1:13" s="72" customFormat="1" x14ac:dyDescent="0.25">
      <c r="A705" s="526"/>
      <c r="B705" s="526"/>
      <c r="C705" s="119">
        <v>69</v>
      </c>
      <c r="D705" s="109">
        <v>57</v>
      </c>
      <c r="E705" s="49">
        <v>1983</v>
      </c>
      <c r="F705" s="332">
        <f t="shared" si="170"/>
        <v>36</v>
      </c>
      <c r="G705" s="68"/>
      <c r="H705" s="69"/>
      <c r="I705" s="70"/>
      <c r="J705" s="71"/>
      <c r="K705" s="71"/>
      <c r="L705" s="71"/>
      <c r="M705" s="71"/>
    </row>
    <row r="706" spans="1:13" s="72" customFormat="1" ht="15.75" customHeight="1" x14ac:dyDescent="0.25">
      <c r="A706" s="525" t="s">
        <v>235</v>
      </c>
      <c r="B706" s="525" t="s">
        <v>274</v>
      </c>
      <c r="C706" s="53"/>
      <c r="D706" s="109"/>
      <c r="E706" s="74"/>
      <c r="F706" s="329"/>
      <c r="G706" s="68"/>
      <c r="H706" s="69"/>
      <c r="I706" s="70"/>
      <c r="J706" s="71"/>
      <c r="K706" s="71"/>
      <c r="L706" s="71"/>
      <c r="M706" s="71"/>
    </row>
    <row r="707" spans="1:13" s="72" customFormat="1" ht="18" customHeight="1" x14ac:dyDescent="0.25">
      <c r="A707" s="531"/>
      <c r="B707" s="531"/>
      <c r="C707" s="119">
        <v>33</v>
      </c>
      <c r="D707" s="109">
        <v>273</v>
      </c>
      <c r="E707" s="49">
        <v>1981</v>
      </c>
      <c r="F707" s="332">
        <f t="shared" ref="F707:F708" si="171">2019-E707</f>
        <v>38</v>
      </c>
      <c r="G707" s="68"/>
      <c r="H707" s="69"/>
      <c r="I707" s="70"/>
      <c r="J707" s="71"/>
      <c r="K707" s="71"/>
      <c r="L707" s="71"/>
      <c r="M707" s="71"/>
    </row>
    <row r="708" spans="1:13" s="72" customFormat="1" x14ac:dyDescent="0.25">
      <c r="A708" s="526"/>
      <c r="B708" s="526"/>
      <c r="C708" s="119">
        <v>33</v>
      </c>
      <c r="D708" s="109">
        <v>159</v>
      </c>
      <c r="E708" s="49">
        <v>1981</v>
      </c>
      <c r="F708" s="332">
        <f t="shared" si="171"/>
        <v>38</v>
      </c>
      <c r="G708" s="68"/>
      <c r="H708" s="69"/>
      <c r="I708" s="70"/>
      <c r="J708" s="71"/>
      <c r="K708" s="71"/>
      <c r="L708" s="71"/>
      <c r="M708" s="71"/>
    </row>
    <row r="709" spans="1:13" s="72" customFormat="1" ht="15.75" customHeight="1" x14ac:dyDescent="0.25">
      <c r="A709" s="525" t="s">
        <v>451</v>
      </c>
      <c r="B709" s="525" t="s">
        <v>476</v>
      </c>
      <c r="C709" s="53"/>
      <c r="D709" s="109"/>
      <c r="E709" s="74"/>
      <c r="F709" s="329"/>
      <c r="G709" s="68"/>
      <c r="H709" s="69"/>
      <c r="I709" s="70"/>
      <c r="J709" s="71"/>
      <c r="K709" s="71"/>
      <c r="L709" s="71"/>
      <c r="M709" s="71"/>
    </row>
    <row r="710" spans="1:13" s="72" customFormat="1" ht="19.5" customHeight="1" x14ac:dyDescent="0.25">
      <c r="A710" s="531"/>
      <c r="B710" s="531"/>
      <c r="C710" s="119">
        <v>15</v>
      </c>
      <c r="D710" s="109">
        <v>89</v>
      </c>
      <c r="E710" s="49">
        <v>1985</v>
      </c>
      <c r="F710" s="332">
        <f t="shared" ref="F710:F711" si="172">2019-E710</f>
        <v>34</v>
      </c>
      <c r="G710" s="68"/>
      <c r="H710" s="69"/>
      <c r="I710" s="70"/>
      <c r="J710" s="71"/>
      <c r="K710" s="71"/>
      <c r="L710" s="71"/>
      <c r="M710" s="71"/>
    </row>
    <row r="711" spans="1:13" s="72" customFormat="1" x14ac:dyDescent="0.25">
      <c r="A711" s="526"/>
      <c r="B711" s="526"/>
      <c r="C711" s="119">
        <v>15</v>
      </c>
      <c r="D711" s="109">
        <v>57</v>
      </c>
      <c r="E711" s="76">
        <v>1985</v>
      </c>
      <c r="F711" s="332">
        <f t="shared" si="172"/>
        <v>34</v>
      </c>
      <c r="G711" s="68"/>
      <c r="H711" s="69"/>
      <c r="I711" s="70"/>
      <c r="J711" s="71"/>
      <c r="K711" s="71"/>
      <c r="L711" s="71"/>
      <c r="M711" s="71"/>
    </row>
    <row r="712" spans="1:13" s="72" customFormat="1" ht="15.75" customHeight="1" x14ac:dyDescent="0.25">
      <c r="A712" s="525" t="s">
        <v>477</v>
      </c>
      <c r="B712" s="525" t="s">
        <v>478</v>
      </c>
      <c r="C712" s="53"/>
      <c r="D712" s="109"/>
      <c r="E712" s="74"/>
      <c r="F712" s="329"/>
      <c r="G712" s="68"/>
      <c r="H712" s="69"/>
      <c r="I712" s="70"/>
      <c r="J712" s="71"/>
      <c r="K712" s="71"/>
      <c r="L712" s="71"/>
      <c r="M712" s="71"/>
    </row>
    <row r="713" spans="1:13" s="72" customFormat="1" ht="21" customHeight="1" x14ac:dyDescent="0.25">
      <c r="A713" s="531"/>
      <c r="B713" s="531"/>
      <c r="C713" s="78">
        <v>16</v>
      </c>
      <c r="D713" s="109">
        <v>133</v>
      </c>
      <c r="E713" s="76">
        <v>2006</v>
      </c>
      <c r="F713" s="332">
        <f t="shared" ref="F713:F714" si="173">2019-E713</f>
        <v>13</v>
      </c>
      <c r="G713" s="68"/>
      <c r="H713" s="69"/>
      <c r="I713" s="70"/>
      <c r="J713" s="71"/>
      <c r="K713" s="71"/>
      <c r="L713" s="71"/>
      <c r="M713" s="71"/>
    </row>
    <row r="714" spans="1:13" s="72" customFormat="1" x14ac:dyDescent="0.25">
      <c r="A714" s="526"/>
      <c r="B714" s="526"/>
      <c r="C714" s="78">
        <v>16</v>
      </c>
      <c r="D714" s="109">
        <v>108</v>
      </c>
      <c r="E714" s="76">
        <v>2006</v>
      </c>
      <c r="F714" s="332">
        <f t="shared" si="173"/>
        <v>13</v>
      </c>
      <c r="G714" s="68"/>
      <c r="H714" s="69"/>
      <c r="I714" s="70"/>
      <c r="J714" s="71"/>
      <c r="K714" s="71"/>
      <c r="L714" s="71"/>
      <c r="M714" s="71"/>
    </row>
    <row r="715" spans="1:13" s="72" customFormat="1" ht="15.75" customHeight="1" x14ac:dyDescent="0.25">
      <c r="A715" s="525" t="s">
        <v>479</v>
      </c>
      <c r="B715" s="525" t="s">
        <v>480</v>
      </c>
      <c r="C715" s="53"/>
      <c r="D715" s="109"/>
      <c r="E715" s="74"/>
      <c r="F715" s="329"/>
      <c r="G715" s="68"/>
      <c r="H715" s="69"/>
      <c r="I715" s="70"/>
      <c r="J715" s="71"/>
      <c r="K715" s="71"/>
      <c r="L715" s="71"/>
      <c r="M715" s="71"/>
    </row>
    <row r="716" spans="1:13" s="72" customFormat="1" ht="21" customHeight="1" x14ac:dyDescent="0.25">
      <c r="A716" s="531"/>
      <c r="B716" s="531"/>
      <c r="C716" s="119">
        <v>46</v>
      </c>
      <c r="D716" s="109">
        <v>108</v>
      </c>
      <c r="E716" s="76">
        <v>1982</v>
      </c>
      <c r="F716" s="332">
        <f t="shared" ref="F716:F717" si="174">2019-E716</f>
        <v>37</v>
      </c>
      <c r="G716" s="68"/>
      <c r="H716" s="69"/>
      <c r="I716" s="70"/>
      <c r="J716" s="71"/>
      <c r="K716" s="71"/>
      <c r="L716" s="71"/>
      <c r="M716" s="71"/>
    </row>
    <row r="717" spans="1:13" s="72" customFormat="1" x14ac:dyDescent="0.25">
      <c r="A717" s="526"/>
      <c r="B717" s="526"/>
      <c r="C717" s="119">
        <v>46</v>
      </c>
      <c r="D717" s="109">
        <v>76</v>
      </c>
      <c r="E717" s="76">
        <v>1982</v>
      </c>
      <c r="F717" s="332">
        <f t="shared" si="174"/>
        <v>37</v>
      </c>
      <c r="G717" s="68"/>
      <c r="H717" s="69"/>
      <c r="I717" s="70"/>
      <c r="J717" s="71"/>
      <c r="K717" s="71"/>
      <c r="L717" s="71"/>
      <c r="M717" s="71"/>
    </row>
    <row r="718" spans="1:13" s="72" customFormat="1" ht="15.75" customHeight="1" x14ac:dyDescent="0.25">
      <c r="A718" s="525" t="s">
        <v>216</v>
      </c>
      <c r="B718" s="525" t="s">
        <v>201</v>
      </c>
      <c r="C718" s="53"/>
      <c r="D718" s="109"/>
      <c r="E718" s="74"/>
      <c r="F718" s="329"/>
      <c r="G718" s="68"/>
      <c r="H718" s="69"/>
      <c r="I718" s="70"/>
      <c r="J718" s="71"/>
      <c r="K718" s="71"/>
      <c r="L718" s="71"/>
      <c r="M718" s="71"/>
    </row>
    <row r="719" spans="1:13" s="72" customFormat="1" ht="20.25" customHeight="1" x14ac:dyDescent="0.25">
      <c r="A719" s="531"/>
      <c r="B719" s="531"/>
      <c r="C719" s="119">
        <v>19</v>
      </c>
      <c r="D719" s="109">
        <v>108</v>
      </c>
      <c r="E719" s="49">
        <v>1983</v>
      </c>
      <c r="F719" s="332">
        <f t="shared" ref="F719:F720" si="175">2019-E719</f>
        <v>36</v>
      </c>
      <c r="G719" s="68"/>
      <c r="H719" s="69"/>
      <c r="I719" s="70"/>
      <c r="J719" s="71"/>
      <c r="K719" s="71"/>
      <c r="L719" s="71"/>
      <c r="M719" s="71"/>
    </row>
    <row r="720" spans="1:13" s="72" customFormat="1" x14ac:dyDescent="0.25">
      <c r="A720" s="526"/>
      <c r="B720" s="526"/>
      <c r="C720" s="119">
        <v>19</v>
      </c>
      <c r="D720" s="109">
        <v>57</v>
      </c>
      <c r="E720" s="49">
        <v>1983</v>
      </c>
      <c r="F720" s="332">
        <f t="shared" si="175"/>
        <v>36</v>
      </c>
      <c r="G720" s="68"/>
      <c r="H720" s="69"/>
      <c r="I720" s="70"/>
      <c r="J720" s="71"/>
      <c r="K720" s="71"/>
      <c r="L720" s="71"/>
      <c r="M720" s="71"/>
    </row>
    <row r="721" spans="1:13" s="72" customFormat="1" ht="15.75" customHeight="1" x14ac:dyDescent="0.25">
      <c r="A721" s="525" t="s">
        <v>298</v>
      </c>
      <c r="B721" s="525" t="s">
        <v>481</v>
      </c>
      <c r="C721" s="53"/>
      <c r="D721" s="109"/>
      <c r="E721" s="74"/>
      <c r="F721" s="329"/>
      <c r="G721" s="68"/>
      <c r="H721" s="69"/>
      <c r="I721" s="70"/>
      <c r="J721" s="71"/>
      <c r="K721" s="71"/>
      <c r="L721" s="71"/>
      <c r="M721" s="71"/>
    </row>
    <row r="722" spans="1:13" s="72" customFormat="1" ht="18.75" customHeight="1" x14ac:dyDescent="0.25">
      <c r="A722" s="531"/>
      <c r="B722" s="531"/>
      <c r="C722" s="119">
        <v>27</v>
      </c>
      <c r="D722" s="109">
        <v>108</v>
      </c>
      <c r="E722" s="49">
        <v>1983</v>
      </c>
      <c r="F722" s="332">
        <f t="shared" ref="F722:F723" si="176">2019-E722</f>
        <v>36</v>
      </c>
      <c r="G722" s="68"/>
      <c r="H722" s="69"/>
      <c r="I722" s="70"/>
      <c r="J722" s="71"/>
      <c r="K722" s="71"/>
      <c r="L722" s="71"/>
      <c r="M722" s="71"/>
    </row>
    <row r="723" spans="1:13" s="72" customFormat="1" x14ac:dyDescent="0.25">
      <c r="A723" s="526"/>
      <c r="B723" s="526"/>
      <c r="C723" s="119">
        <v>27</v>
      </c>
      <c r="D723" s="109">
        <v>57</v>
      </c>
      <c r="E723" s="49">
        <v>1983</v>
      </c>
      <c r="F723" s="332">
        <f t="shared" si="176"/>
        <v>36</v>
      </c>
      <c r="G723" s="68"/>
      <c r="H723" s="69"/>
      <c r="I723" s="70"/>
      <c r="J723" s="71"/>
      <c r="K723" s="71"/>
      <c r="L723" s="71"/>
      <c r="M723" s="71"/>
    </row>
    <row r="724" spans="1:13" s="72" customFormat="1" ht="15.75" customHeight="1" x14ac:dyDescent="0.25">
      <c r="A724" s="525" t="s">
        <v>271</v>
      </c>
      <c r="B724" s="525" t="s">
        <v>482</v>
      </c>
      <c r="C724" s="53"/>
      <c r="D724" s="109"/>
      <c r="E724" s="74"/>
      <c r="F724" s="329"/>
      <c r="G724" s="68"/>
      <c r="H724" s="69"/>
      <c r="I724" s="70"/>
      <c r="J724" s="71"/>
      <c r="K724" s="71"/>
      <c r="L724" s="71"/>
      <c r="M724" s="71"/>
    </row>
    <row r="725" spans="1:13" s="72" customFormat="1" ht="20.25" customHeight="1" x14ac:dyDescent="0.25">
      <c r="A725" s="531"/>
      <c r="B725" s="531"/>
      <c r="C725" s="119">
        <v>14</v>
      </c>
      <c r="D725" s="109">
        <v>76</v>
      </c>
      <c r="E725" s="49">
        <v>1983</v>
      </c>
      <c r="F725" s="332">
        <f t="shared" ref="F725:F726" si="177">2019-E725</f>
        <v>36</v>
      </c>
      <c r="G725" s="68"/>
      <c r="H725" s="69"/>
      <c r="I725" s="70"/>
      <c r="J725" s="71"/>
      <c r="K725" s="71"/>
      <c r="L725" s="71"/>
      <c r="M725" s="71"/>
    </row>
    <row r="726" spans="1:13" s="72" customFormat="1" x14ac:dyDescent="0.25">
      <c r="A726" s="526"/>
      <c r="B726" s="526"/>
      <c r="C726" s="119">
        <v>14</v>
      </c>
      <c r="D726" s="109">
        <v>57</v>
      </c>
      <c r="E726" s="49">
        <v>1983</v>
      </c>
      <c r="F726" s="332">
        <f t="shared" si="177"/>
        <v>36</v>
      </c>
      <c r="G726" s="68"/>
      <c r="H726" s="69"/>
      <c r="I726" s="70"/>
      <c r="J726" s="71"/>
      <c r="K726" s="71"/>
      <c r="L726" s="71"/>
      <c r="M726" s="71"/>
    </row>
    <row r="727" spans="1:13" s="72" customFormat="1" ht="15.75" customHeight="1" x14ac:dyDescent="0.25">
      <c r="A727" s="525" t="s">
        <v>419</v>
      </c>
      <c r="B727" s="525" t="s">
        <v>209</v>
      </c>
      <c r="C727" s="53"/>
      <c r="D727" s="109"/>
      <c r="E727" s="74"/>
      <c r="F727" s="329"/>
      <c r="G727" s="68"/>
      <c r="H727" s="69"/>
      <c r="I727" s="70"/>
      <c r="J727" s="71"/>
      <c r="K727" s="71"/>
      <c r="L727" s="71"/>
      <c r="M727" s="71"/>
    </row>
    <row r="728" spans="1:13" s="72" customFormat="1" ht="21" customHeight="1" x14ac:dyDescent="0.25">
      <c r="A728" s="531"/>
      <c r="B728" s="531"/>
      <c r="C728" s="119">
        <v>50</v>
      </c>
      <c r="D728" s="109">
        <v>219</v>
      </c>
      <c r="E728" s="49">
        <v>1981</v>
      </c>
      <c r="F728" s="332">
        <f t="shared" ref="F728:F729" si="178">2019-E728</f>
        <v>38</v>
      </c>
      <c r="G728" s="68"/>
      <c r="H728" s="69"/>
      <c r="I728" s="70"/>
      <c r="J728" s="71"/>
      <c r="K728" s="71"/>
      <c r="L728" s="71"/>
      <c r="M728" s="71"/>
    </row>
    <row r="729" spans="1:13" s="72" customFormat="1" x14ac:dyDescent="0.25">
      <c r="A729" s="526"/>
      <c r="B729" s="526"/>
      <c r="C729" s="119">
        <v>50</v>
      </c>
      <c r="D729" s="109">
        <v>133</v>
      </c>
      <c r="E729" s="49">
        <v>1981</v>
      </c>
      <c r="F729" s="332">
        <f t="shared" si="178"/>
        <v>38</v>
      </c>
      <c r="G729" s="68"/>
      <c r="H729" s="69"/>
      <c r="I729" s="70"/>
      <c r="J729" s="71"/>
      <c r="K729" s="71"/>
      <c r="L729" s="71"/>
      <c r="M729" s="71"/>
    </row>
    <row r="730" spans="1:13" s="72" customFormat="1" ht="15.75" customHeight="1" x14ac:dyDescent="0.25">
      <c r="A730" s="525" t="s">
        <v>449</v>
      </c>
      <c r="B730" s="525" t="s">
        <v>483</v>
      </c>
      <c r="C730" s="53"/>
      <c r="D730" s="109"/>
      <c r="E730" s="74"/>
      <c r="F730" s="329"/>
      <c r="G730" s="68"/>
      <c r="H730" s="69"/>
      <c r="I730" s="70"/>
      <c r="J730" s="71"/>
      <c r="K730" s="71"/>
      <c r="L730" s="71"/>
      <c r="M730" s="71"/>
    </row>
    <row r="731" spans="1:13" s="72" customFormat="1" ht="17.25" customHeight="1" x14ac:dyDescent="0.25">
      <c r="A731" s="531"/>
      <c r="B731" s="540"/>
      <c r="C731" s="78">
        <v>15</v>
      </c>
      <c r="D731" s="109">
        <v>76</v>
      </c>
      <c r="E731" s="49">
        <v>1997</v>
      </c>
      <c r="F731" s="332">
        <f t="shared" ref="F731:F732" si="179">2019-E731</f>
        <v>22</v>
      </c>
      <c r="G731" s="68"/>
      <c r="H731" s="69"/>
      <c r="I731" s="70"/>
      <c r="J731" s="71"/>
      <c r="K731" s="71"/>
      <c r="L731" s="71"/>
      <c r="M731" s="71"/>
    </row>
    <row r="732" spans="1:13" s="72" customFormat="1" x14ac:dyDescent="0.25">
      <c r="A732" s="526"/>
      <c r="B732" s="533"/>
      <c r="C732" s="119">
        <v>15</v>
      </c>
      <c r="D732" s="109">
        <v>57</v>
      </c>
      <c r="E732" s="49">
        <v>1997</v>
      </c>
      <c r="F732" s="332">
        <f t="shared" si="179"/>
        <v>22</v>
      </c>
      <c r="G732" s="68"/>
      <c r="H732" s="69"/>
      <c r="I732" s="70"/>
      <c r="J732" s="71"/>
      <c r="K732" s="71"/>
      <c r="L732" s="71"/>
      <c r="M732" s="71"/>
    </row>
    <row r="733" spans="1:13" s="72" customFormat="1" ht="15.75" customHeight="1" x14ac:dyDescent="0.25">
      <c r="A733" s="525" t="s">
        <v>365</v>
      </c>
      <c r="B733" s="525" t="s">
        <v>484</v>
      </c>
      <c r="C733" s="53"/>
      <c r="D733" s="109"/>
      <c r="E733" s="74"/>
      <c r="F733" s="329"/>
      <c r="G733" s="68"/>
      <c r="H733" s="69"/>
      <c r="I733" s="70"/>
      <c r="J733" s="71"/>
      <c r="K733" s="71"/>
      <c r="L733" s="71"/>
      <c r="M733" s="71"/>
    </row>
    <row r="734" spans="1:13" s="72" customFormat="1" ht="21" customHeight="1" x14ac:dyDescent="0.25">
      <c r="A734" s="531"/>
      <c r="B734" s="540"/>
      <c r="C734" s="55">
        <v>53</v>
      </c>
      <c r="D734" s="109">
        <v>89</v>
      </c>
      <c r="E734" s="49">
        <v>1997</v>
      </c>
      <c r="F734" s="332">
        <f t="shared" ref="F734:F735" si="180">2019-E734</f>
        <v>22</v>
      </c>
      <c r="G734" s="68"/>
      <c r="H734" s="69"/>
      <c r="I734" s="70"/>
      <c r="J734" s="71"/>
      <c r="K734" s="71"/>
      <c r="L734" s="71"/>
      <c r="M734" s="71"/>
    </row>
    <row r="735" spans="1:13" s="72" customFormat="1" x14ac:dyDescent="0.25">
      <c r="A735" s="526"/>
      <c r="B735" s="533"/>
      <c r="C735" s="119">
        <v>53</v>
      </c>
      <c r="D735" s="109">
        <v>57</v>
      </c>
      <c r="E735" s="49">
        <v>1997</v>
      </c>
      <c r="F735" s="332">
        <f t="shared" si="180"/>
        <v>22</v>
      </c>
      <c r="G735" s="68"/>
      <c r="H735" s="69"/>
      <c r="I735" s="70"/>
      <c r="J735" s="71"/>
      <c r="K735" s="71"/>
      <c r="L735" s="71"/>
      <c r="M735" s="71"/>
    </row>
    <row r="736" spans="1:13" s="72" customFormat="1" ht="15.75" customHeight="1" x14ac:dyDescent="0.25">
      <c r="A736" s="525" t="s">
        <v>287</v>
      </c>
      <c r="B736" s="525" t="s">
        <v>485</v>
      </c>
      <c r="C736" s="53"/>
      <c r="D736" s="109"/>
      <c r="E736" s="74"/>
      <c r="F736" s="329"/>
      <c r="G736" s="68"/>
      <c r="H736" s="69"/>
      <c r="I736" s="70"/>
      <c r="J736" s="71"/>
      <c r="K736" s="71"/>
      <c r="L736" s="71"/>
      <c r="M736" s="71"/>
    </row>
    <row r="737" spans="1:13" s="72" customFormat="1" ht="18.75" customHeight="1" x14ac:dyDescent="0.25">
      <c r="A737" s="531"/>
      <c r="B737" s="531"/>
      <c r="C737" s="119">
        <v>154</v>
      </c>
      <c r="D737" s="109">
        <v>159</v>
      </c>
      <c r="E737" s="49">
        <v>1983</v>
      </c>
      <c r="F737" s="332">
        <f t="shared" ref="F737:F738" si="181">2019-E737</f>
        <v>36</v>
      </c>
      <c r="G737" s="68"/>
      <c r="H737" s="69"/>
      <c r="I737" s="70"/>
      <c r="J737" s="71"/>
      <c r="K737" s="71"/>
      <c r="L737" s="71"/>
      <c r="M737" s="71"/>
    </row>
    <row r="738" spans="1:13" s="72" customFormat="1" x14ac:dyDescent="0.25">
      <c r="A738" s="526"/>
      <c r="B738" s="526"/>
      <c r="C738" s="119">
        <v>154</v>
      </c>
      <c r="D738" s="109">
        <v>108</v>
      </c>
      <c r="E738" s="76">
        <v>1983</v>
      </c>
      <c r="F738" s="332">
        <f t="shared" si="181"/>
        <v>36</v>
      </c>
      <c r="G738" s="68"/>
      <c r="H738" s="69"/>
      <c r="I738" s="70"/>
      <c r="J738" s="71"/>
      <c r="K738" s="71"/>
      <c r="L738" s="71"/>
      <c r="M738" s="71"/>
    </row>
    <row r="739" spans="1:13" s="72" customFormat="1" ht="15.75" customHeight="1" x14ac:dyDescent="0.25">
      <c r="A739" s="525" t="s">
        <v>190</v>
      </c>
      <c r="B739" s="525" t="s">
        <v>486</v>
      </c>
      <c r="C739" s="53"/>
      <c r="D739" s="109"/>
      <c r="E739" s="74"/>
      <c r="F739" s="329"/>
      <c r="G739" s="68"/>
      <c r="H739" s="69"/>
      <c r="I739" s="70"/>
      <c r="J739" s="71"/>
      <c r="K739" s="71"/>
      <c r="L739" s="71"/>
      <c r="M739" s="71"/>
    </row>
    <row r="740" spans="1:13" s="72" customFormat="1" ht="15.75" customHeight="1" x14ac:dyDescent="0.25">
      <c r="A740" s="531"/>
      <c r="B740" s="531"/>
      <c r="C740" s="119">
        <v>55</v>
      </c>
      <c r="D740" s="109">
        <v>89</v>
      </c>
      <c r="E740" s="76">
        <v>1984</v>
      </c>
      <c r="F740" s="332">
        <f t="shared" ref="F740:F741" si="182">2019-E740</f>
        <v>35</v>
      </c>
      <c r="G740" s="68"/>
      <c r="H740" s="69"/>
      <c r="I740" s="70"/>
      <c r="J740" s="71"/>
      <c r="K740" s="71"/>
      <c r="L740" s="71"/>
      <c r="M740" s="71"/>
    </row>
    <row r="741" spans="1:13" s="72" customFormat="1" x14ac:dyDescent="0.25">
      <c r="A741" s="526"/>
      <c r="B741" s="526"/>
      <c r="C741" s="119">
        <v>55</v>
      </c>
      <c r="D741" s="109">
        <v>57</v>
      </c>
      <c r="E741" s="76">
        <v>1984</v>
      </c>
      <c r="F741" s="332">
        <f t="shared" si="182"/>
        <v>35</v>
      </c>
      <c r="G741" s="68"/>
      <c r="H741" s="69"/>
      <c r="I741" s="70"/>
      <c r="J741" s="71"/>
      <c r="K741" s="71"/>
      <c r="L741" s="71"/>
      <c r="M741" s="71"/>
    </row>
    <row r="742" spans="1:13" s="72" customFormat="1" ht="15.75" customHeight="1" x14ac:dyDescent="0.25">
      <c r="A742" s="525" t="s">
        <v>487</v>
      </c>
      <c r="B742" s="525" t="s">
        <v>370</v>
      </c>
      <c r="C742" s="53"/>
      <c r="D742" s="109"/>
      <c r="E742" s="74"/>
      <c r="F742" s="329"/>
      <c r="G742" s="68"/>
      <c r="H742" s="69"/>
      <c r="I742" s="70"/>
      <c r="J742" s="71"/>
      <c r="K742" s="71"/>
      <c r="L742" s="71"/>
      <c r="M742" s="71"/>
    </row>
    <row r="743" spans="1:13" s="72" customFormat="1" ht="20.25" customHeight="1" x14ac:dyDescent="0.25">
      <c r="A743" s="531"/>
      <c r="B743" s="531"/>
      <c r="C743" s="119">
        <v>42</v>
      </c>
      <c r="D743" s="109">
        <v>89</v>
      </c>
      <c r="E743" s="76">
        <v>1983</v>
      </c>
      <c r="F743" s="332">
        <f t="shared" ref="F743:F744" si="183">2019-E743</f>
        <v>36</v>
      </c>
      <c r="G743" s="68"/>
      <c r="H743" s="69"/>
      <c r="I743" s="70"/>
      <c r="J743" s="71"/>
      <c r="K743" s="71"/>
      <c r="L743" s="71"/>
      <c r="M743" s="71"/>
    </row>
    <row r="744" spans="1:13" s="72" customFormat="1" x14ac:dyDescent="0.25">
      <c r="A744" s="526"/>
      <c r="B744" s="526"/>
      <c r="C744" s="119">
        <v>42</v>
      </c>
      <c r="D744" s="109">
        <v>57</v>
      </c>
      <c r="E744" s="76">
        <v>1983</v>
      </c>
      <c r="F744" s="332">
        <f t="shared" si="183"/>
        <v>36</v>
      </c>
      <c r="G744" s="68"/>
      <c r="H744" s="69"/>
      <c r="I744" s="70"/>
      <c r="J744" s="71"/>
      <c r="K744" s="71"/>
      <c r="L744" s="71"/>
      <c r="M744" s="71"/>
    </row>
    <row r="745" spans="1:13" s="72" customFormat="1" ht="15.75" customHeight="1" x14ac:dyDescent="0.25">
      <c r="A745" s="525" t="s">
        <v>488</v>
      </c>
      <c r="B745" s="525" t="s">
        <v>489</v>
      </c>
      <c r="C745" s="53"/>
      <c r="D745" s="109"/>
      <c r="E745" s="74"/>
      <c r="F745" s="329"/>
      <c r="G745" s="68"/>
      <c r="H745" s="69"/>
      <c r="I745" s="70"/>
      <c r="J745" s="71"/>
      <c r="K745" s="71"/>
      <c r="L745" s="71"/>
      <c r="M745" s="71"/>
    </row>
    <row r="746" spans="1:13" s="72" customFormat="1" ht="18" customHeight="1" x14ac:dyDescent="0.25">
      <c r="A746" s="531"/>
      <c r="B746" s="531"/>
      <c r="C746" s="119">
        <v>80</v>
      </c>
      <c r="D746" s="109">
        <v>159</v>
      </c>
      <c r="E746" s="76">
        <v>1983</v>
      </c>
      <c r="F746" s="332">
        <f t="shared" ref="F746:F747" si="184">2019-E746</f>
        <v>36</v>
      </c>
      <c r="G746" s="68"/>
      <c r="H746" s="69"/>
      <c r="I746" s="70"/>
      <c r="J746" s="71"/>
      <c r="K746" s="71"/>
      <c r="L746" s="71"/>
      <c r="M746" s="71"/>
    </row>
    <row r="747" spans="1:13" s="72" customFormat="1" x14ac:dyDescent="0.25">
      <c r="A747" s="526"/>
      <c r="B747" s="526"/>
      <c r="C747" s="119">
        <v>80</v>
      </c>
      <c r="D747" s="109">
        <v>108</v>
      </c>
      <c r="E747" s="76">
        <v>1983</v>
      </c>
      <c r="F747" s="332">
        <f t="shared" si="184"/>
        <v>36</v>
      </c>
      <c r="G747" s="68"/>
      <c r="H747" s="69"/>
      <c r="I747" s="70"/>
      <c r="J747" s="71"/>
      <c r="K747" s="71"/>
      <c r="L747" s="71"/>
      <c r="M747" s="71"/>
    </row>
    <row r="748" spans="1:13" s="72" customFormat="1" ht="15.75" customHeight="1" x14ac:dyDescent="0.25">
      <c r="A748" s="525" t="s">
        <v>451</v>
      </c>
      <c r="B748" s="525" t="s">
        <v>490</v>
      </c>
      <c r="C748" s="53"/>
      <c r="D748" s="109"/>
      <c r="E748" s="74"/>
      <c r="F748" s="329"/>
      <c r="G748" s="68"/>
      <c r="H748" s="69"/>
      <c r="I748" s="70"/>
      <c r="J748" s="71"/>
      <c r="K748" s="71"/>
      <c r="L748" s="71"/>
      <c r="M748" s="71"/>
    </row>
    <row r="749" spans="1:13" s="72" customFormat="1" ht="18" customHeight="1" x14ac:dyDescent="0.25">
      <c r="A749" s="531"/>
      <c r="B749" s="531"/>
      <c r="C749" s="119">
        <v>88</v>
      </c>
      <c r="D749" s="109">
        <v>159</v>
      </c>
      <c r="E749" s="76">
        <v>1983</v>
      </c>
      <c r="F749" s="332">
        <f t="shared" ref="F749:F750" si="185">2019-E749</f>
        <v>36</v>
      </c>
      <c r="G749" s="68"/>
      <c r="H749" s="69"/>
      <c r="I749" s="70"/>
      <c r="J749" s="71"/>
      <c r="K749" s="71"/>
      <c r="L749" s="71"/>
      <c r="M749" s="71"/>
    </row>
    <row r="750" spans="1:13" s="72" customFormat="1" x14ac:dyDescent="0.25">
      <c r="A750" s="526"/>
      <c r="B750" s="526"/>
      <c r="C750" s="119">
        <v>88</v>
      </c>
      <c r="D750" s="109">
        <v>76</v>
      </c>
      <c r="E750" s="76">
        <v>1983</v>
      </c>
      <c r="F750" s="332">
        <f t="shared" si="185"/>
        <v>36</v>
      </c>
      <c r="G750" s="68"/>
      <c r="H750" s="69"/>
      <c r="I750" s="70"/>
      <c r="J750" s="71"/>
      <c r="K750" s="71"/>
      <c r="L750" s="71"/>
      <c r="M750" s="71"/>
    </row>
    <row r="751" spans="1:13" s="72" customFormat="1" ht="15.75" customHeight="1" x14ac:dyDescent="0.25">
      <c r="A751" s="525" t="s">
        <v>434</v>
      </c>
      <c r="B751" s="525" t="s">
        <v>491</v>
      </c>
      <c r="C751" s="53"/>
      <c r="D751" s="109"/>
      <c r="E751" s="74"/>
      <c r="F751" s="329"/>
      <c r="G751" s="68"/>
      <c r="H751" s="69"/>
      <c r="I751" s="70"/>
      <c r="J751" s="71"/>
      <c r="K751" s="71"/>
      <c r="L751" s="71"/>
      <c r="M751" s="71"/>
    </row>
    <row r="752" spans="1:13" s="72" customFormat="1" ht="20.25" customHeight="1" x14ac:dyDescent="0.25">
      <c r="A752" s="531"/>
      <c r="B752" s="531"/>
      <c r="C752" s="119">
        <v>66</v>
      </c>
      <c r="D752" s="109">
        <v>159</v>
      </c>
      <c r="E752" s="76">
        <v>1983</v>
      </c>
      <c r="F752" s="332">
        <f t="shared" ref="F752:F753" si="186">2019-E752</f>
        <v>36</v>
      </c>
      <c r="G752" s="68"/>
      <c r="H752" s="69"/>
      <c r="I752" s="70"/>
      <c r="J752" s="71"/>
      <c r="K752" s="71"/>
      <c r="L752" s="71"/>
      <c r="M752" s="71"/>
    </row>
    <row r="753" spans="1:13" s="72" customFormat="1" x14ac:dyDescent="0.25">
      <c r="A753" s="526"/>
      <c r="B753" s="526"/>
      <c r="C753" s="119">
        <v>66</v>
      </c>
      <c r="D753" s="109">
        <v>76</v>
      </c>
      <c r="E753" s="76">
        <v>1983</v>
      </c>
      <c r="F753" s="332">
        <f t="shared" si="186"/>
        <v>36</v>
      </c>
      <c r="G753" s="68"/>
      <c r="H753" s="69"/>
      <c r="I753" s="70"/>
      <c r="J753" s="71"/>
      <c r="K753" s="71"/>
      <c r="L753" s="71"/>
      <c r="M753" s="71"/>
    </row>
    <row r="754" spans="1:13" s="72" customFormat="1" ht="15.75" customHeight="1" x14ac:dyDescent="0.25">
      <c r="A754" s="525" t="s">
        <v>325</v>
      </c>
      <c r="B754" s="525" t="s">
        <v>492</v>
      </c>
      <c r="C754" s="53"/>
      <c r="D754" s="109"/>
      <c r="E754" s="74"/>
      <c r="F754" s="329"/>
      <c r="G754" s="68"/>
      <c r="H754" s="69"/>
      <c r="I754" s="70"/>
      <c r="J754" s="71"/>
      <c r="K754" s="71"/>
      <c r="L754" s="71"/>
      <c r="M754" s="71"/>
    </row>
    <row r="755" spans="1:13" s="72" customFormat="1" ht="18.75" customHeight="1" x14ac:dyDescent="0.25">
      <c r="A755" s="531"/>
      <c r="B755" s="531"/>
      <c r="C755" s="119">
        <v>15</v>
      </c>
      <c r="D755" s="109">
        <v>76</v>
      </c>
      <c r="E755" s="76">
        <v>1982</v>
      </c>
      <c r="F755" s="332">
        <f t="shared" ref="F755:F756" si="187">2019-E755</f>
        <v>37</v>
      </c>
      <c r="G755" s="68"/>
      <c r="H755" s="69"/>
      <c r="I755" s="70"/>
      <c r="J755" s="71"/>
      <c r="K755" s="71"/>
      <c r="L755" s="71"/>
      <c r="M755" s="71"/>
    </row>
    <row r="756" spans="1:13" s="72" customFormat="1" x14ac:dyDescent="0.25">
      <c r="A756" s="526"/>
      <c r="B756" s="526"/>
      <c r="C756" s="119">
        <v>15</v>
      </c>
      <c r="D756" s="109">
        <v>57</v>
      </c>
      <c r="E756" s="76">
        <v>1982</v>
      </c>
      <c r="F756" s="332">
        <f t="shared" si="187"/>
        <v>37</v>
      </c>
      <c r="G756" s="68"/>
      <c r="H756" s="69"/>
      <c r="I756" s="70"/>
      <c r="J756" s="71"/>
      <c r="K756" s="71"/>
      <c r="L756" s="71"/>
      <c r="M756" s="71"/>
    </row>
    <row r="757" spans="1:13" s="72" customFormat="1" ht="15.75" customHeight="1" x14ac:dyDescent="0.25">
      <c r="A757" s="525" t="s">
        <v>493</v>
      </c>
      <c r="B757" s="525" t="s">
        <v>494</v>
      </c>
      <c r="C757" s="53"/>
      <c r="D757" s="109"/>
      <c r="E757" s="74"/>
      <c r="F757" s="329"/>
      <c r="G757" s="68"/>
      <c r="H757" s="69"/>
      <c r="I757" s="70"/>
      <c r="J757" s="71"/>
      <c r="K757" s="71"/>
      <c r="L757" s="71"/>
      <c r="M757" s="71"/>
    </row>
    <row r="758" spans="1:13" s="72" customFormat="1" ht="19.5" customHeight="1" x14ac:dyDescent="0.25">
      <c r="A758" s="531"/>
      <c r="B758" s="531"/>
      <c r="C758" s="119">
        <v>86</v>
      </c>
      <c r="D758" s="109">
        <v>159</v>
      </c>
      <c r="E758" s="76">
        <v>1982</v>
      </c>
      <c r="F758" s="332">
        <f t="shared" ref="F758:F759" si="188">2019-E758</f>
        <v>37</v>
      </c>
      <c r="G758" s="68"/>
      <c r="H758" s="69"/>
      <c r="I758" s="70"/>
      <c r="J758" s="71"/>
      <c r="K758" s="71"/>
      <c r="L758" s="71"/>
      <c r="M758" s="71"/>
    </row>
    <row r="759" spans="1:13" s="72" customFormat="1" ht="21" customHeight="1" x14ac:dyDescent="0.25">
      <c r="A759" s="526"/>
      <c r="B759" s="526"/>
      <c r="C759" s="119">
        <v>86</v>
      </c>
      <c r="D759" s="109">
        <v>108</v>
      </c>
      <c r="E759" s="76">
        <v>1982</v>
      </c>
      <c r="F759" s="332">
        <f t="shared" si="188"/>
        <v>37</v>
      </c>
      <c r="G759" s="68"/>
      <c r="H759" s="69"/>
      <c r="I759" s="70"/>
      <c r="J759" s="71"/>
      <c r="K759" s="71"/>
      <c r="L759" s="71"/>
      <c r="M759" s="71"/>
    </row>
    <row r="760" spans="1:13" s="72" customFormat="1" ht="19.5" customHeight="1" x14ac:dyDescent="0.25">
      <c r="A760" s="525" t="s">
        <v>495</v>
      </c>
      <c r="B760" s="525" t="s">
        <v>496</v>
      </c>
      <c r="C760" s="53"/>
      <c r="D760" s="109"/>
      <c r="E760" s="74"/>
      <c r="F760" s="329"/>
      <c r="G760" s="68"/>
      <c r="H760" s="69"/>
      <c r="I760" s="70"/>
      <c r="J760" s="71"/>
      <c r="K760" s="71"/>
      <c r="L760" s="71"/>
      <c r="M760" s="71"/>
    </row>
    <row r="761" spans="1:13" s="72" customFormat="1" ht="24" customHeight="1" x14ac:dyDescent="0.25">
      <c r="A761" s="531"/>
      <c r="B761" s="531"/>
      <c r="C761" s="119">
        <v>29</v>
      </c>
      <c r="D761" s="109">
        <v>89</v>
      </c>
      <c r="E761" s="49">
        <v>1985</v>
      </c>
      <c r="F761" s="332">
        <f t="shared" ref="F761:F762" si="189">2019-E761</f>
        <v>34</v>
      </c>
      <c r="G761" s="68"/>
      <c r="H761" s="69"/>
      <c r="I761" s="70"/>
      <c r="J761" s="71"/>
      <c r="K761" s="71"/>
      <c r="L761" s="71"/>
      <c r="M761" s="71"/>
    </row>
    <row r="762" spans="1:13" s="72" customFormat="1" x14ac:dyDescent="0.25">
      <c r="A762" s="526"/>
      <c r="B762" s="526"/>
      <c r="C762" s="119">
        <v>29</v>
      </c>
      <c r="D762" s="109">
        <v>57</v>
      </c>
      <c r="E762" s="49">
        <v>1985</v>
      </c>
      <c r="F762" s="332">
        <f t="shared" si="189"/>
        <v>34</v>
      </c>
      <c r="G762" s="68"/>
      <c r="H762" s="69"/>
      <c r="I762" s="70"/>
      <c r="J762" s="71"/>
      <c r="K762" s="71"/>
      <c r="L762" s="71"/>
      <c r="M762" s="71"/>
    </row>
    <row r="763" spans="1:13" s="72" customFormat="1" ht="15.75" customHeight="1" x14ac:dyDescent="0.25">
      <c r="A763" s="525" t="s">
        <v>325</v>
      </c>
      <c r="B763" s="525" t="s">
        <v>497</v>
      </c>
      <c r="C763" s="53"/>
      <c r="D763" s="109"/>
      <c r="E763" s="74"/>
      <c r="F763" s="329"/>
      <c r="G763" s="68"/>
      <c r="H763" s="69"/>
      <c r="I763" s="70"/>
      <c r="J763" s="71"/>
      <c r="K763" s="71"/>
      <c r="L763" s="71"/>
      <c r="M763" s="71"/>
    </row>
    <row r="764" spans="1:13" s="72" customFormat="1" ht="20.25" customHeight="1" x14ac:dyDescent="0.25">
      <c r="A764" s="531"/>
      <c r="B764" s="531"/>
      <c r="C764" s="119">
        <v>18</v>
      </c>
      <c r="D764" s="109">
        <v>159</v>
      </c>
      <c r="E764" s="76">
        <v>1982</v>
      </c>
      <c r="F764" s="332">
        <f t="shared" ref="F764:F765" si="190">2019-E764</f>
        <v>37</v>
      </c>
      <c r="G764" s="68"/>
      <c r="H764" s="69"/>
      <c r="I764" s="70"/>
      <c r="J764" s="71"/>
      <c r="K764" s="71"/>
      <c r="L764" s="71"/>
      <c r="M764" s="71"/>
    </row>
    <row r="765" spans="1:13" s="72" customFormat="1" x14ac:dyDescent="0.25">
      <c r="A765" s="526"/>
      <c r="B765" s="526"/>
      <c r="C765" s="119">
        <v>18</v>
      </c>
      <c r="D765" s="109">
        <v>108</v>
      </c>
      <c r="E765" s="76">
        <v>1982</v>
      </c>
      <c r="F765" s="332">
        <f t="shared" si="190"/>
        <v>37</v>
      </c>
      <c r="G765" s="68"/>
      <c r="H765" s="69"/>
      <c r="I765" s="70"/>
      <c r="J765" s="71"/>
      <c r="K765" s="71"/>
      <c r="L765" s="71"/>
      <c r="M765" s="71"/>
    </row>
    <row r="766" spans="1:13" s="72" customFormat="1" ht="15.75" customHeight="1" x14ac:dyDescent="0.25">
      <c r="A766" s="525" t="s">
        <v>498</v>
      </c>
      <c r="B766" s="525" t="s">
        <v>499</v>
      </c>
      <c r="C766" s="53"/>
      <c r="D766" s="109"/>
      <c r="E766" s="74"/>
      <c r="F766" s="329"/>
      <c r="G766" s="68"/>
      <c r="H766" s="69"/>
      <c r="I766" s="70"/>
      <c r="J766" s="71"/>
      <c r="K766" s="71"/>
      <c r="L766" s="71"/>
      <c r="M766" s="71"/>
    </row>
    <row r="767" spans="1:13" s="72" customFormat="1" ht="20.25" customHeight="1" x14ac:dyDescent="0.25">
      <c r="A767" s="531"/>
      <c r="B767" s="531"/>
      <c r="C767" s="78">
        <v>51</v>
      </c>
      <c r="D767" s="109">
        <v>89</v>
      </c>
      <c r="E767" s="49">
        <v>2001</v>
      </c>
      <c r="F767" s="332">
        <f t="shared" ref="F767:F768" si="191">2019-E767</f>
        <v>18</v>
      </c>
      <c r="G767" s="68"/>
      <c r="H767" s="69"/>
      <c r="I767" s="70"/>
      <c r="J767" s="71"/>
      <c r="K767" s="71"/>
      <c r="L767" s="71"/>
      <c r="M767" s="71"/>
    </row>
    <row r="768" spans="1:13" s="72" customFormat="1" x14ac:dyDescent="0.25">
      <c r="A768" s="526"/>
      <c r="B768" s="526"/>
      <c r="C768" s="78">
        <v>51</v>
      </c>
      <c r="D768" s="109">
        <v>57</v>
      </c>
      <c r="E768" s="49">
        <v>2001</v>
      </c>
      <c r="F768" s="332">
        <f t="shared" si="191"/>
        <v>18</v>
      </c>
      <c r="G768" s="68"/>
      <c r="H768" s="69"/>
      <c r="I768" s="70"/>
      <c r="J768" s="71"/>
      <c r="K768" s="71"/>
      <c r="L768" s="71"/>
      <c r="M768" s="71"/>
    </row>
    <row r="769" spans="1:13" s="72" customFormat="1" ht="15.75" customHeight="1" x14ac:dyDescent="0.25">
      <c r="A769" s="525" t="s">
        <v>184</v>
      </c>
      <c r="B769" s="525" t="s">
        <v>500</v>
      </c>
      <c r="C769" s="53"/>
      <c r="D769" s="109"/>
      <c r="E769" s="74"/>
      <c r="F769" s="329"/>
      <c r="G769" s="68"/>
      <c r="H769" s="69"/>
      <c r="I769" s="70"/>
      <c r="J769" s="71"/>
      <c r="K769" s="71"/>
      <c r="L769" s="71"/>
      <c r="M769" s="71"/>
    </row>
    <row r="770" spans="1:13" s="72" customFormat="1" ht="18" customHeight="1" x14ac:dyDescent="0.25">
      <c r="A770" s="531"/>
      <c r="B770" s="531"/>
      <c r="C770" s="119">
        <v>14</v>
      </c>
      <c r="D770" s="109">
        <v>76</v>
      </c>
      <c r="E770" s="76">
        <v>1983</v>
      </c>
      <c r="F770" s="332">
        <f t="shared" ref="F770:F771" si="192">2019-E770</f>
        <v>36</v>
      </c>
      <c r="G770" s="68"/>
      <c r="H770" s="69"/>
      <c r="I770" s="70"/>
      <c r="J770" s="71"/>
      <c r="K770" s="71"/>
      <c r="L770" s="71"/>
      <c r="M770" s="71"/>
    </row>
    <row r="771" spans="1:13" s="72" customFormat="1" x14ac:dyDescent="0.25">
      <c r="A771" s="526"/>
      <c r="B771" s="526"/>
      <c r="C771" s="119">
        <v>14</v>
      </c>
      <c r="D771" s="109">
        <v>57</v>
      </c>
      <c r="E771" s="76">
        <v>1983</v>
      </c>
      <c r="F771" s="332">
        <f t="shared" si="192"/>
        <v>36</v>
      </c>
      <c r="G771" s="68"/>
      <c r="H771" s="69"/>
      <c r="I771" s="70"/>
      <c r="J771" s="71"/>
      <c r="K771" s="71"/>
      <c r="L771" s="71"/>
      <c r="M771" s="71"/>
    </row>
    <row r="772" spans="1:13" s="72" customFormat="1" ht="15.75" customHeight="1" x14ac:dyDescent="0.25">
      <c r="A772" s="525" t="s">
        <v>501</v>
      </c>
      <c r="B772" s="525" t="s">
        <v>502</v>
      </c>
      <c r="C772" s="53"/>
      <c r="D772" s="109"/>
      <c r="E772" s="74"/>
      <c r="F772" s="329"/>
      <c r="G772" s="68"/>
      <c r="H772" s="69"/>
      <c r="I772" s="70"/>
      <c r="J772" s="71"/>
      <c r="K772" s="71"/>
      <c r="L772" s="71"/>
      <c r="M772" s="71"/>
    </row>
    <row r="773" spans="1:13" s="72" customFormat="1" ht="21" customHeight="1" x14ac:dyDescent="0.25">
      <c r="A773" s="531"/>
      <c r="B773" s="531"/>
      <c r="C773" s="119">
        <v>62</v>
      </c>
      <c r="D773" s="109">
        <v>89</v>
      </c>
      <c r="E773" s="49">
        <v>1985</v>
      </c>
      <c r="F773" s="332">
        <f t="shared" ref="F773:F774" si="193">2019-E773</f>
        <v>34</v>
      </c>
      <c r="G773" s="68"/>
      <c r="H773" s="69"/>
      <c r="I773" s="70"/>
      <c r="J773" s="71"/>
      <c r="K773" s="71"/>
      <c r="L773" s="71"/>
      <c r="M773" s="71"/>
    </row>
    <row r="774" spans="1:13" s="72" customFormat="1" x14ac:dyDescent="0.25">
      <c r="A774" s="526"/>
      <c r="B774" s="526"/>
      <c r="C774" s="119">
        <v>62</v>
      </c>
      <c r="D774" s="109">
        <v>57</v>
      </c>
      <c r="E774" s="49">
        <v>1985</v>
      </c>
      <c r="F774" s="332">
        <f t="shared" si="193"/>
        <v>34</v>
      </c>
      <c r="G774" s="68"/>
      <c r="H774" s="69"/>
      <c r="I774" s="70"/>
      <c r="J774" s="71"/>
      <c r="K774" s="71"/>
      <c r="L774" s="71"/>
      <c r="M774" s="71"/>
    </row>
    <row r="775" spans="1:13" s="72" customFormat="1" ht="15.75" customHeight="1" x14ac:dyDescent="0.25">
      <c r="A775" s="525" t="s">
        <v>407</v>
      </c>
      <c r="B775" s="525" t="s">
        <v>281</v>
      </c>
      <c r="C775" s="53"/>
      <c r="D775" s="109"/>
      <c r="E775" s="74"/>
      <c r="F775" s="329"/>
      <c r="G775" s="68"/>
      <c r="H775" s="69"/>
      <c r="I775" s="70"/>
      <c r="J775" s="71"/>
      <c r="K775" s="71"/>
      <c r="L775" s="71"/>
      <c r="M775" s="71"/>
    </row>
    <row r="776" spans="1:13" s="72" customFormat="1" ht="21" customHeight="1" x14ac:dyDescent="0.25">
      <c r="A776" s="531"/>
      <c r="B776" s="531"/>
      <c r="C776" s="119">
        <v>46</v>
      </c>
      <c r="D776" s="109">
        <v>219</v>
      </c>
      <c r="E776" s="49">
        <v>1981</v>
      </c>
      <c r="F776" s="332">
        <f t="shared" ref="F776:F777" si="194">2019-E776</f>
        <v>38</v>
      </c>
      <c r="G776" s="68"/>
      <c r="H776" s="69"/>
      <c r="I776" s="70"/>
      <c r="J776" s="71"/>
      <c r="K776" s="71"/>
      <c r="L776" s="71"/>
      <c r="M776" s="71"/>
    </row>
    <row r="777" spans="1:13" s="72" customFormat="1" x14ac:dyDescent="0.25">
      <c r="A777" s="526"/>
      <c r="B777" s="526"/>
      <c r="C777" s="119">
        <v>46</v>
      </c>
      <c r="D777" s="109">
        <v>133</v>
      </c>
      <c r="E777" s="49">
        <v>1981</v>
      </c>
      <c r="F777" s="332">
        <f t="shared" si="194"/>
        <v>38</v>
      </c>
      <c r="G777" s="68"/>
      <c r="H777" s="69"/>
      <c r="I777" s="70"/>
      <c r="J777" s="71"/>
      <c r="K777" s="71"/>
      <c r="L777" s="71"/>
      <c r="M777" s="71"/>
    </row>
    <row r="778" spans="1:13" s="72" customFormat="1" ht="15.75" customHeight="1" x14ac:dyDescent="0.25">
      <c r="A778" s="525" t="s">
        <v>503</v>
      </c>
      <c r="B778" s="525" t="s">
        <v>504</v>
      </c>
      <c r="C778" s="53"/>
      <c r="D778" s="109"/>
      <c r="E778" s="74"/>
      <c r="F778" s="329"/>
      <c r="G778" s="68"/>
      <c r="H778" s="69"/>
      <c r="I778" s="70"/>
      <c r="J778" s="71"/>
      <c r="K778" s="71"/>
      <c r="L778" s="71"/>
      <c r="M778" s="71"/>
    </row>
    <row r="779" spans="1:13" s="72" customFormat="1" ht="23.25" customHeight="1" x14ac:dyDescent="0.25">
      <c r="A779" s="531"/>
      <c r="B779" s="531"/>
      <c r="C779" s="119">
        <v>26</v>
      </c>
      <c r="D779" s="109">
        <v>89</v>
      </c>
      <c r="E779" s="76">
        <v>1983</v>
      </c>
      <c r="F779" s="332">
        <f t="shared" ref="F779:F780" si="195">2019-E779</f>
        <v>36</v>
      </c>
      <c r="G779" s="68"/>
      <c r="H779" s="69"/>
      <c r="I779" s="70"/>
      <c r="J779" s="71"/>
      <c r="K779" s="71"/>
      <c r="L779" s="71"/>
      <c r="M779" s="71"/>
    </row>
    <row r="780" spans="1:13" s="72" customFormat="1" x14ac:dyDescent="0.25">
      <c r="A780" s="526"/>
      <c r="B780" s="526"/>
      <c r="C780" s="119">
        <v>26</v>
      </c>
      <c r="D780" s="109">
        <v>57</v>
      </c>
      <c r="E780" s="76">
        <v>1983</v>
      </c>
      <c r="F780" s="332">
        <f t="shared" si="195"/>
        <v>36</v>
      </c>
      <c r="G780" s="68"/>
      <c r="H780" s="69"/>
      <c r="I780" s="70"/>
      <c r="J780" s="71"/>
      <c r="K780" s="71"/>
      <c r="L780" s="71"/>
      <c r="M780" s="71"/>
    </row>
    <row r="781" spans="1:13" s="72" customFormat="1" ht="15.75" customHeight="1" x14ac:dyDescent="0.25">
      <c r="A781" s="525" t="s">
        <v>178</v>
      </c>
      <c r="B781" s="525" t="s">
        <v>505</v>
      </c>
      <c r="C781" s="53"/>
      <c r="D781" s="109"/>
      <c r="E781" s="74"/>
      <c r="F781" s="329"/>
      <c r="G781" s="68"/>
      <c r="H781" s="69"/>
      <c r="I781" s="70"/>
      <c r="J781" s="71"/>
      <c r="K781" s="71"/>
      <c r="L781" s="71"/>
      <c r="M781" s="71"/>
    </row>
    <row r="782" spans="1:13" s="72" customFormat="1" ht="21" customHeight="1" x14ac:dyDescent="0.25">
      <c r="A782" s="531"/>
      <c r="B782" s="531"/>
      <c r="C782" s="119">
        <v>32</v>
      </c>
      <c r="D782" s="109">
        <v>159</v>
      </c>
      <c r="E782" s="76">
        <v>1982</v>
      </c>
      <c r="F782" s="332">
        <f t="shared" ref="F782:F783" si="196">2019-E782</f>
        <v>37</v>
      </c>
      <c r="G782" s="68"/>
      <c r="H782" s="69"/>
      <c r="I782" s="70"/>
      <c r="J782" s="71"/>
      <c r="K782" s="71"/>
      <c r="L782" s="71"/>
      <c r="M782" s="71"/>
    </row>
    <row r="783" spans="1:13" s="72" customFormat="1" x14ac:dyDescent="0.25">
      <c r="A783" s="526"/>
      <c r="B783" s="526"/>
      <c r="C783" s="119">
        <v>32</v>
      </c>
      <c r="D783" s="109">
        <v>108</v>
      </c>
      <c r="E783" s="76">
        <v>1982</v>
      </c>
      <c r="F783" s="332">
        <f t="shared" si="196"/>
        <v>37</v>
      </c>
      <c r="G783" s="68"/>
      <c r="H783" s="69"/>
      <c r="I783" s="70"/>
      <c r="J783" s="71"/>
      <c r="K783" s="71"/>
      <c r="L783" s="71"/>
      <c r="M783" s="71"/>
    </row>
    <row r="784" spans="1:13" s="72" customFormat="1" ht="15.75" customHeight="1" x14ac:dyDescent="0.25">
      <c r="A784" s="525" t="s">
        <v>329</v>
      </c>
      <c r="B784" s="525" t="s">
        <v>506</v>
      </c>
      <c r="C784" s="53"/>
      <c r="D784" s="109"/>
      <c r="E784" s="74"/>
      <c r="F784" s="329"/>
      <c r="G784" s="68"/>
      <c r="H784" s="69"/>
      <c r="I784" s="70"/>
      <c r="J784" s="71"/>
      <c r="K784" s="71"/>
      <c r="L784" s="71"/>
      <c r="M784" s="71"/>
    </row>
    <row r="785" spans="1:13" s="72" customFormat="1" ht="18" customHeight="1" x14ac:dyDescent="0.25">
      <c r="A785" s="531"/>
      <c r="B785" s="531"/>
      <c r="C785" s="119">
        <v>61</v>
      </c>
      <c r="D785" s="109">
        <v>89</v>
      </c>
      <c r="E785" s="76">
        <v>1982</v>
      </c>
      <c r="F785" s="332">
        <f t="shared" ref="F785:F786" si="197">2019-E785</f>
        <v>37</v>
      </c>
      <c r="G785" s="68"/>
      <c r="H785" s="69"/>
      <c r="I785" s="70"/>
      <c r="J785" s="71"/>
      <c r="K785" s="71"/>
      <c r="L785" s="71"/>
      <c r="M785" s="71"/>
    </row>
    <row r="786" spans="1:13" s="72" customFormat="1" x14ac:dyDescent="0.25">
      <c r="A786" s="526"/>
      <c r="B786" s="526"/>
      <c r="C786" s="119">
        <v>61</v>
      </c>
      <c r="D786" s="109">
        <v>57</v>
      </c>
      <c r="E786" s="76">
        <v>1982</v>
      </c>
      <c r="F786" s="332">
        <f t="shared" si="197"/>
        <v>37</v>
      </c>
      <c r="G786" s="68"/>
      <c r="H786" s="69"/>
      <c r="I786" s="70"/>
      <c r="J786" s="71"/>
      <c r="K786" s="71"/>
      <c r="L786" s="71"/>
      <c r="M786" s="71"/>
    </row>
    <row r="787" spans="1:13" s="72" customFormat="1" ht="15.75" customHeight="1" x14ac:dyDescent="0.25">
      <c r="A787" s="525" t="s">
        <v>434</v>
      </c>
      <c r="B787" s="525" t="s">
        <v>507</v>
      </c>
      <c r="C787" s="53"/>
      <c r="D787" s="109"/>
      <c r="E787" s="74"/>
      <c r="F787" s="329"/>
      <c r="G787" s="68"/>
      <c r="H787" s="69"/>
      <c r="I787" s="70"/>
      <c r="J787" s="71"/>
      <c r="K787" s="71"/>
      <c r="L787" s="71"/>
      <c r="M787" s="71"/>
    </row>
    <row r="788" spans="1:13" s="72" customFormat="1" ht="19.5" customHeight="1" x14ac:dyDescent="0.25">
      <c r="A788" s="531"/>
      <c r="B788" s="531"/>
      <c r="C788" s="119">
        <v>30</v>
      </c>
      <c r="D788" s="109">
        <v>57</v>
      </c>
      <c r="E788" s="76">
        <v>1985</v>
      </c>
      <c r="F788" s="332">
        <f t="shared" ref="F788:F789" si="198">2019-E788</f>
        <v>34</v>
      </c>
      <c r="G788" s="68"/>
      <c r="H788" s="69"/>
      <c r="I788" s="70"/>
      <c r="J788" s="71"/>
      <c r="K788" s="71"/>
      <c r="L788" s="71"/>
      <c r="M788" s="71"/>
    </row>
    <row r="789" spans="1:13" s="72" customFormat="1" x14ac:dyDescent="0.25">
      <c r="A789" s="526"/>
      <c r="B789" s="526"/>
      <c r="C789" s="119">
        <v>30</v>
      </c>
      <c r="D789" s="109">
        <v>40</v>
      </c>
      <c r="E789" s="49">
        <v>1985</v>
      </c>
      <c r="F789" s="332">
        <f t="shared" si="198"/>
        <v>34</v>
      </c>
      <c r="G789" s="68"/>
      <c r="H789" s="69"/>
      <c r="I789" s="70"/>
      <c r="J789" s="71"/>
      <c r="K789" s="71"/>
      <c r="L789" s="71"/>
      <c r="M789" s="71"/>
    </row>
    <row r="790" spans="1:13" s="72" customFormat="1" ht="15.75" customHeight="1" x14ac:dyDescent="0.25">
      <c r="A790" s="525" t="s">
        <v>217</v>
      </c>
      <c r="B790" s="525" t="s">
        <v>294</v>
      </c>
      <c r="C790" s="53"/>
      <c r="D790" s="109"/>
      <c r="E790" s="74"/>
      <c r="F790" s="329"/>
      <c r="G790" s="68"/>
      <c r="H790" s="69"/>
      <c r="I790" s="70"/>
      <c r="J790" s="71"/>
      <c r="K790" s="71"/>
      <c r="L790" s="71"/>
      <c r="M790" s="71"/>
    </row>
    <row r="791" spans="1:13" s="72" customFormat="1" ht="21" customHeight="1" x14ac:dyDescent="0.25">
      <c r="A791" s="531"/>
      <c r="B791" s="531"/>
      <c r="C791" s="119">
        <v>38</v>
      </c>
      <c r="D791" s="109">
        <v>219</v>
      </c>
      <c r="E791" s="49">
        <v>1981</v>
      </c>
      <c r="F791" s="332">
        <f t="shared" ref="F791:F792" si="199">2019-E791</f>
        <v>38</v>
      </c>
      <c r="G791" s="68"/>
      <c r="H791" s="69"/>
      <c r="I791" s="70"/>
      <c r="J791" s="71"/>
      <c r="K791" s="71"/>
      <c r="L791" s="71"/>
      <c r="M791" s="71"/>
    </row>
    <row r="792" spans="1:13" s="72" customFormat="1" x14ac:dyDescent="0.25">
      <c r="A792" s="526"/>
      <c r="B792" s="526"/>
      <c r="C792" s="119">
        <v>38</v>
      </c>
      <c r="D792" s="109">
        <v>133</v>
      </c>
      <c r="E792" s="49">
        <v>1981</v>
      </c>
      <c r="F792" s="332">
        <f t="shared" si="199"/>
        <v>38</v>
      </c>
      <c r="G792" s="68"/>
      <c r="H792" s="69"/>
      <c r="I792" s="70"/>
      <c r="J792" s="71"/>
      <c r="K792" s="71"/>
      <c r="L792" s="71"/>
      <c r="M792" s="71"/>
    </row>
    <row r="793" spans="1:13" s="72" customFormat="1" ht="15.75" customHeight="1" x14ac:dyDescent="0.25">
      <c r="A793" s="525" t="s">
        <v>508</v>
      </c>
      <c r="B793" s="525" t="s">
        <v>509</v>
      </c>
      <c r="C793" s="53"/>
      <c r="D793" s="109"/>
      <c r="E793" s="74"/>
      <c r="F793" s="329"/>
      <c r="G793" s="68"/>
      <c r="H793" s="69"/>
      <c r="I793" s="70"/>
      <c r="J793" s="71"/>
      <c r="K793" s="71"/>
      <c r="L793" s="71"/>
      <c r="M793" s="71"/>
    </row>
    <row r="794" spans="1:13" s="72" customFormat="1" x14ac:dyDescent="0.25">
      <c r="A794" s="531"/>
      <c r="B794" s="531"/>
      <c r="C794" s="119">
        <v>4</v>
      </c>
      <c r="D794" s="109">
        <v>57</v>
      </c>
      <c r="E794" s="76">
        <v>1983</v>
      </c>
      <c r="F794" s="332">
        <f t="shared" ref="F794:F795" si="200">2019-E794</f>
        <v>36</v>
      </c>
      <c r="G794" s="68"/>
      <c r="H794" s="69"/>
      <c r="I794" s="70"/>
      <c r="J794" s="71"/>
      <c r="K794" s="71"/>
      <c r="L794" s="71"/>
      <c r="M794" s="71"/>
    </row>
    <row r="795" spans="1:13" s="72" customFormat="1" x14ac:dyDescent="0.25">
      <c r="A795" s="526"/>
      <c r="B795" s="526"/>
      <c r="C795" s="55">
        <v>4</v>
      </c>
      <c r="D795" s="109">
        <v>25</v>
      </c>
      <c r="E795" s="76">
        <v>1983</v>
      </c>
      <c r="F795" s="332">
        <f t="shared" si="200"/>
        <v>36</v>
      </c>
      <c r="G795" s="68"/>
      <c r="H795" s="69"/>
      <c r="I795" s="70"/>
      <c r="J795" s="71"/>
      <c r="K795" s="71"/>
      <c r="L795" s="71"/>
      <c r="M795" s="71"/>
    </row>
    <row r="796" spans="1:13" s="72" customFormat="1" ht="19.5" customHeight="1" x14ac:dyDescent="0.25">
      <c r="A796" s="525" t="s">
        <v>360</v>
      </c>
      <c r="B796" s="525" t="s">
        <v>510</v>
      </c>
      <c r="C796" s="53"/>
      <c r="D796" s="109"/>
      <c r="E796" s="74"/>
      <c r="F796" s="329"/>
      <c r="G796" s="68"/>
      <c r="H796" s="69"/>
      <c r="I796" s="70"/>
      <c r="J796" s="71"/>
      <c r="K796" s="71"/>
      <c r="L796" s="71"/>
      <c r="M796" s="71"/>
    </row>
    <row r="797" spans="1:13" s="72" customFormat="1" x14ac:dyDescent="0.25">
      <c r="A797" s="531"/>
      <c r="B797" s="531"/>
      <c r="C797" s="119">
        <v>30</v>
      </c>
      <c r="D797" s="109">
        <v>89</v>
      </c>
      <c r="E797" s="76">
        <v>1983</v>
      </c>
      <c r="F797" s="332">
        <f t="shared" ref="F797:F798" si="201">2019-E797</f>
        <v>36</v>
      </c>
      <c r="G797" s="68"/>
      <c r="H797" s="69"/>
      <c r="I797" s="70"/>
      <c r="J797" s="71"/>
      <c r="K797" s="71"/>
      <c r="L797" s="71"/>
      <c r="M797" s="71"/>
    </row>
    <row r="798" spans="1:13" s="72" customFormat="1" x14ac:dyDescent="0.25">
      <c r="A798" s="526"/>
      <c r="B798" s="526"/>
      <c r="C798" s="119">
        <v>30</v>
      </c>
      <c r="D798" s="109">
        <v>57</v>
      </c>
      <c r="E798" s="76">
        <v>1983</v>
      </c>
      <c r="F798" s="332">
        <f t="shared" si="201"/>
        <v>36</v>
      </c>
      <c r="G798" s="68"/>
      <c r="H798" s="69"/>
      <c r="I798" s="70"/>
      <c r="J798" s="71"/>
      <c r="K798" s="71"/>
      <c r="L798" s="71"/>
      <c r="M798" s="71"/>
    </row>
    <row r="799" spans="1:13" s="72" customFormat="1" ht="14.25" customHeight="1" x14ac:dyDescent="0.25">
      <c r="A799" s="534" t="s">
        <v>511</v>
      </c>
      <c r="B799" s="525" t="s">
        <v>512</v>
      </c>
      <c r="C799" s="53"/>
      <c r="D799" s="109"/>
      <c r="E799" s="74"/>
      <c r="F799" s="329"/>
      <c r="G799" s="68"/>
      <c r="H799" s="69"/>
      <c r="I799" s="70"/>
      <c r="J799" s="71"/>
      <c r="K799" s="71"/>
      <c r="L799" s="71"/>
      <c r="M799" s="71"/>
    </row>
    <row r="800" spans="1:13" s="72" customFormat="1" x14ac:dyDescent="0.25">
      <c r="A800" s="536"/>
      <c r="B800" s="531"/>
      <c r="C800" s="119">
        <v>79</v>
      </c>
      <c r="D800" s="109">
        <v>89</v>
      </c>
      <c r="E800" s="76">
        <v>1983</v>
      </c>
      <c r="F800" s="332">
        <f t="shared" ref="F800:F801" si="202">2019-E800</f>
        <v>36</v>
      </c>
      <c r="G800" s="68"/>
      <c r="H800" s="69"/>
      <c r="I800" s="70"/>
      <c r="J800" s="71"/>
      <c r="K800" s="71"/>
      <c r="L800" s="71"/>
      <c r="M800" s="71"/>
    </row>
    <row r="801" spans="1:13" s="72" customFormat="1" x14ac:dyDescent="0.25">
      <c r="A801" s="535"/>
      <c r="B801" s="526"/>
      <c r="C801" s="119">
        <v>79</v>
      </c>
      <c r="D801" s="109">
        <v>57</v>
      </c>
      <c r="E801" s="76">
        <v>1983</v>
      </c>
      <c r="F801" s="332">
        <f t="shared" si="202"/>
        <v>36</v>
      </c>
      <c r="G801" s="68"/>
      <c r="H801" s="69"/>
      <c r="I801" s="70"/>
      <c r="J801" s="71"/>
      <c r="K801" s="71"/>
      <c r="L801" s="71"/>
      <c r="M801" s="71"/>
    </row>
    <row r="802" spans="1:13" s="72" customFormat="1" ht="15.75" customHeight="1" x14ac:dyDescent="0.25">
      <c r="A802" s="534" t="s">
        <v>513</v>
      </c>
      <c r="B802" s="525" t="s">
        <v>514</v>
      </c>
      <c r="C802" s="53"/>
      <c r="D802" s="109"/>
      <c r="E802" s="74"/>
      <c r="F802" s="329"/>
      <c r="G802" s="68"/>
      <c r="H802" s="69"/>
      <c r="I802" s="70"/>
      <c r="J802" s="71"/>
      <c r="K802" s="71"/>
      <c r="L802" s="71"/>
      <c r="M802" s="71"/>
    </row>
    <row r="803" spans="1:13" s="72" customFormat="1" ht="21" customHeight="1" x14ac:dyDescent="0.25">
      <c r="A803" s="536"/>
      <c r="B803" s="531"/>
      <c r="C803" s="119">
        <v>46</v>
      </c>
      <c r="D803" s="109">
        <v>89</v>
      </c>
      <c r="E803" s="76">
        <v>1984</v>
      </c>
      <c r="F803" s="332">
        <f t="shared" ref="F803:F804" si="203">2019-E803</f>
        <v>35</v>
      </c>
      <c r="G803" s="68"/>
      <c r="H803" s="69"/>
      <c r="I803" s="70"/>
      <c r="J803" s="71"/>
      <c r="K803" s="71"/>
      <c r="L803" s="71"/>
      <c r="M803" s="71"/>
    </row>
    <row r="804" spans="1:13" s="72" customFormat="1" x14ac:dyDescent="0.25">
      <c r="A804" s="535"/>
      <c r="B804" s="526"/>
      <c r="C804" s="119">
        <v>46</v>
      </c>
      <c r="D804" s="109">
        <v>57</v>
      </c>
      <c r="E804" s="49">
        <v>1984</v>
      </c>
      <c r="F804" s="332">
        <f t="shared" si="203"/>
        <v>35</v>
      </c>
      <c r="G804" s="68"/>
      <c r="H804" s="69"/>
      <c r="I804" s="70"/>
      <c r="J804" s="71"/>
      <c r="K804" s="71"/>
      <c r="L804" s="71"/>
      <c r="M804" s="71"/>
    </row>
    <row r="805" spans="1:13" s="72" customFormat="1" ht="15.75" customHeight="1" x14ac:dyDescent="0.25">
      <c r="A805" s="525" t="s">
        <v>515</v>
      </c>
      <c r="B805" s="525" t="s">
        <v>359</v>
      </c>
      <c r="C805" s="53"/>
      <c r="D805" s="109"/>
      <c r="E805" s="74"/>
      <c r="F805" s="329"/>
      <c r="G805" s="68"/>
      <c r="H805" s="69"/>
      <c r="I805" s="70"/>
      <c r="J805" s="71"/>
      <c r="K805" s="71"/>
      <c r="L805" s="71"/>
      <c r="M805" s="71"/>
    </row>
    <row r="806" spans="1:13" s="72" customFormat="1" ht="18.75" customHeight="1" x14ac:dyDescent="0.25">
      <c r="A806" s="531"/>
      <c r="B806" s="531"/>
      <c r="C806" s="119">
        <v>11</v>
      </c>
      <c r="D806" s="109">
        <v>89</v>
      </c>
      <c r="E806" s="49">
        <v>1984</v>
      </c>
      <c r="F806" s="332">
        <f t="shared" ref="F806:F807" si="204">2019-E806</f>
        <v>35</v>
      </c>
      <c r="G806" s="68"/>
      <c r="H806" s="69"/>
      <c r="I806" s="70"/>
      <c r="J806" s="71"/>
      <c r="K806" s="71"/>
      <c r="L806" s="71"/>
      <c r="M806" s="71"/>
    </row>
    <row r="807" spans="1:13" s="72" customFormat="1" x14ac:dyDescent="0.25">
      <c r="A807" s="526"/>
      <c r="B807" s="526"/>
      <c r="C807" s="119">
        <v>11</v>
      </c>
      <c r="D807" s="109">
        <v>57</v>
      </c>
      <c r="E807" s="49">
        <v>1984</v>
      </c>
      <c r="F807" s="332">
        <f t="shared" si="204"/>
        <v>35</v>
      </c>
      <c r="G807" s="68"/>
      <c r="H807" s="69"/>
      <c r="I807" s="70"/>
      <c r="J807" s="71"/>
      <c r="K807" s="71"/>
      <c r="L807" s="71"/>
      <c r="M807" s="71"/>
    </row>
    <row r="808" spans="1:13" s="72" customFormat="1" ht="15.75" customHeight="1" x14ac:dyDescent="0.25">
      <c r="A808" s="525" t="s">
        <v>515</v>
      </c>
      <c r="B808" s="525" t="s">
        <v>516</v>
      </c>
      <c r="C808" s="53"/>
      <c r="D808" s="109"/>
      <c r="E808" s="74"/>
      <c r="F808" s="329"/>
      <c r="G808" s="68"/>
      <c r="H808" s="69"/>
      <c r="I808" s="70"/>
      <c r="J808" s="71"/>
      <c r="K808" s="71"/>
      <c r="L808" s="71"/>
      <c r="M808" s="71"/>
    </row>
    <row r="809" spans="1:13" s="72" customFormat="1" ht="21.75" customHeight="1" x14ac:dyDescent="0.25">
      <c r="A809" s="531"/>
      <c r="B809" s="531"/>
      <c r="C809" s="119">
        <v>62</v>
      </c>
      <c r="D809" s="109">
        <v>159</v>
      </c>
      <c r="E809" s="49">
        <v>1984</v>
      </c>
      <c r="F809" s="332">
        <f t="shared" ref="F809:F810" si="205">2019-E809</f>
        <v>35</v>
      </c>
      <c r="G809" s="68"/>
      <c r="H809" s="69"/>
      <c r="I809" s="70"/>
      <c r="J809" s="71"/>
      <c r="K809" s="71"/>
      <c r="L809" s="71"/>
      <c r="M809" s="71"/>
    </row>
    <row r="810" spans="1:13" s="72" customFormat="1" x14ac:dyDescent="0.25">
      <c r="A810" s="526"/>
      <c r="B810" s="526"/>
      <c r="C810" s="119">
        <v>62</v>
      </c>
      <c r="D810" s="109">
        <v>108</v>
      </c>
      <c r="E810" s="49">
        <v>1984</v>
      </c>
      <c r="F810" s="332">
        <f t="shared" si="205"/>
        <v>35</v>
      </c>
      <c r="G810" s="68"/>
      <c r="H810" s="69"/>
      <c r="I810" s="70"/>
      <c r="J810" s="71"/>
      <c r="K810" s="71"/>
      <c r="L810" s="71"/>
      <c r="M810" s="71"/>
    </row>
    <row r="811" spans="1:13" s="72" customFormat="1" ht="15.75" customHeight="1" x14ac:dyDescent="0.25">
      <c r="A811" s="525" t="s">
        <v>200</v>
      </c>
      <c r="B811" s="525" t="s">
        <v>517</v>
      </c>
      <c r="C811" s="53"/>
      <c r="D811" s="109"/>
      <c r="E811" s="74"/>
      <c r="F811" s="329"/>
      <c r="G811" s="68"/>
      <c r="H811" s="69"/>
      <c r="I811" s="70"/>
      <c r="J811" s="71"/>
      <c r="K811" s="71"/>
      <c r="L811" s="71"/>
      <c r="M811" s="71"/>
    </row>
    <row r="812" spans="1:13" s="72" customFormat="1" ht="22.5" customHeight="1" x14ac:dyDescent="0.25">
      <c r="A812" s="531"/>
      <c r="B812" s="531"/>
      <c r="C812" s="119">
        <v>30</v>
      </c>
      <c r="D812" s="109">
        <v>89</v>
      </c>
      <c r="E812" s="49">
        <v>1985</v>
      </c>
      <c r="F812" s="332">
        <f t="shared" ref="F812:F813" si="206">2019-E812</f>
        <v>34</v>
      </c>
      <c r="G812" s="68"/>
      <c r="H812" s="69"/>
      <c r="I812" s="70"/>
      <c r="J812" s="71"/>
      <c r="K812" s="71"/>
      <c r="L812" s="71"/>
      <c r="M812" s="71"/>
    </row>
    <row r="813" spans="1:13" s="72" customFormat="1" x14ac:dyDescent="0.25">
      <c r="A813" s="526"/>
      <c r="B813" s="526"/>
      <c r="C813" s="119">
        <v>30</v>
      </c>
      <c r="D813" s="109">
        <v>57</v>
      </c>
      <c r="E813" s="49">
        <v>1985</v>
      </c>
      <c r="F813" s="332">
        <f t="shared" si="206"/>
        <v>34</v>
      </c>
      <c r="G813" s="68"/>
      <c r="H813" s="69"/>
      <c r="I813" s="70"/>
      <c r="J813" s="71"/>
      <c r="K813" s="71"/>
      <c r="L813" s="71"/>
      <c r="M813" s="71"/>
    </row>
    <row r="814" spans="1:13" s="72" customFormat="1" ht="15.75" customHeight="1" x14ac:dyDescent="0.25">
      <c r="A814" s="525" t="s">
        <v>518</v>
      </c>
      <c r="B814" s="525" t="s">
        <v>519</v>
      </c>
      <c r="C814" s="53"/>
      <c r="D814" s="109"/>
      <c r="E814" s="74"/>
      <c r="F814" s="329"/>
      <c r="G814" s="68"/>
      <c r="H814" s="69"/>
      <c r="I814" s="70"/>
      <c r="J814" s="71"/>
      <c r="K814" s="71"/>
      <c r="L814" s="71"/>
      <c r="M814" s="71"/>
    </row>
    <row r="815" spans="1:13" s="72" customFormat="1" ht="21" customHeight="1" x14ac:dyDescent="0.25">
      <c r="A815" s="531"/>
      <c r="B815" s="531"/>
      <c r="C815" s="119">
        <v>37</v>
      </c>
      <c r="D815" s="109">
        <v>219</v>
      </c>
      <c r="E815" s="49">
        <v>1984</v>
      </c>
      <c r="F815" s="332">
        <f t="shared" ref="F815:F816" si="207">2019-E815</f>
        <v>35</v>
      </c>
      <c r="G815" s="68"/>
      <c r="H815" s="69"/>
      <c r="I815" s="70"/>
      <c r="J815" s="71"/>
      <c r="K815" s="71"/>
      <c r="L815" s="71"/>
      <c r="M815" s="71"/>
    </row>
    <row r="816" spans="1:13" s="72" customFormat="1" x14ac:dyDescent="0.25">
      <c r="A816" s="526"/>
      <c r="B816" s="526"/>
      <c r="C816" s="119">
        <v>37</v>
      </c>
      <c r="D816" s="109">
        <v>133</v>
      </c>
      <c r="E816" s="49">
        <v>1984</v>
      </c>
      <c r="F816" s="332">
        <f t="shared" si="207"/>
        <v>35</v>
      </c>
      <c r="G816" s="68"/>
      <c r="H816" s="69"/>
      <c r="I816" s="70"/>
      <c r="J816" s="71"/>
      <c r="K816" s="71"/>
      <c r="L816" s="71"/>
      <c r="M816" s="71"/>
    </row>
    <row r="817" spans="1:13" s="72" customFormat="1" ht="15.75" customHeight="1" x14ac:dyDescent="0.25">
      <c r="A817" s="525" t="s">
        <v>520</v>
      </c>
      <c r="B817" s="525" t="s">
        <v>521</v>
      </c>
      <c r="C817" s="53"/>
      <c r="D817" s="109"/>
      <c r="E817" s="74"/>
      <c r="F817" s="329"/>
      <c r="G817" s="68"/>
      <c r="H817" s="69"/>
      <c r="I817" s="70"/>
      <c r="J817" s="71"/>
      <c r="K817" s="71"/>
      <c r="L817" s="71"/>
      <c r="M817" s="71"/>
    </row>
    <row r="818" spans="1:13" s="72" customFormat="1" ht="22.5" customHeight="1" x14ac:dyDescent="0.25">
      <c r="A818" s="531"/>
      <c r="B818" s="531"/>
      <c r="C818" s="119">
        <v>60</v>
      </c>
      <c r="D818" s="109">
        <v>219</v>
      </c>
      <c r="E818" s="49">
        <v>1984</v>
      </c>
      <c r="F818" s="332">
        <f t="shared" ref="F818:F819" si="208">2019-E818</f>
        <v>35</v>
      </c>
      <c r="G818" s="68"/>
      <c r="H818" s="69"/>
      <c r="I818" s="70"/>
      <c r="J818" s="71"/>
      <c r="K818" s="71"/>
      <c r="L818" s="71"/>
      <c r="M818" s="71"/>
    </row>
    <row r="819" spans="1:13" s="72" customFormat="1" x14ac:dyDescent="0.25">
      <c r="A819" s="526"/>
      <c r="B819" s="526"/>
      <c r="C819" s="119">
        <v>60</v>
      </c>
      <c r="D819" s="109">
        <v>159</v>
      </c>
      <c r="E819" s="49">
        <v>1984</v>
      </c>
      <c r="F819" s="332">
        <f t="shared" si="208"/>
        <v>35</v>
      </c>
      <c r="G819" s="68"/>
      <c r="H819" s="69"/>
      <c r="I819" s="70"/>
      <c r="J819" s="71"/>
      <c r="K819" s="71"/>
      <c r="L819" s="71"/>
      <c r="M819" s="71"/>
    </row>
    <row r="820" spans="1:13" s="72" customFormat="1" ht="15.75" customHeight="1" x14ac:dyDescent="0.25">
      <c r="A820" s="525" t="s">
        <v>522</v>
      </c>
      <c r="B820" s="525" t="s">
        <v>523</v>
      </c>
      <c r="C820" s="53"/>
      <c r="D820" s="109"/>
      <c r="E820" s="74"/>
      <c r="F820" s="329"/>
      <c r="G820" s="68"/>
      <c r="H820" s="69"/>
      <c r="I820" s="70"/>
      <c r="J820" s="71"/>
      <c r="K820" s="71"/>
      <c r="L820" s="71"/>
      <c r="M820" s="71"/>
    </row>
    <row r="821" spans="1:13" s="72" customFormat="1" ht="22.5" customHeight="1" x14ac:dyDescent="0.25">
      <c r="A821" s="531"/>
      <c r="B821" s="531"/>
      <c r="C821" s="78">
        <v>85</v>
      </c>
      <c r="D821" s="109">
        <v>159</v>
      </c>
      <c r="E821" s="49">
        <v>2007</v>
      </c>
      <c r="F821" s="332">
        <f t="shared" ref="F821:F822" si="209">2019-E821</f>
        <v>12</v>
      </c>
      <c r="G821" s="68"/>
      <c r="H821" s="69"/>
      <c r="I821" s="70"/>
      <c r="J821" s="71"/>
      <c r="K821" s="71"/>
      <c r="L821" s="71"/>
      <c r="M821" s="71"/>
    </row>
    <row r="822" spans="1:13" s="72" customFormat="1" x14ac:dyDescent="0.25">
      <c r="A822" s="526"/>
      <c r="B822" s="526"/>
      <c r="C822" s="78">
        <v>85</v>
      </c>
      <c r="D822" s="109">
        <v>108</v>
      </c>
      <c r="E822" s="49">
        <v>2007</v>
      </c>
      <c r="F822" s="332">
        <f t="shared" si="209"/>
        <v>12</v>
      </c>
      <c r="G822" s="68"/>
      <c r="H822" s="69"/>
      <c r="I822" s="70"/>
      <c r="J822" s="71"/>
      <c r="K822" s="71"/>
      <c r="L822" s="71"/>
      <c r="M822" s="71"/>
    </row>
    <row r="823" spans="1:13" s="72" customFormat="1" ht="15.75" customHeight="1" x14ac:dyDescent="0.25">
      <c r="A823" s="525" t="s">
        <v>365</v>
      </c>
      <c r="B823" s="525" t="s">
        <v>524</v>
      </c>
      <c r="C823" s="53"/>
      <c r="D823" s="109"/>
      <c r="E823" s="74"/>
      <c r="F823" s="329"/>
      <c r="G823" s="68"/>
      <c r="H823" s="69"/>
      <c r="I823" s="70"/>
      <c r="J823" s="71"/>
      <c r="K823" s="71"/>
      <c r="L823" s="71"/>
      <c r="M823" s="71"/>
    </row>
    <row r="824" spans="1:13" s="72" customFormat="1" ht="20.25" customHeight="1" x14ac:dyDescent="0.25">
      <c r="A824" s="531"/>
      <c r="B824" s="531"/>
      <c r="C824" s="119">
        <v>36</v>
      </c>
      <c r="D824" s="109">
        <v>89</v>
      </c>
      <c r="E824" s="76">
        <v>1986</v>
      </c>
      <c r="F824" s="332">
        <f t="shared" ref="F824:F825" si="210">2019-E824</f>
        <v>33</v>
      </c>
      <c r="G824" s="68"/>
      <c r="H824" s="69"/>
      <c r="I824" s="70"/>
      <c r="J824" s="71"/>
      <c r="K824" s="71"/>
      <c r="L824" s="71"/>
      <c r="M824" s="71"/>
    </row>
    <row r="825" spans="1:13" s="72" customFormat="1" x14ac:dyDescent="0.25">
      <c r="A825" s="526"/>
      <c r="B825" s="526"/>
      <c r="C825" s="119">
        <v>36</v>
      </c>
      <c r="D825" s="109">
        <v>57</v>
      </c>
      <c r="E825" s="49">
        <v>1986</v>
      </c>
      <c r="F825" s="332">
        <f t="shared" si="210"/>
        <v>33</v>
      </c>
      <c r="G825" s="68"/>
      <c r="H825" s="69"/>
      <c r="I825" s="70"/>
      <c r="J825" s="71"/>
      <c r="K825" s="71"/>
      <c r="L825" s="71"/>
      <c r="M825" s="71"/>
    </row>
    <row r="826" spans="1:13" s="72" customFormat="1" ht="15.75" customHeight="1" x14ac:dyDescent="0.25">
      <c r="A826" s="525" t="s">
        <v>456</v>
      </c>
      <c r="B826" s="525" t="s">
        <v>525</v>
      </c>
      <c r="C826" s="53"/>
      <c r="D826" s="109"/>
      <c r="E826" s="74"/>
      <c r="F826" s="329"/>
      <c r="G826" s="68"/>
      <c r="H826" s="69"/>
      <c r="I826" s="70"/>
      <c r="J826" s="71"/>
      <c r="K826" s="71"/>
      <c r="L826" s="71"/>
      <c r="M826" s="71"/>
    </row>
    <row r="827" spans="1:13" s="72" customFormat="1" ht="18" customHeight="1" x14ac:dyDescent="0.25">
      <c r="A827" s="531"/>
      <c r="B827" s="531"/>
      <c r="C827" s="119">
        <v>27</v>
      </c>
      <c r="D827" s="109">
        <v>76</v>
      </c>
      <c r="E827" s="49">
        <v>1984</v>
      </c>
      <c r="F827" s="332">
        <f t="shared" ref="F827:F828" si="211">2019-E827</f>
        <v>35</v>
      </c>
      <c r="G827" s="68"/>
      <c r="H827" s="69"/>
      <c r="I827" s="70"/>
      <c r="J827" s="71"/>
      <c r="K827" s="71"/>
      <c r="L827" s="71"/>
      <c r="M827" s="71"/>
    </row>
    <row r="828" spans="1:13" s="72" customFormat="1" x14ac:dyDescent="0.25">
      <c r="A828" s="526"/>
      <c r="B828" s="526"/>
      <c r="C828" s="119">
        <v>27</v>
      </c>
      <c r="D828" s="109">
        <v>40</v>
      </c>
      <c r="E828" s="49">
        <v>1984</v>
      </c>
      <c r="F828" s="332">
        <f t="shared" si="211"/>
        <v>35</v>
      </c>
      <c r="G828" s="68"/>
      <c r="H828" s="69"/>
      <c r="I828" s="70"/>
      <c r="J828" s="71"/>
      <c r="K828" s="71"/>
      <c r="L828" s="71"/>
      <c r="M828" s="71"/>
    </row>
    <row r="829" spans="1:13" s="72" customFormat="1" ht="15.75" customHeight="1" x14ac:dyDescent="0.25">
      <c r="A829" s="525" t="s">
        <v>354</v>
      </c>
      <c r="B829" s="525" t="s">
        <v>526</v>
      </c>
      <c r="C829" s="53"/>
      <c r="D829" s="109"/>
      <c r="E829" s="74"/>
      <c r="F829" s="329"/>
      <c r="G829" s="68"/>
      <c r="H829" s="69"/>
      <c r="I829" s="70"/>
      <c r="J829" s="71"/>
      <c r="K829" s="71"/>
      <c r="L829" s="71"/>
      <c r="M829" s="71"/>
    </row>
    <row r="830" spans="1:13" s="72" customFormat="1" ht="22.5" customHeight="1" x14ac:dyDescent="0.25">
      <c r="A830" s="531"/>
      <c r="B830" s="531"/>
      <c r="C830" s="119">
        <v>12</v>
      </c>
      <c r="D830" s="109">
        <v>89</v>
      </c>
      <c r="E830" s="49">
        <v>1985</v>
      </c>
      <c r="F830" s="332">
        <f t="shared" ref="F830:F831" si="212">2019-E830</f>
        <v>34</v>
      </c>
      <c r="G830" s="68"/>
      <c r="H830" s="69"/>
      <c r="I830" s="70"/>
      <c r="J830" s="71"/>
      <c r="K830" s="71"/>
      <c r="L830" s="71"/>
      <c r="M830" s="71"/>
    </row>
    <row r="831" spans="1:13" s="72" customFormat="1" x14ac:dyDescent="0.25">
      <c r="A831" s="526"/>
      <c r="B831" s="526"/>
      <c r="C831" s="119">
        <v>12</v>
      </c>
      <c r="D831" s="109">
        <v>57</v>
      </c>
      <c r="E831" s="49">
        <v>1985</v>
      </c>
      <c r="F831" s="332">
        <f t="shared" si="212"/>
        <v>34</v>
      </c>
      <c r="G831" s="68"/>
      <c r="H831" s="69"/>
      <c r="I831" s="70"/>
      <c r="J831" s="71"/>
      <c r="K831" s="71"/>
      <c r="L831" s="71"/>
      <c r="M831" s="71"/>
    </row>
    <row r="832" spans="1:13" s="72" customFormat="1" ht="15.75" customHeight="1" x14ac:dyDescent="0.25">
      <c r="A832" s="525" t="s">
        <v>229</v>
      </c>
      <c r="B832" s="525" t="s">
        <v>527</v>
      </c>
      <c r="C832" s="53"/>
      <c r="D832" s="109"/>
      <c r="E832" s="74"/>
      <c r="F832" s="329"/>
      <c r="G832" s="68"/>
      <c r="H832" s="69"/>
      <c r="I832" s="70"/>
      <c r="J832" s="71"/>
      <c r="K832" s="71"/>
      <c r="L832" s="71"/>
      <c r="M832" s="71"/>
    </row>
    <row r="833" spans="1:13" s="72" customFormat="1" ht="20.25" customHeight="1" x14ac:dyDescent="0.25">
      <c r="A833" s="531"/>
      <c r="B833" s="531"/>
      <c r="C833" s="119">
        <v>86</v>
      </c>
      <c r="D833" s="109">
        <v>219</v>
      </c>
      <c r="E833" s="49">
        <v>1984</v>
      </c>
      <c r="F833" s="332">
        <f t="shared" ref="F833:F834" si="213">2019-E833</f>
        <v>35</v>
      </c>
      <c r="G833" s="68"/>
      <c r="H833" s="69"/>
      <c r="I833" s="70"/>
      <c r="J833" s="71"/>
      <c r="K833" s="71"/>
      <c r="L833" s="71"/>
      <c r="M833" s="71"/>
    </row>
    <row r="834" spans="1:13" s="72" customFormat="1" x14ac:dyDescent="0.25">
      <c r="A834" s="526"/>
      <c r="B834" s="526"/>
      <c r="C834" s="119">
        <v>86</v>
      </c>
      <c r="D834" s="109">
        <v>133</v>
      </c>
      <c r="E834" s="49">
        <v>1984</v>
      </c>
      <c r="F834" s="332">
        <f t="shared" si="213"/>
        <v>35</v>
      </c>
      <c r="G834" s="68"/>
      <c r="H834" s="69"/>
      <c r="I834" s="70"/>
      <c r="J834" s="71"/>
      <c r="K834" s="71"/>
      <c r="L834" s="71"/>
      <c r="M834" s="71"/>
    </row>
    <row r="835" spans="1:13" s="72" customFormat="1" ht="15.75" customHeight="1" x14ac:dyDescent="0.25">
      <c r="A835" s="525" t="s">
        <v>253</v>
      </c>
      <c r="B835" s="525" t="s">
        <v>294</v>
      </c>
      <c r="C835" s="53"/>
      <c r="D835" s="109"/>
      <c r="E835" s="74"/>
      <c r="F835" s="329"/>
      <c r="G835" s="68"/>
      <c r="H835" s="69"/>
      <c r="I835" s="70"/>
      <c r="J835" s="71"/>
      <c r="K835" s="71"/>
      <c r="L835" s="71"/>
      <c r="M835" s="71"/>
    </row>
    <row r="836" spans="1:13" s="72" customFormat="1" ht="19.5" customHeight="1" x14ac:dyDescent="0.25">
      <c r="A836" s="531"/>
      <c r="B836" s="531"/>
      <c r="C836" s="119">
        <v>36</v>
      </c>
      <c r="D836" s="109">
        <v>219</v>
      </c>
      <c r="E836" s="49">
        <v>1984</v>
      </c>
      <c r="F836" s="332">
        <f t="shared" ref="F836:F837" si="214">2019-E836</f>
        <v>35</v>
      </c>
      <c r="G836" s="68"/>
      <c r="H836" s="69"/>
      <c r="I836" s="70"/>
      <c r="J836" s="71"/>
      <c r="K836" s="71"/>
      <c r="L836" s="71"/>
      <c r="M836" s="71"/>
    </row>
    <row r="837" spans="1:13" s="72" customFormat="1" x14ac:dyDescent="0.25">
      <c r="A837" s="526"/>
      <c r="B837" s="526"/>
      <c r="C837" s="119">
        <v>36</v>
      </c>
      <c r="D837" s="109">
        <v>133</v>
      </c>
      <c r="E837" s="49">
        <v>1984</v>
      </c>
      <c r="F837" s="332">
        <f t="shared" si="214"/>
        <v>35</v>
      </c>
      <c r="G837" s="68"/>
      <c r="H837" s="69"/>
      <c r="I837" s="70"/>
      <c r="J837" s="71"/>
      <c r="K837" s="71"/>
      <c r="L837" s="71"/>
      <c r="M837" s="71"/>
    </row>
    <row r="838" spans="1:13" s="72" customFormat="1" ht="15.75" customHeight="1" x14ac:dyDescent="0.25">
      <c r="A838" s="525" t="s">
        <v>449</v>
      </c>
      <c r="B838" s="525" t="s">
        <v>323</v>
      </c>
      <c r="C838" s="53"/>
      <c r="D838" s="109"/>
      <c r="E838" s="74"/>
      <c r="F838" s="329"/>
      <c r="G838" s="68"/>
      <c r="H838" s="69"/>
      <c r="I838" s="70"/>
      <c r="J838" s="71"/>
      <c r="K838" s="71"/>
      <c r="L838" s="71"/>
      <c r="M838" s="71"/>
    </row>
    <row r="839" spans="1:13" s="72" customFormat="1" ht="21.75" customHeight="1" x14ac:dyDescent="0.25">
      <c r="A839" s="531"/>
      <c r="B839" s="531"/>
      <c r="C839" s="119">
        <v>10</v>
      </c>
      <c r="D839" s="109">
        <v>57</v>
      </c>
      <c r="E839" s="49">
        <v>1986</v>
      </c>
      <c r="F839" s="332">
        <f t="shared" ref="F839:F840" si="215">2019-E839</f>
        <v>33</v>
      </c>
      <c r="G839" s="68"/>
      <c r="H839" s="69"/>
      <c r="I839" s="70"/>
      <c r="J839" s="71"/>
      <c r="K839" s="71"/>
      <c r="L839" s="71"/>
      <c r="M839" s="71"/>
    </row>
    <row r="840" spans="1:13" s="72" customFormat="1" x14ac:dyDescent="0.25">
      <c r="A840" s="526"/>
      <c r="B840" s="526"/>
      <c r="C840" s="55">
        <v>10</v>
      </c>
      <c r="D840" s="109">
        <v>25</v>
      </c>
      <c r="E840" s="49">
        <v>1986</v>
      </c>
      <c r="F840" s="332">
        <f t="shared" si="215"/>
        <v>33</v>
      </c>
      <c r="G840" s="68"/>
      <c r="H840" s="69"/>
      <c r="I840" s="70"/>
      <c r="J840" s="71"/>
      <c r="K840" s="71"/>
      <c r="L840" s="71"/>
      <c r="M840" s="71"/>
    </row>
    <row r="841" spans="1:13" s="72" customFormat="1" ht="15.75" customHeight="1" x14ac:dyDescent="0.25">
      <c r="A841" s="525" t="s">
        <v>461</v>
      </c>
      <c r="B841" s="525" t="s">
        <v>528</v>
      </c>
      <c r="C841" s="53"/>
      <c r="D841" s="109"/>
      <c r="E841" s="74"/>
      <c r="F841" s="329"/>
      <c r="G841" s="68"/>
      <c r="H841" s="69"/>
      <c r="I841" s="70"/>
      <c r="J841" s="71"/>
      <c r="K841" s="71"/>
      <c r="L841" s="71"/>
      <c r="M841" s="71"/>
    </row>
    <row r="842" spans="1:13" s="72" customFormat="1" ht="15" customHeight="1" x14ac:dyDescent="0.25">
      <c r="A842" s="531"/>
      <c r="B842" s="531"/>
      <c r="C842" s="119">
        <v>34</v>
      </c>
      <c r="D842" s="109">
        <v>76</v>
      </c>
      <c r="E842" s="49">
        <v>1984</v>
      </c>
      <c r="F842" s="332">
        <f t="shared" ref="F842:F843" si="216">2019-E842</f>
        <v>35</v>
      </c>
      <c r="G842" s="68"/>
      <c r="H842" s="69"/>
      <c r="I842" s="70"/>
      <c r="J842" s="71"/>
      <c r="K842" s="71"/>
      <c r="L842" s="71"/>
      <c r="M842" s="71"/>
    </row>
    <row r="843" spans="1:13" s="72" customFormat="1" x14ac:dyDescent="0.25">
      <c r="A843" s="526"/>
      <c r="B843" s="526"/>
      <c r="C843" s="119">
        <v>34</v>
      </c>
      <c r="D843" s="109">
        <v>57</v>
      </c>
      <c r="E843" s="49">
        <v>1984</v>
      </c>
      <c r="F843" s="332">
        <f t="shared" si="216"/>
        <v>35</v>
      </c>
      <c r="G843" s="68"/>
      <c r="H843" s="69"/>
      <c r="I843" s="70"/>
      <c r="J843" s="71"/>
      <c r="K843" s="71"/>
      <c r="L843" s="71"/>
      <c r="M843" s="71"/>
    </row>
    <row r="844" spans="1:13" s="72" customFormat="1" ht="15.75" customHeight="1" x14ac:dyDescent="0.25">
      <c r="A844" s="525" t="s">
        <v>461</v>
      </c>
      <c r="B844" s="525" t="s">
        <v>529</v>
      </c>
      <c r="C844" s="53"/>
      <c r="D844" s="109"/>
      <c r="E844" s="74"/>
      <c r="F844" s="329"/>
      <c r="G844" s="68"/>
      <c r="H844" s="69"/>
      <c r="I844" s="70"/>
      <c r="J844" s="71"/>
      <c r="K844" s="71"/>
      <c r="L844" s="71"/>
      <c r="M844" s="71"/>
    </row>
    <row r="845" spans="1:13" s="72" customFormat="1" ht="21.75" customHeight="1" x14ac:dyDescent="0.25">
      <c r="A845" s="531"/>
      <c r="B845" s="531"/>
      <c r="C845" s="119">
        <v>44</v>
      </c>
      <c r="D845" s="109">
        <v>133</v>
      </c>
      <c r="E845" s="49">
        <v>1984</v>
      </c>
      <c r="F845" s="332">
        <f t="shared" ref="F845:F846" si="217">2019-E845</f>
        <v>35</v>
      </c>
      <c r="G845" s="68"/>
      <c r="H845" s="69"/>
      <c r="I845" s="70"/>
      <c r="J845" s="71"/>
      <c r="K845" s="71"/>
      <c r="L845" s="71"/>
      <c r="M845" s="71"/>
    </row>
    <row r="846" spans="1:13" s="72" customFormat="1" x14ac:dyDescent="0.25">
      <c r="A846" s="526"/>
      <c r="B846" s="526"/>
      <c r="C846" s="119">
        <v>44</v>
      </c>
      <c r="D846" s="109">
        <v>89</v>
      </c>
      <c r="E846" s="49">
        <v>1984</v>
      </c>
      <c r="F846" s="332">
        <f t="shared" si="217"/>
        <v>35</v>
      </c>
      <c r="G846" s="68"/>
      <c r="H846" s="69"/>
      <c r="I846" s="70"/>
      <c r="J846" s="71"/>
      <c r="K846" s="71"/>
      <c r="L846" s="71"/>
      <c r="M846" s="71"/>
    </row>
    <row r="847" spans="1:13" s="72" customFormat="1" ht="15.75" customHeight="1" x14ac:dyDescent="0.25">
      <c r="A847" s="525" t="s">
        <v>530</v>
      </c>
      <c r="B847" s="525" t="s">
        <v>531</v>
      </c>
      <c r="C847" s="53"/>
      <c r="D847" s="109"/>
      <c r="E847" s="74"/>
      <c r="F847" s="329"/>
      <c r="G847" s="68"/>
      <c r="H847" s="69"/>
      <c r="I847" s="70"/>
      <c r="J847" s="71"/>
      <c r="K847" s="71"/>
      <c r="L847" s="71"/>
      <c r="M847" s="71"/>
    </row>
    <row r="848" spans="1:13" s="72" customFormat="1" ht="15.75" customHeight="1" x14ac:dyDescent="0.25">
      <c r="A848" s="531"/>
      <c r="B848" s="531"/>
      <c r="C848" s="119">
        <v>12</v>
      </c>
      <c r="D848" s="109">
        <v>76</v>
      </c>
      <c r="E848" s="49">
        <v>1984</v>
      </c>
      <c r="F848" s="332">
        <f t="shared" ref="F848:F849" si="218">2019-E848</f>
        <v>35</v>
      </c>
      <c r="G848" s="68"/>
      <c r="H848" s="69"/>
      <c r="I848" s="70"/>
      <c r="J848" s="71"/>
      <c r="K848" s="71"/>
      <c r="L848" s="71"/>
      <c r="M848" s="71"/>
    </row>
    <row r="849" spans="1:13" s="72" customFormat="1" x14ac:dyDescent="0.25">
      <c r="A849" s="526"/>
      <c r="B849" s="526"/>
      <c r="C849" s="119">
        <v>12</v>
      </c>
      <c r="D849" s="109">
        <v>57</v>
      </c>
      <c r="E849" s="49">
        <v>1984</v>
      </c>
      <c r="F849" s="332">
        <f t="shared" si="218"/>
        <v>35</v>
      </c>
      <c r="G849" s="68"/>
      <c r="H849" s="69"/>
      <c r="I849" s="70"/>
      <c r="J849" s="71"/>
      <c r="K849" s="71"/>
      <c r="L849" s="71"/>
      <c r="M849" s="71"/>
    </row>
    <row r="850" spans="1:13" s="72" customFormat="1" ht="15.75" customHeight="1" x14ac:dyDescent="0.25">
      <c r="A850" s="525" t="s">
        <v>287</v>
      </c>
      <c r="B850" s="525" t="s">
        <v>532</v>
      </c>
      <c r="C850" s="53"/>
      <c r="D850" s="109"/>
      <c r="E850" s="74"/>
      <c r="F850" s="329"/>
      <c r="G850" s="68"/>
      <c r="H850" s="69"/>
      <c r="I850" s="70"/>
      <c r="J850" s="71"/>
      <c r="K850" s="71"/>
      <c r="L850" s="71"/>
      <c r="M850" s="71"/>
    </row>
    <row r="851" spans="1:13" s="72" customFormat="1" ht="21" customHeight="1" x14ac:dyDescent="0.25">
      <c r="A851" s="531"/>
      <c r="B851" s="531"/>
      <c r="C851" s="119">
        <v>9</v>
      </c>
      <c r="D851" s="109">
        <v>76</v>
      </c>
      <c r="E851" s="49">
        <v>1985</v>
      </c>
      <c r="F851" s="332">
        <f t="shared" ref="F851:F852" si="219">2019-E851</f>
        <v>34</v>
      </c>
      <c r="G851" s="68"/>
      <c r="H851" s="69"/>
      <c r="I851" s="70"/>
      <c r="J851" s="71"/>
      <c r="K851" s="71"/>
      <c r="L851" s="71"/>
      <c r="M851" s="71"/>
    </row>
    <row r="852" spans="1:13" s="72" customFormat="1" x14ac:dyDescent="0.25">
      <c r="A852" s="526"/>
      <c r="B852" s="526"/>
      <c r="C852" s="119">
        <v>9</v>
      </c>
      <c r="D852" s="109">
        <v>57</v>
      </c>
      <c r="E852" s="49">
        <v>1985</v>
      </c>
      <c r="F852" s="332">
        <f t="shared" si="219"/>
        <v>34</v>
      </c>
      <c r="G852" s="68"/>
      <c r="H852" s="69"/>
      <c r="I852" s="70"/>
      <c r="J852" s="71"/>
      <c r="K852" s="71"/>
      <c r="L852" s="71"/>
      <c r="M852" s="71"/>
    </row>
    <row r="853" spans="1:13" s="72" customFormat="1" ht="15.75" customHeight="1" x14ac:dyDescent="0.25">
      <c r="A853" s="525" t="s">
        <v>358</v>
      </c>
      <c r="B853" s="525" t="s">
        <v>489</v>
      </c>
      <c r="C853" s="53"/>
      <c r="D853" s="109"/>
      <c r="E853" s="74"/>
      <c r="F853" s="329"/>
      <c r="G853" s="68"/>
      <c r="H853" s="69"/>
      <c r="I853" s="70"/>
      <c r="J853" s="71"/>
      <c r="K853" s="71"/>
      <c r="L853" s="71"/>
      <c r="M853" s="71"/>
    </row>
    <row r="854" spans="1:13" s="72" customFormat="1" ht="20.25" customHeight="1" x14ac:dyDescent="0.25">
      <c r="A854" s="531"/>
      <c r="B854" s="531"/>
      <c r="C854" s="78">
        <v>26</v>
      </c>
      <c r="D854" s="109">
        <v>133</v>
      </c>
      <c r="E854" s="49">
        <v>2007</v>
      </c>
      <c r="F854" s="332">
        <f t="shared" ref="F854:F855" si="220">2019-E854</f>
        <v>12</v>
      </c>
      <c r="G854" s="68"/>
      <c r="H854" s="69"/>
      <c r="I854" s="70"/>
      <c r="J854" s="71"/>
      <c r="K854" s="71"/>
      <c r="L854" s="71"/>
      <c r="M854" s="71"/>
    </row>
    <row r="855" spans="1:13" s="72" customFormat="1" x14ac:dyDescent="0.25">
      <c r="A855" s="526"/>
      <c r="B855" s="526"/>
      <c r="C855" s="78">
        <v>26</v>
      </c>
      <c r="D855" s="109">
        <v>89</v>
      </c>
      <c r="E855" s="49">
        <v>2007</v>
      </c>
      <c r="F855" s="332">
        <f t="shared" si="220"/>
        <v>12</v>
      </c>
      <c r="G855" s="68"/>
      <c r="H855" s="69"/>
      <c r="I855" s="70"/>
      <c r="J855" s="71"/>
      <c r="K855" s="71"/>
      <c r="L855" s="71"/>
      <c r="M855" s="71"/>
    </row>
    <row r="856" spans="1:13" s="72" customFormat="1" ht="15.75" customHeight="1" x14ac:dyDescent="0.25">
      <c r="A856" s="525" t="s">
        <v>356</v>
      </c>
      <c r="B856" s="525" t="s">
        <v>533</v>
      </c>
      <c r="C856" s="53"/>
      <c r="D856" s="109"/>
      <c r="E856" s="74"/>
      <c r="F856" s="329"/>
      <c r="G856" s="68"/>
      <c r="H856" s="69"/>
      <c r="I856" s="70"/>
      <c r="J856" s="71"/>
      <c r="K856" s="71"/>
      <c r="L856" s="71"/>
      <c r="M856" s="71"/>
    </row>
    <row r="857" spans="1:13" s="72" customFormat="1" ht="21" customHeight="1" x14ac:dyDescent="0.25">
      <c r="A857" s="531"/>
      <c r="B857" s="531"/>
      <c r="C857" s="119">
        <v>10</v>
      </c>
      <c r="D857" s="109">
        <v>89</v>
      </c>
      <c r="E857" s="49">
        <v>1984</v>
      </c>
      <c r="F857" s="332">
        <f t="shared" ref="F857:F858" si="221">2019-E857</f>
        <v>35</v>
      </c>
      <c r="G857" s="68"/>
      <c r="H857" s="69"/>
      <c r="I857" s="70"/>
      <c r="J857" s="71"/>
      <c r="K857" s="71"/>
      <c r="L857" s="71"/>
      <c r="M857" s="71"/>
    </row>
    <row r="858" spans="1:13" s="72" customFormat="1" x14ac:dyDescent="0.25">
      <c r="A858" s="526"/>
      <c r="B858" s="526"/>
      <c r="C858" s="119">
        <v>10</v>
      </c>
      <c r="D858" s="109">
        <v>57</v>
      </c>
      <c r="E858" s="49">
        <v>1984</v>
      </c>
      <c r="F858" s="332">
        <f t="shared" si="221"/>
        <v>35</v>
      </c>
      <c r="G858" s="68"/>
      <c r="H858" s="69"/>
      <c r="I858" s="70"/>
      <c r="J858" s="71"/>
      <c r="K858" s="71"/>
      <c r="L858" s="71"/>
      <c r="M858" s="71"/>
    </row>
    <row r="859" spans="1:13" s="72" customFormat="1" ht="15.75" customHeight="1" x14ac:dyDescent="0.25">
      <c r="A859" s="525" t="s">
        <v>253</v>
      </c>
      <c r="B859" s="525" t="s">
        <v>534</v>
      </c>
      <c r="C859" s="53"/>
      <c r="D859" s="109"/>
      <c r="E859" s="74"/>
      <c r="F859" s="329"/>
      <c r="G859" s="68"/>
      <c r="H859" s="69"/>
      <c r="I859" s="70"/>
      <c r="J859" s="71"/>
      <c r="K859" s="71"/>
      <c r="L859" s="71"/>
      <c r="M859" s="71"/>
    </row>
    <row r="860" spans="1:13" s="72" customFormat="1" ht="21" customHeight="1" x14ac:dyDescent="0.25">
      <c r="A860" s="531"/>
      <c r="B860" s="531"/>
      <c r="C860" s="119">
        <v>8</v>
      </c>
      <c r="D860" s="109">
        <v>89</v>
      </c>
      <c r="E860" s="49">
        <v>1985</v>
      </c>
      <c r="F860" s="332">
        <f t="shared" ref="F860:F861" si="222">2019-E860</f>
        <v>34</v>
      </c>
      <c r="G860" s="68"/>
      <c r="H860" s="69"/>
      <c r="I860" s="70"/>
      <c r="J860" s="71"/>
      <c r="K860" s="71"/>
      <c r="L860" s="71"/>
      <c r="M860" s="71"/>
    </row>
    <row r="861" spans="1:13" s="72" customFormat="1" x14ac:dyDescent="0.25">
      <c r="A861" s="526"/>
      <c r="B861" s="526"/>
      <c r="C861" s="119">
        <v>8</v>
      </c>
      <c r="D861" s="109">
        <v>57</v>
      </c>
      <c r="E861" s="49">
        <v>1985</v>
      </c>
      <c r="F861" s="332">
        <f t="shared" si="222"/>
        <v>34</v>
      </c>
      <c r="G861" s="68"/>
      <c r="H861" s="69"/>
      <c r="I861" s="70"/>
      <c r="J861" s="71"/>
      <c r="K861" s="71"/>
      <c r="L861" s="71"/>
      <c r="M861" s="71"/>
    </row>
    <row r="862" spans="1:13" s="72" customFormat="1" ht="15.75" customHeight="1" x14ac:dyDescent="0.25">
      <c r="A862" s="525" t="s">
        <v>193</v>
      </c>
      <c r="B862" s="525" t="s">
        <v>274</v>
      </c>
      <c r="C862" s="53"/>
      <c r="D862" s="109"/>
      <c r="E862" s="74"/>
      <c r="F862" s="329"/>
      <c r="G862" s="68"/>
      <c r="H862" s="69"/>
      <c r="I862" s="70"/>
      <c r="J862" s="71"/>
      <c r="K862" s="71"/>
      <c r="L862" s="71"/>
      <c r="M862" s="71"/>
    </row>
    <row r="863" spans="1:13" s="72" customFormat="1" ht="19.5" customHeight="1" x14ac:dyDescent="0.25">
      <c r="A863" s="531"/>
      <c r="B863" s="531"/>
      <c r="C863" s="119">
        <v>13</v>
      </c>
      <c r="D863" s="109">
        <v>273</v>
      </c>
      <c r="E863" s="49">
        <v>1984</v>
      </c>
      <c r="F863" s="332">
        <f t="shared" ref="F863:F864" si="223">2019-E863</f>
        <v>35</v>
      </c>
      <c r="G863" s="68"/>
      <c r="H863" s="69"/>
      <c r="I863" s="70"/>
      <c r="J863" s="71"/>
      <c r="K863" s="71"/>
      <c r="L863" s="71"/>
      <c r="M863" s="71"/>
    </row>
    <row r="864" spans="1:13" s="72" customFormat="1" x14ac:dyDescent="0.25">
      <c r="A864" s="526"/>
      <c r="B864" s="526"/>
      <c r="C864" s="119">
        <v>13</v>
      </c>
      <c r="D864" s="109">
        <v>159</v>
      </c>
      <c r="E864" s="49">
        <v>1984</v>
      </c>
      <c r="F864" s="332">
        <f t="shared" si="223"/>
        <v>35</v>
      </c>
      <c r="G864" s="68"/>
      <c r="H864" s="69"/>
      <c r="I864" s="70"/>
      <c r="J864" s="71"/>
      <c r="K864" s="71"/>
      <c r="L864" s="71"/>
      <c r="M864" s="71"/>
    </row>
    <row r="865" spans="1:13" s="72" customFormat="1" ht="15.75" customHeight="1" x14ac:dyDescent="0.25">
      <c r="A865" s="525" t="s">
        <v>287</v>
      </c>
      <c r="B865" s="525" t="s">
        <v>201</v>
      </c>
      <c r="C865" s="53"/>
      <c r="D865" s="109"/>
      <c r="E865" s="74"/>
      <c r="F865" s="329"/>
      <c r="G865" s="68"/>
      <c r="H865" s="69"/>
      <c r="I865" s="70"/>
      <c r="J865" s="71"/>
      <c r="K865" s="71"/>
      <c r="L865" s="71"/>
      <c r="M865" s="71"/>
    </row>
    <row r="866" spans="1:13" s="72" customFormat="1" ht="23.25" customHeight="1" x14ac:dyDescent="0.25">
      <c r="A866" s="531"/>
      <c r="B866" s="531"/>
      <c r="C866" s="55">
        <v>73</v>
      </c>
      <c r="D866" s="109">
        <v>159</v>
      </c>
      <c r="E866" s="49">
        <v>2009</v>
      </c>
      <c r="F866" s="332">
        <f t="shared" ref="F866:F867" si="224">2019-E866</f>
        <v>10</v>
      </c>
      <c r="G866" s="68"/>
      <c r="H866" s="69"/>
      <c r="I866" s="70"/>
      <c r="J866" s="71"/>
      <c r="K866" s="71"/>
      <c r="L866" s="71"/>
      <c r="M866" s="71"/>
    </row>
    <row r="867" spans="1:13" s="72" customFormat="1" x14ac:dyDescent="0.25">
      <c r="A867" s="526"/>
      <c r="B867" s="526"/>
      <c r="C867" s="55">
        <v>73</v>
      </c>
      <c r="D867" s="109">
        <v>108</v>
      </c>
      <c r="E867" s="49">
        <v>2009</v>
      </c>
      <c r="F867" s="332">
        <f t="shared" si="224"/>
        <v>10</v>
      </c>
      <c r="G867" s="68"/>
      <c r="H867" s="69"/>
      <c r="I867" s="70"/>
      <c r="J867" s="71"/>
      <c r="K867" s="71"/>
      <c r="L867" s="71"/>
      <c r="M867" s="71"/>
    </row>
    <row r="868" spans="1:13" s="72" customFormat="1" ht="15.75" customHeight="1" x14ac:dyDescent="0.25">
      <c r="A868" s="554" t="s">
        <v>535</v>
      </c>
      <c r="B868" s="525" t="s">
        <v>536</v>
      </c>
      <c r="C868" s="53"/>
      <c r="D868" s="109"/>
      <c r="E868" s="74"/>
      <c r="F868" s="329"/>
      <c r="G868" s="68"/>
      <c r="H868" s="69"/>
      <c r="I868" s="70"/>
      <c r="J868" s="71"/>
      <c r="K868" s="71"/>
      <c r="L868" s="71"/>
      <c r="M868" s="71"/>
    </row>
    <row r="869" spans="1:13" s="72" customFormat="1" ht="21.75" customHeight="1" x14ac:dyDescent="0.25">
      <c r="A869" s="555"/>
      <c r="B869" s="531"/>
      <c r="C869" s="119">
        <v>62</v>
      </c>
      <c r="D869" s="109">
        <v>159</v>
      </c>
      <c r="E869" s="49">
        <v>1984</v>
      </c>
      <c r="F869" s="332">
        <f t="shared" ref="F869:F870" si="225">2019-E869</f>
        <v>35</v>
      </c>
      <c r="G869" s="68"/>
      <c r="H869" s="69"/>
      <c r="I869" s="70"/>
      <c r="J869" s="71"/>
      <c r="K869" s="71"/>
      <c r="L869" s="71"/>
      <c r="M869" s="71"/>
    </row>
    <row r="870" spans="1:13" s="72" customFormat="1" x14ac:dyDescent="0.25">
      <c r="A870" s="556"/>
      <c r="B870" s="526"/>
      <c r="C870" s="119">
        <v>62</v>
      </c>
      <c r="D870" s="109">
        <v>108</v>
      </c>
      <c r="E870" s="49">
        <v>1984</v>
      </c>
      <c r="F870" s="332">
        <f t="shared" si="225"/>
        <v>35</v>
      </c>
      <c r="G870" s="68"/>
      <c r="H870" s="69"/>
      <c r="I870" s="70"/>
      <c r="J870" s="71"/>
      <c r="K870" s="71"/>
      <c r="L870" s="71"/>
      <c r="M870" s="71"/>
    </row>
    <row r="871" spans="1:13" s="72" customFormat="1" ht="15.75" customHeight="1" x14ac:dyDescent="0.25">
      <c r="A871" s="525" t="s">
        <v>537</v>
      </c>
      <c r="B871" s="525" t="s">
        <v>320</v>
      </c>
      <c r="C871" s="53"/>
      <c r="D871" s="109"/>
      <c r="E871" s="74"/>
      <c r="F871" s="329"/>
      <c r="G871" s="68"/>
      <c r="H871" s="69"/>
      <c r="I871" s="70"/>
      <c r="J871" s="71"/>
      <c r="K871" s="71"/>
      <c r="L871" s="71"/>
      <c r="M871" s="71"/>
    </row>
    <row r="872" spans="1:13" s="72" customFormat="1" ht="21" customHeight="1" x14ac:dyDescent="0.25">
      <c r="A872" s="531"/>
      <c r="B872" s="531"/>
      <c r="C872" s="119">
        <v>54</v>
      </c>
      <c r="D872" s="109">
        <v>219</v>
      </c>
      <c r="E872" s="49">
        <v>1984</v>
      </c>
      <c r="F872" s="332">
        <f t="shared" ref="F872:F873" si="226">2019-E872</f>
        <v>35</v>
      </c>
      <c r="G872" s="68"/>
      <c r="H872" s="69"/>
      <c r="I872" s="70"/>
      <c r="J872" s="71"/>
      <c r="K872" s="71"/>
      <c r="L872" s="71"/>
      <c r="M872" s="71"/>
    </row>
    <row r="873" spans="1:13" s="72" customFormat="1" x14ac:dyDescent="0.25">
      <c r="A873" s="526"/>
      <c r="B873" s="526"/>
      <c r="C873" s="119">
        <v>54</v>
      </c>
      <c r="D873" s="109">
        <v>133</v>
      </c>
      <c r="E873" s="49">
        <v>1984</v>
      </c>
      <c r="F873" s="332">
        <f t="shared" si="226"/>
        <v>35</v>
      </c>
      <c r="G873" s="68"/>
      <c r="H873" s="69"/>
      <c r="I873" s="70"/>
      <c r="J873" s="71"/>
      <c r="K873" s="71"/>
      <c r="L873" s="71"/>
      <c r="M873" s="71"/>
    </row>
    <row r="874" spans="1:13" s="72" customFormat="1" ht="15.75" customHeight="1" x14ac:dyDescent="0.25">
      <c r="A874" s="525" t="s">
        <v>356</v>
      </c>
      <c r="B874" s="525" t="s">
        <v>538</v>
      </c>
      <c r="C874" s="53"/>
      <c r="D874" s="109"/>
      <c r="E874" s="74"/>
      <c r="F874" s="329"/>
      <c r="G874" s="68"/>
      <c r="H874" s="69"/>
      <c r="I874" s="70"/>
      <c r="J874" s="71"/>
      <c r="K874" s="71"/>
      <c r="L874" s="71"/>
      <c r="M874" s="71"/>
    </row>
    <row r="875" spans="1:13" s="72" customFormat="1" ht="21" customHeight="1" x14ac:dyDescent="0.25">
      <c r="A875" s="531"/>
      <c r="B875" s="531"/>
      <c r="C875" s="119">
        <v>42</v>
      </c>
      <c r="D875" s="109">
        <v>133</v>
      </c>
      <c r="E875" s="49">
        <v>1984</v>
      </c>
      <c r="F875" s="332">
        <f t="shared" ref="F875:F876" si="227">2019-E875</f>
        <v>35</v>
      </c>
      <c r="G875" s="68"/>
      <c r="H875" s="69"/>
      <c r="I875" s="70"/>
      <c r="J875" s="71"/>
      <c r="K875" s="71"/>
      <c r="L875" s="71"/>
      <c r="M875" s="71"/>
    </row>
    <row r="876" spans="1:13" s="72" customFormat="1" x14ac:dyDescent="0.25">
      <c r="A876" s="526"/>
      <c r="B876" s="526"/>
      <c r="C876" s="119">
        <v>42</v>
      </c>
      <c r="D876" s="109">
        <v>89</v>
      </c>
      <c r="E876" s="49">
        <v>1984</v>
      </c>
      <c r="F876" s="332">
        <f t="shared" si="227"/>
        <v>35</v>
      </c>
      <c r="G876" s="68"/>
      <c r="H876" s="69"/>
      <c r="I876" s="70"/>
      <c r="J876" s="71"/>
      <c r="K876" s="71"/>
      <c r="L876" s="71"/>
      <c r="M876" s="71"/>
    </row>
    <row r="877" spans="1:13" s="72" customFormat="1" ht="15.75" customHeight="1" x14ac:dyDescent="0.25">
      <c r="A877" s="525" t="s">
        <v>539</v>
      </c>
      <c r="B877" s="525" t="s">
        <v>540</v>
      </c>
      <c r="C877" s="53"/>
      <c r="D877" s="109"/>
      <c r="E877" s="74"/>
      <c r="F877" s="329"/>
      <c r="G877" s="68"/>
      <c r="H877" s="69"/>
      <c r="I877" s="70"/>
      <c r="J877" s="71"/>
      <c r="K877" s="71"/>
      <c r="L877" s="71"/>
      <c r="M877" s="71"/>
    </row>
    <row r="878" spans="1:13" s="72" customFormat="1" ht="18" customHeight="1" x14ac:dyDescent="0.25">
      <c r="A878" s="531"/>
      <c r="B878" s="531"/>
      <c r="C878" s="119">
        <v>19</v>
      </c>
      <c r="D878" s="109">
        <v>89</v>
      </c>
      <c r="E878" s="49">
        <v>1984</v>
      </c>
      <c r="F878" s="332">
        <f t="shared" ref="F878:F879" si="228">2019-E878</f>
        <v>35</v>
      </c>
      <c r="G878" s="68"/>
      <c r="H878" s="69"/>
      <c r="I878" s="70"/>
      <c r="J878" s="71"/>
      <c r="K878" s="71"/>
      <c r="L878" s="71"/>
      <c r="M878" s="71"/>
    </row>
    <row r="879" spans="1:13" s="72" customFormat="1" x14ac:dyDescent="0.25">
      <c r="A879" s="526"/>
      <c r="B879" s="526"/>
      <c r="C879" s="119">
        <v>19</v>
      </c>
      <c r="D879" s="109">
        <v>57</v>
      </c>
      <c r="E879" s="49">
        <v>1984</v>
      </c>
      <c r="F879" s="332">
        <f t="shared" si="228"/>
        <v>35</v>
      </c>
      <c r="G879" s="68"/>
      <c r="H879" s="69"/>
      <c r="I879" s="70"/>
      <c r="J879" s="71"/>
      <c r="K879" s="71"/>
      <c r="L879" s="71"/>
      <c r="M879" s="71"/>
    </row>
    <row r="880" spans="1:13" s="72" customFormat="1" ht="15.75" customHeight="1" x14ac:dyDescent="0.25">
      <c r="A880" s="525" t="s">
        <v>190</v>
      </c>
      <c r="B880" s="525" t="s">
        <v>541</v>
      </c>
      <c r="C880" s="53"/>
      <c r="D880" s="109"/>
      <c r="E880" s="74"/>
      <c r="F880" s="329"/>
      <c r="G880" s="68"/>
      <c r="H880" s="69"/>
      <c r="I880" s="70"/>
      <c r="J880" s="71"/>
      <c r="K880" s="71"/>
      <c r="L880" s="71"/>
      <c r="M880" s="71"/>
    </row>
    <row r="881" spans="1:13" s="72" customFormat="1" ht="21.75" customHeight="1" x14ac:dyDescent="0.25">
      <c r="A881" s="531"/>
      <c r="B881" s="531"/>
      <c r="C881" s="119">
        <v>11</v>
      </c>
      <c r="D881" s="109">
        <v>89</v>
      </c>
      <c r="E881" s="49">
        <v>1985</v>
      </c>
      <c r="F881" s="332">
        <f t="shared" ref="F881:F882" si="229">2019-E881</f>
        <v>34</v>
      </c>
      <c r="G881" s="68"/>
      <c r="H881" s="69"/>
      <c r="I881" s="70"/>
      <c r="J881" s="71"/>
      <c r="K881" s="71"/>
      <c r="L881" s="71"/>
      <c r="M881" s="71"/>
    </row>
    <row r="882" spans="1:13" s="72" customFormat="1" x14ac:dyDescent="0.25">
      <c r="A882" s="526"/>
      <c r="B882" s="526"/>
      <c r="C882" s="119">
        <v>11</v>
      </c>
      <c r="D882" s="109">
        <v>57</v>
      </c>
      <c r="E882" s="49">
        <v>1985</v>
      </c>
      <c r="F882" s="332">
        <f t="shared" si="229"/>
        <v>34</v>
      </c>
      <c r="G882" s="68"/>
      <c r="H882" s="69"/>
      <c r="I882" s="70"/>
      <c r="J882" s="71"/>
      <c r="K882" s="71"/>
      <c r="L882" s="71"/>
      <c r="M882" s="71"/>
    </row>
    <row r="883" spans="1:13" s="72" customFormat="1" ht="15.75" customHeight="1" x14ac:dyDescent="0.25">
      <c r="A883" s="525" t="s">
        <v>436</v>
      </c>
      <c r="B883" s="525" t="s">
        <v>542</v>
      </c>
      <c r="C883" s="53"/>
      <c r="D883" s="109"/>
      <c r="E883" s="74"/>
      <c r="F883" s="329"/>
      <c r="G883" s="68"/>
      <c r="H883" s="69"/>
      <c r="I883" s="70"/>
      <c r="J883" s="71"/>
      <c r="K883" s="71"/>
      <c r="L883" s="71"/>
      <c r="M883" s="71"/>
    </row>
    <row r="884" spans="1:13" s="72" customFormat="1" ht="21" customHeight="1" x14ac:dyDescent="0.25">
      <c r="A884" s="531"/>
      <c r="B884" s="531"/>
      <c r="C884" s="119">
        <v>11</v>
      </c>
      <c r="D884" s="109">
        <v>57</v>
      </c>
      <c r="E884" s="49">
        <v>1985</v>
      </c>
      <c r="F884" s="332">
        <f t="shared" ref="F884:F885" si="230">2019-E884</f>
        <v>34</v>
      </c>
      <c r="G884" s="68"/>
      <c r="H884" s="69"/>
      <c r="I884" s="70"/>
      <c r="J884" s="71"/>
      <c r="K884" s="71"/>
      <c r="L884" s="71"/>
      <c r="M884" s="71"/>
    </row>
    <row r="885" spans="1:13" s="72" customFormat="1" x14ac:dyDescent="0.25">
      <c r="A885" s="526"/>
      <c r="B885" s="526"/>
      <c r="C885" s="119">
        <v>11</v>
      </c>
      <c r="D885" s="109">
        <v>40</v>
      </c>
      <c r="E885" s="49">
        <v>1985</v>
      </c>
      <c r="F885" s="332">
        <f t="shared" si="230"/>
        <v>34</v>
      </c>
      <c r="G885" s="68"/>
      <c r="H885" s="69"/>
      <c r="I885" s="70"/>
      <c r="J885" s="71"/>
      <c r="K885" s="71"/>
      <c r="L885" s="71"/>
      <c r="M885" s="71"/>
    </row>
    <row r="886" spans="1:13" s="72" customFormat="1" ht="15.75" customHeight="1" x14ac:dyDescent="0.25">
      <c r="A886" s="525" t="s">
        <v>271</v>
      </c>
      <c r="B886" s="525" t="s">
        <v>347</v>
      </c>
      <c r="C886" s="53"/>
      <c r="D886" s="109"/>
      <c r="E886" s="74"/>
      <c r="F886" s="329"/>
      <c r="G886" s="68"/>
      <c r="H886" s="69"/>
      <c r="I886" s="70"/>
      <c r="J886" s="71"/>
      <c r="K886" s="71"/>
      <c r="L886" s="71"/>
      <c r="M886" s="71"/>
    </row>
    <row r="887" spans="1:13" s="72" customFormat="1" ht="15.75" customHeight="1" x14ac:dyDescent="0.25">
      <c r="A887" s="531"/>
      <c r="B887" s="531"/>
      <c r="C887" s="119">
        <v>42</v>
      </c>
      <c r="D887" s="109">
        <v>108</v>
      </c>
      <c r="E887" s="49">
        <v>1984</v>
      </c>
      <c r="F887" s="332">
        <f t="shared" ref="F887:F888" si="231">2019-E887</f>
        <v>35</v>
      </c>
      <c r="G887" s="68"/>
      <c r="H887" s="69"/>
      <c r="I887" s="70"/>
      <c r="J887" s="71"/>
      <c r="K887" s="71"/>
      <c r="L887" s="71"/>
      <c r="M887" s="71"/>
    </row>
    <row r="888" spans="1:13" s="72" customFormat="1" ht="18.75" customHeight="1" x14ac:dyDescent="0.25">
      <c r="A888" s="526"/>
      <c r="B888" s="526"/>
      <c r="C888" s="119">
        <v>42</v>
      </c>
      <c r="D888" s="109">
        <v>76</v>
      </c>
      <c r="E888" s="49">
        <v>1984</v>
      </c>
      <c r="F888" s="332">
        <f t="shared" si="231"/>
        <v>35</v>
      </c>
      <c r="G888" s="68"/>
      <c r="H888" s="69"/>
      <c r="I888" s="70"/>
      <c r="J888" s="71"/>
      <c r="K888" s="71"/>
      <c r="L888" s="71"/>
      <c r="M888" s="71"/>
    </row>
    <row r="889" spans="1:13" s="72" customFormat="1" ht="21.75" customHeight="1" x14ac:dyDescent="0.25">
      <c r="A889" s="525" t="s">
        <v>539</v>
      </c>
      <c r="B889" s="525" t="s">
        <v>543</v>
      </c>
      <c r="C889" s="53"/>
      <c r="D889" s="109"/>
      <c r="E889" s="74"/>
      <c r="F889" s="329"/>
      <c r="G889" s="68"/>
      <c r="H889" s="69"/>
      <c r="I889" s="70"/>
      <c r="J889" s="71"/>
      <c r="K889" s="71"/>
      <c r="L889" s="71"/>
      <c r="M889" s="71"/>
    </row>
    <row r="890" spans="1:13" s="72" customFormat="1" ht="14.25" customHeight="1" x14ac:dyDescent="0.25">
      <c r="A890" s="531"/>
      <c r="B890" s="531"/>
      <c r="C890" s="119">
        <v>72</v>
      </c>
      <c r="D890" s="109">
        <v>219</v>
      </c>
      <c r="E890" s="49">
        <v>1984</v>
      </c>
      <c r="F890" s="332">
        <f t="shared" ref="F890:F891" si="232">2019-E890</f>
        <v>35</v>
      </c>
      <c r="G890" s="68"/>
      <c r="H890" s="69"/>
      <c r="I890" s="70"/>
      <c r="J890" s="71"/>
      <c r="K890" s="71"/>
      <c r="L890" s="71"/>
      <c r="M890" s="71"/>
    </row>
    <row r="891" spans="1:13" s="72" customFormat="1" x14ac:dyDescent="0.25">
      <c r="A891" s="526"/>
      <c r="B891" s="526"/>
      <c r="C891" s="119">
        <v>72</v>
      </c>
      <c r="D891" s="109">
        <v>108</v>
      </c>
      <c r="E891" s="49">
        <v>1984</v>
      </c>
      <c r="F891" s="332">
        <f t="shared" si="232"/>
        <v>35</v>
      </c>
      <c r="G891" s="68"/>
      <c r="H891" s="69"/>
      <c r="I891" s="70"/>
      <c r="J891" s="71"/>
      <c r="K891" s="71"/>
      <c r="L891" s="71"/>
      <c r="M891" s="71"/>
    </row>
    <row r="892" spans="1:13" s="72" customFormat="1" ht="15.75" customHeight="1" x14ac:dyDescent="0.25">
      <c r="A892" s="525" t="s">
        <v>544</v>
      </c>
      <c r="B892" s="525" t="s">
        <v>545</v>
      </c>
      <c r="C892" s="53"/>
      <c r="D892" s="109"/>
      <c r="E892" s="74"/>
      <c r="F892" s="329"/>
      <c r="G892" s="68"/>
      <c r="H892" s="69"/>
      <c r="I892" s="70"/>
      <c r="J892" s="71"/>
      <c r="K892" s="71"/>
      <c r="L892" s="71"/>
      <c r="M892" s="71"/>
    </row>
    <row r="893" spans="1:13" s="72" customFormat="1" ht="23.25" customHeight="1" x14ac:dyDescent="0.25">
      <c r="A893" s="531"/>
      <c r="B893" s="531"/>
      <c r="C893" s="119">
        <v>28</v>
      </c>
      <c r="D893" s="109">
        <v>133</v>
      </c>
      <c r="E893" s="49">
        <v>1984</v>
      </c>
      <c r="F893" s="332">
        <f t="shared" ref="F893:F894" si="233">2019-E893</f>
        <v>35</v>
      </c>
      <c r="G893" s="68"/>
      <c r="H893" s="69"/>
      <c r="I893" s="70"/>
      <c r="J893" s="71"/>
      <c r="K893" s="71"/>
      <c r="L893" s="71"/>
      <c r="M893" s="71"/>
    </row>
    <row r="894" spans="1:13" s="72" customFormat="1" x14ac:dyDescent="0.25">
      <c r="A894" s="526"/>
      <c r="B894" s="526"/>
      <c r="C894" s="119">
        <v>28</v>
      </c>
      <c r="D894" s="109">
        <v>76</v>
      </c>
      <c r="E894" s="49">
        <v>1984</v>
      </c>
      <c r="F894" s="332">
        <f t="shared" si="233"/>
        <v>35</v>
      </c>
      <c r="G894" s="68"/>
      <c r="H894" s="69"/>
      <c r="I894" s="70"/>
      <c r="J894" s="71"/>
      <c r="K894" s="71"/>
      <c r="L894" s="71"/>
      <c r="M894" s="71"/>
    </row>
    <row r="895" spans="1:13" s="72" customFormat="1" ht="15.75" customHeight="1" x14ac:dyDescent="0.25">
      <c r="A895" s="525" t="s">
        <v>271</v>
      </c>
      <c r="B895" s="525" t="s">
        <v>546</v>
      </c>
      <c r="C895" s="53"/>
      <c r="D895" s="109"/>
      <c r="E895" s="74"/>
      <c r="F895" s="329"/>
      <c r="G895" s="68"/>
      <c r="H895" s="69"/>
      <c r="I895" s="70"/>
      <c r="J895" s="71"/>
      <c r="K895" s="71"/>
      <c r="L895" s="71"/>
      <c r="M895" s="71"/>
    </row>
    <row r="896" spans="1:13" s="72" customFormat="1" ht="17.25" customHeight="1" x14ac:dyDescent="0.25">
      <c r="A896" s="531"/>
      <c r="B896" s="531"/>
      <c r="C896" s="119">
        <v>52</v>
      </c>
      <c r="D896" s="109">
        <v>219</v>
      </c>
      <c r="E896" s="49">
        <v>1984</v>
      </c>
      <c r="F896" s="332">
        <f t="shared" ref="F896:F897" si="234">2019-E896</f>
        <v>35</v>
      </c>
      <c r="G896" s="68"/>
      <c r="H896" s="69"/>
      <c r="I896" s="70"/>
      <c r="J896" s="71"/>
      <c r="K896" s="71"/>
      <c r="L896" s="71"/>
      <c r="M896" s="71"/>
    </row>
    <row r="897" spans="1:13" s="72" customFormat="1" x14ac:dyDescent="0.25">
      <c r="A897" s="526"/>
      <c r="B897" s="526"/>
      <c r="C897" s="119">
        <v>52</v>
      </c>
      <c r="D897" s="109">
        <v>159</v>
      </c>
      <c r="E897" s="49">
        <v>1984</v>
      </c>
      <c r="F897" s="332">
        <f t="shared" si="234"/>
        <v>35</v>
      </c>
      <c r="G897" s="68"/>
      <c r="H897" s="69"/>
      <c r="I897" s="70"/>
      <c r="J897" s="71"/>
      <c r="K897" s="71"/>
      <c r="L897" s="71"/>
      <c r="M897" s="71"/>
    </row>
    <row r="898" spans="1:13" s="72" customFormat="1" ht="15.75" customHeight="1" x14ac:dyDescent="0.25">
      <c r="A898" s="525" t="s">
        <v>547</v>
      </c>
      <c r="B898" s="525" t="s">
        <v>548</v>
      </c>
      <c r="C898" s="53"/>
      <c r="D898" s="109"/>
      <c r="E898" s="74"/>
      <c r="F898" s="329"/>
      <c r="G898" s="68"/>
      <c r="H898" s="69"/>
      <c r="I898" s="70"/>
      <c r="J898" s="71"/>
      <c r="K898" s="71"/>
      <c r="L898" s="71"/>
      <c r="M898" s="71"/>
    </row>
    <row r="899" spans="1:13" s="72" customFormat="1" ht="18" customHeight="1" x14ac:dyDescent="0.25">
      <c r="A899" s="531"/>
      <c r="B899" s="531"/>
      <c r="C899" s="119">
        <v>100</v>
      </c>
      <c r="D899" s="109">
        <v>219</v>
      </c>
      <c r="E899" s="49">
        <v>1984</v>
      </c>
      <c r="F899" s="332">
        <f t="shared" ref="F899:F900" si="235">2019-E899</f>
        <v>35</v>
      </c>
      <c r="G899" s="68"/>
      <c r="H899" s="69"/>
      <c r="I899" s="70"/>
      <c r="J899" s="71"/>
      <c r="K899" s="71"/>
      <c r="L899" s="71"/>
      <c r="M899" s="71"/>
    </row>
    <row r="900" spans="1:13" s="72" customFormat="1" x14ac:dyDescent="0.25">
      <c r="A900" s="526"/>
      <c r="B900" s="526"/>
      <c r="C900" s="119">
        <v>100</v>
      </c>
      <c r="D900" s="109">
        <v>133</v>
      </c>
      <c r="E900" s="49">
        <v>1984</v>
      </c>
      <c r="F900" s="332">
        <f t="shared" si="235"/>
        <v>35</v>
      </c>
      <c r="G900" s="68"/>
      <c r="H900" s="69"/>
      <c r="I900" s="70"/>
      <c r="J900" s="71"/>
      <c r="K900" s="71"/>
      <c r="L900" s="71"/>
      <c r="M900" s="71"/>
    </row>
    <row r="901" spans="1:13" s="72" customFormat="1" ht="15.75" customHeight="1" x14ac:dyDescent="0.25">
      <c r="A901" s="525" t="s">
        <v>549</v>
      </c>
      <c r="B901" s="525" t="s">
        <v>550</v>
      </c>
      <c r="C901" s="53"/>
      <c r="D901" s="109"/>
      <c r="E901" s="74"/>
      <c r="F901" s="329"/>
      <c r="G901" s="68"/>
      <c r="H901" s="69"/>
      <c r="I901" s="70"/>
      <c r="J901" s="71"/>
      <c r="K901" s="71"/>
      <c r="L901" s="71"/>
      <c r="M901" s="71"/>
    </row>
    <row r="902" spans="1:13" s="72" customFormat="1" ht="18" customHeight="1" x14ac:dyDescent="0.25">
      <c r="A902" s="531"/>
      <c r="B902" s="531"/>
      <c r="C902" s="119">
        <v>10</v>
      </c>
      <c r="D902" s="109">
        <v>89</v>
      </c>
      <c r="E902" s="49">
        <v>1984</v>
      </c>
      <c r="F902" s="332">
        <f t="shared" ref="F902:F903" si="236">2019-E902</f>
        <v>35</v>
      </c>
      <c r="G902" s="68"/>
      <c r="H902" s="69"/>
      <c r="I902" s="70"/>
      <c r="J902" s="71"/>
      <c r="K902" s="71"/>
      <c r="L902" s="71"/>
      <c r="M902" s="71"/>
    </row>
    <row r="903" spans="1:13" s="72" customFormat="1" x14ac:dyDescent="0.25">
      <c r="A903" s="526"/>
      <c r="B903" s="526"/>
      <c r="C903" s="119">
        <v>10</v>
      </c>
      <c r="D903" s="109">
        <v>76</v>
      </c>
      <c r="E903" s="49">
        <v>1984</v>
      </c>
      <c r="F903" s="332">
        <f t="shared" si="236"/>
        <v>35</v>
      </c>
      <c r="G903" s="68"/>
      <c r="H903" s="69"/>
      <c r="I903" s="70"/>
      <c r="J903" s="71"/>
      <c r="K903" s="71"/>
      <c r="L903" s="71"/>
      <c r="M903" s="71"/>
    </row>
    <row r="904" spans="1:13" s="72" customFormat="1" ht="15.75" customHeight="1" x14ac:dyDescent="0.25">
      <c r="A904" s="525" t="s">
        <v>549</v>
      </c>
      <c r="B904" s="525" t="s">
        <v>551</v>
      </c>
      <c r="C904" s="53"/>
      <c r="D904" s="109"/>
      <c r="E904" s="74"/>
      <c r="F904" s="329"/>
      <c r="G904" s="68"/>
      <c r="H904" s="69"/>
      <c r="I904" s="70"/>
      <c r="J904" s="71"/>
      <c r="K904" s="71"/>
      <c r="L904" s="71"/>
      <c r="M904" s="71"/>
    </row>
    <row r="905" spans="1:13" s="72" customFormat="1" ht="18" customHeight="1" x14ac:dyDescent="0.25">
      <c r="A905" s="531"/>
      <c r="B905" s="531"/>
      <c r="C905" s="119">
        <v>52</v>
      </c>
      <c r="D905" s="109">
        <v>108</v>
      </c>
      <c r="E905" s="49">
        <v>1984</v>
      </c>
      <c r="F905" s="332">
        <f t="shared" ref="F905:F906" si="237">2019-E905</f>
        <v>35</v>
      </c>
      <c r="G905" s="68"/>
      <c r="H905" s="69"/>
      <c r="I905" s="70"/>
      <c r="J905" s="71"/>
      <c r="K905" s="71"/>
      <c r="L905" s="71"/>
      <c r="M905" s="71"/>
    </row>
    <row r="906" spans="1:13" s="72" customFormat="1" x14ac:dyDescent="0.25">
      <c r="A906" s="526"/>
      <c r="B906" s="526"/>
      <c r="C906" s="119">
        <v>52</v>
      </c>
      <c r="D906" s="109">
        <v>76</v>
      </c>
      <c r="E906" s="49">
        <v>1984</v>
      </c>
      <c r="F906" s="332">
        <f t="shared" si="237"/>
        <v>35</v>
      </c>
      <c r="G906" s="68"/>
      <c r="H906" s="69"/>
      <c r="I906" s="70"/>
      <c r="J906" s="71"/>
      <c r="K906" s="71"/>
      <c r="L906" s="71"/>
      <c r="M906" s="71"/>
    </row>
    <row r="907" spans="1:13" s="72" customFormat="1" ht="15.75" customHeight="1" x14ac:dyDescent="0.25">
      <c r="A907" s="525" t="s">
        <v>552</v>
      </c>
      <c r="B907" s="525" t="s">
        <v>553</v>
      </c>
      <c r="C907" s="53"/>
      <c r="D907" s="109"/>
      <c r="E907" s="74"/>
      <c r="F907" s="329"/>
      <c r="G907" s="68"/>
      <c r="H907" s="69"/>
      <c r="I907" s="70"/>
      <c r="J907" s="71"/>
      <c r="K907" s="71"/>
      <c r="L907" s="71"/>
      <c r="M907" s="71"/>
    </row>
    <row r="908" spans="1:13" s="72" customFormat="1" ht="15" customHeight="1" x14ac:dyDescent="0.25">
      <c r="A908" s="531"/>
      <c r="B908" s="531"/>
      <c r="C908" s="119">
        <v>12</v>
      </c>
      <c r="D908" s="109">
        <v>76</v>
      </c>
      <c r="E908" s="49">
        <v>1985</v>
      </c>
      <c r="F908" s="332">
        <f t="shared" ref="F908:F909" si="238">2019-E908</f>
        <v>34</v>
      </c>
      <c r="G908" s="68"/>
      <c r="H908" s="69"/>
      <c r="I908" s="70"/>
      <c r="J908" s="71"/>
      <c r="K908" s="71"/>
      <c r="L908" s="71"/>
      <c r="M908" s="71"/>
    </row>
    <row r="909" spans="1:13" s="72" customFormat="1" x14ac:dyDescent="0.25">
      <c r="A909" s="526"/>
      <c r="B909" s="526"/>
      <c r="C909" s="119">
        <v>12</v>
      </c>
      <c r="D909" s="109">
        <v>57</v>
      </c>
      <c r="E909" s="49">
        <v>1985</v>
      </c>
      <c r="F909" s="332">
        <f t="shared" si="238"/>
        <v>34</v>
      </c>
      <c r="G909" s="68"/>
      <c r="H909" s="69"/>
      <c r="I909" s="70"/>
      <c r="J909" s="71"/>
      <c r="K909" s="71"/>
      <c r="L909" s="71"/>
      <c r="M909" s="71"/>
    </row>
    <row r="910" spans="1:13" s="72" customFormat="1" ht="15.75" customHeight="1" x14ac:dyDescent="0.25">
      <c r="A910" s="525" t="s">
        <v>213</v>
      </c>
      <c r="B910" s="525" t="s">
        <v>554</v>
      </c>
      <c r="C910" s="53"/>
      <c r="D910" s="109"/>
      <c r="E910" s="74"/>
      <c r="F910" s="329"/>
      <c r="G910" s="68"/>
      <c r="H910" s="69"/>
      <c r="I910" s="70"/>
      <c r="J910" s="71"/>
      <c r="K910" s="71"/>
      <c r="L910" s="71"/>
      <c r="M910" s="71"/>
    </row>
    <row r="911" spans="1:13" s="72" customFormat="1" ht="18.75" customHeight="1" x14ac:dyDescent="0.25">
      <c r="A911" s="531"/>
      <c r="B911" s="531"/>
      <c r="C911" s="119">
        <v>50</v>
      </c>
      <c r="D911" s="109">
        <v>219</v>
      </c>
      <c r="E911" s="49">
        <v>1984</v>
      </c>
      <c r="F911" s="332">
        <f t="shared" ref="F911:F912" si="239">2019-E911</f>
        <v>35</v>
      </c>
      <c r="G911" s="68"/>
      <c r="H911" s="69"/>
      <c r="I911" s="70"/>
      <c r="J911" s="71"/>
      <c r="K911" s="71"/>
      <c r="L911" s="71"/>
      <c r="M911" s="71"/>
    </row>
    <row r="912" spans="1:13" s="72" customFormat="1" x14ac:dyDescent="0.25">
      <c r="A912" s="526"/>
      <c r="B912" s="526"/>
      <c r="C912" s="119">
        <v>50</v>
      </c>
      <c r="D912" s="109">
        <v>108</v>
      </c>
      <c r="E912" s="49">
        <v>1984</v>
      </c>
      <c r="F912" s="332">
        <f t="shared" si="239"/>
        <v>35</v>
      </c>
      <c r="G912" s="68"/>
      <c r="H912" s="69"/>
      <c r="I912" s="70"/>
      <c r="J912" s="71"/>
      <c r="K912" s="71"/>
      <c r="L912" s="71"/>
      <c r="M912" s="71"/>
    </row>
    <row r="913" spans="1:13" s="72" customFormat="1" ht="15.75" customHeight="1" x14ac:dyDescent="0.25">
      <c r="A913" s="525" t="s">
        <v>555</v>
      </c>
      <c r="B913" s="525" t="s">
        <v>556</v>
      </c>
      <c r="C913" s="53"/>
      <c r="D913" s="109"/>
      <c r="E913" s="74"/>
      <c r="F913" s="329"/>
      <c r="G913" s="68"/>
      <c r="H913" s="69"/>
      <c r="I913" s="70"/>
      <c r="J913" s="71"/>
      <c r="K913" s="71"/>
      <c r="L913" s="71"/>
      <c r="M913" s="71"/>
    </row>
    <row r="914" spans="1:13" s="72" customFormat="1" ht="21" customHeight="1" x14ac:dyDescent="0.25">
      <c r="A914" s="531"/>
      <c r="B914" s="531"/>
      <c r="C914" s="55">
        <v>27</v>
      </c>
      <c r="D914" s="109">
        <v>32</v>
      </c>
      <c r="E914" s="49">
        <v>1985</v>
      </c>
      <c r="F914" s="332">
        <f t="shared" ref="F914:F915" si="240">2019-E914</f>
        <v>34</v>
      </c>
      <c r="G914" s="68"/>
      <c r="H914" s="69"/>
      <c r="I914" s="70"/>
      <c r="J914" s="71"/>
      <c r="K914" s="71"/>
      <c r="L914" s="71"/>
      <c r="M914" s="71"/>
    </row>
    <row r="915" spans="1:13" s="72" customFormat="1" x14ac:dyDescent="0.25">
      <c r="A915" s="526"/>
      <c r="B915" s="526"/>
      <c r="C915" s="55">
        <v>27</v>
      </c>
      <c r="D915" s="109">
        <v>25</v>
      </c>
      <c r="E915" s="49">
        <v>1985</v>
      </c>
      <c r="F915" s="332">
        <f t="shared" si="240"/>
        <v>34</v>
      </c>
      <c r="G915" s="68"/>
      <c r="H915" s="69"/>
      <c r="I915" s="70"/>
      <c r="J915" s="71"/>
      <c r="K915" s="71"/>
      <c r="L915" s="71"/>
      <c r="M915" s="71"/>
    </row>
    <row r="916" spans="1:13" s="72" customFormat="1" ht="15.75" customHeight="1" x14ac:dyDescent="0.25">
      <c r="A916" s="525" t="s">
        <v>557</v>
      </c>
      <c r="B916" s="525" t="s">
        <v>558</v>
      </c>
      <c r="C916" s="53"/>
      <c r="D916" s="109"/>
      <c r="E916" s="74"/>
      <c r="F916" s="329"/>
      <c r="G916" s="68"/>
      <c r="H916" s="69"/>
      <c r="I916" s="70"/>
      <c r="J916" s="71"/>
      <c r="K916" s="71"/>
      <c r="L916" s="71"/>
      <c r="M916" s="71"/>
    </row>
    <row r="917" spans="1:13" s="72" customFormat="1" ht="21" customHeight="1" x14ac:dyDescent="0.25">
      <c r="A917" s="531"/>
      <c r="B917" s="531"/>
      <c r="C917" s="55">
        <v>36</v>
      </c>
      <c r="D917" s="109">
        <v>133</v>
      </c>
      <c r="E917" s="76">
        <v>2011</v>
      </c>
      <c r="F917" s="332">
        <f t="shared" ref="F917:F918" si="241">2019-E917</f>
        <v>8</v>
      </c>
      <c r="G917" s="68"/>
      <c r="H917" s="69"/>
      <c r="I917" s="70"/>
      <c r="J917" s="71"/>
      <c r="K917" s="71"/>
      <c r="L917" s="71"/>
      <c r="M917" s="71"/>
    </row>
    <row r="918" spans="1:13" s="72" customFormat="1" x14ac:dyDescent="0.25">
      <c r="A918" s="526"/>
      <c r="B918" s="526"/>
      <c r="C918" s="55">
        <v>36</v>
      </c>
      <c r="D918" s="109">
        <v>89</v>
      </c>
      <c r="E918" s="76">
        <v>2011</v>
      </c>
      <c r="F918" s="332">
        <f t="shared" si="241"/>
        <v>8</v>
      </c>
      <c r="G918" s="68"/>
      <c r="H918" s="69"/>
      <c r="I918" s="70"/>
      <c r="J918" s="71"/>
      <c r="K918" s="71"/>
      <c r="L918" s="71"/>
      <c r="M918" s="71"/>
    </row>
    <row r="919" spans="1:13" s="72" customFormat="1" ht="15.75" customHeight="1" x14ac:dyDescent="0.25">
      <c r="A919" s="525" t="s">
        <v>312</v>
      </c>
      <c r="B919" s="525" t="s">
        <v>559</v>
      </c>
      <c r="C919" s="53"/>
      <c r="D919" s="109"/>
      <c r="E919" s="74"/>
      <c r="F919" s="329"/>
      <c r="G919" s="68"/>
      <c r="H919" s="69"/>
      <c r="I919" s="70"/>
      <c r="J919" s="71"/>
      <c r="K919" s="71"/>
      <c r="L919" s="71"/>
      <c r="M919" s="71"/>
    </row>
    <row r="920" spans="1:13" s="72" customFormat="1" ht="20.25" customHeight="1" x14ac:dyDescent="0.25">
      <c r="A920" s="531"/>
      <c r="B920" s="531"/>
      <c r="C920" s="119">
        <v>12</v>
      </c>
      <c r="D920" s="109">
        <v>89</v>
      </c>
      <c r="E920" s="49">
        <v>1986</v>
      </c>
      <c r="F920" s="332">
        <f t="shared" ref="F920:F921" si="242">2019-E920</f>
        <v>33</v>
      </c>
      <c r="G920" s="68"/>
      <c r="H920" s="69"/>
      <c r="I920" s="70"/>
      <c r="J920" s="71"/>
      <c r="K920" s="71"/>
      <c r="L920" s="71"/>
      <c r="M920" s="71"/>
    </row>
    <row r="921" spans="1:13" s="72" customFormat="1" x14ac:dyDescent="0.25">
      <c r="A921" s="526"/>
      <c r="B921" s="526"/>
      <c r="C921" s="119">
        <v>12</v>
      </c>
      <c r="D921" s="109">
        <v>57</v>
      </c>
      <c r="E921" s="49">
        <v>1986</v>
      </c>
      <c r="F921" s="332">
        <f t="shared" si="242"/>
        <v>33</v>
      </c>
      <c r="G921" s="68"/>
      <c r="H921" s="69"/>
      <c r="I921" s="70"/>
      <c r="J921" s="71"/>
      <c r="K921" s="71"/>
      <c r="L921" s="71"/>
      <c r="M921" s="71"/>
    </row>
    <row r="922" spans="1:13" s="72" customFormat="1" ht="15.75" customHeight="1" x14ac:dyDescent="0.25">
      <c r="A922" s="525" t="s">
        <v>362</v>
      </c>
      <c r="B922" s="525" t="s">
        <v>560</v>
      </c>
      <c r="C922" s="53"/>
      <c r="D922" s="109"/>
      <c r="E922" s="74"/>
      <c r="F922" s="329"/>
      <c r="G922" s="68"/>
      <c r="H922" s="69"/>
      <c r="I922" s="70"/>
      <c r="J922" s="71"/>
      <c r="K922" s="71"/>
      <c r="L922" s="71"/>
      <c r="M922" s="71"/>
    </row>
    <row r="923" spans="1:13" s="72" customFormat="1" ht="21" customHeight="1" x14ac:dyDescent="0.25">
      <c r="A923" s="531"/>
      <c r="B923" s="531"/>
      <c r="C923" s="119">
        <v>76</v>
      </c>
      <c r="D923" s="109">
        <v>89</v>
      </c>
      <c r="E923" s="49">
        <v>1986</v>
      </c>
      <c r="F923" s="332">
        <f t="shared" ref="F923:F924" si="243">2019-E923</f>
        <v>33</v>
      </c>
      <c r="G923" s="68"/>
      <c r="H923" s="69"/>
      <c r="I923" s="70"/>
      <c r="J923" s="71"/>
      <c r="K923" s="71"/>
      <c r="L923" s="71"/>
      <c r="M923" s="71"/>
    </row>
    <row r="924" spans="1:13" s="72" customFormat="1" x14ac:dyDescent="0.25">
      <c r="A924" s="526"/>
      <c r="B924" s="526"/>
      <c r="C924" s="119">
        <v>76</v>
      </c>
      <c r="D924" s="109">
        <v>57</v>
      </c>
      <c r="E924" s="49">
        <v>1986</v>
      </c>
      <c r="F924" s="332">
        <f t="shared" si="243"/>
        <v>33</v>
      </c>
      <c r="G924" s="68"/>
      <c r="H924" s="69"/>
      <c r="I924" s="70"/>
      <c r="J924" s="71"/>
      <c r="K924" s="71"/>
      <c r="L924" s="71"/>
      <c r="M924" s="71"/>
    </row>
    <row r="925" spans="1:13" s="72" customFormat="1" ht="15.75" customHeight="1" x14ac:dyDescent="0.25">
      <c r="A925" s="525" t="s">
        <v>561</v>
      </c>
      <c r="B925" s="525" t="s">
        <v>562</v>
      </c>
      <c r="C925" s="53"/>
      <c r="D925" s="109"/>
      <c r="E925" s="74"/>
      <c r="F925" s="329"/>
      <c r="G925" s="68"/>
      <c r="H925" s="69"/>
      <c r="I925" s="70"/>
      <c r="J925" s="71"/>
      <c r="K925" s="71"/>
      <c r="L925" s="71"/>
      <c r="M925" s="71"/>
    </row>
    <row r="926" spans="1:13" s="72" customFormat="1" ht="21" customHeight="1" x14ac:dyDescent="0.25">
      <c r="A926" s="531"/>
      <c r="B926" s="531"/>
      <c r="C926" s="119">
        <v>22</v>
      </c>
      <c r="D926" s="109">
        <v>57</v>
      </c>
      <c r="E926" s="49">
        <v>1985</v>
      </c>
      <c r="F926" s="332">
        <f t="shared" ref="F926:F927" si="244">2019-E926</f>
        <v>34</v>
      </c>
      <c r="G926" s="68"/>
      <c r="H926" s="69"/>
      <c r="I926" s="70"/>
      <c r="J926" s="71"/>
      <c r="K926" s="71"/>
      <c r="L926" s="71"/>
      <c r="M926" s="71"/>
    </row>
    <row r="927" spans="1:13" s="72" customFormat="1" x14ac:dyDescent="0.25">
      <c r="A927" s="526"/>
      <c r="B927" s="526"/>
      <c r="C927" s="119">
        <v>22</v>
      </c>
      <c r="D927" s="109">
        <v>57</v>
      </c>
      <c r="E927" s="49">
        <v>1985</v>
      </c>
      <c r="F927" s="332">
        <f t="shared" si="244"/>
        <v>34</v>
      </c>
      <c r="G927" s="68"/>
      <c r="H927" s="69"/>
      <c r="I927" s="70"/>
      <c r="J927" s="71"/>
      <c r="K927" s="71"/>
      <c r="L927" s="71"/>
      <c r="M927" s="71"/>
    </row>
    <row r="928" spans="1:13" s="72" customFormat="1" ht="15.75" customHeight="1" x14ac:dyDescent="0.25">
      <c r="A928" s="525" t="s">
        <v>329</v>
      </c>
      <c r="B928" s="525" t="s">
        <v>563</v>
      </c>
      <c r="C928" s="53"/>
      <c r="D928" s="109"/>
      <c r="E928" s="74"/>
      <c r="F928" s="329"/>
      <c r="G928" s="68"/>
      <c r="H928" s="69"/>
      <c r="I928" s="70"/>
      <c r="J928" s="71"/>
      <c r="K928" s="71"/>
      <c r="L928" s="71"/>
      <c r="M928" s="71"/>
    </row>
    <row r="929" spans="1:13" s="72" customFormat="1" ht="21" customHeight="1" x14ac:dyDescent="0.25">
      <c r="A929" s="531"/>
      <c r="B929" s="531"/>
      <c r="C929" s="119">
        <v>42</v>
      </c>
      <c r="D929" s="109">
        <v>89</v>
      </c>
      <c r="E929" s="49">
        <v>1984</v>
      </c>
      <c r="F929" s="332">
        <f t="shared" ref="F929:F930" si="245">2019-E929</f>
        <v>35</v>
      </c>
      <c r="G929" s="68"/>
      <c r="H929" s="69"/>
      <c r="I929" s="70"/>
      <c r="J929" s="71"/>
      <c r="K929" s="71"/>
      <c r="L929" s="71"/>
      <c r="M929" s="71"/>
    </row>
    <row r="930" spans="1:13" s="72" customFormat="1" x14ac:dyDescent="0.25">
      <c r="A930" s="526"/>
      <c r="B930" s="526"/>
      <c r="C930" s="119">
        <v>42</v>
      </c>
      <c r="D930" s="109">
        <v>57</v>
      </c>
      <c r="E930" s="49">
        <v>1984</v>
      </c>
      <c r="F930" s="332">
        <f t="shared" si="245"/>
        <v>35</v>
      </c>
      <c r="G930" s="68"/>
      <c r="H930" s="69"/>
      <c r="I930" s="70"/>
      <c r="J930" s="71"/>
      <c r="K930" s="71"/>
      <c r="L930" s="71"/>
      <c r="M930" s="71"/>
    </row>
    <row r="931" spans="1:13" s="72" customFormat="1" ht="15.75" customHeight="1" x14ac:dyDescent="0.25">
      <c r="A931" s="525" t="s">
        <v>564</v>
      </c>
      <c r="B931" s="525" t="s">
        <v>565</v>
      </c>
      <c r="C931" s="53"/>
      <c r="D931" s="109"/>
      <c r="E931" s="74"/>
      <c r="F931" s="329"/>
      <c r="G931" s="68"/>
      <c r="H931" s="69"/>
      <c r="I931" s="70"/>
      <c r="J931" s="71"/>
      <c r="K931" s="71"/>
      <c r="L931" s="71"/>
      <c r="M931" s="71"/>
    </row>
    <row r="932" spans="1:13" s="72" customFormat="1" ht="18.75" customHeight="1" x14ac:dyDescent="0.25">
      <c r="A932" s="531"/>
      <c r="B932" s="531"/>
      <c r="C932" s="119">
        <v>40</v>
      </c>
      <c r="D932" s="109">
        <v>108</v>
      </c>
      <c r="E932" s="49">
        <v>1984</v>
      </c>
      <c r="F932" s="332">
        <f t="shared" ref="F932:F933" si="246">2019-E932</f>
        <v>35</v>
      </c>
      <c r="G932" s="68"/>
      <c r="H932" s="69"/>
      <c r="I932" s="70"/>
      <c r="J932" s="71"/>
      <c r="K932" s="71"/>
      <c r="L932" s="71"/>
      <c r="M932" s="71"/>
    </row>
    <row r="933" spans="1:13" s="72" customFormat="1" x14ac:dyDescent="0.25">
      <c r="A933" s="526"/>
      <c r="B933" s="526"/>
      <c r="C933" s="119">
        <v>40</v>
      </c>
      <c r="D933" s="109">
        <v>57</v>
      </c>
      <c r="E933" s="49">
        <v>1984</v>
      </c>
      <c r="F933" s="332">
        <f t="shared" si="246"/>
        <v>35</v>
      </c>
      <c r="G933" s="68"/>
      <c r="H933" s="69"/>
      <c r="I933" s="70"/>
      <c r="J933" s="71"/>
      <c r="K933" s="71"/>
      <c r="L933" s="71"/>
      <c r="M933" s="71"/>
    </row>
    <row r="934" spans="1:13" s="72" customFormat="1" ht="15.75" customHeight="1" x14ac:dyDescent="0.25">
      <c r="A934" s="525" t="s">
        <v>566</v>
      </c>
      <c r="B934" s="525" t="s">
        <v>567</v>
      </c>
      <c r="C934" s="53"/>
      <c r="D934" s="109"/>
      <c r="E934" s="74"/>
      <c r="F934" s="329"/>
      <c r="G934" s="68"/>
      <c r="H934" s="69"/>
      <c r="I934" s="70"/>
      <c r="J934" s="71"/>
      <c r="K934" s="71"/>
      <c r="L934" s="71"/>
      <c r="M934" s="71"/>
    </row>
    <row r="935" spans="1:13" s="72" customFormat="1" ht="16.5" customHeight="1" x14ac:dyDescent="0.25">
      <c r="A935" s="531"/>
      <c r="B935" s="531"/>
      <c r="C935" s="119">
        <v>12</v>
      </c>
      <c r="D935" s="109">
        <v>89</v>
      </c>
      <c r="E935" s="49">
        <v>1986</v>
      </c>
      <c r="F935" s="332">
        <f t="shared" ref="F935:F936" si="247">2019-E935</f>
        <v>33</v>
      </c>
      <c r="G935" s="68"/>
      <c r="H935" s="69"/>
      <c r="I935" s="70"/>
      <c r="J935" s="71"/>
      <c r="K935" s="71"/>
      <c r="L935" s="71"/>
      <c r="M935" s="71"/>
    </row>
    <row r="936" spans="1:13" s="72" customFormat="1" x14ac:dyDescent="0.25">
      <c r="A936" s="526"/>
      <c r="B936" s="526"/>
      <c r="C936" s="119">
        <v>12</v>
      </c>
      <c r="D936" s="109">
        <v>57</v>
      </c>
      <c r="E936" s="49">
        <v>1986</v>
      </c>
      <c r="F936" s="332">
        <f t="shared" si="247"/>
        <v>33</v>
      </c>
      <c r="G936" s="68"/>
      <c r="H936" s="69"/>
      <c r="I936" s="70"/>
      <c r="J936" s="71"/>
      <c r="K936" s="71"/>
      <c r="L936" s="71"/>
      <c r="M936" s="71"/>
    </row>
    <row r="937" spans="1:13" s="72" customFormat="1" ht="15.75" customHeight="1" x14ac:dyDescent="0.25">
      <c r="A937" s="525" t="s">
        <v>354</v>
      </c>
      <c r="B937" s="525" t="s">
        <v>443</v>
      </c>
      <c r="C937" s="53"/>
      <c r="D937" s="109"/>
      <c r="E937" s="74"/>
      <c r="F937" s="329"/>
      <c r="G937" s="68"/>
      <c r="H937" s="69"/>
      <c r="I937" s="70"/>
      <c r="J937" s="71"/>
      <c r="K937" s="71"/>
      <c r="L937" s="71"/>
      <c r="M937" s="71"/>
    </row>
    <row r="938" spans="1:13" s="72" customFormat="1" ht="18" customHeight="1" x14ac:dyDescent="0.25">
      <c r="A938" s="531"/>
      <c r="B938" s="531"/>
      <c r="C938" s="55">
        <v>65</v>
      </c>
      <c r="D938" s="109">
        <v>133</v>
      </c>
      <c r="E938" s="49">
        <v>2009</v>
      </c>
      <c r="F938" s="332">
        <f t="shared" ref="F938:F939" si="248">2019-E938</f>
        <v>10</v>
      </c>
      <c r="G938" s="68"/>
      <c r="H938" s="69"/>
      <c r="I938" s="70"/>
      <c r="J938" s="71"/>
      <c r="K938" s="71"/>
      <c r="L938" s="71"/>
      <c r="M938" s="71"/>
    </row>
    <row r="939" spans="1:13" s="72" customFormat="1" x14ac:dyDescent="0.25">
      <c r="A939" s="526"/>
      <c r="B939" s="526"/>
      <c r="C939" s="55">
        <v>65</v>
      </c>
      <c r="D939" s="109">
        <v>89</v>
      </c>
      <c r="E939" s="49">
        <v>2009</v>
      </c>
      <c r="F939" s="332">
        <f t="shared" si="248"/>
        <v>10</v>
      </c>
      <c r="G939" s="68"/>
      <c r="H939" s="69"/>
      <c r="I939" s="70"/>
      <c r="J939" s="71"/>
      <c r="K939" s="71"/>
      <c r="L939" s="71"/>
      <c r="M939" s="71"/>
    </row>
    <row r="940" spans="1:13" s="72" customFormat="1" ht="15.75" customHeight="1" x14ac:dyDescent="0.25">
      <c r="A940" s="525" t="s">
        <v>329</v>
      </c>
      <c r="B940" s="525" t="s">
        <v>568</v>
      </c>
      <c r="C940" s="53"/>
      <c r="D940" s="109"/>
      <c r="E940" s="74"/>
      <c r="F940" s="329"/>
      <c r="G940" s="68"/>
      <c r="H940" s="69"/>
      <c r="I940" s="70"/>
      <c r="J940" s="71"/>
      <c r="K940" s="71"/>
      <c r="L940" s="71"/>
      <c r="M940" s="71"/>
    </row>
    <row r="941" spans="1:13" s="72" customFormat="1" ht="20.25" customHeight="1" x14ac:dyDescent="0.25">
      <c r="A941" s="531"/>
      <c r="B941" s="531"/>
      <c r="C941" s="119">
        <v>9</v>
      </c>
      <c r="D941" s="109">
        <v>108</v>
      </c>
      <c r="E941" s="49">
        <v>1984</v>
      </c>
      <c r="F941" s="332">
        <f t="shared" ref="F941:F942" si="249">2019-E941</f>
        <v>35</v>
      </c>
      <c r="G941" s="68"/>
      <c r="H941" s="69"/>
      <c r="I941" s="70"/>
      <c r="J941" s="71"/>
      <c r="K941" s="71"/>
      <c r="L941" s="71"/>
      <c r="M941" s="71"/>
    </row>
    <row r="942" spans="1:13" s="72" customFormat="1" x14ac:dyDescent="0.25">
      <c r="A942" s="526"/>
      <c r="B942" s="526"/>
      <c r="C942" s="119">
        <v>9</v>
      </c>
      <c r="D942" s="109">
        <v>57</v>
      </c>
      <c r="E942" s="49">
        <v>1984</v>
      </c>
      <c r="F942" s="332">
        <f t="shared" si="249"/>
        <v>35</v>
      </c>
      <c r="G942" s="68"/>
      <c r="H942" s="69"/>
      <c r="I942" s="70"/>
      <c r="J942" s="71"/>
      <c r="K942" s="71"/>
      <c r="L942" s="71"/>
      <c r="M942" s="71"/>
    </row>
    <row r="943" spans="1:13" s="72" customFormat="1" ht="15.75" customHeight="1" x14ac:dyDescent="0.25">
      <c r="A943" s="525" t="s">
        <v>564</v>
      </c>
      <c r="B943" s="525" t="s">
        <v>569</v>
      </c>
      <c r="C943" s="53"/>
      <c r="D943" s="109"/>
      <c r="E943" s="74"/>
      <c r="F943" s="329"/>
      <c r="G943" s="68"/>
      <c r="H943" s="69"/>
      <c r="I943" s="70"/>
      <c r="J943" s="71"/>
      <c r="K943" s="71"/>
      <c r="L943" s="71"/>
      <c r="M943" s="71"/>
    </row>
    <row r="944" spans="1:13" s="72" customFormat="1" ht="21" customHeight="1" x14ac:dyDescent="0.25">
      <c r="A944" s="531"/>
      <c r="B944" s="531"/>
      <c r="C944" s="119">
        <v>38</v>
      </c>
      <c r="D944" s="109">
        <v>219</v>
      </c>
      <c r="E944" s="49">
        <v>1984</v>
      </c>
      <c r="F944" s="332">
        <f t="shared" ref="F944:F945" si="250">2019-E944</f>
        <v>35</v>
      </c>
      <c r="G944" s="68"/>
      <c r="H944" s="69"/>
      <c r="I944" s="70"/>
      <c r="J944" s="71"/>
      <c r="K944" s="71"/>
      <c r="L944" s="71"/>
      <c r="M944" s="71"/>
    </row>
    <row r="945" spans="1:13" s="72" customFormat="1" x14ac:dyDescent="0.25">
      <c r="A945" s="526"/>
      <c r="B945" s="526"/>
      <c r="C945" s="119">
        <v>38</v>
      </c>
      <c r="D945" s="109">
        <v>159</v>
      </c>
      <c r="E945" s="49">
        <v>1984</v>
      </c>
      <c r="F945" s="332">
        <f t="shared" si="250"/>
        <v>35</v>
      </c>
      <c r="G945" s="68"/>
      <c r="H945" s="69"/>
      <c r="I945" s="70"/>
      <c r="J945" s="71"/>
      <c r="K945" s="71"/>
      <c r="L945" s="71"/>
      <c r="M945" s="71"/>
    </row>
    <row r="946" spans="1:13" s="72" customFormat="1" ht="15.75" customHeight="1" x14ac:dyDescent="0.25">
      <c r="A946" s="525" t="s">
        <v>570</v>
      </c>
      <c r="B946" s="525" t="s">
        <v>571</v>
      </c>
      <c r="C946" s="53"/>
      <c r="D946" s="109"/>
      <c r="E946" s="74"/>
      <c r="F946" s="329"/>
      <c r="G946" s="68"/>
      <c r="H946" s="69"/>
      <c r="I946" s="70"/>
      <c r="J946" s="71"/>
      <c r="K946" s="71"/>
      <c r="L946" s="71"/>
      <c r="M946" s="71"/>
    </row>
    <row r="947" spans="1:13" s="72" customFormat="1" ht="21" customHeight="1" x14ac:dyDescent="0.25">
      <c r="A947" s="531"/>
      <c r="B947" s="531"/>
      <c r="C947" s="119">
        <v>55</v>
      </c>
      <c r="D947" s="109">
        <v>89</v>
      </c>
      <c r="E947" s="49">
        <v>1984</v>
      </c>
      <c r="F947" s="332">
        <f t="shared" ref="F947:F948" si="251">2019-E947</f>
        <v>35</v>
      </c>
      <c r="G947" s="68"/>
      <c r="H947" s="69"/>
      <c r="I947" s="70"/>
      <c r="J947" s="71"/>
      <c r="K947" s="71"/>
      <c r="L947" s="71"/>
      <c r="M947" s="71"/>
    </row>
    <row r="948" spans="1:13" s="72" customFormat="1" x14ac:dyDescent="0.25">
      <c r="A948" s="526"/>
      <c r="B948" s="526"/>
      <c r="C948" s="119">
        <v>55</v>
      </c>
      <c r="D948" s="109">
        <v>76</v>
      </c>
      <c r="E948" s="49">
        <v>1984</v>
      </c>
      <c r="F948" s="332">
        <f t="shared" si="251"/>
        <v>35</v>
      </c>
      <c r="G948" s="68"/>
      <c r="H948" s="69"/>
      <c r="I948" s="70"/>
      <c r="J948" s="71"/>
      <c r="K948" s="71"/>
      <c r="L948" s="71"/>
      <c r="M948" s="71"/>
    </row>
    <row r="949" spans="1:13" s="72" customFormat="1" ht="15.75" customHeight="1" x14ac:dyDescent="0.25">
      <c r="A949" s="525" t="s">
        <v>572</v>
      </c>
      <c r="B949" s="525" t="s">
        <v>573</v>
      </c>
      <c r="C949" s="53"/>
      <c r="D949" s="109"/>
      <c r="E949" s="74"/>
      <c r="F949" s="329"/>
      <c r="G949" s="68"/>
      <c r="H949" s="69"/>
      <c r="I949" s="70"/>
      <c r="J949" s="71"/>
      <c r="K949" s="71"/>
      <c r="L949" s="71"/>
      <c r="M949" s="71"/>
    </row>
    <row r="950" spans="1:13" s="72" customFormat="1" ht="23.25" customHeight="1" x14ac:dyDescent="0.25">
      <c r="A950" s="531"/>
      <c r="B950" s="531"/>
      <c r="C950" s="119">
        <v>13.8</v>
      </c>
      <c r="D950" s="109">
        <v>57</v>
      </c>
      <c r="E950" s="49">
        <v>1984</v>
      </c>
      <c r="F950" s="332">
        <f t="shared" ref="F950:F951" si="252">2019-E950</f>
        <v>35</v>
      </c>
      <c r="G950" s="68"/>
      <c r="H950" s="69"/>
      <c r="I950" s="70"/>
      <c r="J950" s="71"/>
      <c r="K950" s="71"/>
      <c r="L950" s="71"/>
      <c r="M950" s="71"/>
    </row>
    <row r="951" spans="1:13" s="72" customFormat="1" x14ac:dyDescent="0.25">
      <c r="A951" s="526"/>
      <c r="B951" s="526"/>
      <c r="C951" s="119">
        <v>13.8</v>
      </c>
      <c r="D951" s="109">
        <v>40</v>
      </c>
      <c r="E951" s="49">
        <v>1984</v>
      </c>
      <c r="F951" s="332">
        <f t="shared" si="252"/>
        <v>35</v>
      </c>
      <c r="G951" s="68"/>
      <c r="H951" s="69"/>
      <c r="I951" s="70"/>
      <c r="J951" s="71"/>
      <c r="K951" s="71"/>
      <c r="L951" s="71"/>
      <c r="M951" s="71"/>
    </row>
    <row r="952" spans="1:13" s="72" customFormat="1" ht="15.75" customHeight="1" x14ac:dyDescent="0.25">
      <c r="A952" s="525" t="s">
        <v>454</v>
      </c>
      <c r="B952" s="525" t="s">
        <v>574</v>
      </c>
      <c r="C952" s="53"/>
      <c r="D952" s="109"/>
      <c r="E952" s="74"/>
      <c r="F952" s="329"/>
      <c r="G952" s="68"/>
      <c r="H952" s="69"/>
      <c r="I952" s="70"/>
      <c r="J952" s="71"/>
      <c r="K952" s="71"/>
      <c r="L952" s="71"/>
      <c r="M952" s="71"/>
    </row>
    <row r="953" spans="1:13" s="72" customFormat="1" x14ac:dyDescent="0.25">
      <c r="A953" s="531"/>
      <c r="B953" s="531"/>
      <c r="C953" s="119">
        <v>46</v>
      </c>
      <c r="D953" s="109">
        <v>133</v>
      </c>
      <c r="E953" s="49">
        <v>1984</v>
      </c>
      <c r="F953" s="332">
        <f t="shared" ref="F953:F954" si="253">2019-E953</f>
        <v>35</v>
      </c>
      <c r="G953" s="68"/>
      <c r="H953" s="69"/>
      <c r="I953" s="70"/>
      <c r="J953" s="71"/>
      <c r="K953" s="71"/>
      <c r="L953" s="71"/>
      <c r="M953" s="71"/>
    </row>
    <row r="954" spans="1:13" s="72" customFormat="1" x14ac:dyDescent="0.25">
      <c r="A954" s="526"/>
      <c r="B954" s="526"/>
      <c r="C954" s="119">
        <v>46</v>
      </c>
      <c r="D954" s="109">
        <v>76</v>
      </c>
      <c r="E954" s="49">
        <v>1984</v>
      </c>
      <c r="F954" s="332">
        <f t="shared" si="253"/>
        <v>35</v>
      </c>
      <c r="G954" s="68"/>
      <c r="H954" s="69"/>
      <c r="I954" s="70"/>
      <c r="J954" s="71"/>
      <c r="K954" s="71"/>
      <c r="L954" s="71"/>
      <c r="M954" s="71"/>
    </row>
    <row r="955" spans="1:13" s="72" customFormat="1" ht="24" customHeight="1" x14ac:dyDescent="0.25">
      <c r="A955" s="525" t="s">
        <v>385</v>
      </c>
      <c r="B955" s="525" t="s">
        <v>575</v>
      </c>
      <c r="C955" s="53"/>
      <c r="D955" s="109"/>
      <c r="E955" s="74"/>
      <c r="F955" s="329"/>
      <c r="G955" s="68"/>
      <c r="H955" s="69"/>
      <c r="I955" s="70"/>
      <c r="J955" s="71"/>
      <c r="K955" s="71"/>
      <c r="L955" s="71"/>
      <c r="M955" s="71"/>
    </row>
    <row r="956" spans="1:13" s="72" customFormat="1" x14ac:dyDescent="0.25">
      <c r="A956" s="531"/>
      <c r="B956" s="531"/>
      <c r="C956" s="119">
        <v>20</v>
      </c>
      <c r="D956" s="109">
        <v>219</v>
      </c>
      <c r="E956" s="49">
        <v>1984</v>
      </c>
      <c r="F956" s="332">
        <f t="shared" ref="F956:F957" si="254">2019-E956</f>
        <v>35</v>
      </c>
      <c r="G956" s="68"/>
      <c r="H956" s="69"/>
      <c r="I956" s="70"/>
      <c r="J956" s="71"/>
      <c r="K956" s="71"/>
      <c r="L956" s="71"/>
      <c r="M956" s="71"/>
    </row>
    <row r="957" spans="1:13" s="72" customFormat="1" x14ac:dyDescent="0.25">
      <c r="A957" s="526"/>
      <c r="B957" s="526"/>
      <c r="C957" s="119">
        <v>20</v>
      </c>
      <c r="D957" s="109">
        <v>133</v>
      </c>
      <c r="E957" s="49">
        <v>1984</v>
      </c>
      <c r="F957" s="332">
        <f t="shared" si="254"/>
        <v>35</v>
      </c>
      <c r="G957" s="68"/>
      <c r="H957" s="69"/>
      <c r="I957" s="70"/>
      <c r="J957" s="71"/>
      <c r="K957" s="71"/>
      <c r="L957" s="71"/>
      <c r="M957" s="71"/>
    </row>
    <row r="958" spans="1:13" s="72" customFormat="1" ht="22.5" customHeight="1" x14ac:dyDescent="0.25">
      <c r="A958" s="534" t="s">
        <v>576</v>
      </c>
      <c r="B958" s="534" t="s">
        <v>577</v>
      </c>
      <c r="C958" s="53"/>
      <c r="D958" s="109"/>
      <c r="E958" s="74"/>
      <c r="F958" s="329"/>
      <c r="G958" s="68"/>
      <c r="H958" s="69"/>
      <c r="I958" s="70"/>
      <c r="J958" s="71"/>
      <c r="K958" s="71"/>
      <c r="L958" s="71"/>
      <c r="M958" s="71"/>
    </row>
    <row r="959" spans="1:13" s="72" customFormat="1" x14ac:dyDescent="0.25">
      <c r="A959" s="536"/>
      <c r="B959" s="536"/>
      <c r="C959" s="119">
        <v>34</v>
      </c>
      <c r="D959" s="109">
        <v>76</v>
      </c>
      <c r="E959" s="76">
        <v>1986</v>
      </c>
      <c r="F959" s="332">
        <f t="shared" ref="F959:F960" si="255">2019-E959</f>
        <v>33</v>
      </c>
      <c r="G959" s="68"/>
      <c r="H959" s="69"/>
      <c r="I959" s="70"/>
      <c r="J959" s="71"/>
      <c r="K959" s="71"/>
      <c r="L959" s="71"/>
      <c r="M959" s="71"/>
    </row>
    <row r="960" spans="1:13" s="72" customFormat="1" x14ac:dyDescent="0.25">
      <c r="A960" s="535"/>
      <c r="B960" s="535"/>
      <c r="C960" s="119">
        <v>34</v>
      </c>
      <c r="D960" s="109">
        <v>57</v>
      </c>
      <c r="E960" s="49">
        <v>1986</v>
      </c>
      <c r="F960" s="332">
        <f t="shared" si="255"/>
        <v>33</v>
      </c>
      <c r="G960" s="68"/>
      <c r="H960" s="69"/>
      <c r="I960" s="70"/>
      <c r="J960" s="71"/>
      <c r="K960" s="71"/>
      <c r="L960" s="71"/>
      <c r="M960" s="71"/>
    </row>
    <row r="961" spans="1:13" s="72" customFormat="1" ht="15.75" customHeight="1" x14ac:dyDescent="0.25">
      <c r="A961" s="534" t="s">
        <v>213</v>
      </c>
      <c r="B961" s="548" t="s">
        <v>578</v>
      </c>
      <c r="C961" s="88"/>
      <c r="D961" s="79"/>
      <c r="E961" s="74"/>
      <c r="F961" s="329"/>
      <c r="G961" s="68"/>
      <c r="H961" s="69"/>
      <c r="I961" s="70"/>
      <c r="J961" s="71"/>
      <c r="K961" s="71"/>
      <c r="L961" s="71"/>
      <c r="M961" s="71"/>
    </row>
    <row r="962" spans="1:13" s="72" customFormat="1" ht="23.25" customHeight="1" x14ac:dyDescent="0.25">
      <c r="A962" s="536"/>
      <c r="B962" s="549"/>
      <c r="C962" s="120">
        <v>12</v>
      </c>
      <c r="D962" s="79">
        <v>89</v>
      </c>
      <c r="E962" s="49">
        <v>1985</v>
      </c>
      <c r="F962" s="332">
        <f t="shared" ref="F962:F963" si="256">2019-E962</f>
        <v>34</v>
      </c>
      <c r="G962" s="68"/>
      <c r="H962" s="69"/>
      <c r="I962" s="70"/>
      <c r="J962" s="71"/>
      <c r="K962" s="71"/>
      <c r="L962" s="71"/>
      <c r="M962" s="71"/>
    </row>
    <row r="963" spans="1:13" s="72" customFormat="1" x14ac:dyDescent="0.25">
      <c r="A963" s="535"/>
      <c r="B963" s="550"/>
      <c r="C963" s="120">
        <v>12</v>
      </c>
      <c r="D963" s="79">
        <v>57</v>
      </c>
      <c r="E963" s="49">
        <v>1985</v>
      </c>
      <c r="F963" s="332">
        <f t="shared" si="256"/>
        <v>34</v>
      </c>
      <c r="G963" s="68"/>
      <c r="H963" s="69"/>
      <c r="I963" s="70"/>
      <c r="J963" s="71"/>
      <c r="K963" s="71"/>
      <c r="L963" s="71"/>
      <c r="M963" s="71"/>
    </row>
    <row r="964" spans="1:13" s="72" customFormat="1" ht="15.75" customHeight="1" x14ac:dyDescent="0.25">
      <c r="A964" s="548" t="s">
        <v>456</v>
      </c>
      <c r="B964" s="551" t="s">
        <v>509</v>
      </c>
      <c r="C964" s="117"/>
      <c r="D964" s="79"/>
      <c r="E964" s="74"/>
      <c r="F964" s="329"/>
      <c r="G964" s="68"/>
      <c r="H964" s="69"/>
      <c r="I964" s="70"/>
      <c r="J964" s="71"/>
      <c r="K964" s="71"/>
      <c r="L964" s="71"/>
      <c r="M964" s="71"/>
    </row>
    <row r="965" spans="1:13" s="72" customFormat="1" ht="22.5" customHeight="1" x14ac:dyDescent="0.25">
      <c r="A965" s="549"/>
      <c r="B965" s="552"/>
      <c r="C965" s="117">
        <v>30</v>
      </c>
      <c r="D965" s="79">
        <v>57</v>
      </c>
      <c r="E965" s="49">
        <v>1990</v>
      </c>
      <c r="F965" s="332">
        <f t="shared" ref="F965:F966" si="257">2019-E965</f>
        <v>29</v>
      </c>
      <c r="G965" s="68"/>
      <c r="H965" s="69"/>
      <c r="I965" s="70"/>
      <c r="J965" s="71"/>
      <c r="K965" s="71"/>
      <c r="L965" s="71"/>
      <c r="M965" s="71"/>
    </row>
    <row r="966" spans="1:13" s="72" customFormat="1" x14ac:dyDescent="0.25">
      <c r="A966" s="550"/>
      <c r="B966" s="553"/>
      <c r="C966" s="117">
        <v>30</v>
      </c>
      <c r="D966" s="79">
        <v>32</v>
      </c>
      <c r="E966" s="49">
        <v>1990</v>
      </c>
      <c r="F966" s="332">
        <f t="shared" si="257"/>
        <v>29</v>
      </c>
      <c r="G966" s="68"/>
      <c r="H966" s="69"/>
      <c r="I966" s="70"/>
      <c r="J966" s="71"/>
      <c r="K966" s="71"/>
      <c r="L966" s="71"/>
      <c r="M966" s="71"/>
    </row>
    <row r="967" spans="1:13" s="72" customFormat="1" ht="15.75" customHeight="1" x14ac:dyDescent="0.25">
      <c r="A967" s="548" t="s">
        <v>461</v>
      </c>
      <c r="B967" s="548" t="s">
        <v>516</v>
      </c>
      <c r="C967" s="120"/>
      <c r="D967" s="79"/>
      <c r="E967" s="74"/>
      <c r="F967" s="329"/>
      <c r="G967" s="68"/>
      <c r="H967" s="69"/>
      <c r="I967" s="70"/>
      <c r="J967" s="71"/>
      <c r="K967" s="71"/>
      <c r="L967" s="71"/>
      <c r="M967" s="71"/>
    </row>
    <row r="968" spans="1:13" s="72" customFormat="1" ht="23.25" customHeight="1" x14ac:dyDescent="0.25">
      <c r="A968" s="549"/>
      <c r="B968" s="549"/>
      <c r="C968" s="120">
        <v>78</v>
      </c>
      <c r="D968" s="79">
        <v>219</v>
      </c>
      <c r="E968" s="49">
        <v>1986</v>
      </c>
      <c r="F968" s="332">
        <f t="shared" ref="F968:F969" si="258">2019-E968</f>
        <v>33</v>
      </c>
      <c r="G968" s="68"/>
      <c r="H968" s="69"/>
      <c r="I968" s="70"/>
      <c r="J968" s="71"/>
      <c r="K968" s="71"/>
      <c r="L968" s="71"/>
      <c r="M968" s="71"/>
    </row>
    <row r="969" spans="1:13" s="72" customFormat="1" x14ac:dyDescent="0.25">
      <c r="A969" s="550"/>
      <c r="B969" s="550"/>
      <c r="C969" s="120">
        <v>78</v>
      </c>
      <c r="D969" s="79">
        <v>159</v>
      </c>
      <c r="E969" s="49">
        <v>1986</v>
      </c>
      <c r="F969" s="332">
        <f t="shared" si="258"/>
        <v>33</v>
      </c>
      <c r="G969" s="68"/>
      <c r="H969" s="69"/>
      <c r="I969" s="70"/>
      <c r="J969" s="71"/>
      <c r="K969" s="71"/>
      <c r="L969" s="71"/>
      <c r="M969" s="71"/>
    </row>
    <row r="970" spans="1:13" s="72" customFormat="1" ht="15.75" customHeight="1" x14ac:dyDescent="0.25">
      <c r="A970" s="548" t="s">
        <v>253</v>
      </c>
      <c r="B970" s="548" t="s">
        <v>579</v>
      </c>
      <c r="C970" s="120"/>
      <c r="D970" s="79"/>
      <c r="E970" s="74"/>
      <c r="F970" s="329"/>
      <c r="G970" s="68"/>
      <c r="H970" s="69"/>
      <c r="I970" s="70"/>
      <c r="J970" s="71"/>
      <c r="K970" s="71"/>
      <c r="L970" s="71"/>
      <c r="M970" s="71"/>
    </row>
    <row r="971" spans="1:13" s="72" customFormat="1" ht="18.75" customHeight="1" x14ac:dyDescent="0.25">
      <c r="A971" s="549"/>
      <c r="B971" s="549"/>
      <c r="C971" s="120">
        <v>186</v>
      </c>
      <c r="D971" s="79">
        <v>219</v>
      </c>
      <c r="E971" s="49">
        <v>1986</v>
      </c>
      <c r="F971" s="332">
        <f t="shared" ref="F971:F972" si="259">2019-E971</f>
        <v>33</v>
      </c>
      <c r="G971" s="68"/>
      <c r="H971" s="69"/>
      <c r="I971" s="70"/>
      <c r="J971" s="71"/>
      <c r="K971" s="71"/>
      <c r="L971" s="71"/>
      <c r="M971" s="71"/>
    </row>
    <row r="972" spans="1:13" s="72" customFormat="1" x14ac:dyDescent="0.25">
      <c r="A972" s="550"/>
      <c r="B972" s="550"/>
      <c r="C972" s="120">
        <v>186</v>
      </c>
      <c r="D972" s="79">
        <v>159</v>
      </c>
      <c r="E972" s="49">
        <v>1986</v>
      </c>
      <c r="F972" s="332">
        <f t="shared" si="259"/>
        <v>33</v>
      </c>
      <c r="G972" s="68"/>
      <c r="H972" s="69"/>
      <c r="I972" s="70"/>
      <c r="J972" s="71"/>
      <c r="K972" s="71"/>
      <c r="L972" s="71"/>
      <c r="M972" s="71"/>
    </row>
    <row r="973" spans="1:13" s="72" customFormat="1" ht="15.75" customHeight="1" x14ac:dyDescent="0.25">
      <c r="A973" s="548" t="s">
        <v>229</v>
      </c>
      <c r="B973" s="548" t="s">
        <v>367</v>
      </c>
      <c r="C973" s="120"/>
      <c r="D973" s="79"/>
      <c r="E973" s="74"/>
      <c r="F973" s="329"/>
      <c r="G973" s="68"/>
      <c r="H973" s="69"/>
      <c r="I973" s="70"/>
      <c r="J973" s="71"/>
      <c r="K973" s="71"/>
      <c r="L973" s="71"/>
      <c r="M973" s="71"/>
    </row>
    <row r="974" spans="1:13" s="72" customFormat="1" ht="18" customHeight="1" x14ac:dyDescent="0.25">
      <c r="A974" s="549"/>
      <c r="B974" s="549"/>
      <c r="C974" s="120">
        <v>52</v>
      </c>
      <c r="D974" s="79">
        <v>219</v>
      </c>
      <c r="E974" s="49">
        <v>1986</v>
      </c>
      <c r="F974" s="332">
        <f t="shared" ref="F974:F975" si="260">2019-E974</f>
        <v>33</v>
      </c>
      <c r="G974" s="68"/>
      <c r="H974" s="69"/>
      <c r="I974" s="70"/>
      <c r="J974" s="71"/>
      <c r="K974" s="71"/>
      <c r="L974" s="71"/>
      <c r="M974" s="71"/>
    </row>
    <row r="975" spans="1:13" s="72" customFormat="1" x14ac:dyDescent="0.25">
      <c r="A975" s="550"/>
      <c r="B975" s="550"/>
      <c r="C975" s="120">
        <v>52</v>
      </c>
      <c r="D975" s="79">
        <v>133</v>
      </c>
      <c r="E975" s="49">
        <v>1986</v>
      </c>
      <c r="F975" s="332">
        <f t="shared" si="260"/>
        <v>33</v>
      </c>
      <c r="G975" s="68"/>
      <c r="H975" s="69"/>
      <c r="I975" s="70"/>
      <c r="J975" s="71"/>
      <c r="K975" s="71"/>
      <c r="L975" s="71"/>
      <c r="M975" s="71"/>
    </row>
    <row r="976" spans="1:13" s="72" customFormat="1" ht="15.75" customHeight="1" x14ac:dyDescent="0.25">
      <c r="A976" s="548" t="s">
        <v>253</v>
      </c>
      <c r="B976" s="548" t="s">
        <v>294</v>
      </c>
      <c r="C976" s="120"/>
      <c r="D976" s="79"/>
      <c r="E976" s="74"/>
      <c r="F976" s="329"/>
      <c r="G976" s="68"/>
      <c r="H976" s="69"/>
      <c r="I976" s="70"/>
      <c r="J976" s="71"/>
      <c r="K976" s="71"/>
      <c r="L976" s="71"/>
      <c r="M976" s="71"/>
    </row>
    <row r="977" spans="1:13" s="72" customFormat="1" ht="17.25" customHeight="1" x14ac:dyDescent="0.25">
      <c r="A977" s="549"/>
      <c r="B977" s="549"/>
      <c r="C977" s="120">
        <v>137</v>
      </c>
      <c r="D977" s="79">
        <v>219</v>
      </c>
      <c r="E977" s="49">
        <v>1986</v>
      </c>
      <c r="F977" s="332">
        <f t="shared" ref="F977:F978" si="261">2019-E977</f>
        <v>33</v>
      </c>
      <c r="G977" s="68"/>
      <c r="H977" s="69"/>
      <c r="I977" s="70"/>
      <c r="J977" s="71"/>
      <c r="K977" s="71"/>
      <c r="L977" s="71"/>
      <c r="M977" s="71"/>
    </row>
    <row r="978" spans="1:13" s="72" customFormat="1" x14ac:dyDescent="0.25">
      <c r="A978" s="550"/>
      <c r="B978" s="550"/>
      <c r="C978" s="120">
        <v>137</v>
      </c>
      <c r="D978" s="79">
        <v>133</v>
      </c>
      <c r="E978" s="49">
        <v>1986</v>
      </c>
      <c r="F978" s="332">
        <f t="shared" si="261"/>
        <v>33</v>
      </c>
      <c r="G978" s="68"/>
      <c r="H978" s="69"/>
      <c r="I978" s="70"/>
      <c r="J978" s="71"/>
      <c r="K978" s="71"/>
      <c r="L978" s="71"/>
      <c r="M978" s="71"/>
    </row>
    <row r="979" spans="1:13" s="72" customFormat="1" ht="15.75" customHeight="1" x14ac:dyDescent="0.25">
      <c r="A979" s="548" t="s">
        <v>580</v>
      </c>
      <c r="B979" s="548" t="s">
        <v>581</v>
      </c>
      <c r="C979" s="120"/>
      <c r="D979" s="79"/>
      <c r="E979" s="74"/>
      <c r="F979" s="329"/>
      <c r="G979" s="68"/>
      <c r="H979" s="69"/>
      <c r="I979" s="70"/>
      <c r="J979" s="71"/>
      <c r="K979" s="71"/>
      <c r="L979" s="71"/>
      <c r="M979" s="71"/>
    </row>
    <row r="980" spans="1:13" s="72" customFormat="1" ht="24.75" customHeight="1" x14ac:dyDescent="0.25">
      <c r="A980" s="549"/>
      <c r="B980" s="549"/>
      <c r="C980" s="120">
        <v>31</v>
      </c>
      <c r="D980" s="79">
        <v>108</v>
      </c>
      <c r="E980" s="49">
        <v>1985</v>
      </c>
      <c r="F980" s="332">
        <f t="shared" ref="F980:F981" si="262">2019-E980</f>
        <v>34</v>
      </c>
      <c r="G980" s="68"/>
      <c r="H980" s="69"/>
      <c r="I980" s="70"/>
      <c r="J980" s="71"/>
      <c r="K980" s="71"/>
      <c r="L980" s="71"/>
      <c r="M980" s="71"/>
    </row>
    <row r="981" spans="1:13" s="72" customFormat="1" x14ac:dyDescent="0.25">
      <c r="A981" s="550"/>
      <c r="B981" s="550"/>
      <c r="C981" s="120">
        <v>31</v>
      </c>
      <c r="D981" s="79">
        <v>89</v>
      </c>
      <c r="E981" s="49">
        <v>1985</v>
      </c>
      <c r="F981" s="332">
        <f t="shared" si="262"/>
        <v>34</v>
      </c>
      <c r="G981" s="68"/>
      <c r="H981" s="69"/>
      <c r="I981" s="70"/>
      <c r="J981" s="71"/>
      <c r="K981" s="71"/>
      <c r="L981" s="71"/>
      <c r="M981" s="71"/>
    </row>
    <row r="982" spans="1:13" s="72" customFormat="1" ht="15.75" customHeight="1" x14ac:dyDescent="0.25">
      <c r="A982" s="548" t="s">
        <v>217</v>
      </c>
      <c r="B982" s="548" t="s">
        <v>214</v>
      </c>
      <c r="C982" s="88"/>
      <c r="D982" s="79"/>
      <c r="E982" s="74"/>
      <c r="F982" s="329"/>
      <c r="G982" s="68"/>
      <c r="H982" s="69"/>
      <c r="I982" s="70"/>
      <c r="J982" s="71"/>
      <c r="K982" s="71"/>
      <c r="L982" s="71"/>
      <c r="M982" s="71"/>
    </row>
    <row r="983" spans="1:13" s="72" customFormat="1" ht="22.5" customHeight="1" x14ac:dyDescent="0.25">
      <c r="A983" s="549"/>
      <c r="B983" s="549"/>
      <c r="C983" s="89">
        <v>18</v>
      </c>
      <c r="D983" s="79">
        <v>273</v>
      </c>
      <c r="E983" s="76">
        <v>2011</v>
      </c>
      <c r="F983" s="332">
        <f t="shared" ref="F983:F984" si="263">2019-E983</f>
        <v>8</v>
      </c>
      <c r="G983" s="68"/>
      <c r="H983" s="69"/>
      <c r="I983" s="70"/>
      <c r="J983" s="71"/>
      <c r="K983" s="71"/>
      <c r="L983" s="71"/>
      <c r="M983" s="71"/>
    </row>
    <row r="984" spans="1:13" s="72" customFormat="1" x14ac:dyDescent="0.25">
      <c r="A984" s="550"/>
      <c r="B984" s="550"/>
      <c r="C984" s="89">
        <v>18</v>
      </c>
      <c r="D984" s="79">
        <v>159</v>
      </c>
      <c r="E984" s="76">
        <v>2011</v>
      </c>
      <c r="F984" s="332">
        <f t="shared" si="263"/>
        <v>8</v>
      </c>
      <c r="G984" s="68"/>
      <c r="H984" s="69"/>
      <c r="I984" s="70"/>
      <c r="J984" s="71"/>
      <c r="K984" s="71"/>
      <c r="L984" s="71"/>
      <c r="M984" s="71"/>
    </row>
    <row r="985" spans="1:13" s="72" customFormat="1" ht="15.75" customHeight="1" x14ac:dyDescent="0.25">
      <c r="A985" s="548" t="s">
        <v>271</v>
      </c>
      <c r="B985" s="548" t="s">
        <v>209</v>
      </c>
      <c r="C985" s="120"/>
      <c r="D985" s="79"/>
      <c r="E985" s="74"/>
      <c r="F985" s="329"/>
      <c r="G985" s="68"/>
      <c r="H985" s="69"/>
      <c r="I985" s="70"/>
      <c r="J985" s="71"/>
      <c r="K985" s="71"/>
      <c r="L985" s="71"/>
      <c r="M985" s="71"/>
    </row>
    <row r="986" spans="1:13" s="72" customFormat="1" ht="23.25" customHeight="1" x14ac:dyDescent="0.25">
      <c r="A986" s="549"/>
      <c r="B986" s="549"/>
      <c r="C986" s="120">
        <v>82</v>
      </c>
      <c r="D986" s="79">
        <v>219</v>
      </c>
      <c r="E986" s="49">
        <v>1986</v>
      </c>
      <c r="F986" s="332">
        <f t="shared" ref="F986:F987" si="264">2019-E986</f>
        <v>33</v>
      </c>
      <c r="G986" s="68"/>
      <c r="H986" s="69"/>
      <c r="I986" s="70"/>
      <c r="J986" s="71"/>
      <c r="K986" s="71"/>
      <c r="L986" s="71"/>
      <c r="M986" s="71"/>
    </row>
    <row r="987" spans="1:13" s="72" customFormat="1" x14ac:dyDescent="0.25">
      <c r="A987" s="550"/>
      <c r="B987" s="550"/>
      <c r="C987" s="120">
        <v>82</v>
      </c>
      <c r="D987" s="79">
        <v>133</v>
      </c>
      <c r="E987" s="49">
        <v>1986</v>
      </c>
      <c r="F987" s="332">
        <f t="shared" si="264"/>
        <v>33</v>
      </c>
      <c r="G987" s="68"/>
      <c r="H987" s="69"/>
      <c r="I987" s="70"/>
      <c r="J987" s="71"/>
      <c r="K987" s="71"/>
      <c r="L987" s="71"/>
      <c r="M987" s="71"/>
    </row>
    <row r="988" spans="1:13" s="72" customFormat="1" ht="15.75" customHeight="1" x14ac:dyDescent="0.25">
      <c r="A988" s="548" t="s">
        <v>456</v>
      </c>
      <c r="B988" s="551" t="s">
        <v>582</v>
      </c>
      <c r="C988" s="117"/>
      <c r="D988" s="79"/>
      <c r="E988" s="74"/>
      <c r="F988" s="329"/>
      <c r="G988" s="68"/>
      <c r="H988" s="69"/>
      <c r="I988" s="70"/>
      <c r="J988" s="71"/>
      <c r="K988" s="71"/>
      <c r="L988" s="71"/>
      <c r="M988" s="71"/>
    </row>
    <row r="989" spans="1:13" s="72" customFormat="1" ht="22.5" customHeight="1" x14ac:dyDescent="0.25">
      <c r="A989" s="549"/>
      <c r="B989" s="552"/>
      <c r="C989" s="89">
        <v>40</v>
      </c>
      <c r="D989" s="79">
        <v>89</v>
      </c>
      <c r="E989" s="49">
        <v>1990</v>
      </c>
      <c r="F989" s="332">
        <f t="shared" ref="F989:F990" si="265">2019-E989</f>
        <v>29</v>
      </c>
      <c r="G989" s="68"/>
      <c r="H989" s="69"/>
      <c r="I989" s="70"/>
      <c r="J989" s="71"/>
      <c r="K989" s="71"/>
      <c r="L989" s="71"/>
      <c r="M989" s="71"/>
    </row>
    <row r="990" spans="1:13" s="72" customFormat="1" x14ac:dyDescent="0.25">
      <c r="A990" s="550"/>
      <c r="B990" s="553"/>
      <c r="C990" s="89">
        <v>40</v>
      </c>
      <c r="D990" s="79">
        <v>89</v>
      </c>
      <c r="E990" s="49">
        <v>1990</v>
      </c>
      <c r="F990" s="332">
        <f t="shared" si="265"/>
        <v>29</v>
      </c>
      <c r="G990" s="68"/>
      <c r="H990" s="69"/>
      <c r="I990" s="70"/>
      <c r="J990" s="71"/>
      <c r="K990" s="71"/>
      <c r="L990" s="71"/>
      <c r="M990" s="71"/>
    </row>
    <row r="991" spans="1:13" s="72" customFormat="1" ht="15.75" customHeight="1" x14ac:dyDescent="0.25">
      <c r="A991" s="548" t="s">
        <v>522</v>
      </c>
      <c r="B991" s="548" t="s">
        <v>201</v>
      </c>
      <c r="C991" s="117"/>
      <c r="D991" s="79"/>
      <c r="E991" s="74"/>
      <c r="F991" s="329"/>
      <c r="G991" s="68"/>
      <c r="H991" s="69"/>
      <c r="I991" s="70"/>
      <c r="J991" s="71"/>
      <c r="K991" s="71"/>
      <c r="L991" s="71"/>
      <c r="M991" s="71"/>
    </row>
    <row r="992" spans="1:13" s="72" customFormat="1" ht="20.25" customHeight="1" x14ac:dyDescent="0.25">
      <c r="A992" s="549"/>
      <c r="B992" s="549"/>
      <c r="C992" s="117">
        <v>54</v>
      </c>
      <c r="D992" s="79">
        <v>159</v>
      </c>
      <c r="E992" s="76">
        <v>2000</v>
      </c>
      <c r="F992" s="332">
        <f t="shared" ref="F992:F993" si="266">2019-E992</f>
        <v>19</v>
      </c>
      <c r="G992" s="68"/>
      <c r="H992" s="69"/>
      <c r="I992" s="70"/>
      <c r="J992" s="71"/>
      <c r="K992" s="71"/>
      <c r="L992" s="71"/>
      <c r="M992" s="71"/>
    </row>
    <row r="993" spans="1:13" s="72" customFormat="1" x14ac:dyDescent="0.25">
      <c r="A993" s="550"/>
      <c r="B993" s="550"/>
      <c r="C993" s="117">
        <v>54</v>
      </c>
      <c r="D993" s="79">
        <v>108</v>
      </c>
      <c r="E993" s="76">
        <v>2000</v>
      </c>
      <c r="F993" s="332">
        <f t="shared" si="266"/>
        <v>19</v>
      </c>
      <c r="G993" s="68"/>
      <c r="H993" s="69"/>
      <c r="I993" s="70"/>
      <c r="J993" s="71"/>
      <c r="K993" s="71"/>
      <c r="L993" s="71"/>
      <c r="M993" s="71"/>
    </row>
    <row r="994" spans="1:13" s="72" customFormat="1" ht="15.75" customHeight="1" x14ac:dyDescent="0.25">
      <c r="A994" s="548" t="s">
        <v>522</v>
      </c>
      <c r="B994" s="548" t="s">
        <v>523</v>
      </c>
      <c r="C994" s="88"/>
      <c r="D994" s="79"/>
      <c r="E994" s="74"/>
      <c r="F994" s="329"/>
      <c r="G994" s="68"/>
      <c r="H994" s="69"/>
      <c r="I994" s="70"/>
      <c r="J994" s="71"/>
      <c r="K994" s="71"/>
      <c r="L994" s="71"/>
      <c r="M994" s="71"/>
    </row>
    <row r="995" spans="1:13" s="72" customFormat="1" ht="23.25" customHeight="1" x14ac:dyDescent="0.25">
      <c r="A995" s="549"/>
      <c r="B995" s="549"/>
      <c r="C995" s="89">
        <v>37</v>
      </c>
      <c r="D995" s="79">
        <v>89</v>
      </c>
      <c r="E995" s="76">
        <v>2011</v>
      </c>
      <c r="F995" s="332">
        <f t="shared" ref="F995:F996" si="267">2019-E995</f>
        <v>8</v>
      </c>
      <c r="G995" s="68"/>
      <c r="H995" s="69"/>
      <c r="I995" s="70"/>
      <c r="J995" s="71"/>
      <c r="K995" s="71"/>
      <c r="L995" s="71"/>
      <c r="M995" s="71"/>
    </row>
    <row r="996" spans="1:13" s="72" customFormat="1" x14ac:dyDescent="0.25">
      <c r="A996" s="550"/>
      <c r="B996" s="550"/>
      <c r="C996" s="89">
        <v>37</v>
      </c>
      <c r="D996" s="79">
        <v>57</v>
      </c>
      <c r="E996" s="76">
        <v>2011</v>
      </c>
      <c r="F996" s="332">
        <f t="shared" si="267"/>
        <v>8</v>
      </c>
      <c r="G996" s="68"/>
      <c r="H996" s="69"/>
      <c r="I996" s="70"/>
      <c r="J996" s="71"/>
      <c r="K996" s="71"/>
      <c r="L996" s="71"/>
      <c r="M996" s="71"/>
    </row>
    <row r="997" spans="1:13" s="72" customFormat="1" ht="18.75" customHeight="1" x14ac:dyDescent="0.25">
      <c r="A997" s="548" t="s">
        <v>515</v>
      </c>
      <c r="B997" s="551" t="s">
        <v>583</v>
      </c>
      <c r="C997" s="117"/>
      <c r="D997" s="79"/>
      <c r="E997" s="74"/>
      <c r="F997" s="329"/>
      <c r="G997" s="68"/>
      <c r="H997" s="69"/>
      <c r="I997" s="70"/>
      <c r="J997" s="71"/>
      <c r="K997" s="71"/>
      <c r="L997" s="71"/>
      <c r="M997" s="71"/>
    </row>
    <row r="998" spans="1:13" s="72" customFormat="1" ht="19.5" customHeight="1" x14ac:dyDescent="0.25">
      <c r="A998" s="549"/>
      <c r="B998" s="552"/>
      <c r="C998" s="117">
        <v>33</v>
      </c>
      <c r="D998" s="79">
        <v>108</v>
      </c>
      <c r="E998" s="49">
        <v>1989</v>
      </c>
      <c r="F998" s="332">
        <f t="shared" ref="F998:F999" si="268">2019-E998</f>
        <v>30</v>
      </c>
      <c r="G998" s="68"/>
      <c r="H998" s="69"/>
      <c r="I998" s="70"/>
      <c r="J998" s="71"/>
      <c r="K998" s="71"/>
      <c r="L998" s="71"/>
      <c r="M998" s="71"/>
    </row>
    <row r="999" spans="1:13" s="72" customFormat="1" x14ac:dyDescent="0.25">
      <c r="A999" s="550"/>
      <c r="B999" s="553"/>
      <c r="C999" s="117">
        <v>33</v>
      </c>
      <c r="D999" s="79">
        <v>108</v>
      </c>
      <c r="E999" s="49">
        <v>1989</v>
      </c>
      <c r="F999" s="332">
        <f t="shared" si="268"/>
        <v>30</v>
      </c>
      <c r="G999" s="68"/>
      <c r="H999" s="69"/>
      <c r="I999" s="70"/>
      <c r="J999" s="71"/>
      <c r="K999" s="71"/>
      <c r="L999" s="71"/>
      <c r="M999" s="71"/>
    </row>
    <row r="1000" spans="1:13" s="72" customFormat="1" ht="15.75" customHeight="1" x14ac:dyDescent="0.25">
      <c r="A1000" s="548" t="s">
        <v>195</v>
      </c>
      <c r="B1000" s="548" t="s">
        <v>584</v>
      </c>
      <c r="C1000" s="88"/>
      <c r="D1000" s="79"/>
      <c r="E1000" s="74"/>
      <c r="F1000" s="329"/>
      <c r="G1000" s="68"/>
      <c r="H1000" s="69"/>
      <c r="I1000" s="70"/>
      <c r="J1000" s="71"/>
      <c r="K1000" s="71"/>
      <c r="L1000" s="71"/>
      <c r="M1000" s="71"/>
    </row>
    <row r="1001" spans="1:13" s="72" customFormat="1" ht="22.5" customHeight="1" x14ac:dyDescent="0.25">
      <c r="A1001" s="549"/>
      <c r="B1001" s="549"/>
      <c r="C1001" s="89">
        <v>32</v>
      </c>
      <c r="D1001" s="79">
        <v>57</v>
      </c>
      <c r="E1001" s="76">
        <v>2013</v>
      </c>
      <c r="F1001" s="332">
        <f t="shared" ref="F1001:F1002" si="269">2019-E1001</f>
        <v>6</v>
      </c>
      <c r="G1001" s="68"/>
      <c r="H1001" s="69"/>
      <c r="I1001" s="70"/>
      <c r="J1001" s="71"/>
      <c r="K1001" s="71"/>
      <c r="L1001" s="71"/>
      <c r="M1001" s="71"/>
    </row>
    <row r="1002" spans="1:13" s="72" customFormat="1" x14ac:dyDescent="0.25">
      <c r="A1002" s="550"/>
      <c r="B1002" s="550"/>
      <c r="C1002" s="89">
        <v>32</v>
      </c>
      <c r="D1002" s="79">
        <v>40</v>
      </c>
      <c r="E1002" s="76">
        <v>2013</v>
      </c>
      <c r="F1002" s="332">
        <f t="shared" si="269"/>
        <v>6</v>
      </c>
      <c r="G1002" s="68"/>
      <c r="H1002" s="69"/>
      <c r="I1002" s="70"/>
      <c r="J1002" s="71"/>
      <c r="K1002" s="71"/>
      <c r="L1002" s="71"/>
      <c r="M1002" s="71"/>
    </row>
    <row r="1003" spans="1:13" s="72" customFormat="1" ht="15.75" customHeight="1" x14ac:dyDescent="0.25">
      <c r="A1003" s="548" t="s">
        <v>216</v>
      </c>
      <c r="B1003" s="548" t="s">
        <v>585</v>
      </c>
      <c r="C1003" s="120"/>
      <c r="D1003" s="79"/>
      <c r="E1003" s="74"/>
      <c r="F1003" s="329"/>
      <c r="G1003" s="68"/>
      <c r="H1003" s="69"/>
      <c r="I1003" s="70"/>
      <c r="J1003" s="71"/>
      <c r="K1003" s="71"/>
      <c r="L1003" s="71"/>
      <c r="M1003" s="71"/>
    </row>
    <row r="1004" spans="1:13" s="72" customFormat="1" ht="17.25" customHeight="1" x14ac:dyDescent="0.25">
      <c r="A1004" s="549"/>
      <c r="B1004" s="549"/>
      <c r="C1004" s="120">
        <v>18</v>
      </c>
      <c r="D1004" s="79">
        <v>57</v>
      </c>
      <c r="E1004" s="49">
        <v>1986</v>
      </c>
      <c r="F1004" s="332">
        <f t="shared" ref="F1004:F1005" si="270">2019-E1004</f>
        <v>33</v>
      </c>
      <c r="G1004" s="68"/>
      <c r="H1004" s="69"/>
      <c r="I1004" s="70"/>
      <c r="J1004" s="71"/>
      <c r="K1004" s="71"/>
      <c r="L1004" s="71"/>
      <c r="M1004" s="71"/>
    </row>
    <row r="1005" spans="1:13" s="72" customFormat="1" x14ac:dyDescent="0.25">
      <c r="A1005" s="550"/>
      <c r="B1005" s="550"/>
      <c r="C1005" s="120">
        <v>18</v>
      </c>
      <c r="D1005" s="79">
        <v>40</v>
      </c>
      <c r="E1005" s="49">
        <v>1986</v>
      </c>
      <c r="F1005" s="332">
        <f t="shared" si="270"/>
        <v>33</v>
      </c>
      <c r="G1005" s="68"/>
      <c r="H1005" s="69"/>
      <c r="I1005" s="70"/>
      <c r="J1005" s="71"/>
      <c r="K1005" s="71"/>
      <c r="L1005" s="71"/>
      <c r="M1005" s="71"/>
    </row>
    <row r="1006" spans="1:13" s="72" customFormat="1" ht="15.75" customHeight="1" x14ac:dyDescent="0.25">
      <c r="A1006" s="548" t="s">
        <v>515</v>
      </c>
      <c r="B1006" s="548" t="s">
        <v>437</v>
      </c>
      <c r="C1006" s="120"/>
      <c r="D1006" s="79"/>
      <c r="E1006" s="74"/>
      <c r="F1006" s="329"/>
      <c r="G1006" s="68"/>
      <c r="H1006" s="69"/>
      <c r="I1006" s="70"/>
      <c r="J1006" s="71"/>
      <c r="K1006" s="71"/>
      <c r="L1006" s="71"/>
      <c r="M1006" s="71"/>
    </row>
    <row r="1007" spans="1:13" s="72" customFormat="1" ht="21.75" customHeight="1" x14ac:dyDescent="0.25">
      <c r="A1007" s="549"/>
      <c r="B1007" s="549"/>
      <c r="C1007" s="120">
        <v>72</v>
      </c>
      <c r="D1007" s="79">
        <v>133</v>
      </c>
      <c r="E1007" s="83">
        <v>1988</v>
      </c>
      <c r="F1007" s="332">
        <f t="shared" ref="F1007:F1008" si="271">2019-E1007</f>
        <v>31</v>
      </c>
      <c r="G1007" s="68"/>
      <c r="H1007" s="69"/>
      <c r="I1007" s="70"/>
      <c r="J1007" s="71"/>
      <c r="K1007" s="71"/>
      <c r="L1007" s="71"/>
      <c r="M1007" s="71"/>
    </row>
    <row r="1008" spans="1:13" s="72" customFormat="1" x14ac:dyDescent="0.25">
      <c r="A1008" s="550"/>
      <c r="B1008" s="550"/>
      <c r="C1008" s="120">
        <v>72</v>
      </c>
      <c r="D1008" s="79">
        <v>89</v>
      </c>
      <c r="E1008" s="83">
        <v>1988</v>
      </c>
      <c r="F1008" s="332">
        <f t="shared" si="271"/>
        <v>31</v>
      </c>
      <c r="G1008" s="68"/>
      <c r="H1008" s="69"/>
      <c r="I1008" s="70"/>
      <c r="J1008" s="71"/>
      <c r="K1008" s="71"/>
      <c r="L1008" s="71"/>
      <c r="M1008" s="71"/>
    </row>
    <row r="1009" spans="1:13" s="72" customFormat="1" ht="15.75" customHeight="1" x14ac:dyDescent="0.25">
      <c r="A1009" s="548" t="s">
        <v>362</v>
      </c>
      <c r="B1009" s="548" t="s">
        <v>586</v>
      </c>
      <c r="C1009" s="120"/>
      <c r="D1009" s="79"/>
      <c r="E1009" s="74"/>
      <c r="F1009" s="329"/>
      <c r="G1009" s="68"/>
      <c r="H1009" s="69"/>
      <c r="I1009" s="70"/>
      <c r="J1009" s="71"/>
      <c r="K1009" s="71"/>
      <c r="L1009" s="71"/>
      <c r="M1009" s="71"/>
    </row>
    <row r="1010" spans="1:13" s="72" customFormat="1" ht="17.25" customHeight="1" x14ac:dyDescent="0.25">
      <c r="A1010" s="549"/>
      <c r="B1010" s="549"/>
      <c r="C1010" s="120">
        <v>50</v>
      </c>
      <c r="D1010" s="79">
        <v>108</v>
      </c>
      <c r="E1010" s="83">
        <v>1988</v>
      </c>
      <c r="F1010" s="332">
        <f t="shared" ref="F1010:F1011" si="272">2019-E1010</f>
        <v>31</v>
      </c>
      <c r="G1010" s="68"/>
      <c r="H1010" s="69"/>
      <c r="I1010" s="70"/>
      <c r="J1010" s="71"/>
      <c r="K1010" s="71"/>
      <c r="L1010" s="71"/>
      <c r="M1010" s="71"/>
    </row>
    <row r="1011" spans="1:13" s="72" customFormat="1" x14ac:dyDescent="0.25">
      <c r="A1011" s="550"/>
      <c r="B1011" s="550"/>
      <c r="C1011" s="120">
        <v>50</v>
      </c>
      <c r="D1011" s="79">
        <v>76</v>
      </c>
      <c r="E1011" s="83">
        <v>1988</v>
      </c>
      <c r="F1011" s="332">
        <f t="shared" si="272"/>
        <v>31</v>
      </c>
      <c r="G1011" s="68"/>
      <c r="H1011" s="69"/>
      <c r="I1011" s="70"/>
      <c r="J1011" s="71"/>
      <c r="K1011" s="71"/>
      <c r="L1011" s="71"/>
      <c r="M1011" s="71"/>
    </row>
    <row r="1012" spans="1:13" s="72" customFormat="1" ht="15.75" customHeight="1" x14ac:dyDescent="0.25">
      <c r="A1012" s="548" t="s">
        <v>216</v>
      </c>
      <c r="B1012" s="548" t="s">
        <v>587</v>
      </c>
      <c r="C1012" s="120"/>
      <c r="D1012" s="79"/>
      <c r="E1012" s="74"/>
      <c r="F1012" s="329"/>
      <c r="G1012" s="68"/>
      <c r="H1012" s="69"/>
      <c r="I1012" s="70"/>
      <c r="J1012" s="71"/>
      <c r="K1012" s="71"/>
      <c r="L1012" s="71"/>
      <c r="M1012" s="71"/>
    </row>
    <row r="1013" spans="1:13" s="72" customFormat="1" ht="20.25" customHeight="1" x14ac:dyDescent="0.25">
      <c r="A1013" s="549"/>
      <c r="B1013" s="549"/>
      <c r="C1013" s="120">
        <v>46</v>
      </c>
      <c r="D1013" s="79">
        <v>57</v>
      </c>
      <c r="E1013" s="49">
        <v>1986</v>
      </c>
      <c r="F1013" s="332">
        <f t="shared" ref="F1013:F1014" si="273">2019-E1013</f>
        <v>33</v>
      </c>
      <c r="G1013" s="68"/>
      <c r="H1013" s="69"/>
      <c r="I1013" s="70"/>
      <c r="J1013" s="71"/>
      <c r="K1013" s="71"/>
      <c r="L1013" s="71"/>
      <c r="M1013" s="71"/>
    </row>
    <row r="1014" spans="1:13" s="72" customFormat="1" x14ac:dyDescent="0.25">
      <c r="A1014" s="550"/>
      <c r="B1014" s="550"/>
      <c r="C1014" s="120">
        <v>46</v>
      </c>
      <c r="D1014" s="79">
        <v>40</v>
      </c>
      <c r="E1014" s="49">
        <v>1986</v>
      </c>
      <c r="F1014" s="332">
        <f t="shared" si="273"/>
        <v>33</v>
      </c>
      <c r="G1014" s="68"/>
      <c r="H1014" s="69"/>
      <c r="I1014" s="70"/>
      <c r="J1014" s="71"/>
      <c r="K1014" s="71"/>
      <c r="L1014" s="71"/>
      <c r="M1014" s="71"/>
    </row>
    <row r="1015" spans="1:13" s="72" customFormat="1" ht="15.75" customHeight="1" x14ac:dyDescent="0.25">
      <c r="A1015" s="548" t="s">
        <v>362</v>
      </c>
      <c r="B1015" s="548" t="s">
        <v>588</v>
      </c>
      <c r="C1015" s="120"/>
      <c r="D1015" s="79"/>
      <c r="E1015" s="74"/>
      <c r="F1015" s="329"/>
      <c r="G1015" s="68"/>
      <c r="H1015" s="69"/>
      <c r="I1015" s="70"/>
      <c r="J1015" s="71"/>
      <c r="K1015" s="71"/>
      <c r="L1015" s="71"/>
      <c r="M1015" s="71"/>
    </row>
    <row r="1016" spans="1:13" s="72" customFormat="1" ht="21" customHeight="1" x14ac:dyDescent="0.25">
      <c r="A1016" s="549"/>
      <c r="B1016" s="549"/>
      <c r="C1016" s="120">
        <v>15</v>
      </c>
      <c r="D1016" s="79">
        <v>89</v>
      </c>
      <c r="E1016" s="49">
        <v>1986</v>
      </c>
      <c r="F1016" s="332">
        <f t="shared" ref="F1016:F1017" si="274">2019-E1016</f>
        <v>33</v>
      </c>
      <c r="G1016" s="68"/>
      <c r="H1016" s="69"/>
      <c r="I1016" s="70"/>
      <c r="J1016" s="71"/>
      <c r="K1016" s="71"/>
      <c r="L1016" s="71"/>
      <c r="M1016" s="71"/>
    </row>
    <row r="1017" spans="1:13" s="72" customFormat="1" x14ac:dyDescent="0.25">
      <c r="A1017" s="550"/>
      <c r="B1017" s="550"/>
      <c r="C1017" s="120">
        <v>15</v>
      </c>
      <c r="D1017" s="79">
        <v>57</v>
      </c>
      <c r="E1017" s="49">
        <v>1986</v>
      </c>
      <c r="F1017" s="332">
        <f t="shared" si="274"/>
        <v>33</v>
      </c>
      <c r="G1017" s="68"/>
      <c r="H1017" s="69"/>
      <c r="I1017" s="70"/>
      <c r="J1017" s="71"/>
      <c r="K1017" s="71"/>
      <c r="L1017" s="71"/>
      <c r="M1017" s="71"/>
    </row>
    <row r="1018" spans="1:13" s="72" customFormat="1" ht="15.75" customHeight="1" x14ac:dyDescent="0.25">
      <c r="A1018" s="548" t="s">
        <v>276</v>
      </c>
      <c r="B1018" s="548" t="s">
        <v>444</v>
      </c>
      <c r="C1018" s="88"/>
      <c r="D1018" s="79"/>
      <c r="E1018" s="74"/>
      <c r="F1018" s="329"/>
      <c r="G1018" s="68"/>
      <c r="H1018" s="69"/>
      <c r="I1018" s="70"/>
      <c r="J1018" s="71"/>
      <c r="K1018" s="71"/>
      <c r="L1018" s="71"/>
      <c r="M1018" s="71"/>
    </row>
    <row r="1019" spans="1:13" s="72" customFormat="1" ht="21.75" customHeight="1" x14ac:dyDescent="0.25">
      <c r="A1019" s="549"/>
      <c r="B1019" s="549"/>
      <c r="C1019" s="89">
        <v>25</v>
      </c>
      <c r="D1019" s="79">
        <v>273</v>
      </c>
      <c r="E1019" s="76">
        <v>2009</v>
      </c>
      <c r="F1019" s="332">
        <f t="shared" ref="F1019:F1020" si="275">2019-E1019</f>
        <v>10</v>
      </c>
      <c r="G1019" s="68"/>
      <c r="H1019" s="69"/>
      <c r="I1019" s="70"/>
      <c r="J1019" s="71"/>
      <c r="K1019" s="71"/>
      <c r="L1019" s="71"/>
      <c r="M1019" s="71"/>
    </row>
    <row r="1020" spans="1:13" s="72" customFormat="1" x14ac:dyDescent="0.25">
      <c r="A1020" s="550"/>
      <c r="B1020" s="550"/>
      <c r="C1020" s="89">
        <v>25</v>
      </c>
      <c r="D1020" s="79">
        <v>159</v>
      </c>
      <c r="E1020" s="76">
        <v>2009</v>
      </c>
      <c r="F1020" s="332">
        <f t="shared" si="275"/>
        <v>10</v>
      </c>
      <c r="G1020" s="68"/>
      <c r="H1020" s="69"/>
      <c r="I1020" s="70"/>
      <c r="J1020" s="71"/>
      <c r="K1020" s="71"/>
      <c r="L1020" s="71"/>
      <c r="M1020" s="71"/>
    </row>
    <row r="1021" spans="1:13" s="72" customFormat="1" ht="15.75" customHeight="1" x14ac:dyDescent="0.25">
      <c r="A1021" s="548" t="s">
        <v>329</v>
      </c>
      <c r="B1021" s="548" t="s">
        <v>505</v>
      </c>
      <c r="C1021" s="120"/>
      <c r="D1021" s="79"/>
      <c r="E1021" s="74"/>
      <c r="F1021" s="329"/>
      <c r="G1021" s="68"/>
      <c r="H1021" s="69"/>
      <c r="I1021" s="70"/>
      <c r="J1021" s="71"/>
      <c r="K1021" s="71"/>
      <c r="L1021" s="71"/>
      <c r="M1021" s="71"/>
    </row>
    <row r="1022" spans="1:13" s="72" customFormat="1" ht="18.75" customHeight="1" x14ac:dyDescent="0.25">
      <c r="A1022" s="549"/>
      <c r="B1022" s="549"/>
      <c r="C1022" s="120">
        <v>67</v>
      </c>
      <c r="D1022" s="79">
        <v>159</v>
      </c>
      <c r="E1022" s="49">
        <v>1986</v>
      </c>
      <c r="F1022" s="332">
        <f t="shared" ref="F1022:F1023" si="276">2019-E1022</f>
        <v>33</v>
      </c>
      <c r="G1022" s="68"/>
      <c r="H1022" s="69"/>
      <c r="I1022" s="70"/>
      <c r="J1022" s="71"/>
      <c r="K1022" s="71"/>
      <c r="L1022" s="71"/>
      <c r="M1022" s="71"/>
    </row>
    <row r="1023" spans="1:13" s="72" customFormat="1" x14ac:dyDescent="0.25">
      <c r="A1023" s="550"/>
      <c r="B1023" s="550"/>
      <c r="C1023" s="120">
        <v>67</v>
      </c>
      <c r="D1023" s="79">
        <v>89</v>
      </c>
      <c r="E1023" s="49">
        <v>1986</v>
      </c>
      <c r="F1023" s="332">
        <f t="shared" si="276"/>
        <v>33</v>
      </c>
      <c r="G1023" s="68"/>
      <c r="H1023" s="69"/>
      <c r="I1023" s="70"/>
      <c r="J1023" s="71"/>
      <c r="K1023" s="71"/>
      <c r="L1023" s="71"/>
      <c r="M1023" s="71"/>
    </row>
    <row r="1024" spans="1:13" s="72" customFormat="1" ht="15.75" customHeight="1" x14ac:dyDescent="0.25">
      <c r="A1024" s="548" t="s">
        <v>434</v>
      </c>
      <c r="B1024" s="551" t="s">
        <v>589</v>
      </c>
      <c r="C1024" s="117"/>
      <c r="D1024" s="79"/>
      <c r="E1024" s="74"/>
      <c r="F1024" s="329"/>
      <c r="G1024" s="68"/>
      <c r="H1024" s="69"/>
      <c r="I1024" s="70"/>
      <c r="J1024" s="71"/>
      <c r="K1024" s="71"/>
      <c r="L1024" s="71"/>
      <c r="M1024" s="71"/>
    </row>
    <row r="1025" spans="1:13" s="72" customFormat="1" ht="18.75" customHeight="1" x14ac:dyDescent="0.25">
      <c r="A1025" s="549"/>
      <c r="B1025" s="552"/>
      <c r="C1025" s="117">
        <v>47</v>
      </c>
      <c r="D1025" s="79">
        <v>40</v>
      </c>
      <c r="E1025" s="49">
        <v>1990</v>
      </c>
      <c r="F1025" s="332">
        <f t="shared" ref="F1025:F1026" si="277">2019-E1025</f>
        <v>29</v>
      </c>
      <c r="G1025" s="68"/>
      <c r="H1025" s="69"/>
      <c r="I1025" s="70"/>
      <c r="J1025" s="71"/>
      <c r="K1025" s="71"/>
      <c r="L1025" s="71"/>
      <c r="M1025" s="71"/>
    </row>
    <row r="1026" spans="1:13" s="72" customFormat="1" x14ac:dyDescent="0.25">
      <c r="A1026" s="550"/>
      <c r="B1026" s="553"/>
      <c r="C1026" s="117">
        <v>47</v>
      </c>
      <c r="D1026" s="79">
        <v>32</v>
      </c>
      <c r="E1026" s="76">
        <v>1990</v>
      </c>
      <c r="F1026" s="332">
        <f t="shared" si="277"/>
        <v>29</v>
      </c>
      <c r="G1026" s="68"/>
      <c r="H1026" s="69"/>
      <c r="I1026" s="70"/>
      <c r="J1026" s="71"/>
      <c r="K1026" s="71"/>
      <c r="L1026" s="71"/>
      <c r="M1026" s="71"/>
    </row>
    <row r="1027" spans="1:13" s="72" customFormat="1" ht="15.75" customHeight="1" x14ac:dyDescent="0.25">
      <c r="A1027" s="548" t="s">
        <v>436</v>
      </c>
      <c r="B1027" s="548" t="s">
        <v>590</v>
      </c>
      <c r="C1027" s="120"/>
      <c r="D1027" s="79"/>
      <c r="E1027" s="74"/>
      <c r="F1027" s="329"/>
      <c r="G1027" s="68"/>
      <c r="H1027" s="69"/>
      <c r="I1027" s="70"/>
      <c r="J1027" s="71"/>
      <c r="K1027" s="71"/>
      <c r="L1027" s="71"/>
      <c r="M1027" s="71"/>
    </row>
    <row r="1028" spans="1:13" s="72" customFormat="1" ht="19.5" customHeight="1" x14ac:dyDescent="0.25">
      <c r="A1028" s="549"/>
      <c r="B1028" s="549"/>
      <c r="C1028" s="120">
        <v>10</v>
      </c>
      <c r="D1028" s="79">
        <v>89</v>
      </c>
      <c r="E1028" s="83">
        <v>1988</v>
      </c>
      <c r="F1028" s="332">
        <f t="shared" ref="F1028:F1029" si="278">2019-E1028</f>
        <v>31</v>
      </c>
      <c r="G1028" s="68"/>
      <c r="H1028" s="69"/>
      <c r="I1028" s="70"/>
      <c r="J1028" s="71"/>
      <c r="K1028" s="71"/>
      <c r="L1028" s="71"/>
      <c r="M1028" s="71"/>
    </row>
    <row r="1029" spans="1:13" s="72" customFormat="1" x14ac:dyDescent="0.25">
      <c r="A1029" s="550"/>
      <c r="B1029" s="550"/>
      <c r="C1029" s="120">
        <v>10</v>
      </c>
      <c r="D1029" s="79">
        <v>40</v>
      </c>
      <c r="E1029" s="83">
        <v>1988</v>
      </c>
      <c r="F1029" s="332">
        <f t="shared" si="278"/>
        <v>31</v>
      </c>
      <c r="G1029" s="68"/>
      <c r="H1029" s="69"/>
      <c r="I1029" s="70"/>
      <c r="J1029" s="71"/>
      <c r="K1029" s="71"/>
      <c r="L1029" s="71"/>
      <c r="M1029" s="71"/>
    </row>
    <row r="1030" spans="1:13" s="72" customFormat="1" ht="15.75" customHeight="1" x14ac:dyDescent="0.25">
      <c r="A1030" s="548" t="s">
        <v>522</v>
      </c>
      <c r="B1030" s="548" t="s">
        <v>591</v>
      </c>
      <c r="C1030" s="88"/>
      <c r="D1030" s="79"/>
      <c r="E1030" s="74"/>
      <c r="F1030" s="329"/>
      <c r="G1030" s="68"/>
      <c r="H1030" s="69"/>
      <c r="I1030" s="70"/>
      <c r="J1030" s="71"/>
      <c r="K1030" s="71"/>
      <c r="L1030" s="71"/>
      <c r="M1030" s="71"/>
    </row>
    <row r="1031" spans="1:13" s="72" customFormat="1" ht="17.25" customHeight="1" x14ac:dyDescent="0.25">
      <c r="A1031" s="549"/>
      <c r="B1031" s="549"/>
      <c r="C1031" s="89">
        <v>52</v>
      </c>
      <c r="D1031" s="79">
        <v>108</v>
      </c>
      <c r="E1031" s="76">
        <v>2009</v>
      </c>
      <c r="F1031" s="332">
        <f t="shared" ref="F1031:F1032" si="279">2019-E1031</f>
        <v>10</v>
      </c>
      <c r="G1031" s="68"/>
      <c r="H1031" s="69"/>
      <c r="I1031" s="70"/>
      <c r="J1031" s="71"/>
      <c r="K1031" s="71"/>
      <c r="L1031" s="71"/>
      <c r="M1031" s="71"/>
    </row>
    <row r="1032" spans="1:13" s="72" customFormat="1" x14ac:dyDescent="0.25">
      <c r="A1032" s="550"/>
      <c r="B1032" s="550"/>
      <c r="C1032" s="89">
        <v>52</v>
      </c>
      <c r="D1032" s="79">
        <v>76</v>
      </c>
      <c r="E1032" s="76">
        <v>2009</v>
      </c>
      <c r="F1032" s="332">
        <f t="shared" si="279"/>
        <v>10</v>
      </c>
      <c r="G1032" s="68"/>
      <c r="H1032" s="69"/>
      <c r="I1032" s="70"/>
      <c r="J1032" s="71"/>
      <c r="K1032" s="71"/>
      <c r="L1032" s="71"/>
      <c r="M1032" s="71"/>
    </row>
    <row r="1033" spans="1:13" s="72" customFormat="1" ht="15.75" customHeight="1" x14ac:dyDescent="0.25">
      <c r="A1033" s="548" t="s">
        <v>190</v>
      </c>
      <c r="B1033" s="548" t="s">
        <v>592</v>
      </c>
      <c r="C1033" s="88"/>
      <c r="D1033" s="79"/>
      <c r="E1033" s="74"/>
      <c r="F1033" s="329"/>
      <c r="G1033" s="68"/>
      <c r="H1033" s="69"/>
      <c r="I1033" s="70"/>
      <c r="J1033" s="71"/>
      <c r="K1033" s="71"/>
      <c r="L1033" s="71"/>
      <c r="M1033" s="71"/>
    </row>
    <row r="1034" spans="1:13" s="72" customFormat="1" ht="21" customHeight="1" x14ac:dyDescent="0.25">
      <c r="A1034" s="549"/>
      <c r="B1034" s="549"/>
      <c r="C1034" s="89">
        <v>72</v>
      </c>
      <c r="D1034" s="79">
        <v>108</v>
      </c>
      <c r="E1034" s="76">
        <v>2011</v>
      </c>
      <c r="F1034" s="332">
        <f t="shared" ref="F1034:F1035" si="280">2019-E1034</f>
        <v>8</v>
      </c>
      <c r="G1034" s="68"/>
      <c r="H1034" s="69"/>
      <c r="I1034" s="70"/>
      <c r="J1034" s="71"/>
      <c r="K1034" s="71"/>
      <c r="L1034" s="71"/>
      <c r="M1034" s="71"/>
    </row>
    <row r="1035" spans="1:13" s="72" customFormat="1" x14ac:dyDescent="0.25">
      <c r="A1035" s="550"/>
      <c r="B1035" s="550"/>
      <c r="C1035" s="89">
        <v>72</v>
      </c>
      <c r="D1035" s="79">
        <v>89</v>
      </c>
      <c r="E1035" s="76">
        <v>2011</v>
      </c>
      <c r="F1035" s="332">
        <f t="shared" si="280"/>
        <v>8</v>
      </c>
      <c r="G1035" s="68"/>
      <c r="H1035" s="69"/>
      <c r="I1035" s="70"/>
      <c r="J1035" s="71"/>
      <c r="K1035" s="71"/>
      <c r="L1035" s="71"/>
      <c r="M1035" s="71"/>
    </row>
    <row r="1036" spans="1:13" s="72" customFormat="1" ht="15.75" customHeight="1" x14ac:dyDescent="0.25">
      <c r="A1036" s="548" t="s">
        <v>449</v>
      </c>
      <c r="B1036" s="551" t="s">
        <v>593</v>
      </c>
      <c r="C1036" s="117"/>
      <c r="D1036" s="79"/>
      <c r="E1036" s="74"/>
      <c r="F1036" s="329"/>
      <c r="G1036" s="68"/>
      <c r="H1036" s="69"/>
      <c r="I1036" s="70"/>
      <c r="J1036" s="71"/>
      <c r="K1036" s="71"/>
      <c r="L1036" s="71"/>
      <c r="M1036" s="71"/>
    </row>
    <row r="1037" spans="1:13" s="72" customFormat="1" ht="21.75" customHeight="1" x14ac:dyDescent="0.25">
      <c r="A1037" s="549"/>
      <c r="B1037" s="552"/>
      <c r="C1037" s="89">
        <v>107</v>
      </c>
      <c r="D1037" s="79">
        <v>89</v>
      </c>
      <c r="E1037" s="76">
        <v>1994</v>
      </c>
      <c r="F1037" s="332">
        <f t="shared" ref="F1037:F1038" si="281">2019-E1037</f>
        <v>25</v>
      </c>
      <c r="G1037" s="68"/>
      <c r="H1037" s="69"/>
      <c r="I1037" s="70"/>
      <c r="J1037" s="71"/>
      <c r="K1037" s="71"/>
      <c r="L1037" s="71"/>
      <c r="M1037" s="71"/>
    </row>
    <row r="1038" spans="1:13" s="72" customFormat="1" x14ac:dyDescent="0.25">
      <c r="A1038" s="550"/>
      <c r="B1038" s="553"/>
      <c r="C1038" s="117">
        <v>107</v>
      </c>
      <c r="D1038" s="79">
        <v>57</v>
      </c>
      <c r="E1038" s="76">
        <v>1994</v>
      </c>
      <c r="F1038" s="332">
        <f t="shared" si="281"/>
        <v>25</v>
      </c>
      <c r="G1038" s="68"/>
      <c r="H1038" s="69"/>
      <c r="I1038" s="70"/>
      <c r="J1038" s="71"/>
      <c r="K1038" s="71"/>
      <c r="L1038" s="71"/>
      <c r="M1038" s="71"/>
    </row>
    <row r="1039" spans="1:13" s="72" customFormat="1" ht="15.75" customHeight="1" x14ac:dyDescent="0.25">
      <c r="A1039" s="548" t="s">
        <v>354</v>
      </c>
      <c r="B1039" s="548" t="s">
        <v>301</v>
      </c>
      <c r="C1039" s="120"/>
      <c r="D1039" s="79"/>
      <c r="E1039" s="74"/>
      <c r="F1039" s="329"/>
      <c r="G1039" s="68"/>
      <c r="H1039" s="69"/>
      <c r="I1039" s="70"/>
      <c r="J1039" s="71"/>
      <c r="K1039" s="71"/>
      <c r="L1039" s="71"/>
      <c r="M1039" s="71"/>
    </row>
    <row r="1040" spans="1:13" s="72" customFormat="1" ht="21.75" customHeight="1" x14ac:dyDescent="0.25">
      <c r="A1040" s="549"/>
      <c r="B1040" s="549"/>
      <c r="C1040" s="120">
        <v>78</v>
      </c>
      <c r="D1040" s="79">
        <v>108</v>
      </c>
      <c r="E1040" s="49">
        <v>1986</v>
      </c>
      <c r="F1040" s="332">
        <f t="shared" ref="F1040:F1041" si="282">2019-E1040</f>
        <v>33</v>
      </c>
      <c r="G1040" s="68"/>
      <c r="H1040" s="69"/>
      <c r="I1040" s="70"/>
      <c r="J1040" s="71"/>
      <c r="K1040" s="71"/>
      <c r="L1040" s="71"/>
      <c r="M1040" s="71"/>
    </row>
    <row r="1041" spans="1:13" s="72" customFormat="1" x14ac:dyDescent="0.25">
      <c r="A1041" s="550"/>
      <c r="B1041" s="550"/>
      <c r="C1041" s="120">
        <v>78</v>
      </c>
      <c r="D1041" s="79">
        <v>76</v>
      </c>
      <c r="E1041" s="49">
        <v>1986</v>
      </c>
      <c r="F1041" s="332">
        <f t="shared" si="282"/>
        <v>33</v>
      </c>
      <c r="G1041" s="68"/>
      <c r="H1041" s="69"/>
      <c r="I1041" s="70"/>
      <c r="J1041" s="71"/>
      <c r="K1041" s="71"/>
      <c r="L1041" s="71"/>
      <c r="M1041" s="71"/>
    </row>
    <row r="1042" spans="1:13" s="72" customFormat="1" ht="15.75" customHeight="1" x14ac:dyDescent="0.25">
      <c r="A1042" s="548" t="s">
        <v>365</v>
      </c>
      <c r="B1042" s="548" t="s">
        <v>594</v>
      </c>
      <c r="C1042" s="88"/>
      <c r="D1042" s="79"/>
      <c r="E1042" s="74"/>
      <c r="F1042" s="329"/>
      <c r="G1042" s="68"/>
      <c r="H1042" s="69"/>
      <c r="I1042" s="70"/>
      <c r="J1042" s="71"/>
      <c r="K1042" s="71"/>
      <c r="L1042" s="71"/>
      <c r="M1042" s="71"/>
    </row>
    <row r="1043" spans="1:13" s="72" customFormat="1" x14ac:dyDescent="0.25">
      <c r="A1043" s="549"/>
      <c r="B1043" s="549"/>
      <c r="C1043" s="89">
        <v>32</v>
      </c>
      <c r="D1043" s="79">
        <v>159</v>
      </c>
      <c r="E1043" s="76">
        <v>2009</v>
      </c>
      <c r="F1043" s="332">
        <f t="shared" ref="F1043:F1044" si="283">2019-E1043</f>
        <v>10</v>
      </c>
      <c r="G1043" s="68"/>
      <c r="H1043" s="69"/>
      <c r="I1043" s="70"/>
      <c r="J1043" s="71"/>
      <c r="K1043" s="71"/>
      <c r="L1043" s="71"/>
      <c r="M1043" s="71"/>
    </row>
    <row r="1044" spans="1:13" s="72" customFormat="1" x14ac:dyDescent="0.25">
      <c r="A1044" s="550"/>
      <c r="B1044" s="550"/>
      <c r="C1044" s="89">
        <v>32</v>
      </c>
      <c r="D1044" s="79">
        <v>108</v>
      </c>
      <c r="E1044" s="76">
        <v>2009</v>
      </c>
      <c r="F1044" s="332">
        <f t="shared" si="283"/>
        <v>10</v>
      </c>
      <c r="G1044" s="68"/>
      <c r="H1044" s="69"/>
      <c r="I1044" s="70"/>
      <c r="J1044" s="71"/>
      <c r="K1044" s="71"/>
      <c r="L1044" s="71"/>
      <c r="M1044" s="71"/>
    </row>
    <row r="1045" spans="1:13" s="72" customFormat="1" ht="15.75" customHeight="1" x14ac:dyDescent="0.25">
      <c r="A1045" s="548" t="s">
        <v>208</v>
      </c>
      <c r="B1045" s="548" t="s">
        <v>595</v>
      </c>
      <c r="C1045" s="120"/>
      <c r="D1045" s="79"/>
      <c r="E1045" s="74"/>
      <c r="F1045" s="329"/>
      <c r="G1045" s="68"/>
      <c r="H1045" s="69"/>
      <c r="I1045" s="70"/>
      <c r="J1045" s="71"/>
      <c r="K1045" s="71"/>
      <c r="L1045" s="71"/>
      <c r="M1045" s="71"/>
    </row>
    <row r="1046" spans="1:13" s="72" customFormat="1" ht="21" customHeight="1" x14ac:dyDescent="0.25">
      <c r="A1046" s="549"/>
      <c r="B1046" s="549"/>
      <c r="C1046" s="120">
        <v>55</v>
      </c>
      <c r="D1046" s="79">
        <v>108</v>
      </c>
      <c r="E1046" s="49">
        <v>1986</v>
      </c>
      <c r="F1046" s="332">
        <f t="shared" ref="F1046:F1047" si="284">2019-E1046</f>
        <v>33</v>
      </c>
      <c r="G1046" s="68"/>
      <c r="H1046" s="69"/>
      <c r="I1046" s="70"/>
      <c r="J1046" s="71"/>
      <c r="K1046" s="71"/>
      <c r="L1046" s="71"/>
      <c r="M1046" s="71"/>
    </row>
    <row r="1047" spans="1:13" s="72" customFormat="1" x14ac:dyDescent="0.25">
      <c r="A1047" s="550"/>
      <c r="B1047" s="550"/>
      <c r="C1047" s="120">
        <v>55</v>
      </c>
      <c r="D1047" s="79">
        <v>89</v>
      </c>
      <c r="E1047" s="49">
        <v>1986</v>
      </c>
      <c r="F1047" s="332">
        <f t="shared" si="284"/>
        <v>33</v>
      </c>
      <c r="G1047" s="68"/>
      <c r="H1047" s="69"/>
      <c r="I1047" s="70"/>
      <c r="J1047" s="71"/>
      <c r="K1047" s="71"/>
      <c r="L1047" s="71"/>
      <c r="M1047" s="71"/>
    </row>
    <row r="1048" spans="1:13" s="72" customFormat="1" ht="15.75" customHeight="1" x14ac:dyDescent="0.25">
      <c r="A1048" s="548" t="s">
        <v>337</v>
      </c>
      <c r="B1048" s="548" t="s">
        <v>596</v>
      </c>
      <c r="C1048" s="120"/>
      <c r="D1048" s="79"/>
      <c r="E1048" s="74"/>
      <c r="F1048" s="329"/>
      <c r="G1048" s="68"/>
      <c r="H1048" s="69"/>
      <c r="I1048" s="70"/>
      <c r="J1048" s="71"/>
      <c r="K1048" s="71"/>
      <c r="L1048" s="71"/>
      <c r="M1048" s="71"/>
    </row>
    <row r="1049" spans="1:13" s="72" customFormat="1" ht="21" customHeight="1" x14ac:dyDescent="0.25">
      <c r="A1049" s="549"/>
      <c r="B1049" s="549"/>
      <c r="C1049" s="89">
        <v>52</v>
      </c>
      <c r="D1049" s="79">
        <v>219</v>
      </c>
      <c r="E1049" s="76">
        <v>2011</v>
      </c>
      <c r="F1049" s="332">
        <f t="shared" ref="F1049:F1050" si="285">2019-E1049</f>
        <v>8</v>
      </c>
      <c r="G1049" s="68"/>
      <c r="H1049" s="69"/>
      <c r="I1049" s="70"/>
      <c r="J1049" s="71"/>
      <c r="K1049" s="71"/>
      <c r="L1049" s="71"/>
      <c r="M1049" s="71"/>
    </row>
    <row r="1050" spans="1:13" s="72" customFormat="1" x14ac:dyDescent="0.25">
      <c r="A1050" s="550"/>
      <c r="B1050" s="550"/>
      <c r="C1050" s="89">
        <v>52</v>
      </c>
      <c r="D1050" s="79">
        <v>159</v>
      </c>
      <c r="E1050" s="76">
        <v>2011</v>
      </c>
      <c r="F1050" s="332">
        <f t="shared" si="285"/>
        <v>8</v>
      </c>
      <c r="G1050" s="68"/>
      <c r="H1050" s="69"/>
      <c r="I1050" s="70"/>
      <c r="J1050" s="71"/>
      <c r="K1050" s="71"/>
      <c r="L1050" s="71"/>
      <c r="M1050" s="71"/>
    </row>
    <row r="1051" spans="1:13" s="72" customFormat="1" ht="15.75" customHeight="1" x14ac:dyDescent="0.25">
      <c r="A1051" s="548" t="s">
        <v>597</v>
      </c>
      <c r="B1051" s="548" t="s">
        <v>598</v>
      </c>
      <c r="C1051" s="120"/>
      <c r="D1051" s="79"/>
      <c r="E1051" s="74"/>
      <c r="F1051" s="329"/>
      <c r="G1051" s="68"/>
      <c r="H1051" s="69"/>
      <c r="I1051" s="70"/>
      <c r="J1051" s="71"/>
      <c r="K1051" s="71"/>
      <c r="L1051" s="71"/>
      <c r="M1051" s="71"/>
    </row>
    <row r="1052" spans="1:13" s="72" customFormat="1" ht="17.25" customHeight="1" x14ac:dyDescent="0.25">
      <c r="A1052" s="549"/>
      <c r="B1052" s="549"/>
      <c r="C1052" s="117">
        <v>42</v>
      </c>
      <c r="D1052" s="79">
        <v>219</v>
      </c>
      <c r="E1052" s="76">
        <v>2008</v>
      </c>
      <c r="F1052" s="332">
        <f t="shared" ref="F1052:F1053" si="286">2019-E1052</f>
        <v>11</v>
      </c>
      <c r="G1052" s="68"/>
      <c r="H1052" s="69"/>
      <c r="I1052" s="70"/>
      <c r="J1052" s="71"/>
      <c r="K1052" s="71"/>
      <c r="L1052" s="71"/>
      <c r="M1052" s="71"/>
    </row>
    <row r="1053" spans="1:13" s="72" customFormat="1" x14ac:dyDescent="0.25">
      <c r="A1053" s="550"/>
      <c r="B1053" s="550"/>
      <c r="C1053" s="117">
        <v>42</v>
      </c>
      <c r="D1053" s="79">
        <v>159</v>
      </c>
      <c r="E1053" s="76">
        <v>2008</v>
      </c>
      <c r="F1053" s="332">
        <f t="shared" si="286"/>
        <v>11</v>
      </c>
      <c r="G1053" s="68"/>
      <c r="H1053" s="69"/>
      <c r="I1053" s="70"/>
      <c r="J1053" s="71"/>
      <c r="K1053" s="71"/>
      <c r="L1053" s="71"/>
      <c r="M1053" s="71"/>
    </row>
    <row r="1054" spans="1:13" s="72" customFormat="1" ht="18.75" customHeight="1" x14ac:dyDescent="0.25">
      <c r="A1054" s="548" t="s">
        <v>205</v>
      </c>
      <c r="B1054" s="548" t="s">
        <v>569</v>
      </c>
      <c r="C1054" s="120"/>
      <c r="D1054" s="79"/>
      <c r="E1054" s="74"/>
      <c r="F1054" s="329"/>
      <c r="G1054" s="68"/>
      <c r="H1054" s="69"/>
      <c r="I1054" s="70"/>
      <c r="J1054" s="71"/>
      <c r="K1054" s="71"/>
      <c r="L1054" s="71"/>
      <c r="M1054" s="71"/>
    </row>
    <row r="1055" spans="1:13" s="72" customFormat="1" ht="23.25" customHeight="1" x14ac:dyDescent="0.25">
      <c r="A1055" s="549"/>
      <c r="B1055" s="549"/>
      <c r="C1055" s="120">
        <v>48</v>
      </c>
      <c r="D1055" s="79">
        <v>159</v>
      </c>
      <c r="E1055" s="49">
        <v>1986</v>
      </c>
      <c r="F1055" s="332">
        <f t="shared" ref="F1055:F1056" si="287">2019-E1055</f>
        <v>33</v>
      </c>
      <c r="G1055" s="68"/>
      <c r="H1055" s="69"/>
      <c r="I1055" s="70"/>
      <c r="J1055" s="71"/>
      <c r="K1055" s="71"/>
      <c r="L1055" s="71"/>
      <c r="M1055" s="71"/>
    </row>
    <row r="1056" spans="1:13" s="72" customFormat="1" ht="18.75" customHeight="1" x14ac:dyDescent="0.25">
      <c r="A1056" s="550"/>
      <c r="B1056" s="550"/>
      <c r="C1056" s="120">
        <v>48</v>
      </c>
      <c r="D1056" s="79">
        <v>108</v>
      </c>
      <c r="E1056" s="49">
        <v>1986</v>
      </c>
      <c r="F1056" s="332">
        <f t="shared" si="287"/>
        <v>33</v>
      </c>
      <c r="G1056" s="68"/>
      <c r="H1056" s="69"/>
      <c r="I1056" s="70"/>
      <c r="J1056" s="71"/>
      <c r="K1056" s="71"/>
      <c r="L1056" s="71"/>
      <c r="M1056" s="71"/>
    </row>
    <row r="1057" spans="1:13" s="72" customFormat="1" ht="17.25" customHeight="1" x14ac:dyDescent="0.25">
      <c r="A1057" s="548" t="s">
        <v>488</v>
      </c>
      <c r="B1057" s="548" t="s">
        <v>599</v>
      </c>
      <c r="C1057" s="120"/>
      <c r="D1057" s="79"/>
      <c r="E1057" s="74"/>
      <c r="F1057" s="329"/>
      <c r="G1057" s="68"/>
      <c r="H1057" s="69"/>
      <c r="I1057" s="70"/>
      <c r="J1057" s="71"/>
      <c r="K1057" s="71"/>
      <c r="L1057" s="71"/>
      <c r="M1057" s="71"/>
    </row>
    <row r="1058" spans="1:13" s="72" customFormat="1" ht="26.25" customHeight="1" x14ac:dyDescent="0.25">
      <c r="A1058" s="549"/>
      <c r="B1058" s="549"/>
      <c r="C1058" s="117">
        <v>35</v>
      </c>
      <c r="D1058" s="79">
        <v>89</v>
      </c>
      <c r="E1058" s="76">
        <v>2008</v>
      </c>
      <c r="F1058" s="332">
        <f t="shared" ref="F1058:F1059" si="288">2019-E1058</f>
        <v>11</v>
      </c>
      <c r="G1058" s="68"/>
      <c r="H1058" s="69"/>
      <c r="I1058" s="70"/>
      <c r="J1058" s="71"/>
      <c r="K1058" s="71"/>
      <c r="L1058" s="71"/>
      <c r="M1058" s="71"/>
    </row>
    <row r="1059" spans="1:13" s="72" customFormat="1" x14ac:dyDescent="0.25">
      <c r="A1059" s="550"/>
      <c r="B1059" s="550"/>
      <c r="C1059" s="117">
        <v>35</v>
      </c>
      <c r="D1059" s="79">
        <v>57</v>
      </c>
      <c r="E1059" s="76">
        <v>2008</v>
      </c>
      <c r="F1059" s="332">
        <f t="shared" si="288"/>
        <v>11</v>
      </c>
      <c r="G1059" s="68"/>
      <c r="H1059" s="69"/>
      <c r="I1059" s="70"/>
      <c r="J1059" s="71"/>
      <c r="K1059" s="71"/>
      <c r="L1059" s="71"/>
      <c r="M1059" s="71"/>
    </row>
    <row r="1060" spans="1:13" s="72" customFormat="1" ht="15.75" customHeight="1" x14ac:dyDescent="0.25">
      <c r="A1060" s="548" t="s">
        <v>190</v>
      </c>
      <c r="B1060" s="548" t="s">
        <v>600</v>
      </c>
      <c r="C1060" s="120"/>
      <c r="D1060" s="79"/>
      <c r="E1060" s="74"/>
      <c r="F1060" s="329"/>
      <c r="G1060" s="68"/>
      <c r="H1060" s="69"/>
      <c r="I1060" s="70"/>
      <c r="J1060" s="71"/>
      <c r="K1060" s="71"/>
      <c r="L1060" s="71"/>
      <c r="M1060" s="71"/>
    </row>
    <row r="1061" spans="1:13" s="72" customFormat="1" x14ac:dyDescent="0.25">
      <c r="A1061" s="549"/>
      <c r="B1061" s="549"/>
      <c r="C1061" s="120">
        <v>12</v>
      </c>
      <c r="D1061" s="79">
        <v>76</v>
      </c>
      <c r="E1061" s="49">
        <v>1986</v>
      </c>
      <c r="F1061" s="332">
        <f t="shared" ref="F1061:F1062" si="289">2019-E1061</f>
        <v>33</v>
      </c>
      <c r="G1061" s="68"/>
      <c r="H1061" s="69"/>
      <c r="I1061" s="70"/>
      <c r="J1061" s="71"/>
      <c r="K1061" s="71"/>
      <c r="L1061" s="71"/>
      <c r="M1061" s="71"/>
    </row>
    <row r="1062" spans="1:13" s="72" customFormat="1" x14ac:dyDescent="0.25">
      <c r="A1062" s="550"/>
      <c r="B1062" s="550"/>
      <c r="C1062" s="120">
        <v>12</v>
      </c>
      <c r="D1062" s="79">
        <v>57</v>
      </c>
      <c r="E1062" s="49">
        <v>1986</v>
      </c>
      <c r="F1062" s="332">
        <f t="shared" si="289"/>
        <v>33</v>
      </c>
      <c r="G1062" s="68"/>
      <c r="H1062" s="69"/>
      <c r="I1062" s="70"/>
      <c r="J1062" s="71"/>
      <c r="K1062" s="71"/>
      <c r="L1062" s="71"/>
      <c r="M1062" s="71"/>
    </row>
    <row r="1063" spans="1:13" s="72" customFormat="1" ht="19.5" customHeight="1" x14ac:dyDescent="0.25">
      <c r="A1063" s="548" t="s">
        <v>356</v>
      </c>
      <c r="B1063" s="551" t="s">
        <v>601</v>
      </c>
      <c r="C1063" s="117"/>
      <c r="D1063" s="79"/>
      <c r="E1063" s="74"/>
      <c r="F1063" s="329"/>
      <c r="G1063" s="68"/>
      <c r="H1063" s="69"/>
      <c r="I1063" s="70"/>
      <c r="J1063" s="71"/>
      <c r="K1063" s="71"/>
      <c r="L1063" s="71"/>
      <c r="M1063" s="71"/>
    </row>
    <row r="1064" spans="1:13" s="72" customFormat="1" x14ac:dyDescent="0.25">
      <c r="A1064" s="549"/>
      <c r="B1064" s="549"/>
      <c r="C1064" s="117">
        <v>56</v>
      </c>
      <c r="D1064" s="79">
        <v>159</v>
      </c>
      <c r="E1064" s="76">
        <v>2008</v>
      </c>
      <c r="F1064" s="332">
        <f t="shared" ref="F1064:F1065" si="290">2019-E1064</f>
        <v>11</v>
      </c>
      <c r="G1064" s="68"/>
      <c r="H1064" s="69"/>
      <c r="I1064" s="70"/>
      <c r="J1064" s="71"/>
      <c r="K1064" s="71"/>
      <c r="L1064" s="71"/>
      <c r="M1064" s="71"/>
    </row>
    <row r="1065" spans="1:13" s="72" customFormat="1" x14ac:dyDescent="0.25">
      <c r="A1065" s="550"/>
      <c r="B1065" s="550"/>
      <c r="C1065" s="117">
        <v>56</v>
      </c>
      <c r="D1065" s="79">
        <v>108</v>
      </c>
      <c r="E1065" s="76">
        <v>2008</v>
      </c>
      <c r="F1065" s="332">
        <f t="shared" si="290"/>
        <v>11</v>
      </c>
      <c r="G1065" s="68"/>
      <c r="H1065" s="69"/>
      <c r="I1065" s="70"/>
      <c r="J1065" s="71"/>
      <c r="K1065" s="71"/>
      <c r="L1065" s="71"/>
      <c r="M1065" s="71"/>
    </row>
    <row r="1066" spans="1:13" s="72" customFormat="1" ht="24" customHeight="1" x14ac:dyDescent="0.25">
      <c r="A1066" s="534" t="s">
        <v>461</v>
      </c>
      <c r="B1066" s="534" t="s">
        <v>602</v>
      </c>
      <c r="C1066" s="120"/>
      <c r="D1066" s="79"/>
      <c r="E1066" s="74"/>
      <c r="F1066" s="329"/>
      <c r="G1066" s="68"/>
      <c r="H1066" s="69"/>
      <c r="I1066" s="70"/>
      <c r="J1066" s="71"/>
      <c r="K1066" s="71"/>
      <c r="L1066" s="71"/>
      <c r="M1066" s="71"/>
    </row>
    <row r="1067" spans="1:13" s="72" customFormat="1" x14ac:dyDescent="0.25">
      <c r="A1067" s="536"/>
      <c r="B1067" s="536"/>
      <c r="C1067" s="117">
        <v>85.4</v>
      </c>
      <c r="D1067" s="79">
        <v>89</v>
      </c>
      <c r="E1067" s="76">
        <v>2007</v>
      </c>
      <c r="F1067" s="332">
        <f t="shared" ref="F1067:F1068" si="291">2019-E1067</f>
        <v>12</v>
      </c>
      <c r="G1067" s="68"/>
      <c r="H1067" s="69"/>
      <c r="I1067" s="70"/>
      <c r="J1067" s="71"/>
      <c r="K1067" s="71"/>
      <c r="L1067" s="71"/>
      <c r="M1067" s="71"/>
    </row>
    <row r="1068" spans="1:13" s="72" customFormat="1" x14ac:dyDescent="0.25">
      <c r="A1068" s="535"/>
      <c r="B1068" s="535"/>
      <c r="C1068" s="117">
        <v>85.4</v>
      </c>
      <c r="D1068" s="79">
        <v>57</v>
      </c>
      <c r="E1068" s="87">
        <v>2007</v>
      </c>
      <c r="F1068" s="332">
        <f t="shared" si="291"/>
        <v>12</v>
      </c>
      <c r="G1068" s="68"/>
      <c r="H1068" s="69"/>
      <c r="I1068" s="70"/>
      <c r="J1068" s="71"/>
      <c r="K1068" s="71"/>
      <c r="L1068" s="71"/>
      <c r="M1068" s="71"/>
    </row>
    <row r="1069" spans="1:13" s="72" customFormat="1" ht="15.75" customHeight="1" x14ac:dyDescent="0.25">
      <c r="A1069" s="534" t="s">
        <v>276</v>
      </c>
      <c r="B1069" s="532" t="s">
        <v>603</v>
      </c>
      <c r="C1069" s="78"/>
      <c r="D1069" s="109"/>
      <c r="E1069" s="74"/>
      <c r="F1069" s="329"/>
      <c r="G1069" s="68"/>
      <c r="H1069" s="69"/>
      <c r="I1069" s="70"/>
      <c r="J1069" s="71"/>
      <c r="K1069" s="71"/>
      <c r="L1069" s="71"/>
      <c r="M1069" s="71"/>
    </row>
    <row r="1070" spans="1:13" s="72" customFormat="1" ht="20.25" customHeight="1" x14ac:dyDescent="0.25">
      <c r="A1070" s="536"/>
      <c r="B1070" s="540"/>
      <c r="C1070" s="78">
        <v>18</v>
      </c>
      <c r="D1070" s="109">
        <v>108</v>
      </c>
      <c r="E1070" s="49">
        <v>1998</v>
      </c>
      <c r="F1070" s="332">
        <f t="shared" ref="F1070:F1071" si="292">2019-E1070</f>
        <v>21</v>
      </c>
      <c r="G1070" s="68"/>
      <c r="H1070" s="69"/>
      <c r="I1070" s="70"/>
      <c r="J1070" s="71"/>
      <c r="K1070" s="71"/>
      <c r="L1070" s="71"/>
      <c r="M1070" s="71"/>
    </row>
    <row r="1071" spans="1:13" s="72" customFormat="1" x14ac:dyDescent="0.25">
      <c r="A1071" s="535"/>
      <c r="B1071" s="533"/>
      <c r="C1071" s="78">
        <v>18</v>
      </c>
      <c r="D1071" s="109">
        <v>76</v>
      </c>
      <c r="E1071" s="49">
        <v>1998</v>
      </c>
      <c r="F1071" s="332">
        <f t="shared" si="292"/>
        <v>21</v>
      </c>
      <c r="G1071" s="68"/>
      <c r="H1071" s="69"/>
      <c r="I1071" s="70"/>
      <c r="J1071" s="71"/>
      <c r="K1071" s="71"/>
      <c r="L1071" s="71"/>
      <c r="M1071" s="71"/>
    </row>
    <row r="1072" spans="1:13" s="72" customFormat="1" ht="15.75" customHeight="1" x14ac:dyDescent="0.25">
      <c r="A1072" s="525" t="s">
        <v>604</v>
      </c>
      <c r="B1072" s="532" t="s">
        <v>605</v>
      </c>
      <c r="C1072" s="78"/>
      <c r="D1072" s="109"/>
      <c r="E1072" s="74"/>
      <c r="F1072" s="329"/>
      <c r="G1072" s="68"/>
      <c r="H1072" s="69"/>
      <c r="I1072" s="70"/>
      <c r="J1072" s="71"/>
      <c r="K1072" s="71"/>
      <c r="L1072" s="71"/>
      <c r="M1072" s="71"/>
    </row>
    <row r="1073" spans="1:13" s="72" customFormat="1" x14ac:dyDescent="0.25">
      <c r="A1073" s="531"/>
      <c r="B1073" s="540"/>
      <c r="C1073" s="78">
        <v>94</v>
      </c>
      <c r="D1073" s="109">
        <v>108</v>
      </c>
      <c r="E1073" s="49">
        <v>1998</v>
      </c>
      <c r="F1073" s="332">
        <f t="shared" ref="F1073:F1074" si="293">2019-E1073</f>
        <v>21</v>
      </c>
      <c r="G1073" s="68"/>
      <c r="H1073" s="69"/>
      <c r="I1073" s="70"/>
      <c r="J1073" s="71"/>
      <c r="K1073" s="71"/>
      <c r="L1073" s="71"/>
      <c r="M1073" s="71"/>
    </row>
    <row r="1074" spans="1:13" s="72" customFormat="1" x14ac:dyDescent="0.25">
      <c r="A1074" s="526"/>
      <c r="B1074" s="533"/>
      <c r="C1074" s="78">
        <v>94</v>
      </c>
      <c r="D1074" s="109">
        <v>76</v>
      </c>
      <c r="E1074" s="49">
        <v>1998</v>
      </c>
      <c r="F1074" s="332">
        <f t="shared" si="293"/>
        <v>21</v>
      </c>
      <c r="G1074" s="68"/>
      <c r="H1074" s="69"/>
      <c r="I1074" s="70"/>
      <c r="J1074" s="71"/>
      <c r="K1074" s="71"/>
      <c r="L1074" s="71"/>
      <c r="M1074" s="71"/>
    </row>
    <row r="1075" spans="1:13" s="72" customFormat="1" ht="22.5" customHeight="1" x14ac:dyDescent="0.25">
      <c r="A1075" s="525" t="s">
        <v>606</v>
      </c>
      <c r="B1075" s="525" t="s">
        <v>607</v>
      </c>
      <c r="C1075" s="78"/>
      <c r="D1075" s="109"/>
      <c r="E1075" s="74"/>
      <c r="F1075" s="329"/>
      <c r="G1075" s="68"/>
      <c r="H1075" s="69"/>
      <c r="I1075" s="70"/>
      <c r="J1075" s="71"/>
      <c r="K1075" s="71"/>
      <c r="L1075" s="71"/>
      <c r="M1075" s="71"/>
    </row>
    <row r="1076" spans="1:13" s="72" customFormat="1" x14ac:dyDescent="0.25">
      <c r="A1076" s="531"/>
      <c r="B1076" s="531"/>
      <c r="C1076" s="78">
        <v>55</v>
      </c>
      <c r="D1076" s="109">
        <v>89</v>
      </c>
      <c r="E1076" s="49">
        <v>2005</v>
      </c>
      <c r="F1076" s="332">
        <f t="shared" ref="F1076:F1077" si="294">2019-E1076</f>
        <v>14</v>
      </c>
      <c r="G1076" s="68"/>
      <c r="H1076" s="69"/>
      <c r="I1076" s="70"/>
      <c r="J1076" s="71"/>
      <c r="K1076" s="71"/>
      <c r="L1076" s="71"/>
      <c r="M1076" s="71"/>
    </row>
    <row r="1077" spans="1:13" s="72" customFormat="1" x14ac:dyDescent="0.25">
      <c r="A1077" s="526"/>
      <c r="B1077" s="526"/>
      <c r="C1077" s="78">
        <v>55</v>
      </c>
      <c r="D1077" s="109">
        <v>89</v>
      </c>
      <c r="E1077" s="49">
        <v>2005</v>
      </c>
      <c r="F1077" s="332">
        <f t="shared" si="294"/>
        <v>14</v>
      </c>
      <c r="G1077" s="68"/>
      <c r="H1077" s="69"/>
      <c r="I1077" s="70"/>
      <c r="J1077" s="71"/>
      <c r="K1077" s="71"/>
      <c r="L1077" s="71"/>
      <c r="M1077" s="71"/>
    </row>
    <row r="1078" spans="1:13" s="72" customFormat="1" ht="19.5" customHeight="1" x14ac:dyDescent="0.25">
      <c r="A1078" s="534" t="s">
        <v>606</v>
      </c>
      <c r="B1078" s="541" t="s">
        <v>608</v>
      </c>
      <c r="C1078" s="55"/>
      <c r="D1078" s="109"/>
      <c r="E1078" s="74"/>
      <c r="F1078" s="329"/>
      <c r="G1078" s="68"/>
      <c r="H1078" s="69"/>
      <c r="I1078" s="70"/>
      <c r="J1078" s="71"/>
      <c r="K1078" s="71"/>
      <c r="L1078" s="71"/>
      <c r="M1078" s="71"/>
    </row>
    <row r="1079" spans="1:13" s="72" customFormat="1" x14ac:dyDescent="0.25">
      <c r="A1079" s="536"/>
      <c r="B1079" s="542"/>
      <c r="C1079" s="55">
        <v>9.5</v>
      </c>
      <c r="D1079" s="109">
        <v>89</v>
      </c>
      <c r="E1079" s="49">
        <v>1998</v>
      </c>
      <c r="F1079" s="332">
        <f t="shared" ref="F1079:F1080" si="295">2019-E1079</f>
        <v>21</v>
      </c>
      <c r="G1079" s="68"/>
      <c r="H1079" s="69"/>
      <c r="I1079" s="70"/>
      <c r="J1079" s="71"/>
      <c r="K1079" s="71"/>
      <c r="L1079" s="71"/>
      <c r="M1079" s="71"/>
    </row>
    <row r="1080" spans="1:13" s="72" customFormat="1" x14ac:dyDescent="0.25">
      <c r="A1080" s="535"/>
      <c r="B1080" s="543"/>
      <c r="C1080" s="55">
        <v>9.5</v>
      </c>
      <c r="D1080" s="109">
        <v>89</v>
      </c>
      <c r="E1080" s="76">
        <v>1998</v>
      </c>
      <c r="F1080" s="332">
        <f t="shared" si="295"/>
        <v>21</v>
      </c>
      <c r="G1080" s="68"/>
      <c r="H1080" s="69"/>
      <c r="I1080" s="70"/>
      <c r="J1080" s="71"/>
      <c r="K1080" s="71"/>
      <c r="L1080" s="71"/>
      <c r="M1080" s="71"/>
    </row>
    <row r="1081" spans="1:13" s="72" customFormat="1" ht="15.75" customHeight="1" x14ac:dyDescent="0.25">
      <c r="A1081" s="534" t="s">
        <v>422</v>
      </c>
      <c r="B1081" s="525" t="s">
        <v>609</v>
      </c>
      <c r="C1081" s="119"/>
      <c r="D1081" s="109"/>
      <c r="E1081" s="74"/>
      <c r="F1081" s="329"/>
      <c r="G1081" s="68"/>
      <c r="H1081" s="69"/>
      <c r="I1081" s="70"/>
      <c r="J1081" s="71"/>
      <c r="K1081" s="71"/>
      <c r="L1081" s="71"/>
      <c r="M1081" s="71"/>
    </row>
    <row r="1082" spans="1:13" s="72" customFormat="1" ht="23.25" customHeight="1" x14ac:dyDescent="0.25">
      <c r="A1082" s="536"/>
      <c r="B1082" s="531"/>
      <c r="C1082" s="119">
        <v>24</v>
      </c>
      <c r="D1082" s="109">
        <v>108</v>
      </c>
      <c r="E1082" s="83">
        <v>1988</v>
      </c>
      <c r="F1082" s="332">
        <f t="shared" ref="F1082:F1083" si="296">2019-E1082</f>
        <v>31</v>
      </c>
      <c r="G1082" s="68"/>
      <c r="H1082" s="69"/>
      <c r="I1082" s="70"/>
      <c r="J1082" s="71"/>
      <c r="K1082" s="71"/>
      <c r="L1082" s="71"/>
      <c r="M1082" s="71"/>
    </row>
    <row r="1083" spans="1:13" s="72" customFormat="1" x14ac:dyDescent="0.25">
      <c r="A1083" s="535"/>
      <c r="B1083" s="526"/>
      <c r="C1083" s="119">
        <v>24</v>
      </c>
      <c r="D1083" s="109">
        <v>57</v>
      </c>
      <c r="E1083" s="83">
        <v>1988</v>
      </c>
      <c r="F1083" s="332">
        <f t="shared" si="296"/>
        <v>31</v>
      </c>
      <c r="G1083" s="68"/>
      <c r="H1083" s="69"/>
      <c r="I1083" s="70"/>
      <c r="J1083" s="71"/>
      <c r="K1083" s="71"/>
      <c r="L1083" s="71"/>
      <c r="M1083" s="71"/>
    </row>
    <row r="1084" spans="1:13" s="72" customFormat="1" ht="15.75" customHeight="1" x14ac:dyDescent="0.25">
      <c r="A1084" s="525" t="s">
        <v>250</v>
      </c>
      <c r="B1084" s="525" t="s">
        <v>610</v>
      </c>
      <c r="C1084" s="119"/>
      <c r="D1084" s="109"/>
      <c r="E1084" s="74"/>
      <c r="F1084" s="329"/>
      <c r="G1084" s="68"/>
      <c r="H1084" s="69"/>
      <c r="I1084" s="70"/>
      <c r="J1084" s="71"/>
      <c r="K1084" s="71"/>
      <c r="L1084" s="71"/>
      <c r="M1084" s="71"/>
    </row>
    <row r="1085" spans="1:13" s="72" customFormat="1" x14ac:dyDescent="0.25">
      <c r="A1085" s="531"/>
      <c r="B1085" s="531"/>
      <c r="C1085" s="119">
        <v>65</v>
      </c>
      <c r="D1085" s="109">
        <v>89</v>
      </c>
      <c r="E1085" s="49">
        <v>1987</v>
      </c>
      <c r="F1085" s="332">
        <f t="shared" ref="F1085:F1086" si="297">2019-E1085</f>
        <v>32</v>
      </c>
      <c r="G1085" s="68"/>
      <c r="H1085" s="69"/>
      <c r="I1085" s="70"/>
      <c r="J1085" s="71"/>
      <c r="K1085" s="71"/>
      <c r="L1085" s="71"/>
      <c r="M1085" s="71"/>
    </row>
    <row r="1086" spans="1:13" s="72" customFormat="1" x14ac:dyDescent="0.25">
      <c r="A1086" s="526"/>
      <c r="B1086" s="526"/>
      <c r="C1086" s="119">
        <v>65</v>
      </c>
      <c r="D1086" s="109">
        <v>57</v>
      </c>
      <c r="E1086" s="49">
        <v>1987</v>
      </c>
      <c r="F1086" s="332">
        <f t="shared" si="297"/>
        <v>32</v>
      </c>
      <c r="G1086" s="68"/>
      <c r="H1086" s="69"/>
      <c r="I1086" s="70"/>
      <c r="J1086" s="71"/>
      <c r="K1086" s="71"/>
      <c r="L1086" s="71"/>
      <c r="M1086" s="71"/>
    </row>
    <row r="1087" spans="1:13" s="72" customFormat="1" ht="15.75" customHeight="1" x14ac:dyDescent="0.25">
      <c r="A1087" s="525" t="s">
        <v>253</v>
      </c>
      <c r="B1087" s="525" t="s">
        <v>367</v>
      </c>
      <c r="C1087" s="119"/>
      <c r="D1087" s="109"/>
      <c r="E1087" s="74"/>
      <c r="F1087" s="329"/>
      <c r="G1087" s="68"/>
      <c r="H1087" s="69"/>
      <c r="I1087" s="70"/>
      <c r="J1087" s="71"/>
      <c r="K1087" s="71"/>
      <c r="L1087" s="71"/>
      <c r="M1087" s="71"/>
    </row>
    <row r="1088" spans="1:13" s="72" customFormat="1" ht="19.5" customHeight="1" x14ac:dyDescent="0.25">
      <c r="A1088" s="531"/>
      <c r="B1088" s="531"/>
      <c r="C1088" s="119">
        <v>104</v>
      </c>
      <c r="D1088" s="109">
        <v>108</v>
      </c>
      <c r="E1088" s="49">
        <v>1985</v>
      </c>
      <c r="F1088" s="332">
        <f t="shared" ref="F1088:F1089" si="298">2019-E1088</f>
        <v>34</v>
      </c>
      <c r="G1088" s="68"/>
      <c r="H1088" s="69"/>
      <c r="I1088" s="70"/>
      <c r="J1088" s="71"/>
      <c r="K1088" s="71"/>
      <c r="L1088" s="71"/>
      <c r="M1088" s="71"/>
    </row>
    <row r="1089" spans="1:13" s="72" customFormat="1" x14ac:dyDescent="0.25">
      <c r="A1089" s="526"/>
      <c r="B1089" s="526"/>
      <c r="C1089" s="119">
        <v>104</v>
      </c>
      <c r="D1089" s="109">
        <v>89</v>
      </c>
      <c r="E1089" s="49">
        <v>1985</v>
      </c>
      <c r="F1089" s="332">
        <f t="shared" si="298"/>
        <v>34</v>
      </c>
      <c r="G1089" s="68"/>
      <c r="H1089" s="69"/>
      <c r="I1089" s="70"/>
      <c r="J1089" s="71"/>
      <c r="K1089" s="71"/>
      <c r="L1089" s="71"/>
      <c r="M1089" s="71"/>
    </row>
    <row r="1090" spans="1:13" s="72" customFormat="1" ht="15.75" customHeight="1" x14ac:dyDescent="0.25">
      <c r="A1090" s="525" t="s">
        <v>422</v>
      </c>
      <c r="B1090" s="525" t="s">
        <v>611</v>
      </c>
      <c r="C1090" s="119"/>
      <c r="D1090" s="109"/>
      <c r="E1090" s="74"/>
      <c r="F1090" s="329"/>
      <c r="G1090" s="68"/>
      <c r="H1090" s="69"/>
      <c r="I1090" s="70"/>
      <c r="J1090" s="71"/>
      <c r="K1090" s="71"/>
      <c r="L1090" s="71"/>
      <c r="M1090" s="71"/>
    </row>
    <row r="1091" spans="1:13" s="72" customFormat="1" ht="23.25" customHeight="1" x14ac:dyDescent="0.25">
      <c r="A1091" s="531"/>
      <c r="B1091" s="531"/>
      <c r="C1091" s="119">
        <v>115</v>
      </c>
      <c r="D1091" s="109">
        <v>108</v>
      </c>
      <c r="E1091" s="49">
        <v>1985</v>
      </c>
      <c r="F1091" s="332">
        <f t="shared" ref="F1091:F1092" si="299">2019-E1091</f>
        <v>34</v>
      </c>
      <c r="G1091" s="68"/>
      <c r="H1091" s="69"/>
      <c r="I1091" s="70"/>
      <c r="J1091" s="71"/>
      <c r="K1091" s="71"/>
      <c r="L1091" s="71"/>
      <c r="M1091" s="71"/>
    </row>
    <row r="1092" spans="1:13" s="72" customFormat="1" x14ac:dyDescent="0.25">
      <c r="A1092" s="526"/>
      <c r="B1092" s="526"/>
      <c r="C1092" s="119">
        <v>115</v>
      </c>
      <c r="D1092" s="109">
        <v>76</v>
      </c>
      <c r="E1092" s="49">
        <v>1985</v>
      </c>
      <c r="F1092" s="332">
        <f t="shared" si="299"/>
        <v>34</v>
      </c>
      <c r="G1092" s="68"/>
      <c r="H1092" s="69"/>
      <c r="I1092" s="70"/>
      <c r="J1092" s="71"/>
      <c r="K1092" s="71"/>
      <c r="L1092" s="71"/>
      <c r="M1092" s="71"/>
    </row>
    <row r="1093" spans="1:13" s="72" customFormat="1" ht="15.75" customHeight="1" x14ac:dyDescent="0.25">
      <c r="A1093" s="525" t="s">
        <v>498</v>
      </c>
      <c r="B1093" s="525" t="s">
        <v>612</v>
      </c>
      <c r="C1093" s="119"/>
      <c r="D1093" s="109"/>
      <c r="E1093" s="74"/>
      <c r="F1093" s="329"/>
      <c r="G1093" s="68"/>
      <c r="H1093" s="69"/>
      <c r="I1093" s="70"/>
      <c r="J1093" s="71"/>
      <c r="K1093" s="71"/>
      <c r="L1093" s="71"/>
      <c r="M1093" s="71"/>
    </row>
    <row r="1094" spans="1:13" s="72" customFormat="1" ht="20.25" customHeight="1" x14ac:dyDescent="0.25">
      <c r="A1094" s="531"/>
      <c r="B1094" s="531"/>
      <c r="C1094" s="119">
        <v>115</v>
      </c>
      <c r="D1094" s="109">
        <v>159</v>
      </c>
      <c r="E1094" s="49">
        <v>1985</v>
      </c>
      <c r="F1094" s="332">
        <f t="shared" ref="F1094:F1095" si="300">2019-E1094</f>
        <v>34</v>
      </c>
      <c r="G1094" s="68"/>
      <c r="H1094" s="69"/>
      <c r="I1094" s="70"/>
      <c r="J1094" s="71"/>
      <c r="K1094" s="71"/>
      <c r="L1094" s="71"/>
      <c r="M1094" s="71"/>
    </row>
    <row r="1095" spans="1:13" s="72" customFormat="1" x14ac:dyDescent="0.25">
      <c r="A1095" s="526"/>
      <c r="B1095" s="526"/>
      <c r="C1095" s="119">
        <v>115</v>
      </c>
      <c r="D1095" s="109">
        <v>108</v>
      </c>
      <c r="E1095" s="49">
        <v>1985</v>
      </c>
      <c r="F1095" s="332">
        <f t="shared" si="300"/>
        <v>34</v>
      </c>
      <c r="G1095" s="68"/>
      <c r="H1095" s="69"/>
      <c r="I1095" s="70"/>
      <c r="J1095" s="71"/>
      <c r="K1095" s="71"/>
      <c r="L1095" s="71"/>
      <c r="M1095" s="71"/>
    </row>
    <row r="1096" spans="1:13" s="72" customFormat="1" ht="15.75" customHeight="1" x14ac:dyDescent="0.25">
      <c r="A1096" s="525" t="s">
        <v>271</v>
      </c>
      <c r="B1096" s="525" t="s">
        <v>613</v>
      </c>
      <c r="C1096" s="119"/>
      <c r="D1096" s="109"/>
      <c r="E1096" s="74"/>
      <c r="F1096" s="329"/>
      <c r="G1096" s="68"/>
      <c r="H1096" s="69"/>
      <c r="I1096" s="70"/>
      <c r="J1096" s="71"/>
      <c r="K1096" s="71"/>
      <c r="L1096" s="71"/>
      <c r="M1096" s="71"/>
    </row>
    <row r="1097" spans="1:13" s="72" customFormat="1" ht="22.5" customHeight="1" x14ac:dyDescent="0.25">
      <c r="A1097" s="531"/>
      <c r="B1097" s="531"/>
      <c r="C1097" s="119">
        <v>28</v>
      </c>
      <c r="D1097" s="109">
        <v>89</v>
      </c>
      <c r="E1097" s="49">
        <v>1985</v>
      </c>
      <c r="F1097" s="332">
        <f t="shared" ref="F1097:F1098" si="301">2019-E1097</f>
        <v>34</v>
      </c>
      <c r="G1097" s="68"/>
      <c r="H1097" s="69"/>
      <c r="I1097" s="70"/>
      <c r="J1097" s="71"/>
      <c r="K1097" s="71"/>
      <c r="L1097" s="71"/>
      <c r="M1097" s="71"/>
    </row>
    <row r="1098" spans="1:13" s="72" customFormat="1" x14ac:dyDescent="0.25">
      <c r="A1098" s="526"/>
      <c r="B1098" s="526"/>
      <c r="C1098" s="119">
        <v>28</v>
      </c>
      <c r="D1098" s="109">
        <v>57</v>
      </c>
      <c r="E1098" s="49">
        <v>1985</v>
      </c>
      <c r="F1098" s="332">
        <f t="shared" si="301"/>
        <v>34</v>
      </c>
      <c r="G1098" s="68"/>
      <c r="H1098" s="69"/>
      <c r="I1098" s="70"/>
      <c r="J1098" s="71"/>
      <c r="K1098" s="71"/>
      <c r="L1098" s="71"/>
      <c r="M1098" s="71"/>
    </row>
    <row r="1099" spans="1:13" s="72" customFormat="1" ht="15.75" customHeight="1" x14ac:dyDescent="0.25">
      <c r="A1099" s="525" t="s">
        <v>614</v>
      </c>
      <c r="B1099" s="525" t="s">
        <v>615</v>
      </c>
      <c r="C1099" s="119"/>
      <c r="D1099" s="109"/>
      <c r="E1099" s="74"/>
      <c r="F1099" s="329"/>
      <c r="G1099" s="68"/>
      <c r="H1099" s="69"/>
      <c r="I1099" s="70"/>
      <c r="J1099" s="71"/>
      <c r="K1099" s="71"/>
      <c r="L1099" s="71"/>
      <c r="M1099" s="71"/>
    </row>
    <row r="1100" spans="1:13" s="72" customFormat="1" x14ac:dyDescent="0.25">
      <c r="A1100" s="531"/>
      <c r="B1100" s="531"/>
      <c r="C1100" s="119">
        <v>48</v>
      </c>
      <c r="D1100" s="109">
        <v>76</v>
      </c>
      <c r="E1100" s="49">
        <v>1985</v>
      </c>
      <c r="F1100" s="332">
        <f t="shared" ref="F1100:F1101" si="302">2019-E1100</f>
        <v>34</v>
      </c>
      <c r="G1100" s="68"/>
      <c r="H1100" s="69"/>
      <c r="I1100" s="70"/>
      <c r="J1100" s="71"/>
      <c r="K1100" s="71"/>
      <c r="L1100" s="71"/>
      <c r="M1100" s="71"/>
    </row>
    <row r="1101" spans="1:13" s="72" customFormat="1" x14ac:dyDescent="0.25">
      <c r="A1101" s="526"/>
      <c r="B1101" s="526"/>
      <c r="C1101" s="119">
        <v>48</v>
      </c>
      <c r="D1101" s="109">
        <v>57</v>
      </c>
      <c r="E1101" s="49">
        <v>1985</v>
      </c>
      <c r="F1101" s="332">
        <f t="shared" si="302"/>
        <v>34</v>
      </c>
      <c r="G1101" s="68"/>
      <c r="H1101" s="69"/>
      <c r="I1101" s="70"/>
      <c r="J1101" s="71"/>
      <c r="K1101" s="71"/>
      <c r="L1101" s="71"/>
      <c r="M1101" s="71"/>
    </row>
    <row r="1102" spans="1:13" s="72" customFormat="1" ht="15.75" customHeight="1" x14ac:dyDescent="0.25">
      <c r="A1102" s="525" t="s">
        <v>193</v>
      </c>
      <c r="B1102" s="525" t="s">
        <v>391</v>
      </c>
      <c r="C1102" s="119"/>
      <c r="D1102" s="109"/>
      <c r="E1102" s="74"/>
      <c r="F1102" s="329"/>
      <c r="G1102" s="68"/>
      <c r="H1102" s="69"/>
      <c r="I1102" s="70"/>
      <c r="J1102" s="71"/>
      <c r="K1102" s="71"/>
      <c r="L1102" s="71"/>
      <c r="M1102" s="71"/>
    </row>
    <row r="1103" spans="1:13" s="72" customFormat="1" x14ac:dyDescent="0.25">
      <c r="A1103" s="531"/>
      <c r="B1103" s="531"/>
      <c r="C1103" s="119">
        <v>5.9</v>
      </c>
      <c r="D1103" s="109">
        <v>219</v>
      </c>
      <c r="E1103" s="49">
        <v>1985</v>
      </c>
      <c r="F1103" s="332">
        <f t="shared" ref="F1103:F1104" si="303">2019-E1103</f>
        <v>34</v>
      </c>
      <c r="G1103" s="68"/>
      <c r="H1103" s="69"/>
      <c r="I1103" s="70"/>
      <c r="J1103" s="71"/>
      <c r="K1103" s="71"/>
      <c r="L1103" s="71"/>
      <c r="M1103" s="71"/>
    </row>
    <row r="1104" spans="1:13" s="72" customFormat="1" x14ac:dyDescent="0.25">
      <c r="A1104" s="526"/>
      <c r="B1104" s="526"/>
      <c r="C1104" s="119">
        <v>5.9</v>
      </c>
      <c r="D1104" s="109">
        <v>133</v>
      </c>
      <c r="E1104" s="49">
        <v>1985</v>
      </c>
      <c r="F1104" s="332">
        <f t="shared" si="303"/>
        <v>34</v>
      </c>
      <c r="G1104" s="68"/>
      <c r="H1104" s="69"/>
      <c r="I1104" s="70"/>
      <c r="J1104" s="71"/>
      <c r="K1104" s="71"/>
      <c r="L1104" s="71"/>
      <c r="M1104" s="71"/>
    </row>
    <row r="1105" spans="1:13" s="72" customFormat="1" ht="21" customHeight="1" x14ac:dyDescent="0.25">
      <c r="A1105" s="534" t="s">
        <v>616</v>
      </c>
      <c r="B1105" s="534" t="s">
        <v>617</v>
      </c>
      <c r="C1105" s="119"/>
      <c r="D1105" s="109"/>
      <c r="E1105" s="74"/>
      <c r="F1105" s="329"/>
      <c r="G1105" s="68"/>
      <c r="H1105" s="69"/>
      <c r="I1105" s="70"/>
      <c r="J1105" s="71"/>
      <c r="K1105" s="71"/>
      <c r="L1105" s="71"/>
      <c r="M1105" s="71"/>
    </row>
    <row r="1106" spans="1:13" s="72" customFormat="1" x14ac:dyDescent="0.25">
      <c r="A1106" s="536"/>
      <c r="B1106" s="536"/>
      <c r="C1106" s="119">
        <v>72</v>
      </c>
      <c r="D1106" s="109">
        <v>89</v>
      </c>
      <c r="E1106" s="49">
        <v>1985</v>
      </c>
      <c r="F1106" s="332">
        <f t="shared" ref="F1106:F1107" si="304">2019-E1106</f>
        <v>34</v>
      </c>
      <c r="G1106" s="68"/>
      <c r="H1106" s="69"/>
      <c r="I1106" s="70"/>
      <c r="J1106" s="71"/>
      <c r="K1106" s="71"/>
      <c r="L1106" s="71"/>
      <c r="M1106" s="71"/>
    </row>
    <row r="1107" spans="1:13" s="72" customFormat="1" x14ac:dyDescent="0.25">
      <c r="A1107" s="535"/>
      <c r="B1107" s="535"/>
      <c r="C1107" s="119">
        <v>72</v>
      </c>
      <c r="D1107" s="109">
        <v>76</v>
      </c>
      <c r="E1107" s="49">
        <v>1985</v>
      </c>
      <c r="F1107" s="332">
        <f t="shared" si="304"/>
        <v>34</v>
      </c>
      <c r="G1107" s="68"/>
      <c r="H1107" s="69"/>
      <c r="I1107" s="70"/>
      <c r="J1107" s="71"/>
      <c r="K1107" s="71"/>
      <c r="L1107" s="71"/>
      <c r="M1107" s="71"/>
    </row>
    <row r="1108" spans="1:13" s="72" customFormat="1" ht="15.75" customHeight="1" x14ac:dyDescent="0.25">
      <c r="A1108" s="534" t="s">
        <v>195</v>
      </c>
      <c r="B1108" s="525" t="s">
        <v>355</v>
      </c>
      <c r="C1108" s="119"/>
      <c r="D1108" s="109"/>
      <c r="E1108" s="74"/>
      <c r="F1108" s="329"/>
      <c r="G1108" s="68"/>
      <c r="H1108" s="69"/>
      <c r="I1108" s="70"/>
      <c r="J1108" s="71"/>
      <c r="K1108" s="71"/>
      <c r="L1108" s="71"/>
      <c r="M1108" s="71"/>
    </row>
    <row r="1109" spans="1:13" s="72" customFormat="1" ht="21" customHeight="1" x14ac:dyDescent="0.25">
      <c r="A1109" s="536"/>
      <c r="B1109" s="531"/>
      <c r="C1109" s="119">
        <v>83</v>
      </c>
      <c r="D1109" s="109">
        <v>108</v>
      </c>
      <c r="E1109" s="49">
        <v>1987</v>
      </c>
      <c r="F1109" s="332">
        <f t="shared" ref="F1109:F1110" si="305">2019-E1109</f>
        <v>32</v>
      </c>
      <c r="G1109" s="68"/>
      <c r="H1109" s="69"/>
      <c r="I1109" s="70"/>
      <c r="J1109" s="71"/>
      <c r="K1109" s="71"/>
      <c r="L1109" s="71"/>
      <c r="M1109" s="71"/>
    </row>
    <row r="1110" spans="1:13" s="72" customFormat="1" x14ac:dyDescent="0.25">
      <c r="A1110" s="535"/>
      <c r="B1110" s="526"/>
      <c r="C1110" s="119">
        <v>83</v>
      </c>
      <c r="D1110" s="109">
        <v>57</v>
      </c>
      <c r="E1110" s="49">
        <v>1987</v>
      </c>
      <c r="F1110" s="332">
        <f t="shared" si="305"/>
        <v>32</v>
      </c>
      <c r="G1110" s="68"/>
      <c r="H1110" s="69"/>
      <c r="I1110" s="70"/>
      <c r="J1110" s="71"/>
      <c r="K1110" s="71"/>
      <c r="L1110" s="71"/>
      <c r="M1110" s="71"/>
    </row>
    <row r="1111" spans="1:13" s="72" customFormat="1" ht="15.75" customHeight="1" x14ac:dyDescent="0.25">
      <c r="A1111" s="525" t="s">
        <v>358</v>
      </c>
      <c r="B1111" s="525" t="s">
        <v>618</v>
      </c>
      <c r="C1111" s="119"/>
      <c r="D1111" s="109"/>
      <c r="E1111" s="74"/>
      <c r="F1111" s="329"/>
      <c r="G1111" s="68"/>
      <c r="H1111" s="69"/>
      <c r="I1111" s="70"/>
      <c r="J1111" s="71"/>
      <c r="K1111" s="71"/>
      <c r="L1111" s="71"/>
      <c r="M1111" s="71"/>
    </row>
    <row r="1112" spans="1:13" s="72" customFormat="1" ht="19.5" customHeight="1" x14ac:dyDescent="0.25">
      <c r="A1112" s="531"/>
      <c r="B1112" s="531"/>
      <c r="C1112" s="119">
        <v>53</v>
      </c>
      <c r="D1112" s="109">
        <v>108</v>
      </c>
      <c r="E1112" s="49">
        <v>1987</v>
      </c>
      <c r="F1112" s="332">
        <f t="shared" ref="F1112:F1113" si="306">2019-E1112</f>
        <v>32</v>
      </c>
      <c r="G1112" s="68"/>
      <c r="H1112" s="69"/>
      <c r="I1112" s="70"/>
      <c r="J1112" s="71"/>
      <c r="K1112" s="71"/>
      <c r="L1112" s="71"/>
      <c r="M1112" s="71"/>
    </row>
    <row r="1113" spans="1:13" s="72" customFormat="1" x14ac:dyDescent="0.25">
      <c r="A1113" s="526"/>
      <c r="B1113" s="526"/>
      <c r="C1113" s="119">
        <v>53</v>
      </c>
      <c r="D1113" s="109">
        <v>57</v>
      </c>
      <c r="E1113" s="49">
        <v>1987</v>
      </c>
      <c r="F1113" s="332">
        <f t="shared" si="306"/>
        <v>32</v>
      </c>
      <c r="G1113" s="68"/>
      <c r="H1113" s="69"/>
      <c r="I1113" s="70"/>
      <c r="J1113" s="71"/>
      <c r="K1113" s="71"/>
      <c r="L1113" s="71"/>
      <c r="M1113" s="71"/>
    </row>
    <row r="1114" spans="1:13" s="72" customFormat="1" ht="15.75" customHeight="1" x14ac:dyDescent="0.25">
      <c r="A1114" s="525" t="s">
        <v>436</v>
      </c>
      <c r="B1114" s="532" t="s">
        <v>619</v>
      </c>
      <c r="C1114" s="78"/>
      <c r="D1114" s="109"/>
      <c r="E1114" s="74"/>
      <c r="F1114" s="329"/>
      <c r="G1114" s="68"/>
      <c r="H1114" s="69"/>
      <c r="I1114" s="70"/>
      <c r="J1114" s="71"/>
      <c r="K1114" s="71"/>
      <c r="L1114" s="71"/>
      <c r="M1114" s="71"/>
    </row>
    <row r="1115" spans="1:13" s="72" customFormat="1" ht="18.75" customHeight="1" x14ac:dyDescent="0.25">
      <c r="A1115" s="531"/>
      <c r="B1115" s="540"/>
      <c r="C1115" s="78">
        <v>14</v>
      </c>
      <c r="D1115" s="109">
        <v>40</v>
      </c>
      <c r="E1115" s="49">
        <v>1992</v>
      </c>
      <c r="F1115" s="332">
        <f t="shared" ref="F1115:F1116" si="307">2019-E1115</f>
        <v>27</v>
      </c>
      <c r="G1115" s="68"/>
      <c r="H1115" s="69"/>
      <c r="I1115" s="70"/>
      <c r="J1115" s="71"/>
      <c r="K1115" s="71"/>
      <c r="L1115" s="71"/>
      <c r="M1115" s="71"/>
    </row>
    <row r="1116" spans="1:13" s="72" customFormat="1" x14ac:dyDescent="0.25">
      <c r="A1116" s="526"/>
      <c r="B1116" s="533"/>
      <c r="C1116" s="78">
        <v>14</v>
      </c>
      <c r="D1116" s="109">
        <v>32</v>
      </c>
      <c r="E1116" s="49">
        <v>1992</v>
      </c>
      <c r="F1116" s="332">
        <f t="shared" si="307"/>
        <v>27</v>
      </c>
      <c r="G1116" s="68"/>
      <c r="H1116" s="69"/>
      <c r="I1116" s="70"/>
      <c r="J1116" s="71"/>
      <c r="K1116" s="71"/>
      <c r="L1116" s="71"/>
      <c r="M1116" s="71"/>
    </row>
    <row r="1117" spans="1:13" s="72" customFormat="1" ht="15.75" customHeight="1" x14ac:dyDescent="0.25">
      <c r="A1117" s="525" t="s">
        <v>620</v>
      </c>
      <c r="B1117" s="525" t="s">
        <v>621</v>
      </c>
      <c r="C1117" s="119"/>
      <c r="D1117" s="109"/>
      <c r="E1117" s="74"/>
      <c r="F1117" s="329"/>
      <c r="G1117" s="68"/>
      <c r="H1117" s="69"/>
      <c r="I1117" s="70"/>
      <c r="J1117" s="71"/>
      <c r="K1117" s="71"/>
      <c r="L1117" s="71"/>
      <c r="M1117" s="71"/>
    </row>
    <row r="1118" spans="1:13" s="72" customFormat="1" ht="21.75" customHeight="1" x14ac:dyDescent="0.25">
      <c r="A1118" s="531"/>
      <c r="B1118" s="531"/>
      <c r="C1118" s="119">
        <v>89</v>
      </c>
      <c r="D1118" s="109">
        <v>219</v>
      </c>
      <c r="E1118" s="49">
        <v>1985</v>
      </c>
      <c r="F1118" s="332">
        <f t="shared" ref="F1118:F1119" si="308">2019-E1118</f>
        <v>34</v>
      </c>
      <c r="G1118" s="68"/>
      <c r="H1118" s="69"/>
      <c r="I1118" s="70"/>
      <c r="J1118" s="71"/>
      <c r="K1118" s="71"/>
      <c r="L1118" s="71"/>
      <c r="M1118" s="71"/>
    </row>
    <row r="1119" spans="1:13" s="72" customFormat="1" x14ac:dyDescent="0.25">
      <c r="A1119" s="526"/>
      <c r="B1119" s="526"/>
      <c r="C1119" s="119">
        <v>89</v>
      </c>
      <c r="D1119" s="109">
        <v>133</v>
      </c>
      <c r="E1119" s="49">
        <v>1985</v>
      </c>
      <c r="F1119" s="332">
        <f t="shared" si="308"/>
        <v>34</v>
      </c>
      <c r="G1119" s="68"/>
      <c r="H1119" s="69"/>
      <c r="I1119" s="70"/>
      <c r="J1119" s="71"/>
      <c r="K1119" s="71"/>
      <c r="L1119" s="71"/>
      <c r="M1119" s="71"/>
    </row>
    <row r="1120" spans="1:13" s="72" customFormat="1" ht="15.75" customHeight="1" x14ac:dyDescent="0.25">
      <c r="A1120" s="525" t="s">
        <v>358</v>
      </c>
      <c r="B1120" s="532" t="s">
        <v>619</v>
      </c>
      <c r="C1120" s="78"/>
      <c r="D1120" s="109"/>
      <c r="E1120" s="74"/>
      <c r="F1120" s="329"/>
      <c r="G1120" s="68"/>
      <c r="H1120" s="69"/>
      <c r="I1120" s="70"/>
      <c r="J1120" s="71"/>
      <c r="K1120" s="71"/>
      <c r="L1120" s="71"/>
      <c r="M1120" s="71"/>
    </row>
    <row r="1121" spans="1:13" s="72" customFormat="1" ht="20.25" customHeight="1" x14ac:dyDescent="0.25">
      <c r="A1121" s="531"/>
      <c r="B1121" s="540"/>
      <c r="C1121" s="55">
        <v>9</v>
      </c>
      <c r="D1121" s="109">
        <v>89</v>
      </c>
      <c r="E1121" s="49">
        <v>1992</v>
      </c>
      <c r="F1121" s="332">
        <f t="shared" ref="F1121:F1122" si="309">2019-E1121</f>
        <v>27</v>
      </c>
      <c r="G1121" s="68"/>
      <c r="H1121" s="69"/>
      <c r="I1121" s="70"/>
      <c r="J1121" s="71"/>
      <c r="K1121" s="71"/>
      <c r="L1121" s="71"/>
      <c r="M1121" s="71"/>
    </row>
    <row r="1122" spans="1:13" s="72" customFormat="1" x14ac:dyDescent="0.25">
      <c r="A1122" s="526"/>
      <c r="B1122" s="533"/>
      <c r="C1122" s="78">
        <v>9</v>
      </c>
      <c r="D1122" s="109">
        <v>57</v>
      </c>
      <c r="E1122" s="76">
        <v>1992</v>
      </c>
      <c r="F1122" s="332">
        <f t="shared" si="309"/>
        <v>27</v>
      </c>
      <c r="G1122" s="68"/>
      <c r="H1122" s="69"/>
      <c r="I1122" s="70"/>
      <c r="J1122" s="71"/>
      <c r="K1122" s="71"/>
      <c r="L1122" s="71"/>
      <c r="M1122" s="71"/>
    </row>
    <row r="1123" spans="1:13" s="72" customFormat="1" ht="15.75" customHeight="1" x14ac:dyDescent="0.25">
      <c r="A1123" s="525" t="s">
        <v>208</v>
      </c>
      <c r="B1123" s="525" t="s">
        <v>569</v>
      </c>
      <c r="C1123" s="119"/>
      <c r="D1123" s="109"/>
      <c r="E1123" s="74"/>
      <c r="F1123" s="329"/>
      <c r="G1123" s="68"/>
      <c r="H1123" s="69"/>
      <c r="I1123" s="70"/>
      <c r="J1123" s="71"/>
      <c r="K1123" s="71"/>
      <c r="L1123" s="71"/>
      <c r="M1123" s="71"/>
    </row>
    <row r="1124" spans="1:13" s="72" customFormat="1" ht="21" customHeight="1" x14ac:dyDescent="0.25">
      <c r="A1124" s="531"/>
      <c r="B1124" s="531"/>
      <c r="C1124" s="119">
        <v>98</v>
      </c>
      <c r="D1124" s="109">
        <v>159</v>
      </c>
      <c r="E1124" s="49">
        <v>1986</v>
      </c>
      <c r="F1124" s="332">
        <f t="shared" ref="F1124:F1125" si="310">2019-E1124</f>
        <v>33</v>
      </c>
      <c r="G1124" s="68"/>
      <c r="H1124" s="69"/>
      <c r="I1124" s="70"/>
      <c r="J1124" s="71"/>
      <c r="K1124" s="71"/>
      <c r="L1124" s="71"/>
      <c r="M1124" s="71"/>
    </row>
    <row r="1125" spans="1:13" s="72" customFormat="1" x14ac:dyDescent="0.25">
      <c r="A1125" s="526"/>
      <c r="B1125" s="526"/>
      <c r="C1125" s="119">
        <v>98</v>
      </c>
      <c r="D1125" s="109">
        <v>89</v>
      </c>
      <c r="E1125" s="49">
        <v>1986</v>
      </c>
      <c r="F1125" s="332">
        <f t="shared" si="310"/>
        <v>33</v>
      </c>
      <c r="G1125" s="68"/>
      <c r="H1125" s="69"/>
      <c r="I1125" s="70"/>
      <c r="J1125" s="71"/>
      <c r="K1125" s="71"/>
      <c r="L1125" s="71"/>
      <c r="M1125" s="71"/>
    </row>
    <row r="1126" spans="1:13" s="72" customFormat="1" ht="15.75" customHeight="1" x14ac:dyDescent="0.25">
      <c r="A1126" s="525" t="s">
        <v>354</v>
      </c>
      <c r="B1126" s="525" t="s">
        <v>622</v>
      </c>
      <c r="C1126" s="119"/>
      <c r="D1126" s="109"/>
      <c r="E1126" s="74"/>
      <c r="F1126" s="329"/>
      <c r="G1126" s="68"/>
      <c r="H1126" s="69"/>
      <c r="I1126" s="70"/>
      <c r="J1126" s="71"/>
      <c r="K1126" s="71"/>
      <c r="L1126" s="71"/>
      <c r="M1126" s="71"/>
    </row>
    <row r="1127" spans="1:13" s="72" customFormat="1" ht="16.5" customHeight="1" x14ac:dyDescent="0.25">
      <c r="A1127" s="531"/>
      <c r="B1127" s="531"/>
      <c r="C1127" s="119">
        <v>41</v>
      </c>
      <c r="D1127" s="109">
        <v>89</v>
      </c>
      <c r="E1127" s="49">
        <v>1987</v>
      </c>
      <c r="F1127" s="332">
        <f t="shared" ref="F1127:F1128" si="311">2019-E1127</f>
        <v>32</v>
      </c>
      <c r="G1127" s="68"/>
      <c r="H1127" s="69"/>
      <c r="I1127" s="70"/>
      <c r="J1127" s="71"/>
      <c r="K1127" s="71"/>
      <c r="L1127" s="71"/>
      <c r="M1127" s="71"/>
    </row>
    <row r="1128" spans="1:13" s="72" customFormat="1" x14ac:dyDescent="0.25">
      <c r="A1128" s="526"/>
      <c r="B1128" s="526"/>
      <c r="C1128" s="119">
        <v>41</v>
      </c>
      <c r="D1128" s="109">
        <v>40</v>
      </c>
      <c r="E1128" s="49">
        <v>1987</v>
      </c>
      <c r="F1128" s="332">
        <f t="shared" si="311"/>
        <v>32</v>
      </c>
      <c r="G1128" s="68"/>
      <c r="H1128" s="69"/>
      <c r="I1128" s="70"/>
      <c r="J1128" s="71"/>
      <c r="K1128" s="71"/>
      <c r="L1128" s="71"/>
      <c r="M1128" s="71"/>
    </row>
    <row r="1129" spans="1:13" s="72" customFormat="1" ht="15.75" customHeight="1" x14ac:dyDescent="0.25">
      <c r="A1129" s="525" t="s">
        <v>216</v>
      </c>
      <c r="B1129" s="525" t="s">
        <v>623</v>
      </c>
      <c r="C1129" s="119"/>
      <c r="D1129" s="109"/>
      <c r="E1129" s="74"/>
      <c r="F1129" s="329"/>
      <c r="G1129" s="68"/>
      <c r="H1129" s="69"/>
      <c r="I1129" s="70"/>
      <c r="J1129" s="71"/>
      <c r="K1129" s="71"/>
      <c r="L1129" s="71"/>
      <c r="M1129" s="71"/>
    </row>
    <row r="1130" spans="1:13" s="72" customFormat="1" ht="18.75" customHeight="1" x14ac:dyDescent="0.25">
      <c r="A1130" s="531"/>
      <c r="B1130" s="531"/>
      <c r="C1130" s="119">
        <v>76</v>
      </c>
      <c r="D1130" s="109">
        <v>159</v>
      </c>
      <c r="E1130" s="49">
        <v>1987</v>
      </c>
      <c r="F1130" s="332">
        <f t="shared" ref="F1130:F1131" si="312">2019-E1130</f>
        <v>32</v>
      </c>
      <c r="G1130" s="68"/>
      <c r="H1130" s="69"/>
      <c r="I1130" s="70"/>
      <c r="J1130" s="71"/>
      <c r="K1130" s="71"/>
      <c r="L1130" s="71"/>
      <c r="M1130" s="71"/>
    </row>
    <row r="1131" spans="1:13" s="72" customFormat="1" x14ac:dyDescent="0.25">
      <c r="A1131" s="526"/>
      <c r="B1131" s="526"/>
      <c r="C1131" s="119">
        <v>76</v>
      </c>
      <c r="D1131" s="109">
        <v>108</v>
      </c>
      <c r="E1131" s="49">
        <v>1987</v>
      </c>
      <c r="F1131" s="332">
        <f t="shared" si="312"/>
        <v>32</v>
      </c>
      <c r="G1131" s="68"/>
      <c r="H1131" s="69"/>
      <c r="I1131" s="70"/>
      <c r="J1131" s="71"/>
      <c r="K1131" s="71"/>
      <c r="L1131" s="71"/>
      <c r="M1131" s="71"/>
    </row>
    <row r="1132" spans="1:13" s="72" customFormat="1" ht="15.75" customHeight="1" x14ac:dyDescent="0.25">
      <c r="A1132" s="525" t="s">
        <v>193</v>
      </c>
      <c r="B1132" s="525" t="s">
        <v>226</v>
      </c>
      <c r="C1132" s="119"/>
      <c r="D1132" s="109"/>
      <c r="E1132" s="74"/>
      <c r="F1132" s="329"/>
      <c r="G1132" s="68"/>
      <c r="H1132" s="69"/>
      <c r="I1132" s="70"/>
      <c r="J1132" s="71"/>
      <c r="K1132" s="71"/>
      <c r="L1132" s="71"/>
      <c r="M1132" s="71"/>
    </row>
    <row r="1133" spans="1:13" s="72" customFormat="1" ht="18" customHeight="1" x14ac:dyDescent="0.25">
      <c r="A1133" s="531"/>
      <c r="B1133" s="531"/>
      <c r="C1133" s="119">
        <v>16</v>
      </c>
      <c r="D1133" s="109">
        <v>273</v>
      </c>
      <c r="E1133" s="49">
        <v>1985</v>
      </c>
      <c r="F1133" s="332">
        <f t="shared" ref="F1133:F1134" si="313">2019-E1133</f>
        <v>34</v>
      </c>
      <c r="G1133" s="68"/>
      <c r="H1133" s="69"/>
      <c r="I1133" s="70"/>
      <c r="J1133" s="71"/>
      <c r="K1133" s="71"/>
      <c r="L1133" s="71"/>
      <c r="M1133" s="71"/>
    </row>
    <row r="1134" spans="1:13" s="72" customFormat="1" x14ac:dyDescent="0.25">
      <c r="A1134" s="526"/>
      <c r="B1134" s="526"/>
      <c r="C1134" s="119">
        <v>16</v>
      </c>
      <c r="D1134" s="109">
        <v>159</v>
      </c>
      <c r="E1134" s="49">
        <v>1985</v>
      </c>
      <c r="F1134" s="332">
        <f t="shared" si="313"/>
        <v>34</v>
      </c>
      <c r="G1134" s="68"/>
      <c r="H1134" s="69"/>
      <c r="I1134" s="70"/>
      <c r="J1134" s="71"/>
      <c r="K1134" s="71"/>
      <c r="L1134" s="71"/>
      <c r="M1134" s="71"/>
    </row>
    <row r="1135" spans="1:13" s="72" customFormat="1" ht="15.75" customHeight="1" x14ac:dyDescent="0.25">
      <c r="A1135" s="525" t="s">
        <v>208</v>
      </c>
      <c r="B1135" s="532" t="s">
        <v>624</v>
      </c>
      <c r="C1135" s="78"/>
      <c r="D1135" s="109"/>
      <c r="E1135" s="74"/>
      <c r="F1135" s="329"/>
      <c r="G1135" s="68"/>
      <c r="H1135" s="69"/>
      <c r="I1135" s="70"/>
      <c r="J1135" s="71"/>
      <c r="K1135" s="71"/>
      <c r="L1135" s="71"/>
      <c r="M1135" s="71"/>
    </row>
    <row r="1136" spans="1:13" s="72" customFormat="1" ht="21" customHeight="1" x14ac:dyDescent="0.25">
      <c r="A1136" s="531"/>
      <c r="B1136" s="540"/>
      <c r="C1136" s="55">
        <v>38</v>
      </c>
      <c r="D1136" s="109">
        <v>89</v>
      </c>
      <c r="E1136" s="49">
        <v>1989</v>
      </c>
      <c r="F1136" s="332">
        <f t="shared" ref="F1136:F1137" si="314">2019-E1136</f>
        <v>30</v>
      </c>
      <c r="G1136" s="68"/>
      <c r="H1136" s="69"/>
      <c r="I1136" s="70"/>
      <c r="J1136" s="71"/>
      <c r="K1136" s="71"/>
      <c r="L1136" s="71"/>
      <c r="M1136" s="71"/>
    </row>
    <row r="1137" spans="1:13" s="72" customFormat="1" x14ac:dyDescent="0.25">
      <c r="A1137" s="526"/>
      <c r="B1137" s="533"/>
      <c r="C1137" s="78">
        <v>38</v>
      </c>
      <c r="D1137" s="109">
        <v>57</v>
      </c>
      <c r="E1137" s="49">
        <v>1989</v>
      </c>
      <c r="F1137" s="332">
        <f t="shared" si="314"/>
        <v>30</v>
      </c>
      <c r="G1137" s="68"/>
      <c r="H1137" s="69"/>
      <c r="I1137" s="70"/>
      <c r="J1137" s="71"/>
      <c r="K1137" s="71"/>
      <c r="L1137" s="71"/>
      <c r="M1137" s="71"/>
    </row>
    <row r="1138" spans="1:13" s="72" customFormat="1" ht="15.75" customHeight="1" x14ac:dyDescent="0.25">
      <c r="A1138" s="525" t="s">
        <v>522</v>
      </c>
      <c r="B1138" s="532" t="s">
        <v>625</v>
      </c>
      <c r="C1138" s="78"/>
      <c r="D1138" s="109"/>
      <c r="E1138" s="74"/>
      <c r="F1138" s="329"/>
      <c r="G1138" s="68"/>
      <c r="H1138" s="69"/>
      <c r="I1138" s="70"/>
      <c r="J1138" s="71"/>
      <c r="K1138" s="71"/>
      <c r="L1138" s="71"/>
      <c r="M1138" s="71"/>
    </row>
    <row r="1139" spans="1:13" s="72" customFormat="1" ht="22.5" customHeight="1" x14ac:dyDescent="0.25">
      <c r="A1139" s="531"/>
      <c r="B1139" s="540"/>
      <c r="C1139" s="55">
        <v>10</v>
      </c>
      <c r="D1139" s="109">
        <v>89</v>
      </c>
      <c r="E1139" s="49">
        <v>1991</v>
      </c>
      <c r="F1139" s="332">
        <f t="shared" ref="F1139:F1140" si="315">2019-E1139</f>
        <v>28</v>
      </c>
      <c r="G1139" s="68"/>
      <c r="H1139" s="69"/>
      <c r="I1139" s="70"/>
      <c r="J1139" s="71"/>
      <c r="K1139" s="71"/>
      <c r="L1139" s="71"/>
      <c r="M1139" s="71"/>
    </row>
    <row r="1140" spans="1:13" s="72" customFormat="1" x14ac:dyDescent="0.25">
      <c r="A1140" s="526"/>
      <c r="B1140" s="533"/>
      <c r="C1140" s="78">
        <v>10</v>
      </c>
      <c r="D1140" s="109">
        <v>57</v>
      </c>
      <c r="E1140" s="76">
        <v>1991</v>
      </c>
      <c r="F1140" s="332">
        <f t="shared" si="315"/>
        <v>28</v>
      </c>
      <c r="G1140" s="68"/>
      <c r="H1140" s="69"/>
      <c r="I1140" s="70"/>
      <c r="J1140" s="71"/>
      <c r="K1140" s="71"/>
      <c r="L1140" s="71"/>
      <c r="M1140" s="71"/>
    </row>
    <row r="1141" spans="1:13" s="72" customFormat="1" ht="15.75" customHeight="1" x14ac:dyDescent="0.25">
      <c r="A1141" s="525" t="s">
        <v>178</v>
      </c>
      <c r="B1141" s="525" t="s">
        <v>505</v>
      </c>
      <c r="C1141" s="119"/>
      <c r="D1141" s="109"/>
      <c r="E1141" s="74"/>
      <c r="F1141" s="329"/>
      <c r="G1141" s="68"/>
      <c r="H1141" s="69"/>
      <c r="I1141" s="70"/>
      <c r="J1141" s="71"/>
      <c r="K1141" s="71"/>
      <c r="L1141" s="71"/>
      <c r="M1141" s="71"/>
    </row>
    <row r="1142" spans="1:13" s="72" customFormat="1" ht="18.75" customHeight="1" x14ac:dyDescent="0.25">
      <c r="A1142" s="531"/>
      <c r="B1142" s="531"/>
      <c r="C1142" s="119">
        <v>52</v>
      </c>
      <c r="D1142" s="109">
        <v>159</v>
      </c>
      <c r="E1142" s="49">
        <v>1986</v>
      </c>
      <c r="F1142" s="332">
        <f t="shared" ref="F1142:F1143" si="316">2019-E1142</f>
        <v>33</v>
      </c>
      <c r="G1142" s="68"/>
      <c r="H1142" s="69"/>
      <c r="I1142" s="70"/>
      <c r="J1142" s="71"/>
      <c r="K1142" s="71"/>
      <c r="L1142" s="71"/>
      <c r="M1142" s="71"/>
    </row>
    <row r="1143" spans="1:13" s="72" customFormat="1" x14ac:dyDescent="0.25">
      <c r="A1143" s="526"/>
      <c r="B1143" s="526"/>
      <c r="C1143" s="119">
        <v>52</v>
      </c>
      <c r="D1143" s="109">
        <v>89</v>
      </c>
      <c r="E1143" s="49">
        <v>1986</v>
      </c>
      <c r="F1143" s="332">
        <f t="shared" si="316"/>
        <v>33</v>
      </c>
      <c r="G1143" s="68"/>
      <c r="H1143" s="69"/>
      <c r="I1143" s="70"/>
      <c r="J1143" s="71"/>
      <c r="K1143" s="71"/>
      <c r="L1143" s="71"/>
      <c r="M1143" s="71"/>
    </row>
    <row r="1144" spans="1:13" s="72" customFormat="1" ht="15.75" customHeight="1" x14ac:dyDescent="0.25">
      <c r="A1144" s="525" t="s">
        <v>296</v>
      </c>
      <c r="B1144" s="525" t="s">
        <v>626</v>
      </c>
      <c r="C1144" s="119"/>
      <c r="D1144" s="109"/>
      <c r="E1144" s="74"/>
      <c r="F1144" s="329"/>
      <c r="G1144" s="68"/>
      <c r="H1144" s="69"/>
      <c r="I1144" s="70"/>
      <c r="J1144" s="71"/>
      <c r="K1144" s="71"/>
      <c r="L1144" s="71"/>
      <c r="M1144" s="71"/>
    </row>
    <row r="1145" spans="1:13" s="72" customFormat="1" ht="15.75" customHeight="1" x14ac:dyDescent="0.25">
      <c r="A1145" s="531"/>
      <c r="B1145" s="531"/>
      <c r="C1145" s="119">
        <v>11</v>
      </c>
      <c r="D1145" s="109">
        <v>133</v>
      </c>
      <c r="E1145" s="49">
        <v>1986</v>
      </c>
      <c r="F1145" s="332">
        <f t="shared" ref="F1145:F1146" si="317">2019-E1145</f>
        <v>33</v>
      </c>
      <c r="G1145" s="68"/>
      <c r="H1145" s="69"/>
      <c r="I1145" s="70"/>
      <c r="J1145" s="71"/>
      <c r="K1145" s="71"/>
      <c r="L1145" s="71"/>
      <c r="M1145" s="71"/>
    </row>
    <row r="1146" spans="1:13" s="72" customFormat="1" x14ac:dyDescent="0.25">
      <c r="A1146" s="526"/>
      <c r="B1146" s="526"/>
      <c r="C1146" s="119">
        <v>11</v>
      </c>
      <c r="D1146" s="109">
        <v>89</v>
      </c>
      <c r="E1146" s="49">
        <v>1986</v>
      </c>
      <c r="F1146" s="332">
        <f t="shared" si="317"/>
        <v>33</v>
      </c>
      <c r="G1146" s="68"/>
      <c r="H1146" s="69"/>
      <c r="I1146" s="70"/>
      <c r="J1146" s="71"/>
      <c r="K1146" s="71"/>
      <c r="L1146" s="71"/>
      <c r="M1146" s="71"/>
    </row>
    <row r="1147" spans="1:13" s="72" customFormat="1" ht="15.75" customHeight="1" x14ac:dyDescent="0.25">
      <c r="A1147" s="525" t="s">
        <v>627</v>
      </c>
      <c r="B1147" s="525" t="s">
        <v>628</v>
      </c>
      <c r="C1147" s="78"/>
      <c r="D1147" s="109"/>
      <c r="E1147" s="74"/>
      <c r="F1147" s="329"/>
      <c r="G1147" s="68"/>
      <c r="H1147" s="69"/>
      <c r="I1147" s="70"/>
      <c r="J1147" s="71"/>
      <c r="K1147" s="71"/>
      <c r="L1147" s="71"/>
      <c r="M1147" s="71"/>
    </row>
    <row r="1148" spans="1:13" s="72" customFormat="1" ht="18" customHeight="1" x14ac:dyDescent="0.25">
      <c r="A1148" s="531"/>
      <c r="B1148" s="531"/>
      <c r="C1148" s="78">
        <v>160</v>
      </c>
      <c r="D1148" s="109">
        <v>57</v>
      </c>
      <c r="E1148" s="49">
        <v>2005</v>
      </c>
      <c r="F1148" s="332">
        <f t="shared" ref="F1148:F1149" si="318">2019-E1148</f>
        <v>14</v>
      </c>
      <c r="G1148" s="68"/>
      <c r="H1148" s="69"/>
      <c r="I1148" s="70"/>
      <c r="J1148" s="71"/>
      <c r="K1148" s="71"/>
      <c r="L1148" s="71"/>
      <c r="M1148" s="71"/>
    </row>
    <row r="1149" spans="1:13" s="72" customFormat="1" x14ac:dyDescent="0.25">
      <c r="A1149" s="526"/>
      <c r="B1149" s="526"/>
      <c r="C1149" s="119">
        <v>160</v>
      </c>
      <c r="D1149" s="109">
        <v>40</v>
      </c>
      <c r="E1149" s="49">
        <v>2005</v>
      </c>
      <c r="F1149" s="332">
        <f t="shared" si="318"/>
        <v>14</v>
      </c>
      <c r="G1149" s="68"/>
      <c r="H1149" s="69"/>
      <c r="I1149" s="70"/>
      <c r="J1149" s="71"/>
      <c r="K1149" s="71"/>
      <c r="L1149" s="71"/>
      <c r="M1149" s="71"/>
    </row>
    <row r="1150" spans="1:13" s="72" customFormat="1" ht="15.75" customHeight="1" x14ac:dyDescent="0.25">
      <c r="A1150" s="525" t="s">
        <v>178</v>
      </c>
      <c r="B1150" s="525" t="s">
        <v>629</v>
      </c>
      <c r="C1150" s="119"/>
      <c r="D1150" s="109"/>
      <c r="E1150" s="74"/>
      <c r="F1150" s="329"/>
      <c r="G1150" s="68"/>
      <c r="H1150" s="69"/>
      <c r="I1150" s="70"/>
      <c r="J1150" s="71"/>
      <c r="K1150" s="71"/>
      <c r="L1150" s="71"/>
      <c r="M1150" s="71"/>
    </row>
    <row r="1151" spans="1:13" s="72" customFormat="1" ht="17.25" customHeight="1" x14ac:dyDescent="0.25">
      <c r="A1151" s="531"/>
      <c r="B1151" s="531"/>
      <c r="C1151" s="119">
        <v>8</v>
      </c>
      <c r="D1151" s="109">
        <v>89</v>
      </c>
      <c r="E1151" s="49">
        <v>1987</v>
      </c>
      <c r="F1151" s="332">
        <f t="shared" ref="F1151:F1152" si="319">2019-E1151</f>
        <v>32</v>
      </c>
      <c r="G1151" s="68"/>
      <c r="H1151" s="69"/>
      <c r="I1151" s="70"/>
      <c r="J1151" s="71"/>
      <c r="K1151" s="71"/>
      <c r="L1151" s="71"/>
      <c r="M1151" s="71"/>
    </row>
    <row r="1152" spans="1:13" s="72" customFormat="1" x14ac:dyDescent="0.25">
      <c r="A1152" s="526"/>
      <c r="B1152" s="526"/>
      <c r="C1152" s="119">
        <v>8</v>
      </c>
      <c r="D1152" s="109">
        <v>40</v>
      </c>
      <c r="E1152" s="49">
        <v>1987</v>
      </c>
      <c r="F1152" s="332">
        <f t="shared" si="319"/>
        <v>32</v>
      </c>
      <c r="G1152" s="68"/>
      <c r="H1152" s="69"/>
      <c r="I1152" s="70"/>
      <c r="J1152" s="71"/>
      <c r="K1152" s="71"/>
      <c r="L1152" s="71"/>
      <c r="M1152" s="71"/>
    </row>
    <row r="1153" spans="1:13" s="72" customFormat="1" ht="15.75" customHeight="1" x14ac:dyDescent="0.25">
      <c r="A1153" s="525" t="s">
        <v>287</v>
      </c>
      <c r="B1153" s="532" t="s">
        <v>630</v>
      </c>
      <c r="C1153" s="55"/>
      <c r="D1153" s="109"/>
      <c r="E1153" s="74"/>
      <c r="F1153" s="329"/>
      <c r="G1153" s="68"/>
      <c r="H1153" s="69"/>
      <c r="I1153" s="70"/>
      <c r="J1153" s="71"/>
      <c r="K1153" s="71"/>
      <c r="L1153" s="71"/>
      <c r="M1153" s="71"/>
    </row>
    <row r="1154" spans="1:13" s="72" customFormat="1" x14ac:dyDescent="0.25">
      <c r="A1154" s="531"/>
      <c r="B1154" s="540"/>
      <c r="C1154" s="78">
        <v>43</v>
      </c>
      <c r="D1154" s="109">
        <v>76</v>
      </c>
      <c r="E1154" s="49">
        <v>1989</v>
      </c>
      <c r="F1154" s="332">
        <f t="shared" ref="F1154:F1155" si="320">2019-E1154</f>
        <v>30</v>
      </c>
      <c r="G1154" s="68"/>
      <c r="H1154" s="69"/>
      <c r="I1154" s="70"/>
      <c r="J1154" s="71"/>
      <c r="K1154" s="71"/>
      <c r="L1154" s="71"/>
      <c r="M1154" s="71"/>
    </row>
    <row r="1155" spans="1:13" s="72" customFormat="1" x14ac:dyDescent="0.25">
      <c r="A1155" s="526"/>
      <c r="B1155" s="533"/>
      <c r="C1155" s="78">
        <v>43</v>
      </c>
      <c r="D1155" s="109">
        <v>57</v>
      </c>
      <c r="E1155" s="76">
        <v>1989</v>
      </c>
      <c r="F1155" s="332">
        <f t="shared" si="320"/>
        <v>30</v>
      </c>
      <c r="G1155" s="68"/>
      <c r="H1155" s="69"/>
      <c r="I1155" s="70"/>
      <c r="J1155" s="71"/>
      <c r="K1155" s="71"/>
      <c r="L1155" s="71"/>
      <c r="M1155" s="71"/>
    </row>
    <row r="1156" spans="1:13" s="72" customFormat="1" ht="15.75" customHeight="1" x14ac:dyDescent="0.25">
      <c r="A1156" s="525" t="s">
        <v>354</v>
      </c>
      <c r="B1156" s="525" t="s">
        <v>631</v>
      </c>
      <c r="C1156" s="119"/>
      <c r="D1156" s="109"/>
      <c r="E1156" s="74"/>
      <c r="F1156" s="329"/>
      <c r="G1156" s="68"/>
      <c r="H1156" s="69"/>
      <c r="I1156" s="70"/>
      <c r="J1156" s="71"/>
      <c r="K1156" s="71"/>
      <c r="L1156" s="71"/>
      <c r="M1156" s="71"/>
    </row>
    <row r="1157" spans="1:13" s="72" customFormat="1" ht="21.75" customHeight="1" x14ac:dyDescent="0.25">
      <c r="A1157" s="531"/>
      <c r="B1157" s="531"/>
      <c r="C1157" s="119">
        <v>11.9</v>
      </c>
      <c r="D1157" s="109">
        <v>76</v>
      </c>
      <c r="E1157" s="49">
        <v>1987</v>
      </c>
      <c r="F1157" s="332">
        <f t="shared" ref="F1157:F1158" si="321">2019-E1157</f>
        <v>32</v>
      </c>
      <c r="G1157" s="68"/>
      <c r="H1157" s="69"/>
      <c r="I1157" s="70"/>
      <c r="J1157" s="71"/>
      <c r="K1157" s="71"/>
      <c r="L1157" s="71"/>
      <c r="M1157" s="71"/>
    </row>
    <row r="1158" spans="1:13" s="72" customFormat="1" x14ac:dyDescent="0.25">
      <c r="A1158" s="526"/>
      <c r="B1158" s="526"/>
      <c r="C1158" s="119">
        <v>11.9</v>
      </c>
      <c r="D1158" s="109">
        <v>57</v>
      </c>
      <c r="E1158" s="49">
        <v>1987</v>
      </c>
      <c r="F1158" s="332">
        <f t="shared" si="321"/>
        <v>32</v>
      </c>
      <c r="G1158" s="68"/>
      <c r="H1158" s="69"/>
      <c r="I1158" s="70"/>
      <c r="J1158" s="71"/>
      <c r="K1158" s="71"/>
      <c r="L1158" s="71"/>
      <c r="M1158" s="71"/>
    </row>
    <row r="1159" spans="1:13" s="72" customFormat="1" ht="15.75" customHeight="1" x14ac:dyDescent="0.25">
      <c r="A1159" s="525" t="s">
        <v>203</v>
      </c>
      <c r="B1159" s="525" t="s">
        <v>470</v>
      </c>
      <c r="C1159" s="119"/>
      <c r="D1159" s="109"/>
      <c r="E1159" s="74"/>
      <c r="F1159" s="329"/>
      <c r="G1159" s="68"/>
      <c r="H1159" s="69"/>
      <c r="I1159" s="70"/>
      <c r="J1159" s="71"/>
      <c r="K1159" s="71"/>
      <c r="L1159" s="71"/>
      <c r="M1159" s="71"/>
    </row>
    <row r="1160" spans="1:13" s="72" customFormat="1" ht="18" customHeight="1" x14ac:dyDescent="0.25">
      <c r="A1160" s="531"/>
      <c r="B1160" s="531"/>
      <c r="C1160" s="119">
        <v>78</v>
      </c>
      <c r="D1160" s="109">
        <v>133</v>
      </c>
      <c r="E1160" s="49">
        <v>1987</v>
      </c>
      <c r="F1160" s="332">
        <f t="shared" ref="F1160:F1161" si="322">2019-E1160</f>
        <v>32</v>
      </c>
      <c r="G1160" s="68"/>
      <c r="H1160" s="69"/>
      <c r="I1160" s="70"/>
      <c r="J1160" s="71"/>
      <c r="K1160" s="71"/>
      <c r="L1160" s="71"/>
      <c r="M1160" s="71"/>
    </row>
    <row r="1161" spans="1:13" s="72" customFormat="1" x14ac:dyDescent="0.25">
      <c r="A1161" s="526"/>
      <c r="B1161" s="526"/>
      <c r="C1161" s="119">
        <v>78</v>
      </c>
      <c r="D1161" s="109">
        <v>89</v>
      </c>
      <c r="E1161" s="49">
        <v>1987</v>
      </c>
      <c r="F1161" s="332">
        <f t="shared" si="322"/>
        <v>32</v>
      </c>
      <c r="G1161" s="68"/>
      <c r="H1161" s="69"/>
      <c r="I1161" s="70"/>
      <c r="J1161" s="71"/>
      <c r="K1161" s="71"/>
      <c r="L1161" s="71"/>
      <c r="M1161" s="71"/>
    </row>
    <row r="1162" spans="1:13" s="72" customFormat="1" ht="15.75" customHeight="1" x14ac:dyDescent="0.25">
      <c r="A1162" s="525" t="s">
        <v>200</v>
      </c>
      <c r="B1162" s="525" t="s">
        <v>477</v>
      </c>
      <c r="C1162" s="119"/>
      <c r="D1162" s="109"/>
      <c r="E1162" s="74"/>
      <c r="F1162" s="329"/>
      <c r="G1162" s="68"/>
      <c r="H1162" s="69"/>
      <c r="I1162" s="70"/>
      <c r="J1162" s="71"/>
      <c r="K1162" s="71"/>
      <c r="L1162" s="71"/>
      <c r="M1162" s="71"/>
    </row>
    <row r="1163" spans="1:13" s="72" customFormat="1" ht="20.25" customHeight="1" x14ac:dyDescent="0.25">
      <c r="A1163" s="531"/>
      <c r="B1163" s="531"/>
      <c r="C1163" s="119">
        <v>73</v>
      </c>
      <c r="D1163" s="109">
        <v>159</v>
      </c>
      <c r="E1163" s="49">
        <v>1987</v>
      </c>
      <c r="F1163" s="332">
        <f t="shared" ref="F1163:F1164" si="323">2019-E1163</f>
        <v>32</v>
      </c>
      <c r="G1163" s="68"/>
      <c r="H1163" s="69"/>
      <c r="I1163" s="70"/>
      <c r="J1163" s="71"/>
      <c r="K1163" s="71"/>
      <c r="L1163" s="71"/>
      <c r="M1163" s="71"/>
    </row>
    <row r="1164" spans="1:13" s="72" customFormat="1" x14ac:dyDescent="0.25">
      <c r="A1164" s="526"/>
      <c r="B1164" s="526"/>
      <c r="C1164" s="119">
        <v>73</v>
      </c>
      <c r="D1164" s="109">
        <v>108</v>
      </c>
      <c r="E1164" s="49">
        <v>1987</v>
      </c>
      <c r="F1164" s="332">
        <f t="shared" si="323"/>
        <v>32</v>
      </c>
      <c r="G1164" s="68"/>
      <c r="H1164" s="69"/>
      <c r="I1164" s="70"/>
      <c r="J1164" s="71"/>
      <c r="K1164" s="71"/>
      <c r="L1164" s="71"/>
      <c r="M1164" s="71"/>
    </row>
    <row r="1165" spans="1:13" s="72" customFormat="1" ht="15.75" customHeight="1" x14ac:dyDescent="0.25">
      <c r="A1165" s="525" t="s">
        <v>632</v>
      </c>
      <c r="B1165" s="525" t="s">
        <v>633</v>
      </c>
      <c r="C1165" s="119"/>
      <c r="D1165" s="109"/>
      <c r="E1165" s="74"/>
      <c r="F1165" s="329"/>
      <c r="G1165" s="68"/>
      <c r="H1165" s="69"/>
      <c r="I1165" s="70"/>
      <c r="J1165" s="71"/>
      <c r="K1165" s="71"/>
      <c r="L1165" s="71"/>
      <c r="M1165" s="71"/>
    </row>
    <row r="1166" spans="1:13" s="72" customFormat="1" ht="23.25" customHeight="1" x14ac:dyDescent="0.25">
      <c r="A1166" s="531"/>
      <c r="B1166" s="531"/>
      <c r="C1166" s="119">
        <v>30</v>
      </c>
      <c r="D1166" s="109">
        <v>89</v>
      </c>
      <c r="E1166" s="49">
        <v>1986</v>
      </c>
      <c r="F1166" s="332">
        <f t="shared" ref="F1166:F1167" si="324">2019-E1166</f>
        <v>33</v>
      </c>
      <c r="G1166" s="68"/>
      <c r="H1166" s="69"/>
      <c r="I1166" s="70"/>
      <c r="J1166" s="71"/>
      <c r="K1166" s="71"/>
      <c r="L1166" s="71"/>
      <c r="M1166" s="71"/>
    </row>
    <row r="1167" spans="1:13" s="72" customFormat="1" x14ac:dyDescent="0.25">
      <c r="A1167" s="526"/>
      <c r="B1167" s="526"/>
      <c r="C1167" s="119">
        <v>30</v>
      </c>
      <c r="D1167" s="109">
        <v>57</v>
      </c>
      <c r="E1167" s="49">
        <v>1986</v>
      </c>
      <c r="F1167" s="332">
        <f t="shared" si="324"/>
        <v>33</v>
      </c>
      <c r="G1167" s="68"/>
      <c r="H1167" s="69"/>
      <c r="I1167" s="70"/>
      <c r="J1167" s="71"/>
      <c r="K1167" s="71"/>
      <c r="L1167" s="71"/>
      <c r="M1167" s="71"/>
    </row>
    <row r="1168" spans="1:13" s="72" customFormat="1" ht="15.75" customHeight="1" x14ac:dyDescent="0.25">
      <c r="A1168" s="525" t="s">
        <v>360</v>
      </c>
      <c r="B1168" s="525" t="s">
        <v>634</v>
      </c>
      <c r="C1168" s="119"/>
      <c r="D1168" s="109"/>
      <c r="E1168" s="74"/>
      <c r="F1168" s="329"/>
      <c r="G1168" s="68"/>
      <c r="H1168" s="69"/>
      <c r="I1168" s="70"/>
      <c r="J1168" s="71"/>
      <c r="K1168" s="71"/>
      <c r="L1168" s="71"/>
      <c r="M1168" s="71"/>
    </row>
    <row r="1169" spans="1:13" s="72" customFormat="1" ht="20.25" customHeight="1" x14ac:dyDescent="0.25">
      <c r="A1169" s="531"/>
      <c r="B1169" s="531"/>
      <c r="C1169" s="119">
        <v>77</v>
      </c>
      <c r="D1169" s="109">
        <v>219</v>
      </c>
      <c r="E1169" s="49">
        <v>1985</v>
      </c>
      <c r="F1169" s="332">
        <f t="shared" ref="F1169:F1170" si="325">2019-E1169</f>
        <v>34</v>
      </c>
      <c r="G1169" s="68"/>
      <c r="H1169" s="69"/>
      <c r="I1169" s="70"/>
      <c r="J1169" s="71"/>
      <c r="K1169" s="71"/>
      <c r="L1169" s="71"/>
      <c r="M1169" s="71"/>
    </row>
    <row r="1170" spans="1:13" s="72" customFormat="1" x14ac:dyDescent="0.25">
      <c r="A1170" s="526"/>
      <c r="B1170" s="526"/>
      <c r="C1170" s="119">
        <v>77</v>
      </c>
      <c r="D1170" s="109">
        <v>133</v>
      </c>
      <c r="E1170" s="49">
        <v>1985</v>
      </c>
      <c r="F1170" s="332">
        <f t="shared" si="325"/>
        <v>34</v>
      </c>
      <c r="G1170" s="68"/>
      <c r="H1170" s="69"/>
      <c r="I1170" s="70"/>
      <c r="J1170" s="71"/>
      <c r="K1170" s="71"/>
      <c r="L1170" s="71"/>
      <c r="M1170" s="71"/>
    </row>
    <row r="1171" spans="1:13" s="72" customFormat="1" ht="15.75" customHeight="1" x14ac:dyDescent="0.25">
      <c r="A1171" s="525" t="s">
        <v>635</v>
      </c>
      <c r="B1171" s="525" t="s">
        <v>636</v>
      </c>
      <c r="C1171" s="119"/>
      <c r="D1171" s="109"/>
      <c r="E1171" s="74"/>
      <c r="F1171" s="329"/>
      <c r="G1171" s="68"/>
      <c r="H1171" s="69"/>
      <c r="I1171" s="70"/>
      <c r="J1171" s="71"/>
      <c r="K1171" s="71"/>
      <c r="L1171" s="71"/>
      <c r="M1171" s="71"/>
    </row>
    <row r="1172" spans="1:13" s="72" customFormat="1" x14ac:dyDescent="0.25">
      <c r="A1172" s="531"/>
      <c r="B1172" s="531"/>
      <c r="C1172" s="119">
        <v>13</v>
      </c>
      <c r="D1172" s="109">
        <v>159</v>
      </c>
      <c r="E1172" s="49">
        <v>1986</v>
      </c>
      <c r="F1172" s="332">
        <f t="shared" ref="F1172:F1173" si="326">2019-E1172</f>
        <v>33</v>
      </c>
      <c r="G1172" s="68"/>
      <c r="H1172" s="69"/>
      <c r="I1172" s="70"/>
      <c r="J1172" s="71"/>
      <c r="K1172" s="71"/>
      <c r="L1172" s="71"/>
      <c r="M1172" s="71"/>
    </row>
    <row r="1173" spans="1:13" s="72" customFormat="1" x14ac:dyDescent="0.25">
      <c r="A1173" s="526"/>
      <c r="B1173" s="526"/>
      <c r="C1173" s="119">
        <v>13</v>
      </c>
      <c r="D1173" s="109">
        <v>108</v>
      </c>
      <c r="E1173" s="49">
        <v>1986</v>
      </c>
      <c r="F1173" s="332">
        <f t="shared" si="326"/>
        <v>33</v>
      </c>
      <c r="G1173" s="68"/>
      <c r="H1173" s="69"/>
      <c r="I1173" s="70"/>
      <c r="J1173" s="71"/>
      <c r="K1173" s="71"/>
      <c r="L1173" s="71"/>
      <c r="M1173" s="71"/>
    </row>
    <row r="1174" spans="1:13" s="72" customFormat="1" ht="21" customHeight="1" x14ac:dyDescent="0.25">
      <c r="A1174" s="525" t="s">
        <v>221</v>
      </c>
      <c r="B1174" s="525" t="s">
        <v>637</v>
      </c>
      <c r="C1174" s="119"/>
      <c r="D1174" s="109"/>
      <c r="E1174" s="74"/>
      <c r="F1174" s="329"/>
      <c r="G1174" s="68"/>
      <c r="H1174" s="69"/>
      <c r="I1174" s="70"/>
      <c r="J1174" s="71"/>
      <c r="K1174" s="71"/>
      <c r="L1174" s="71"/>
      <c r="M1174" s="71"/>
    </row>
    <row r="1175" spans="1:13" s="72" customFormat="1" x14ac:dyDescent="0.25">
      <c r="A1175" s="531"/>
      <c r="B1175" s="531"/>
      <c r="C1175" s="119">
        <v>93</v>
      </c>
      <c r="D1175" s="109">
        <v>133</v>
      </c>
      <c r="E1175" s="49">
        <v>1985</v>
      </c>
      <c r="F1175" s="332">
        <f t="shared" ref="F1175:F1176" si="327">2019-E1175</f>
        <v>34</v>
      </c>
      <c r="G1175" s="68"/>
      <c r="H1175" s="69"/>
      <c r="I1175" s="70"/>
      <c r="J1175" s="71"/>
      <c r="K1175" s="71"/>
      <c r="L1175" s="71"/>
      <c r="M1175" s="71"/>
    </row>
    <row r="1176" spans="1:13" s="72" customFormat="1" x14ac:dyDescent="0.25">
      <c r="A1176" s="526"/>
      <c r="B1176" s="526"/>
      <c r="C1176" s="119">
        <v>93</v>
      </c>
      <c r="D1176" s="109">
        <v>89</v>
      </c>
      <c r="E1176" s="49">
        <v>1985</v>
      </c>
      <c r="F1176" s="332">
        <f t="shared" si="327"/>
        <v>34</v>
      </c>
      <c r="G1176" s="68"/>
      <c r="H1176" s="69"/>
      <c r="I1176" s="70"/>
      <c r="J1176" s="71"/>
      <c r="K1176" s="71"/>
      <c r="L1176" s="71"/>
      <c r="M1176" s="71"/>
    </row>
    <row r="1177" spans="1:13" s="72" customFormat="1" ht="18" customHeight="1" x14ac:dyDescent="0.25">
      <c r="A1177" s="534" t="s">
        <v>638</v>
      </c>
      <c r="B1177" s="525" t="s">
        <v>639</v>
      </c>
      <c r="C1177" s="119"/>
      <c r="D1177" s="109"/>
      <c r="E1177" s="74"/>
      <c r="F1177" s="329"/>
      <c r="G1177" s="68"/>
      <c r="H1177" s="69"/>
      <c r="I1177" s="70"/>
      <c r="J1177" s="71"/>
      <c r="K1177" s="71"/>
      <c r="L1177" s="71"/>
      <c r="M1177" s="71"/>
    </row>
    <row r="1178" spans="1:13" s="72" customFormat="1" x14ac:dyDescent="0.25">
      <c r="A1178" s="536"/>
      <c r="B1178" s="531"/>
      <c r="C1178" s="119">
        <v>45</v>
      </c>
      <c r="D1178" s="109">
        <v>108</v>
      </c>
      <c r="E1178" s="49">
        <v>1985</v>
      </c>
      <c r="F1178" s="332">
        <f t="shared" ref="F1178:F1179" si="328">2019-E1178</f>
        <v>34</v>
      </c>
      <c r="G1178" s="68"/>
      <c r="H1178" s="69"/>
      <c r="I1178" s="70"/>
      <c r="J1178" s="71"/>
      <c r="K1178" s="71"/>
      <c r="L1178" s="71"/>
      <c r="M1178" s="71"/>
    </row>
    <row r="1179" spans="1:13" s="72" customFormat="1" x14ac:dyDescent="0.25">
      <c r="A1179" s="535"/>
      <c r="B1179" s="526"/>
      <c r="C1179" s="119">
        <v>45</v>
      </c>
      <c r="D1179" s="109">
        <v>89</v>
      </c>
      <c r="E1179" s="49">
        <v>1985</v>
      </c>
      <c r="F1179" s="332">
        <f t="shared" si="328"/>
        <v>34</v>
      </c>
      <c r="G1179" s="68"/>
      <c r="H1179" s="69"/>
      <c r="I1179" s="70"/>
      <c r="J1179" s="71"/>
      <c r="K1179" s="71"/>
      <c r="L1179" s="71"/>
      <c r="M1179" s="71"/>
    </row>
    <row r="1180" spans="1:13" s="72" customFormat="1" ht="15.75" customHeight="1" x14ac:dyDescent="0.25">
      <c r="A1180" s="534" t="s">
        <v>640</v>
      </c>
      <c r="B1180" s="534" t="s">
        <v>641</v>
      </c>
      <c r="C1180" s="119"/>
      <c r="D1180" s="109"/>
      <c r="E1180" s="74"/>
      <c r="F1180" s="329"/>
      <c r="G1180" s="68"/>
      <c r="H1180" s="69"/>
      <c r="I1180" s="70"/>
      <c r="J1180" s="71"/>
      <c r="K1180" s="71"/>
      <c r="L1180" s="71"/>
      <c r="M1180" s="71"/>
    </row>
    <row r="1181" spans="1:13" s="72" customFormat="1" ht="20.25" customHeight="1" x14ac:dyDescent="0.25">
      <c r="A1181" s="536"/>
      <c r="B1181" s="536"/>
      <c r="C1181" s="78">
        <v>42</v>
      </c>
      <c r="D1181" s="109">
        <v>133</v>
      </c>
      <c r="E1181" s="83">
        <v>2005</v>
      </c>
      <c r="F1181" s="332">
        <f t="shared" ref="F1181:F1182" si="329">2019-E1181</f>
        <v>14</v>
      </c>
      <c r="G1181" s="68"/>
      <c r="H1181" s="69"/>
      <c r="I1181" s="70"/>
      <c r="J1181" s="71"/>
      <c r="K1181" s="71"/>
      <c r="L1181" s="71"/>
      <c r="M1181" s="71"/>
    </row>
    <row r="1182" spans="1:13" s="72" customFormat="1" x14ac:dyDescent="0.25">
      <c r="A1182" s="535"/>
      <c r="B1182" s="535"/>
      <c r="C1182" s="78">
        <v>42</v>
      </c>
      <c r="D1182" s="109">
        <v>89</v>
      </c>
      <c r="E1182" s="83">
        <v>2005</v>
      </c>
      <c r="F1182" s="332">
        <f t="shared" si="329"/>
        <v>14</v>
      </c>
      <c r="G1182" s="68"/>
      <c r="H1182" s="69"/>
      <c r="I1182" s="70"/>
      <c r="J1182" s="71"/>
      <c r="K1182" s="71"/>
      <c r="L1182" s="71"/>
      <c r="M1182" s="71"/>
    </row>
    <row r="1183" spans="1:13" s="72" customFormat="1" ht="15.75" customHeight="1" x14ac:dyDescent="0.25">
      <c r="A1183" s="525" t="s">
        <v>354</v>
      </c>
      <c r="B1183" s="525" t="s">
        <v>642</v>
      </c>
      <c r="C1183" s="122"/>
      <c r="D1183" s="109"/>
      <c r="E1183" s="74"/>
      <c r="F1183" s="329"/>
      <c r="G1183" s="68"/>
      <c r="H1183" s="69"/>
      <c r="I1183" s="70"/>
      <c r="J1183" s="71"/>
      <c r="K1183" s="71"/>
      <c r="L1183" s="71"/>
      <c r="M1183" s="71"/>
    </row>
    <row r="1184" spans="1:13" s="72" customFormat="1" ht="18.75" customHeight="1" x14ac:dyDescent="0.25">
      <c r="A1184" s="531"/>
      <c r="B1184" s="531"/>
      <c r="C1184" s="122">
        <v>38</v>
      </c>
      <c r="D1184" s="109">
        <v>273</v>
      </c>
      <c r="E1184" s="49">
        <v>1987</v>
      </c>
      <c r="F1184" s="332">
        <f t="shared" ref="F1184:F1185" si="330">2019-E1184</f>
        <v>32</v>
      </c>
      <c r="G1184" s="68"/>
      <c r="H1184" s="69"/>
      <c r="I1184" s="70"/>
      <c r="J1184" s="71"/>
      <c r="K1184" s="71"/>
      <c r="L1184" s="71"/>
      <c r="M1184" s="71"/>
    </row>
    <row r="1185" spans="1:13" s="72" customFormat="1" x14ac:dyDescent="0.25">
      <c r="A1185" s="526"/>
      <c r="B1185" s="526"/>
      <c r="C1185" s="122">
        <v>38</v>
      </c>
      <c r="D1185" s="109">
        <v>159</v>
      </c>
      <c r="E1185" s="49">
        <v>1987</v>
      </c>
      <c r="F1185" s="332">
        <f t="shared" si="330"/>
        <v>32</v>
      </c>
      <c r="G1185" s="68"/>
      <c r="H1185" s="69"/>
      <c r="I1185" s="70"/>
      <c r="J1185" s="71"/>
      <c r="K1185" s="71"/>
      <c r="L1185" s="71"/>
      <c r="M1185" s="71"/>
    </row>
    <row r="1186" spans="1:13" s="72" customFormat="1" ht="15.75" customHeight="1" x14ac:dyDescent="0.25">
      <c r="A1186" s="525" t="s">
        <v>643</v>
      </c>
      <c r="B1186" s="525" t="s">
        <v>644</v>
      </c>
      <c r="C1186" s="122"/>
      <c r="D1186" s="109"/>
      <c r="E1186" s="74"/>
      <c r="F1186" s="329"/>
      <c r="G1186" s="68"/>
      <c r="H1186" s="69"/>
      <c r="I1186" s="70"/>
      <c r="J1186" s="71"/>
      <c r="K1186" s="71"/>
      <c r="L1186" s="71"/>
      <c r="M1186" s="71"/>
    </row>
    <row r="1187" spans="1:13" s="72" customFormat="1" ht="21.75" customHeight="1" x14ac:dyDescent="0.25">
      <c r="A1187" s="531"/>
      <c r="B1187" s="531"/>
      <c r="C1187" s="122">
        <v>62</v>
      </c>
      <c r="D1187" s="109">
        <v>219</v>
      </c>
      <c r="E1187" s="49">
        <v>1987</v>
      </c>
      <c r="F1187" s="332">
        <f t="shared" ref="F1187:F1188" si="331">2019-E1187</f>
        <v>32</v>
      </c>
      <c r="G1187" s="68"/>
      <c r="H1187" s="69"/>
      <c r="I1187" s="70"/>
      <c r="J1187" s="71"/>
      <c r="K1187" s="71"/>
      <c r="L1187" s="71"/>
      <c r="M1187" s="71"/>
    </row>
    <row r="1188" spans="1:13" s="72" customFormat="1" x14ac:dyDescent="0.25">
      <c r="A1188" s="526"/>
      <c r="B1188" s="526"/>
      <c r="C1188" s="122">
        <v>62</v>
      </c>
      <c r="D1188" s="109">
        <v>133</v>
      </c>
      <c r="E1188" s="49">
        <v>1987</v>
      </c>
      <c r="F1188" s="332">
        <f t="shared" si="331"/>
        <v>32</v>
      </c>
      <c r="G1188" s="68"/>
      <c r="H1188" s="69"/>
      <c r="I1188" s="70"/>
      <c r="J1188" s="71"/>
      <c r="K1188" s="71"/>
      <c r="L1188" s="71"/>
      <c r="M1188" s="71"/>
    </row>
    <row r="1189" spans="1:13" s="72" customFormat="1" ht="15.75" customHeight="1" x14ac:dyDescent="0.25">
      <c r="A1189" s="525" t="s">
        <v>208</v>
      </c>
      <c r="B1189" s="525" t="s">
        <v>313</v>
      </c>
      <c r="C1189" s="122"/>
      <c r="D1189" s="109"/>
      <c r="E1189" s="74"/>
      <c r="F1189" s="329"/>
      <c r="G1189" s="68"/>
      <c r="H1189" s="69"/>
      <c r="I1189" s="70"/>
      <c r="J1189" s="71"/>
      <c r="K1189" s="71"/>
      <c r="L1189" s="71"/>
      <c r="M1189" s="71"/>
    </row>
    <row r="1190" spans="1:13" s="72" customFormat="1" ht="21" customHeight="1" x14ac:dyDescent="0.25">
      <c r="A1190" s="531"/>
      <c r="B1190" s="531"/>
      <c r="C1190" s="122">
        <v>56</v>
      </c>
      <c r="D1190" s="109">
        <v>108</v>
      </c>
      <c r="E1190" s="49">
        <v>1987</v>
      </c>
      <c r="F1190" s="332">
        <f t="shared" ref="F1190:F1191" si="332">2019-E1190</f>
        <v>32</v>
      </c>
      <c r="G1190" s="68"/>
      <c r="H1190" s="69"/>
      <c r="I1190" s="70"/>
      <c r="J1190" s="71"/>
      <c r="K1190" s="71"/>
      <c r="L1190" s="71"/>
      <c r="M1190" s="71"/>
    </row>
    <row r="1191" spans="1:13" s="72" customFormat="1" x14ac:dyDescent="0.25">
      <c r="A1191" s="526"/>
      <c r="B1191" s="526"/>
      <c r="C1191" s="122">
        <v>56</v>
      </c>
      <c r="D1191" s="109">
        <v>76</v>
      </c>
      <c r="E1191" s="49">
        <v>1987</v>
      </c>
      <c r="F1191" s="332">
        <f t="shared" si="332"/>
        <v>32</v>
      </c>
      <c r="G1191" s="68"/>
      <c r="H1191" s="69"/>
      <c r="I1191" s="70"/>
      <c r="J1191" s="71"/>
      <c r="K1191" s="71"/>
      <c r="L1191" s="71"/>
      <c r="M1191" s="71"/>
    </row>
    <row r="1192" spans="1:13" s="72" customFormat="1" ht="15.75" customHeight="1" x14ac:dyDescent="0.25">
      <c r="A1192" s="525" t="s">
        <v>580</v>
      </c>
      <c r="B1192" s="525" t="s">
        <v>645</v>
      </c>
      <c r="C1192" s="122"/>
      <c r="D1192" s="109"/>
      <c r="E1192" s="74"/>
      <c r="F1192" s="329"/>
      <c r="G1192" s="68"/>
      <c r="H1192" s="69"/>
      <c r="I1192" s="70"/>
      <c r="J1192" s="71"/>
      <c r="K1192" s="71"/>
      <c r="L1192" s="71"/>
      <c r="M1192" s="71"/>
    </row>
    <row r="1193" spans="1:13" s="72" customFormat="1" ht="18.75" customHeight="1" x14ac:dyDescent="0.25">
      <c r="A1193" s="531"/>
      <c r="B1193" s="531"/>
      <c r="C1193" s="122">
        <v>12</v>
      </c>
      <c r="D1193" s="109">
        <v>89</v>
      </c>
      <c r="E1193" s="49">
        <v>1987</v>
      </c>
      <c r="F1193" s="332">
        <f t="shared" ref="F1193:F1194" si="333">2019-E1193</f>
        <v>32</v>
      </c>
      <c r="G1193" s="68"/>
      <c r="H1193" s="69"/>
      <c r="I1193" s="70"/>
      <c r="J1193" s="71"/>
      <c r="K1193" s="71"/>
      <c r="L1193" s="71"/>
      <c r="M1193" s="71"/>
    </row>
    <row r="1194" spans="1:13" s="72" customFormat="1" x14ac:dyDescent="0.25">
      <c r="A1194" s="526"/>
      <c r="B1194" s="526"/>
      <c r="C1194" s="122">
        <v>12</v>
      </c>
      <c r="D1194" s="109">
        <v>57</v>
      </c>
      <c r="E1194" s="49">
        <v>1987</v>
      </c>
      <c r="F1194" s="332">
        <f t="shared" si="333"/>
        <v>32</v>
      </c>
      <c r="G1194" s="68"/>
      <c r="H1194" s="69"/>
      <c r="I1194" s="70"/>
      <c r="J1194" s="71"/>
      <c r="K1194" s="71"/>
      <c r="L1194" s="71"/>
      <c r="M1194" s="71"/>
    </row>
    <row r="1195" spans="1:13" s="72" customFormat="1" ht="15.75" customHeight="1" x14ac:dyDescent="0.25">
      <c r="A1195" s="525" t="s">
        <v>580</v>
      </c>
      <c r="B1195" s="525" t="s">
        <v>646</v>
      </c>
      <c r="C1195" s="122"/>
      <c r="D1195" s="109"/>
      <c r="E1195" s="74"/>
      <c r="F1195" s="329"/>
      <c r="G1195" s="68"/>
      <c r="H1195" s="69"/>
      <c r="I1195" s="70"/>
      <c r="J1195" s="71"/>
      <c r="K1195" s="71"/>
      <c r="L1195" s="71"/>
      <c r="M1195" s="71"/>
    </row>
    <row r="1196" spans="1:13" s="72" customFormat="1" ht="17.25" customHeight="1" x14ac:dyDescent="0.25">
      <c r="A1196" s="531"/>
      <c r="B1196" s="531"/>
      <c r="C1196" s="118">
        <v>79</v>
      </c>
      <c r="D1196" s="109">
        <v>89</v>
      </c>
      <c r="E1196" s="83">
        <v>2005</v>
      </c>
      <c r="F1196" s="332">
        <f t="shared" ref="F1196:F1197" si="334">2019-E1196</f>
        <v>14</v>
      </c>
      <c r="G1196" s="68"/>
      <c r="H1196" s="69"/>
      <c r="I1196" s="70"/>
      <c r="J1196" s="71"/>
      <c r="K1196" s="71"/>
      <c r="L1196" s="71"/>
      <c r="M1196" s="71"/>
    </row>
    <row r="1197" spans="1:13" s="72" customFormat="1" x14ac:dyDescent="0.25">
      <c r="A1197" s="526"/>
      <c r="B1197" s="526"/>
      <c r="C1197" s="118">
        <v>79</v>
      </c>
      <c r="D1197" s="109">
        <v>57</v>
      </c>
      <c r="E1197" s="83">
        <v>2005</v>
      </c>
      <c r="F1197" s="332">
        <f t="shared" si="334"/>
        <v>14</v>
      </c>
      <c r="G1197" s="68"/>
      <c r="H1197" s="69"/>
      <c r="I1197" s="70"/>
      <c r="J1197" s="71"/>
      <c r="K1197" s="71"/>
      <c r="L1197" s="71"/>
      <c r="M1197" s="71"/>
    </row>
    <row r="1198" spans="1:13" s="72" customFormat="1" ht="15.75" customHeight="1" x14ac:dyDescent="0.25">
      <c r="A1198" s="525" t="s">
        <v>208</v>
      </c>
      <c r="B1198" s="525" t="s">
        <v>647</v>
      </c>
      <c r="C1198" s="121"/>
      <c r="D1198" s="49"/>
      <c r="E1198" s="74"/>
      <c r="F1198" s="329"/>
      <c r="G1198" s="68"/>
      <c r="H1198" s="69"/>
      <c r="I1198" s="70"/>
      <c r="J1198" s="71"/>
      <c r="K1198" s="71"/>
      <c r="L1198" s="71"/>
      <c r="M1198" s="71"/>
    </row>
    <row r="1199" spans="1:13" s="72" customFormat="1" ht="21.75" customHeight="1" x14ac:dyDescent="0.25">
      <c r="A1199" s="531"/>
      <c r="B1199" s="531"/>
      <c r="C1199" s="121">
        <v>8</v>
      </c>
      <c r="D1199" s="49">
        <v>89</v>
      </c>
      <c r="E1199" s="49">
        <v>1987</v>
      </c>
      <c r="F1199" s="332">
        <f t="shared" ref="F1199:F1200" si="335">2019-E1199</f>
        <v>32</v>
      </c>
      <c r="G1199" s="68"/>
      <c r="H1199" s="69"/>
      <c r="I1199" s="70"/>
      <c r="J1199" s="71"/>
      <c r="K1199" s="71"/>
      <c r="L1199" s="71"/>
      <c r="M1199" s="71"/>
    </row>
    <row r="1200" spans="1:13" s="72" customFormat="1" x14ac:dyDescent="0.25">
      <c r="A1200" s="526"/>
      <c r="B1200" s="526"/>
      <c r="C1200" s="121">
        <v>8</v>
      </c>
      <c r="D1200" s="49">
        <v>89</v>
      </c>
      <c r="E1200" s="49">
        <v>1987</v>
      </c>
      <c r="F1200" s="332">
        <f t="shared" si="335"/>
        <v>32</v>
      </c>
      <c r="G1200" s="68"/>
      <c r="H1200" s="69"/>
      <c r="I1200" s="70"/>
      <c r="J1200" s="71"/>
      <c r="K1200" s="71"/>
      <c r="L1200" s="71"/>
      <c r="M1200" s="71"/>
    </row>
    <row r="1201" spans="1:13" s="72" customFormat="1" ht="15.75" customHeight="1" x14ac:dyDescent="0.25">
      <c r="A1201" s="525" t="s">
        <v>648</v>
      </c>
      <c r="B1201" s="525" t="s">
        <v>649</v>
      </c>
      <c r="C1201" s="121"/>
      <c r="D1201" s="49"/>
      <c r="E1201" s="74"/>
      <c r="F1201" s="329"/>
      <c r="G1201" s="68"/>
      <c r="H1201" s="69"/>
      <c r="I1201" s="70"/>
      <c r="J1201" s="71"/>
      <c r="K1201" s="71"/>
      <c r="L1201" s="71"/>
      <c r="M1201" s="71"/>
    </row>
    <row r="1202" spans="1:13" s="72" customFormat="1" ht="21" customHeight="1" x14ac:dyDescent="0.25">
      <c r="A1202" s="531"/>
      <c r="B1202" s="531"/>
      <c r="C1202" s="121">
        <v>14</v>
      </c>
      <c r="D1202" s="49">
        <v>57</v>
      </c>
      <c r="E1202" s="83">
        <v>1988</v>
      </c>
      <c r="F1202" s="332">
        <f t="shared" ref="F1202:F1203" si="336">2019-E1202</f>
        <v>31</v>
      </c>
      <c r="G1202" s="68"/>
      <c r="H1202" s="69"/>
      <c r="I1202" s="70"/>
      <c r="J1202" s="71"/>
      <c r="K1202" s="71"/>
      <c r="L1202" s="71"/>
      <c r="M1202" s="71"/>
    </row>
    <row r="1203" spans="1:13" s="72" customFormat="1" x14ac:dyDescent="0.25">
      <c r="A1203" s="526"/>
      <c r="B1203" s="526"/>
      <c r="C1203" s="90">
        <v>14</v>
      </c>
      <c r="D1203" s="49">
        <v>32</v>
      </c>
      <c r="E1203" s="83">
        <v>1988</v>
      </c>
      <c r="F1203" s="332">
        <f t="shared" si="336"/>
        <v>31</v>
      </c>
      <c r="G1203" s="68"/>
      <c r="H1203" s="69"/>
      <c r="I1203" s="70"/>
      <c r="J1203" s="71"/>
      <c r="K1203" s="71"/>
      <c r="L1203" s="71"/>
      <c r="M1203" s="71"/>
    </row>
    <row r="1204" spans="1:13" s="72" customFormat="1" ht="15.75" customHeight="1" x14ac:dyDescent="0.25">
      <c r="A1204" s="525" t="s">
        <v>555</v>
      </c>
      <c r="B1204" s="525" t="s">
        <v>529</v>
      </c>
      <c r="C1204" s="121"/>
      <c r="D1204" s="49"/>
      <c r="E1204" s="74"/>
      <c r="F1204" s="329"/>
      <c r="G1204" s="68"/>
      <c r="H1204" s="69"/>
      <c r="I1204" s="70"/>
      <c r="J1204" s="71"/>
      <c r="K1204" s="71"/>
      <c r="L1204" s="71"/>
      <c r="M1204" s="71"/>
    </row>
    <row r="1205" spans="1:13" s="72" customFormat="1" ht="17.25" customHeight="1" x14ac:dyDescent="0.25">
      <c r="A1205" s="531"/>
      <c r="B1205" s="531"/>
      <c r="C1205" s="121">
        <v>28</v>
      </c>
      <c r="D1205" s="49">
        <v>76</v>
      </c>
      <c r="E1205" s="83">
        <v>1988</v>
      </c>
      <c r="F1205" s="332">
        <f t="shared" ref="F1205:F1206" si="337">2019-E1205</f>
        <v>31</v>
      </c>
      <c r="G1205" s="68"/>
      <c r="H1205" s="69"/>
      <c r="I1205" s="70"/>
      <c r="J1205" s="71"/>
      <c r="K1205" s="71"/>
      <c r="L1205" s="71"/>
      <c r="M1205" s="71"/>
    </row>
    <row r="1206" spans="1:13" s="72" customFormat="1" x14ac:dyDescent="0.25">
      <c r="A1206" s="526"/>
      <c r="B1206" s="526"/>
      <c r="C1206" s="121">
        <v>28</v>
      </c>
      <c r="D1206" s="49">
        <v>57</v>
      </c>
      <c r="E1206" s="83">
        <v>1988</v>
      </c>
      <c r="F1206" s="332">
        <f t="shared" si="337"/>
        <v>31</v>
      </c>
      <c r="G1206" s="68"/>
      <c r="H1206" s="69"/>
      <c r="I1206" s="70"/>
      <c r="J1206" s="71"/>
      <c r="K1206" s="71"/>
      <c r="L1206" s="71"/>
      <c r="M1206" s="71"/>
    </row>
    <row r="1207" spans="1:13" s="72" customFormat="1" ht="15.75" customHeight="1" x14ac:dyDescent="0.25">
      <c r="A1207" s="525" t="s">
        <v>572</v>
      </c>
      <c r="B1207" s="525" t="s">
        <v>650</v>
      </c>
      <c r="C1207" s="121"/>
      <c r="D1207" s="49"/>
      <c r="E1207" s="74"/>
      <c r="F1207" s="329"/>
      <c r="G1207" s="68"/>
      <c r="H1207" s="69"/>
      <c r="I1207" s="70"/>
      <c r="J1207" s="71"/>
      <c r="K1207" s="71"/>
      <c r="L1207" s="71"/>
      <c r="M1207" s="71"/>
    </row>
    <row r="1208" spans="1:13" s="72" customFormat="1" ht="23.25" customHeight="1" x14ac:dyDescent="0.25">
      <c r="A1208" s="531"/>
      <c r="B1208" s="531"/>
      <c r="C1208" s="121">
        <v>24</v>
      </c>
      <c r="D1208" s="49">
        <v>57</v>
      </c>
      <c r="E1208" s="83">
        <v>1988</v>
      </c>
      <c r="F1208" s="332">
        <f t="shared" ref="F1208:F1209" si="338">2019-E1208</f>
        <v>31</v>
      </c>
      <c r="G1208" s="68"/>
      <c r="H1208" s="69"/>
      <c r="I1208" s="70"/>
      <c r="J1208" s="71"/>
      <c r="K1208" s="71"/>
      <c r="L1208" s="71"/>
      <c r="M1208" s="71"/>
    </row>
    <row r="1209" spans="1:13" s="72" customFormat="1" x14ac:dyDescent="0.25">
      <c r="A1209" s="526"/>
      <c r="B1209" s="526"/>
      <c r="C1209" s="121">
        <v>24</v>
      </c>
      <c r="D1209" s="49">
        <v>40</v>
      </c>
      <c r="E1209" s="83">
        <v>1988</v>
      </c>
      <c r="F1209" s="332">
        <f t="shared" si="338"/>
        <v>31</v>
      </c>
      <c r="G1209" s="68"/>
      <c r="H1209" s="69"/>
      <c r="I1209" s="70"/>
      <c r="J1209" s="71"/>
      <c r="K1209" s="71"/>
      <c r="L1209" s="71"/>
      <c r="M1209" s="71"/>
    </row>
    <row r="1210" spans="1:13" s="72" customFormat="1" ht="15.75" customHeight="1" x14ac:dyDescent="0.25">
      <c r="A1210" s="525" t="s">
        <v>488</v>
      </c>
      <c r="B1210" s="525" t="s">
        <v>651</v>
      </c>
      <c r="C1210" s="121"/>
      <c r="D1210" s="49"/>
      <c r="E1210" s="74"/>
      <c r="F1210" s="329"/>
      <c r="G1210" s="68"/>
      <c r="H1210" s="69"/>
      <c r="I1210" s="70"/>
      <c r="J1210" s="71"/>
      <c r="K1210" s="71"/>
      <c r="L1210" s="71"/>
      <c r="M1210" s="71"/>
    </row>
    <row r="1211" spans="1:13" s="72" customFormat="1" ht="18.75" customHeight="1" x14ac:dyDescent="0.25">
      <c r="A1211" s="531"/>
      <c r="B1211" s="531"/>
      <c r="C1211" s="121">
        <v>18</v>
      </c>
      <c r="D1211" s="49">
        <v>57</v>
      </c>
      <c r="E1211" s="83">
        <v>1988</v>
      </c>
      <c r="F1211" s="332">
        <f t="shared" ref="F1211:F1212" si="339">2019-E1211</f>
        <v>31</v>
      </c>
      <c r="G1211" s="68"/>
      <c r="H1211" s="69"/>
      <c r="I1211" s="70"/>
      <c r="J1211" s="71"/>
      <c r="K1211" s="71"/>
      <c r="L1211" s="71"/>
      <c r="M1211" s="71"/>
    </row>
    <row r="1212" spans="1:13" s="72" customFormat="1" x14ac:dyDescent="0.25">
      <c r="A1212" s="526"/>
      <c r="B1212" s="526"/>
      <c r="C1212" s="90">
        <v>18</v>
      </c>
      <c r="D1212" s="49">
        <v>25</v>
      </c>
      <c r="E1212" s="83">
        <v>1988</v>
      </c>
      <c r="F1212" s="332">
        <f t="shared" si="339"/>
        <v>31</v>
      </c>
      <c r="G1212" s="68"/>
      <c r="H1212" s="69"/>
      <c r="I1212" s="70"/>
      <c r="J1212" s="71"/>
      <c r="K1212" s="71"/>
      <c r="L1212" s="71"/>
      <c r="M1212" s="71"/>
    </row>
    <row r="1213" spans="1:13" s="72" customFormat="1" ht="15.75" customHeight="1" x14ac:dyDescent="0.25">
      <c r="A1213" s="525" t="s">
        <v>449</v>
      </c>
      <c r="B1213" s="525" t="s">
        <v>516</v>
      </c>
      <c r="C1213" s="121"/>
      <c r="D1213" s="49"/>
      <c r="E1213" s="74"/>
      <c r="F1213" s="329"/>
      <c r="G1213" s="68"/>
      <c r="H1213" s="69"/>
      <c r="I1213" s="70"/>
      <c r="J1213" s="71"/>
      <c r="K1213" s="71"/>
      <c r="L1213" s="71"/>
      <c r="M1213" s="71"/>
    </row>
    <row r="1214" spans="1:13" s="72" customFormat="1" ht="19.5" customHeight="1" x14ac:dyDescent="0.25">
      <c r="A1214" s="531"/>
      <c r="B1214" s="531"/>
      <c r="C1214" s="121">
        <v>68</v>
      </c>
      <c r="D1214" s="49">
        <v>159</v>
      </c>
      <c r="E1214" s="83">
        <v>1988</v>
      </c>
      <c r="F1214" s="332">
        <f t="shared" ref="F1214:F1215" si="340">2019-E1214</f>
        <v>31</v>
      </c>
      <c r="G1214" s="68"/>
      <c r="H1214" s="69"/>
      <c r="I1214" s="70"/>
      <c r="J1214" s="71"/>
      <c r="K1214" s="71"/>
      <c r="L1214" s="71"/>
      <c r="M1214" s="71"/>
    </row>
    <row r="1215" spans="1:13" s="72" customFormat="1" x14ac:dyDescent="0.25">
      <c r="A1215" s="526"/>
      <c r="B1215" s="526"/>
      <c r="C1215" s="121">
        <v>68</v>
      </c>
      <c r="D1215" s="49">
        <v>89</v>
      </c>
      <c r="E1215" s="83">
        <v>1988</v>
      </c>
      <c r="F1215" s="332">
        <f t="shared" si="340"/>
        <v>31</v>
      </c>
      <c r="G1215" s="68"/>
      <c r="H1215" s="69"/>
      <c r="I1215" s="70"/>
      <c r="J1215" s="71"/>
      <c r="K1215" s="71"/>
      <c r="L1215" s="71"/>
      <c r="M1215" s="71"/>
    </row>
    <row r="1216" spans="1:13" s="72" customFormat="1" ht="15.75" customHeight="1" x14ac:dyDescent="0.25">
      <c r="A1216" s="525" t="s">
        <v>451</v>
      </c>
      <c r="B1216" s="525" t="s">
        <v>652</v>
      </c>
      <c r="C1216" s="121"/>
      <c r="D1216" s="49"/>
      <c r="E1216" s="74"/>
      <c r="F1216" s="329"/>
      <c r="G1216" s="68"/>
      <c r="H1216" s="69"/>
      <c r="I1216" s="70"/>
      <c r="J1216" s="71"/>
      <c r="K1216" s="71"/>
      <c r="L1216" s="71"/>
      <c r="M1216" s="71"/>
    </row>
    <row r="1217" spans="1:13" s="72" customFormat="1" ht="17.25" customHeight="1" x14ac:dyDescent="0.25">
      <c r="A1217" s="531"/>
      <c r="B1217" s="531"/>
      <c r="C1217" s="121">
        <v>26</v>
      </c>
      <c r="D1217" s="49">
        <v>89</v>
      </c>
      <c r="E1217" s="49">
        <v>1986</v>
      </c>
      <c r="F1217" s="332">
        <f t="shared" ref="F1217:F1218" si="341">2019-E1217</f>
        <v>33</v>
      </c>
      <c r="G1217" s="68"/>
      <c r="H1217" s="69"/>
      <c r="I1217" s="70"/>
      <c r="J1217" s="71"/>
      <c r="K1217" s="71"/>
      <c r="L1217" s="71"/>
      <c r="M1217" s="71"/>
    </row>
    <row r="1218" spans="1:13" s="72" customFormat="1" x14ac:dyDescent="0.25">
      <c r="A1218" s="526"/>
      <c r="B1218" s="526"/>
      <c r="C1218" s="121">
        <v>26</v>
      </c>
      <c r="D1218" s="49">
        <v>57</v>
      </c>
      <c r="E1218" s="49">
        <v>1986</v>
      </c>
      <c r="F1218" s="332">
        <f t="shared" si="341"/>
        <v>33</v>
      </c>
      <c r="G1218" s="68"/>
      <c r="H1218" s="69"/>
      <c r="I1218" s="70"/>
      <c r="J1218" s="71"/>
      <c r="K1218" s="71"/>
      <c r="L1218" s="71"/>
      <c r="M1218" s="71"/>
    </row>
    <row r="1219" spans="1:13" s="72" customFormat="1" ht="15.75" customHeight="1" x14ac:dyDescent="0.25">
      <c r="A1219" s="525" t="s">
        <v>365</v>
      </c>
      <c r="B1219" s="525" t="s">
        <v>653</v>
      </c>
      <c r="C1219" s="121"/>
      <c r="D1219" s="49"/>
      <c r="E1219" s="74"/>
      <c r="F1219" s="329"/>
      <c r="G1219" s="68"/>
      <c r="H1219" s="69"/>
      <c r="I1219" s="70"/>
      <c r="J1219" s="71"/>
      <c r="K1219" s="71"/>
      <c r="L1219" s="71"/>
      <c r="M1219" s="71"/>
    </row>
    <row r="1220" spans="1:13" s="72" customFormat="1" ht="20.25" customHeight="1" x14ac:dyDescent="0.25">
      <c r="A1220" s="531"/>
      <c r="B1220" s="531"/>
      <c r="C1220" s="90">
        <v>27</v>
      </c>
      <c r="D1220" s="49">
        <v>89</v>
      </c>
      <c r="E1220" s="49">
        <v>2009</v>
      </c>
      <c r="F1220" s="332">
        <f t="shared" ref="F1220:F1221" si="342">2019-E1220</f>
        <v>10</v>
      </c>
      <c r="G1220" s="68"/>
      <c r="H1220" s="69"/>
      <c r="I1220" s="70"/>
      <c r="J1220" s="71"/>
      <c r="K1220" s="71"/>
      <c r="L1220" s="71"/>
      <c r="M1220" s="71"/>
    </row>
    <row r="1221" spans="1:13" s="72" customFormat="1" x14ac:dyDescent="0.25">
      <c r="A1221" s="526"/>
      <c r="B1221" s="526"/>
      <c r="C1221" s="90">
        <v>27</v>
      </c>
      <c r="D1221" s="49">
        <v>57</v>
      </c>
      <c r="E1221" s="49">
        <v>2009</v>
      </c>
      <c r="F1221" s="332">
        <f t="shared" si="342"/>
        <v>10</v>
      </c>
      <c r="G1221" s="68"/>
      <c r="H1221" s="69"/>
      <c r="I1221" s="70"/>
      <c r="J1221" s="71"/>
      <c r="K1221" s="71"/>
      <c r="L1221" s="71"/>
      <c r="M1221" s="71"/>
    </row>
    <row r="1222" spans="1:13" s="72" customFormat="1" ht="15.75" customHeight="1" x14ac:dyDescent="0.25">
      <c r="A1222" s="525" t="s">
        <v>200</v>
      </c>
      <c r="B1222" s="525" t="s">
        <v>654</v>
      </c>
      <c r="C1222" s="121"/>
      <c r="D1222" s="49"/>
      <c r="E1222" s="74"/>
      <c r="F1222" s="329"/>
      <c r="G1222" s="68"/>
      <c r="H1222" s="69"/>
      <c r="I1222" s="70"/>
      <c r="J1222" s="71"/>
      <c r="K1222" s="71"/>
      <c r="L1222" s="71"/>
      <c r="M1222" s="71"/>
    </row>
    <row r="1223" spans="1:13" s="72" customFormat="1" ht="20.25" customHeight="1" x14ac:dyDescent="0.25">
      <c r="A1223" s="531"/>
      <c r="B1223" s="531"/>
      <c r="C1223" s="121">
        <v>37</v>
      </c>
      <c r="D1223" s="49">
        <v>89</v>
      </c>
      <c r="E1223" s="49">
        <v>1987</v>
      </c>
      <c r="F1223" s="332">
        <f t="shared" ref="F1223:F1224" si="343">2019-E1223</f>
        <v>32</v>
      </c>
      <c r="G1223" s="68"/>
      <c r="H1223" s="69"/>
      <c r="I1223" s="70"/>
      <c r="J1223" s="71"/>
      <c r="K1223" s="71"/>
      <c r="L1223" s="71"/>
      <c r="M1223" s="71"/>
    </row>
    <row r="1224" spans="1:13" s="72" customFormat="1" x14ac:dyDescent="0.25">
      <c r="A1224" s="526"/>
      <c r="B1224" s="526"/>
      <c r="C1224" s="121">
        <v>37</v>
      </c>
      <c r="D1224" s="49">
        <v>57</v>
      </c>
      <c r="E1224" s="49">
        <v>1987</v>
      </c>
      <c r="F1224" s="332">
        <f t="shared" si="343"/>
        <v>32</v>
      </c>
      <c r="G1224" s="68"/>
      <c r="H1224" s="69"/>
      <c r="I1224" s="70"/>
      <c r="J1224" s="71"/>
      <c r="K1224" s="71"/>
      <c r="L1224" s="71"/>
      <c r="M1224" s="71"/>
    </row>
    <row r="1225" spans="1:13" s="72" customFormat="1" ht="15.75" customHeight="1" x14ac:dyDescent="0.25">
      <c r="A1225" s="525" t="s">
        <v>200</v>
      </c>
      <c r="B1225" s="525" t="s">
        <v>655</v>
      </c>
      <c r="C1225" s="121"/>
      <c r="D1225" s="49"/>
      <c r="E1225" s="74"/>
      <c r="F1225" s="329"/>
      <c r="G1225" s="68"/>
      <c r="H1225" s="69"/>
      <c r="I1225" s="70"/>
      <c r="J1225" s="71"/>
      <c r="K1225" s="71"/>
      <c r="L1225" s="71"/>
      <c r="M1225" s="71"/>
    </row>
    <row r="1226" spans="1:13" s="72" customFormat="1" ht="20.25" customHeight="1" x14ac:dyDescent="0.25">
      <c r="A1226" s="531"/>
      <c r="B1226" s="531"/>
      <c r="C1226" s="121">
        <v>8</v>
      </c>
      <c r="D1226" s="49">
        <v>108</v>
      </c>
      <c r="E1226" s="49">
        <v>1987</v>
      </c>
      <c r="F1226" s="332">
        <f t="shared" ref="F1226:F1227" si="344">2019-E1226</f>
        <v>32</v>
      </c>
      <c r="G1226" s="68"/>
      <c r="H1226" s="69"/>
      <c r="I1226" s="70"/>
      <c r="J1226" s="71"/>
      <c r="K1226" s="71"/>
      <c r="L1226" s="71"/>
      <c r="M1226" s="71"/>
    </row>
    <row r="1227" spans="1:13" s="72" customFormat="1" x14ac:dyDescent="0.25">
      <c r="A1227" s="526"/>
      <c r="B1227" s="526"/>
      <c r="C1227" s="121">
        <v>8</v>
      </c>
      <c r="D1227" s="49">
        <v>57</v>
      </c>
      <c r="E1227" s="49">
        <v>1987</v>
      </c>
      <c r="F1227" s="332">
        <f t="shared" si="344"/>
        <v>32</v>
      </c>
      <c r="G1227" s="68"/>
      <c r="H1227" s="69"/>
      <c r="I1227" s="70"/>
      <c r="J1227" s="71"/>
      <c r="K1227" s="71"/>
      <c r="L1227" s="71"/>
      <c r="M1227" s="71"/>
    </row>
    <row r="1228" spans="1:13" s="72" customFormat="1" ht="15.75" customHeight="1" x14ac:dyDescent="0.25">
      <c r="A1228" s="525" t="s">
        <v>451</v>
      </c>
      <c r="B1228" s="525" t="s">
        <v>656</v>
      </c>
      <c r="C1228" s="121"/>
      <c r="D1228" s="49"/>
      <c r="E1228" s="74"/>
      <c r="F1228" s="329"/>
      <c r="G1228" s="68"/>
      <c r="H1228" s="69"/>
      <c r="I1228" s="70"/>
      <c r="J1228" s="71"/>
      <c r="K1228" s="71"/>
      <c r="L1228" s="71"/>
      <c r="M1228" s="71"/>
    </row>
    <row r="1229" spans="1:13" s="72" customFormat="1" ht="21" customHeight="1" x14ac:dyDescent="0.25">
      <c r="A1229" s="531"/>
      <c r="B1229" s="531"/>
      <c r="C1229" s="121">
        <v>47</v>
      </c>
      <c r="D1229" s="49">
        <v>89</v>
      </c>
      <c r="E1229" s="49">
        <v>1986</v>
      </c>
      <c r="F1229" s="332">
        <f t="shared" ref="F1229:F1230" si="345">2019-E1229</f>
        <v>33</v>
      </c>
      <c r="G1229" s="68"/>
      <c r="H1229" s="69"/>
      <c r="I1229" s="70"/>
      <c r="J1229" s="71"/>
      <c r="K1229" s="71"/>
      <c r="L1229" s="71"/>
      <c r="M1229" s="71"/>
    </row>
    <row r="1230" spans="1:13" s="72" customFormat="1" x14ac:dyDescent="0.25">
      <c r="A1230" s="526"/>
      <c r="B1230" s="526"/>
      <c r="C1230" s="121">
        <v>47</v>
      </c>
      <c r="D1230" s="49">
        <v>57</v>
      </c>
      <c r="E1230" s="49">
        <v>1986</v>
      </c>
      <c r="F1230" s="332">
        <f t="shared" si="345"/>
        <v>33</v>
      </c>
      <c r="G1230" s="68"/>
      <c r="H1230" s="69"/>
      <c r="I1230" s="70"/>
      <c r="J1230" s="71"/>
      <c r="K1230" s="71"/>
      <c r="L1230" s="71"/>
      <c r="M1230" s="71"/>
    </row>
    <row r="1231" spans="1:13" s="72" customFormat="1" ht="15.75" customHeight="1" x14ac:dyDescent="0.25">
      <c r="A1231" s="525" t="s">
        <v>449</v>
      </c>
      <c r="B1231" s="525" t="s">
        <v>657</v>
      </c>
      <c r="C1231" s="121"/>
      <c r="D1231" s="49"/>
      <c r="E1231" s="74"/>
      <c r="F1231" s="329"/>
      <c r="G1231" s="68"/>
      <c r="H1231" s="69"/>
      <c r="I1231" s="70"/>
      <c r="J1231" s="71"/>
      <c r="K1231" s="71"/>
      <c r="L1231" s="71"/>
      <c r="M1231" s="71"/>
    </row>
    <row r="1232" spans="1:13" s="72" customFormat="1" ht="18" customHeight="1" x14ac:dyDescent="0.25">
      <c r="A1232" s="531"/>
      <c r="B1232" s="531"/>
      <c r="C1232" s="90">
        <v>34</v>
      </c>
      <c r="D1232" s="49">
        <v>76</v>
      </c>
      <c r="E1232" s="49">
        <v>2011</v>
      </c>
      <c r="F1232" s="332">
        <f t="shared" ref="F1232:F1233" si="346">2019-E1232</f>
        <v>8</v>
      </c>
      <c r="G1232" s="68"/>
      <c r="H1232" s="69"/>
      <c r="I1232" s="70"/>
      <c r="J1232" s="71"/>
      <c r="K1232" s="71"/>
      <c r="L1232" s="71"/>
      <c r="M1232" s="71"/>
    </row>
    <row r="1233" spans="1:13" s="72" customFormat="1" x14ac:dyDescent="0.25">
      <c r="A1233" s="526"/>
      <c r="B1233" s="526"/>
      <c r="C1233" s="90">
        <v>34</v>
      </c>
      <c r="D1233" s="49">
        <v>57</v>
      </c>
      <c r="E1233" s="49">
        <v>2011</v>
      </c>
      <c r="F1233" s="332">
        <f t="shared" si="346"/>
        <v>8</v>
      </c>
      <c r="G1233" s="68"/>
      <c r="H1233" s="69"/>
      <c r="I1233" s="70"/>
      <c r="J1233" s="71"/>
      <c r="K1233" s="71"/>
      <c r="L1233" s="71"/>
      <c r="M1233" s="71"/>
    </row>
    <row r="1234" spans="1:13" s="72" customFormat="1" ht="15.75" customHeight="1" x14ac:dyDescent="0.25">
      <c r="A1234" s="525" t="s">
        <v>515</v>
      </c>
      <c r="B1234" s="525" t="s">
        <v>601</v>
      </c>
      <c r="C1234" s="121"/>
      <c r="D1234" s="49"/>
      <c r="E1234" s="74"/>
      <c r="F1234" s="329"/>
      <c r="G1234" s="68"/>
      <c r="H1234" s="69"/>
      <c r="I1234" s="70"/>
      <c r="J1234" s="71"/>
      <c r="K1234" s="71"/>
      <c r="L1234" s="71"/>
      <c r="M1234" s="71"/>
    </row>
    <row r="1235" spans="1:13" s="72" customFormat="1" ht="20.25" customHeight="1" x14ac:dyDescent="0.25">
      <c r="A1235" s="531"/>
      <c r="B1235" s="531"/>
      <c r="C1235" s="57">
        <v>90</v>
      </c>
      <c r="D1235" s="49">
        <v>219</v>
      </c>
      <c r="E1235" s="49">
        <v>2006</v>
      </c>
      <c r="F1235" s="332">
        <f t="shared" ref="F1235:F1236" si="347">2019-E1235</f>
        <v>13</v>
      </c>
      <c r="G1235" s="68"/>
      <c r="H1235" s="69"/>
      <c r="I1235" s="70"/>
      <c r="J1235" s="71"/>
      <c r="K1235" s="71"/>
      <c r="L1235" s="71"/>
      <c r="M1235" s="71"/>
    </row>
    <row r="1236" spans="1:13" s="72" customFormat="1" x14ac:dyDescent="0.25">
      <c r="A1236" s="526"/>
      <c r="B1236" s="526"/>
      <c r="C1236" s="57">
        <v>90</v>
      </c>
      <c r="D1236" s="49">
        <v>133</v>
      </c>
      <c r="E1236" s="49">
        <v>2006</v>
      </c>
      <c r="F1236" s="332">
        <f t="shared" si="347"/>
        <v>13</v>
      </c>
      <c r="G1236" s="68"/>
      <c r="H1236" s="69"/>
      <c r="I1236" s="70"/>
      <c r="J1236" s="71"/>
      <c r="K1236" s="71"/>
      <c r="L1236" s="71"/>
      <c r="M1236" s="71"/>
    </row>
    <row r="1237" spans="1:13" s="72" customFormat="1" ht="15.75" customHeight="1" x14ac:dyDescent="0.25">
      <c r="A1237" s="525" t="s">
        <v>287</v>
      </c>
      <c r="B1237" s="525" t="s">
        <v>505</v>
      </c>
      <c r="C1237" s="52"/>
      <c r="D1237" s="49"/>
      <c r="E1237" s="74"/>
      <c r="F1237" s="329"/>
      <c r="G1237" s="68"/>
      <c r="H1237" s="69"/>
      <c r="I1237" s="70"/>
      <c r="J1237" s="71"/>
      <c r="K1237" s="71"/>
      <c r="L1237" s="71"/>
      <c r="M1237" s="71"/>
    </row>
    <row r="1238" spans="1:13" s="72" customFormat="1" ht="18.75" customHeight="1" x14ac:dyDescent="0.25">
      <c r="A1238" s="531"/>
      <c r="B1238" s="531"/>
      <c r="C1238" s="90">
        <v>46</v>
      </c>
      <c r="D1238" s="49">
        <v>159</v>
      </c>
      <c r="E1238" s="49">
        <v>2011</v>
      </c>
      <c r="F1238" s="332">
        <f t="shared" ref="F1238:F1239" si="348">2019-E1238</f>
        <v>8</v>
      </c>
      <c r="G1238" s="68"/>
      <c r="H1238" s="69"/>
      <c r="I1238" s="70"/>
      <c r="J1238" s="71"/>
      <c r="K1238" s="71"/>
      <c r="L1238" s="71"/>
      <c r="M1238" s="71"/>
    </row>
    <row r="1239" spans="1:13" s="72" customFormat="1" x14ac:dyDescent="0.25">
      <c r="A1239" s="526"/>
      <c r="B1239" s="526"/>
      <c r="C1239" s="90">
        <v>46</v>
      </c>
      <c r="D1239" s="49">
        <v>89</v>
      </c>
      <c r="E1239" s="49">
        <v>2011</v>
      </c>
      <c r="F1239" s="332">
        <f t="shared" si="348"/>
        <v>8</v>
      </c>
      <c r="G1239" s="68"/>
      <c r="H1239" s="69"/>
      <c r="I1239" s="70"/>
      <c r="J1239" s="71"/>
      <c r="K1239" s="71"/>
      <c r="L1239" s="71"/>
      <c r="M1239" s="71"/>
    </row>
    <row r="1240" spans="1:13" s="72" customFormat="1" ht="15.75" customHeight="1" x14ac:dyDescent="0.25">
      <c r="A1240" s="525" t="s">
        <v>658</v>
      </c>
      <c r="B1240" s="525" t="s">
        <v>659</v>
      </c>
      <c r="C1240" s="122"/>
      <c r="D1240" s="109"/>
      <c r="E1240" s="74"/>
      <c r="F1240" s="329"/>
      <c r="G1240" s="68"/>
      <c r="H1240" s="69"/>
      <c r="I1240" s="70"/>
      <c r="J1240" s="71"/>
      <c r="K1240" s="71"/>
      <c r="L1240" s="71"/>
      <c r="M1240" s="71"/>
    </row>
    <row r="1241" spans="1:13" s="72" customFormat="1" ht="24" customHeight="1" x14ac:dyDescent="0.25">
      <c r="A1241" s="531"/>
      <c r="B1241" s="531"/>
      <c r="C1241" s="122">
        <v>274</v>
      </c>
      <c r="D1241" s="109">
        <v>108</v>
      </c>
      <c r="E1241" s="83">
        <v>1988</v>
      </c>
      <c r="F1241" s="332">
        <f t="shared" ref="F1241:F1242" si="349">2019-E1241</f>
        <v>31</v>
      </c>
      <c r="G1241" s="68"/>
      <c r="H1241" s="69"/>
      <c r="I1241" s="70"/>
      <c r="J1241" s="71"/>
      <c r="K1241" s="71"/>
      <c r="L1241" s="71"/>
      <c r="M1241" s="71"/>
    </row>
    <row r="1242" spans="1:13" s="72" customFormat="1" x14ac:dyDescent="0.25">
      <c r="A1242" s="526"/>
      <c r="B1242" s="526"/>
      <c r="C1242" s="122">
        <v>274</v>
      </c>
      <c r="D1242" s="109">
        <v>89</v>
      </c>
      <c r="E1242" s="83">
        <v>1988</v>
      </c>
      <c r="F1242" s="332">
        <f t="shared" si="349"/>
        <v>31</v>
      </c>
      <c r="G1242" s="68"/>
      <c r="H1242" s="69"/>
      <c r="I1242" s="70"/>
      <c r="J1242" s="71"/>
      <c r="K1242" s="71"/>
      <c r="L1242" s="71"/>
      <c r="M1242" s="71"/>
    </row>
    <row r="1243" spans="1:13" s="72" customFormat="1" ht="15.75" customHeight="1" x14ac:dyDescent="0.25">
      <c r="A1243" s="525" t="s">
        <v>358</v>
      </c>
      <c r="B1243" s="525" t="s">
        <v>660</v>
      </c>
      <c r="C1243" s="122"/>
      <c r="D1243" s="109"/>
      <c r="E1243" s="74"/>
      <c r="F1243" s="329"/>
      <c r="G1243" s="68"/>
      <c r="H1243" s="69"/>
      <c r="I1243" s="70"/>
      <c r="J1243" s="71"/>
      <c r="K1243" s="71"/>
      <c r="L1243" s="71"/>
      <c r="M1243" s="71"/>
    </row>
    <row r="1244" spans="1:13" s="72" customFormat="1" ht="21" customHeight="1" x14ac:dyDescent="0.25">
      <c r="A1244" s="531"/>
      <c r="B1244" s="531"/>
      <c r="C1244" s="122">
        <v>34</v>
      </c>
      <c r="D1244" s="109">
        <v>159</v>
      </c>
      <c r="E1244" s="49">
        <v>1986</v>
      </c>
      <c r="F1244" s="332">
        <f t="shared" ref="F1244:F1245" si="350">2019-E1244</f>
        <v>33</v>
      </c>
      <c r="G1244" s="68"/>
      <c r="H1244" s="69"/>
      <c r="I1244" s="70"/>
      <c r="J1244" s="71"/>
      <c r="K1244" s="71"/>
      <c r="L1244" s="71"/>
      <c r="M1244" s="71"/>
    </row>
    <row r="1245" spans="1:13" s="72" customFormat="1" x14ac:dyDescent="0.25">
      <c r="A1245" s="526"/>
      <c r="B1245" s="526"/>
      <c r="C1245" s="122">
        <v>34</v>
      </c>
      <c r="D1245" s="109">
        <v>108</v>
      </c>
      <c r="E1245" s="49">
        <v>1986</v>
      </c>
      <c r="F1245" s="332">
        <f t="shared" si="350"/>
        <v>33</v>
      </c>
      <c r="G1245" s="68"/>
      <c r="H1245" s="69"/>
      <c r="I1245" s="70"/>
      <c r="J1245" s="71"/>
      <c r="K1245" s="71"/>
      <c r="L1245" s="71"/>
      <c r="M1245" s="71"/>
    </row>
    <row r="1246" spans="1:13" s="72" customFormat="1" ht="15.75" customHeight="1" x14ac:dyDescent="0.25">
      <c r="A1246" s="525" t="s">
        <v>358</v>
      </c>
      <c r="B1246" s="525" t="s">
        <v>302</v>
      </c>
      <c r="C1246" s="122"/>
      <c r="D1246" s="109"/>
      <c r="E1246" s="74"/>
      <c r="F1246" s="329"/>
      <c r="G1246" s="68"/>
      <c r="H1246" s="69"/>
      <c r="I1246" s="70"/>
      <c r="J1246" s="71"/>
      <c r="K1246" s="71"/>
      <c r="L1246" s="71"/>
      <c r="M1246" s="71"/>
    </row>
    <row r="1247" spans="1:13" s="72" customFormat="1" ht="18.75" customHeight="1" x14ac:dyDescent="0.25">
      <c r="A1247" s="531"/>
      <c r="B1247" s="531"/>
      <c r="C1247" s="122">
        <v>49</v>
      </c>
      <c r="D1247" s="109">
        <v>219</v>
      </c>
      <c r="E1247" s="49">
        <v>1986</v>
      </c>
      <c r="F1247" s="332">
        <f t="shared" ref="F1247:F1248" si="351">2019-E1247</f>
        <v>33</v>
      </c>
      <c r="G1247" s="68"/>
      <c r="H1247" s="69"/>
      <c r="I1247" s="70"/>
      <c r="J1247" s="71"/>
      <c r="K1247" s="71"/>
      <c r="L1247" s="71"/>
      <c r="M1247" s="71"/>
    </row>
    <row r="1248" spans="1:13" s="72" customFormat="1" x14ac:dyDescent="0.25">
      <c r="A1248" s="526"/>
      <c r="B1248" s="526"/>
      <c r="C1248" s="122">
        <v>49</v>
      </c>
      <c r="D1248" s="109">
        <v>133</v>
      </c>
      <c r="E1248" s="49">
        <v>1986</v>
      </c>
      <c r="F1248" s="332">
        <f t="shared" si="351"/>
        <v>33</v>
      </c>
      <c r="G1248" s="68"/>
      <c r="H1248" s="69"/>
      <c r="I1248" s="70"/>
      <c r="J1248" s="71"/>
      <c r="K1248" s="71"/>
      <c r="L1248" s="71"/>
      <c r="M1248" s="71"/>
    </row>
    <row r="1249" spans="1:13" s="72" customFormat="1" ht="15.75" customHeight="1" x14ac:dyDescent="0.25">
      <c r="A1249" s="525" t="s">
        <v>180</v>
      </c>
      <c r="B1249" s="525" t="s">
        <v>661</v>
      </c>
      <c r="C1249" s="122"/>
      <c r="D1249" s="109"/>
      <c r="E1249" s="74"/>
      <c r="F1249" s="329"/>
      <c r="G1249" s="68"/>
      <c r="H1249" s="69"/>
      <c r="I1249" s="70"/>
      <c r="J1249" s="71"/>
      <c r="K1249" s="71"/>
      <c r="L1249" s="71"/>
      <c r="M1249" s="71"/>
    </row>
    <row r="1250" spans="1:13" s="72" customFormat="1" ht="19.5" customHeight="1" x14ac:dyDescent="0.25">
      <c r="A1250" s="531"/>
      <c r="B1250" s="531"/>
      <c r="C1250" s="122">
        <v>27</v>
      </c>
      <c r="D1250" s="109">
        <v>159</v>
      </c>
      <c r="E1250" s="49">
        <v>1986</v>
      </c>
      <c r="F1250" s="332">
        <f t="shared" ref="F1250:F1251" si="352">2019-E1250</f>
        <v>33</v>
      </c>
      <c r="G1250" s="68"/>
      <c r="H1250" s="69"/>
      <c r="I1250" s="70"/>
      <c r="J1250" s="71"/>
      <c r="K1250" s="71"/>
      <c r="L1250" s="71"/>
      <c r="M1250" s="71"/>
    </row>
    <row r="1251" spans="1:13" s="72" customFormat="1" x14ac:dyDescent="0.25">
      <c r="A1251" s="526"/>
      <c r="B1251" s="526"/>
      <c r="C1251" s="122">
        <v>27</v>
      </c>
      <c r="D1251" s="109">
        <v>108</v>
      </c>
      <c r="E1251" s="49">
        <v>1986</v>
      </c>
      <c r="F1251" s="332">
        <f t="shared" si="352"/>
        <v>33</v>
      </c>
      <c r="G1251" s="68"/>
      <c r="H1251" s="69"/>
      <c r="I1251" s="70"/>
      <c r="J1251" s="71"/>
      <c r="K1251" s="71"/>
      <c r="L1251" s="71"/>
      <c r="M1251" s="71"/>
    </row>
    <row r="1252" spans="1:13" s="72" customFormat="1" ht="15.75" customHeight="1" x14ac:dyDescent="0.25">
      <c r="A1252" s="525" t="s">
        <v>662</v>
      </c>
      <c r="B1252" s="525" t="s">
        <v>215</v>
      </c>
      <c r="C1252" s="122"/>
      <c r="D1252" s="109"/>
      <c r="E1252" s="74"/>
      <c r="F1252" s="329"/>
      <c r="G1252" s="68"/>
      <c r="H1252" s="69"/>
      <c r="I1252" s="70"/>
      <c r="J1252" s="71"/>
      <c r="K1252" s="71"/>
      <c r="L1252" s="71"/>
      <c r="M1252" s="71"/>
    </row>
    <row r="1253" spans="1:13" s="72" customFormat="1" x14ac:dyDescent="0.25">
      <c r="A1253" s="531"/>
      <c r="B1253" s="531"/>
      <c r="C1253" s="122">
        <v>40</v>
      </c>
      <c r="D1253" s="109">
        <v>219</v>
      </c>
      <c r="E1253" s="49">
        <v>1987</v>
      </c>
      <c r="F1253" s="332">
        <f t="shared" ref="F1253:F1254" si="353">2019-E1253</f>
        <v>32</v>
      </c>
      <c r="G1253" s="68"/>
      <c r="H1253" s="69"/>
      <c r="I1253" s="70"/>
      <c r="J1253" s="71"/>
      <c r="K1253" s="71"/>
      <c r="L1253" s="71"/>
      <c r="M1253" s="71"/>
    </row>
    <row r="1254" spans="1:13" s="72" customFormat="1" x14ac:dyDescent="0.25">
      <c r="A1254" s="526"/>
      <c r="B1254" s="526"/>
      <c r="C1254" s="122">
        <v>40</v>
      </c>
      <c r="D1254" s="109">
        <v>133</v>
      </c>
      <c r="E1254" s="49">
        <v>1987</v>
      </c>
      <c r="F1254" s="332">
        <f t="shared" si="353"/>
        <v>32</v>
      </c>
      <c r="G1254" s="68"/>
      <c r="H1254" s="69"/>
      <c r="I1254" s="70"/>
      <c r="J1254" s="71"/>
      <c r="K1254" s="71"/>
      <c r="L1254" s="71"/>
      <c r="M1254" s="71"/>
    </row>
    <row r="1255" spans="1:13" s="72" customFormat="1" ht="15.75" customHeight="1" x14ac:dyDescent="0.25">
      <c r="A1255" s="525" t="s">
        <v>663</v>
      </c>
      <c r="B1255" s="525" t="s">
        <v>355</v>
      </c>
      <c r="C1255" s="122"/>
      <c r="D1255" s="109"/>
      <c r="E1255" s="74"/>
      <c r="F1255" s="329"/>
      <c r="G1255" s="68"/>
      <c r="H1255" s="69"/>
      <c r="I1255" s="70"/>
      <c r="J1255" s="71"/>
      <c r="K1255" s="71"/>
      <c r="L1255" s="71"/>
      <c r="M1255" s="71"/>
    </row>
    <row r="1256" spans="1:13" s="72" customFormat="1" x14ac:dyDescent="0.25">
      <c r="A1256" s="531"/>
      <c r="B1256" s="531"/>
      <c r="C1256" s="122">
        <v>36</v>
      </c>
      <c r="D1256" s="109">
        <v>219</v>
      </c>
      <c r="E1256" s="49">
        <v>1986</v>
      </c>
      <c r="F1256" s="332">
        <f t="shared" ref="F1256:F1257" si="354">2019-E1256</f>
        <v>33</v>
      </c>
      <c r="G1256" s="68"/>
      <c r="H1256" s="69"/>
      <c r="I1256" s="70"/>
      <c r="J1256" s="71"/>
      <c r="K1256" s="71"/>
      <c r="L1256" s="71"/>
      <c r="M1256" s="71"/>
    </row>
    <row r="1257" spans="1:13" s="72" customFormat="1" x14ac:dyDescent="0.25">
      <c r="A1257" s="526"/>
      <c r="B1257" s="526"/>
      <c r="C1257" s="122">
        <v>36</v>
      </c>
      <c r="D1257" s="109">
        <v>133</v>
      </c>
      <c r="E1257" s="49">
        <v>1986</v>
      </c>
      <c r="F1257" s="332">
        <f t="shared" si="354"/>
        <v>33</v>
      </c>
      <c r="G1257" s="68"/>
      <c r="H1257" s="69"/>
      <c r="I1257" s="70"/>
      <c r="J1257" s="71"/>
      <c r="K1257" s="71"/>
      <c r="L1257" s="71"/>
      <c r="M1257" s="71"/>
    </row>
    <row r="1258" spans="1:13" s="72" customFormat="1" ht="15.75" customHeight="1" x14ac:dyDescent="0.25">
      <c r="A1258" s="525" t="s">
        <v>358</v>
      </c>
      <c r="B1258" s="525" t="s">
        <v>664</v>
      </c>
      <c r="C1258" s="122"/>
      <c r="D1258" s="109"/>
      <c r="E1258" s="74"/>
      <c r="F1258" s="329"/>
      <c r="G1258" s="68"/>
      <c r="H1258" s="69"/>
      <c r="I1258" s="70"/>
      <c r="J1258" s="71"/>
      <c r="K1258" s="71"/>
      <c r="L1258" s="71"/>
      <c r="M1258" s="71"/>
    </row>
    <row r="1259" spans="1:13" s="72" customFormat="1" ht="21" customHeight="1" x14ac:dyDescent="0.25">
      <c r="A1259" s="531"/>
      <c r="B1259" s="531"/>
      <c r="C1259" s="122">
        <v>5</v>
      </c>
      <c r="D1259" s="109">
        <v>89</v>
      </c>
      <c r="E1259" s="83">
        <v>1988</v>
      </c>
      <c r="F1259" s="332">
        <f t="shared" ref="F1259:F1260" si="355">2019-E1259</f>
        <v>31</v>
      </c>
      <c r="G1259" s="68"/>
      <c r="H1259" s="69"/>
      <c r="I1259" s="70"/>
      <c r="J1259" s="71"/>
      <c r="K1259" s="71"/>
      <c r="L1259" s="71"/>
      <c r="M1259" s="71"/>
    </row>
    <row r="1260" spans="1:13" s="72" customFormat="1" x14ac:dyDescent="0.25">
      <c r="A1260" s="526"/>
      <c r="B1260" s="526"/>
      <c r="C1260" s="122">
        <v>5</v>
      </c>
      <c r="D1260" s="109">
        <v>57</v>
      </c>
      <c r="E1260" s="83">
        <v>1988</v>
      </c>
      <c r="F1260" s="332">
        <f t="shared" si="355"/>
        <v>31</v>
      </c>
      <c r="G1260" s="68"/>
      <c r="H1260" s="69"/>
      <c r="I1260" s="70"/>
      <c r="J1260" s="71"/>
      <c r="K1260" s="71"/>
      <c r="L1260" s="71"/>
      <c r="M1260" s="71"/>
    </row>
    <row r="1261" spans="1:13" s="72" customFormat="1" ht="15.75" customHeight="1" x14ac:dyDescent="0.25">
      <c r="A1261" s="525" t="s">
        <v>576</v>
      </c>
      <c r="B1261" s="525" t="s">
        <v>665</v>
      </c>
      <c r="C1261" s="122"/>
      <c r="D1261" s="109"/>
      <c r="E1261" s="74"/>
      <c r="F1261" s="329"/>
      <c r="G1261" s="68"/>
      <c r="H1261" s="69"/>
      <c r="I1261" s="70"/>
      <c r="J1261" s="71"/>
      <c r="K1261" s="71"/>
      <c r="L1261" s="71"/>
      <c r="M1261" s="71"/>
    </row>
    <row r="1262" spans="1:13" s="72" customFormat="1" ht="22.5" customHeight="1" x14ac:dyDescent="0.25">
      <c r="A1262" s="531"/>
      <c r="B1262" s="531"/>
      <c r="C1262" s="122">
        <v>32</v>
      </c>
      <c r="D1262" s="109">
        <v>57</v>
      </c>
      <c r="E1262" s="83">
        <v>1988</v>
      </c>
      <c r="F1262" s="332">
        <f t="shared" ref="F1262:F1263" si="356">2019-E1262</f>
        <v>31</v>
      </c>
      <c r="G1262" s="68"/>
      <c r="H1262" s="69"/>
      <c r="I1262" s="70"/>
      <c r="J1262" s="71"/>
      <c r="K1262" s="71"/>
      <c r="L1262" s="71"/>
      <c r="M1262" s="71"/>
    </row>
    <row r="1263" spans="1:13" s="72" customFormat="1" x14ac:dyDescent="0.25">
      <c r="A1263" s="526"/>
      <c r="B1263" s="526"/>
      <c r="C1263" s="122">
        <v>32</v>
      </c>
      <c r="D1263" s="109">
        <v>40</v>
      </c>
      <c r="E1263" s="83">
        <v>1988</v>
      </c>
      <c r="F1263" s="332">
        <f t="shared" si="356"/>
        <v>31</v>
      </c>
      <c r="G1263" s="68"/>
      <c r="H1263" s="69"/>
      <c r="I1263" s="70"/>
      <c r="J1263" s="71"/>
      <c r="K1263" s="71"/>
      <c r="L1263" s="71"/>
      <c r="M1263" s="71"/>
    </row>
    <row r="1264" spans="1:13" s="72" customFormat="1" ht="15.75" customHeight="1" x14ac:dyDescent="0.25">
      <c r="A1264" s="525" t="s">
        <v>180</v>
      </c>
      <c r="B1264" s="525" t="s">
        <v>523</v>
      </c>
      <c r="C1264" s="122"/>
      <c r="D1264" s="109"/>
      <c r="E1264" s="74"/>
      <c r="F1264" s="329"/>
      <c r="G1264" s="68"/>
      <c r="H1264" s="69"/>
      <c r="I1264" s="70"/>
      <c r="J1264" s="71"/>
      <c r="K1264" s="71"/>
      <c r="L1264" s="71"/>
      <c r="M1264" s="71"/>
    </row>
    <row r="1265" spans="1:13" s="72" customFormat="1" ht="20.25" customHeight="1" x14ac:dyDescent="0.25">
      <c r="A1265" s="531"/>
      <c r="B1265" s="531"/>
      <c r="C1265" s="122">
        <v>27</v>
      </c>
      <c r="D1265" s="109">
        <v>159</v>
      </c>
      <c r="E1265" s="49">
        <v>1986</v>
      </c>
      <c r="F1265" s="332">
        <f t="shared" ref="F1265:F1266" si="357">2019-E1265</f>
        <v>33</v>
      </c>
      <c r="G1265" s="68"/>
      <c r="H1265" s="69"/>
      <c r="I1265" s="70"/>
      <c r="J1265" s="71"/>
      <c r="K1265" s="71"/>
      <c r="L1265" s="71"/>
      <c r="M1265" s="71"/>
    </row>
    <row r="1266" spans="1:13" s="72" customFormat="1" x14ac:dyDescent="0.25">
      <c r="A1266" s="526"/>
      <c r="B1266" s="526"/>
      <c r="C1266" s="122">
        <v>27</v>
      </c>
      <c r="D1266" s="109">
        <v>89</v>
      </c>
      <c r="E1266" s="49">
        <v>1986</v>
      </c>
      <c r="F1266" s="332">
        <f t="shared" si="357"/>
        <v>33</v>
      </c>
      <c r="G1266" s="68"/>
      <c r="H1266" s="69"/>
      <c r="I1266" s="70"/>
      <c r="J1266" s="71"/>
      <c r="K1266" s="71"/>
      <c r="L1266" s="71"/>
      <c r="M1266" s="71"/>
    </row>
    <row r="1267" spans="1:13" s="72" customFormat="1" ht="15.75" customHeight="1" x14ac:dyDescent="0.25">
      <c r="A1267" s="525" t="s">
        <v>666</v>
      </c>
      <c r="B1267" s="525" t="s">
        <v>667</v>
      </c>
      <c r="C1267" s="122"/>
      <c r="D1267" s="109"/>
      <c r="E1267" s="74"/>
      <c r="F1267" s="329"/>
      <c r="G1267" s="68"/>
      <c r="H1267" s="69"/>
      <c r="I1267" s="70"/>
      <c r="J1267" s="71"/>
      <c r="K1267" s="71"/>
      <c r="L1267" s="71"/>
      <c r="M1267" s="71"/>
    </row>
    <row r="1268" spans="1:13" s="72" customFormat="1" x14ac:dyDescent="0.25">
      <c r="A1268" s="531"/>
      <c r="B1268" s="531"/>
      <c r="C1268" s="122">
        <v>16</v>
      </c>
      <c r="D1268" s="109">
        <v>159</v>
      </c>
      <c r="E1268" s="49">
        <v>1987</v>
      </c>
      <c r="F1268" s="332">
        <f t="shared" ref="F1268:F1269" si="358">2019-E1268</f>
        <v>32</v>
      </c>
      <c r="G1268" s="68"/>
      <c r="H1268" s="69"/>
      <c r="I1268" s="70"/>
      <c r="J1268" s="71"/>
      <c r="K1268" s="71"/>
      <c r="L1268" s="71"/>
      <c r="M1268" s="71"/>
    </row>
    <row r="1269" spans="1:13" s="72" customFormat="1" x14ac:dyDescent="0.25">
      <c r="A1269" s="526"/>
      <c r="B1269" s="526"/>
      <c r="C1269" s="122">
        <v>16</v>
      </c>
      <c r="D1269" s="109">
        <v>108</v>
      </c>
      <c r="E1269" s="49">
        <v>1987</v>
      </c>
      <c r="F1269" s="332">
        <f t="shared" si="358"/>
        <v>32</v>
      </c>
      <c r="G1269" s="68"/>
      <c r="H1269" s="69"/>
      <c r="I1269" s="70"/>
      <c r="J1269" s="71"/>
      <c r="K1269" s="71"/>
      <c r="L1269" s="71"/>
      <c r="M1269" s="71"/>
    </row>
    <row r="1270" spans="1:13" s="72" customFormat="1" ht="15.75" customHeight="1" x14ac:dyDescent="0.25">
      <c r="A1270" s="525" t="s">
        <v>668</v>
      </c>
      <c r="B1270" s="525" t="s">
        <v>669</v>
      </c>
      <c r="C1270" s="122"/>
      <c r="D1270" s="109"/>
      <c r="E1270" s="74"/>
      <c r="F1270" s="329"/>
      <c r="G1270" s="68"/>
      <c r="H1270" s="69"/>
      <c r="I1270" s="70"/>
      <c r="J1270" s="71"/>
      <c r="K1270" s="71"/>
      <c r="L1270" s="71"/>
      <c r="M1270" s="71"/>
    </row>
    <row r="1271" spans="1:13" s="72" customFormat="1" ht="21" customHeight="1" x14ac:dyDescent="0.25">
      <c r="A1271" s="531"/>
      <c r="B1271" s="531"/>
      <c r="C1271" s="122">
        <v>48</v>
      </c>
      <c r="D1271" s="109">
        <v>159</v>
      </c>
      <c r="E1271" s="49">
        <v>1986</v>
      </c>
      <c r="F1271" s="332">
        <f t="shared" ref="F1271:F1272" si="359">2019-E1271</f>
        <v>33</v>
      </c>
      <c r="G1271" s="68"/>
      <c r="H1271" s="69"/>
      <c r="I1271" s="70"/>
      <c r="J1271" s="71"/>
      <c r="K1271" s="71"/>
      <c r="L1271" s="71"/>
      <c r="M1271" s="71"/>
    </row>
    <row r="1272" spans="1:13" s="72" customFormat="1" x14ac:dyDescent="0.25">
      <c r="A1272" s="526"/>
      <c r="B1272" s="526"/>
      <c r="C1272" s="122">
        <v>48</v>
      </c>
      <c r="D1272" s="109">
        <v>108</v>
      </c>
      <c r="E1272" s="49">
        <v>1986</v>
      </c>
      <c r="F1272" s="332">
        <f t="shared" si="359"/>
        <v>33</v>
      </c>
      <c r="G1272" s="68"/>
      <c r="H1272" s="69"/>
      <c r="I1272" s="70"/>
      <c r="J1272" s="71"/>
      <c r="K1272" s="71"/>
      <c r="L1272" s="71"/>
      <c r="M1272" s="71"/>
    </row>
    <row r="1273" spans="1:13" s="72" customFormat="1" ht="15.75" customHeight="1" x14ac:dyDescent="0.25">
      <c r="A1273" s="525" t="s">
        <v>197</v>
      </c>
      <c r="B1273" s="525" t="s">
        <v>670</v>
      </c>
      <c r="C1273" s="122"/>
      <c r="D1273" s="109"/>
      <c r="E1273" s="74"/>
      <c r="F1273" s="329"/>
      <c r="G1273" s="68"/>
      <c r="H1273" s="69"/>
      <c r="I1273" s="70"/>
      <c r="J1273" s="71"/>
      <c r="K1273" s="71"/>
      <c r="L1273" s="71"/>
      <c r="M1273" s="71"/>
    </row>
    <row r="1274" spans="1:13" s="72" customFormat="1" ht="18" customHeight="1" x14ac:dyDescent="0.25">
      <c r="A1274" s="531"/>
      <c r="B1274" s="531"/>
      <c r="C1274" s="122">
        <v>25</v>
      </c>
      <c r="D1274" s="109">
        <v>76</v>
      </c>
      <c r="E1274" s="49">
        <v>1987</v>
      </c>
      <c r="F1274" s="332">
        <f t="shared" ref="F1274:F1275" si="360">2019-E1274</f>
        <v>32</v>
      </c>
      <c r="G1274" s="68"/>
      <c r="H1274" s="69"/>
      <c r="I1274" s="70"/>
      <c r="J1274" s="71"/>
      <c r="K1274" s="71"/>
      <c r="L1274" s="71"/>
      <c r="M1274" s="71"/>
    </row>
    <row r="1275" spans="1:13" s="72" customFormat="1" x14ac:dyDescent="0.25">
      <c r="A1275" s="526"/>
      <c r="B1275" s="526"/>
      <c r="C1275" s="122">
        <v>25</v>
      </c>
      <c r="D1275" s="109">
        <v>57</v>
      </c>
      <c r="E1275" s="49">
        <v>1987</v>
      </c>
      <c r="F1275" s="332">
        <f t="shared" si="360"/>
        <v>32</v>
      </c>
      <c r="G1275" s="68"/>
      <c r="H1275" s="69"/>
      <c r="I1275" s="70"/>
      <c r="J1275" s="71"/>
      <c r="K1275" s="71"/>
      <c r="L1275" s="71"/>
      <c r="M1275" s="71"/>
    </row>
    <row r="1276" spans="1:13" s="72" customFormat="1" ht="15.75" customHeight="1" x14ac:dyDescent="0.25">
      <c r="A1276" s="525" t="s">
        <v>197</v>
      </c>
      <c r="B1276" s="525" t="s">
        <v>281</v>
      </c>
      <c r="C1276" s="122"/>
      <c r="D1276" s="109"/>
      <c r="E1276" s="74"/>
      <c r="F1276" s="329"/>
      <c r="G1276" s="68"/>
      <c r="H1276" s="69"/>
      <c r="I1276" s="70"/>
      <c r="J1276" s="71"/>
      <c r="K1276" s="71"/>
      <c r="L1276" s="71"/>
      <c r="M1276" s="71"/>
    </row>
    <row r="1277" spans="1:13" s="72" customFormat="1" ht="19.5" customHeight="1" x14ac:dyDescent="0.25">
      <c r="A1277" s="531"/>
      <c r="B1277" s="531"/>
      <c r="C1277" s="122">
        <v>60</v>
      </c>
      <c r="D1277" s="109">
        <v>159</v>
      </c>
      <c r="E1277" s="49">
        <v>1987</v>
      </c>
      <c r="F1277" s="332">
        <f t="shared" ref="F1277:F1278" si="361">2019-E1277</f>
        <v>32</v>
      </c>
      <c r="G1277" s="68"/>
      <c r="H1277" s="69"/>
      <c r="I1277" s="70"/>
      <c r="J1277" s="71"/>
      <c r="K1277" s="71"/>
      <c r="L1277" s="71"/>
      <c r="M1277" s="71"/>
    </row>
    <row r="1278" spans="1:13" s="72" customFormat="1" x14ac:dyDescent="0.25">
      <c r="A1278" s="526"/>
      <c r="B1278" s="526"/>
      <c r="C1278" s="122">
        <v>60</v>
      </c>
      <c r="D1278" s="109">
        <v>108</v>
      </c>
      <c r="E1278" s="49">
        <v>1987</v>
      </c>
      <c r="F1278" s="332">
        <f t="shared" si="361"/>
        <v>32</v>
      </c>
      <c r="G1278" s="68"/>
      <c r="H1278" s="69"/>
      <c r="I1278" s="70"/>
      <c r="J1278" s="71"/>
      <c r="K1278" s="71"/>
      <c r="L1278" s="71"/>
      <c r="M1278" s="71"/>
    </row>
    <row r="1279" spans="1:13" s="72" customFormat="1" ht="15.75" customHeight="1" x14ac:dyDescent="0.25">
      <c r="A1279" s="525" t="s">
        <v>666</v>
      </c>
      <c r="B1279" s="525" t="s">
        <v>509</v>
      </c>
      <c r="C1279" s="122"/>
      <c r="D1279" s="109"/>
      <c r="E1279" s="74"/>
      <c r="F1279" s="329"/>
      <c r="G1279" s="68"/>
      <c r="H1279" s="69"/>
      <c r="I1279" s="70"/>
      <c r="J1279" s="71"/>
      <c r="K1279" s="71"/>
      <c r="L1279" s="71"/>
      <c r="M1279" s="71"/>
    </row>
    <row r="1280" spans="1:13" s="72" customFormat="1" x14ac:dyDescent="0.25">
      <c r="A1280" s="531"/>
      <c r="B1280" s="531"/>
      <c r="C1280" s="80">
        <v>17</v>
      </c>
      <c r="D1280" s="109">
        <v>32</v>
      </c>
      <c r="E1280" s="83">
        <v>1988</v>
      </c>
      <c r="F1280" s="332">
        <f t="shared" ref="F1280:F1281" si="362">2019-E1280</f>
        <v>31</v>
      </c>
      <c r="G1280" s="68"/>
      <c r="H1280" s="69"/>
      <c r="I1280" s="70"/>
      <c r="J1280" s="71"/>
      <c r="K1280" s="71"/>
      <c r="L1280" s="71"/>
      <c r="M1280" s="71"/>
    </row>
    <row r="1281" spans="1:13" s="72" customFormat="1" x14ac:dyDescent="0.25">
      <c r="A1281" s="526"/>
      <c r="B1281" s="526"/>
      <c r="C1281" s="80">
        <v>17</v>
      </c>
      <c r="D1281" s="109">
        <v>25</v>
      </c>
      <c r="E1281" s="83">
        <v>1988</v>
      </c>
      <c r="F1281" s="332">
        <f t="shared" si="362"/>
        <v>31</v>
      </c>
      <c r="G1281" s="68"/>
      <c r="H1281" s="69"/>
      <c r="I1281" s="70"/>
      <c r="J1281" s="71"/>
      <c r="K1281" s="71"/>
      <c r="L1281" s="71"/>
      <c r="M1281" s="71"/>
    </row>
    <row r="1282" spans="1:13" s="72" customFormat="1" ht="15.75" customHeight="1" x14ac:dyDescent="0.25">
      <c r="A1282" s="525" t="s">
        <v>552</v>
      </c>
      <c r="B1282" s="525" t="s">
        <v>671</v>
      </c>
      <c r="C1282" s="121"/>
      <c r="D1282" s="49"/>
      <c r="E1282" s="74"/>
      <c r="F1282" s="329"/>
      <c r="G1282" s="68"/>
      <c r="H1282" s="69"/>
      <c r="I1282" s="70"/>
      <c r="J1282" s="71"/>
      <c r="K1282" s="71"/>
      <c r="L1282" s="71"/>
      <c r="M1282" s="71"/>
    </row>
    <row r="1283" spans="1:13" s="72" customFormat="1" ht="19.5" customHeight="1" x14ac:dyDescent="0.25">
      <c r="A1283" s="531"/>
      <c r="B1283" s="531"/>
      <c r="C1283" s="121">
        <v>16</v>
      </c>
      <c r="D1283" s="49">
        <v>89</v>
      </c>
      <c r="E1283" s="83">
        <v>1988</v>
      </c>
      <c r="F1283" s="332">
        <f t="shared" ref="F1283:F1284" si="363">2019-E1283</f>
        <v>31</v>
      </c>
      <c r="G1283" s="68"/>
      <c r="H1283" s="69"/>
      <c r="I1283" s="70"/>
      <c r="J1283" s="71"/>
      <c r="K1283" s="71"/>
      <c r="L1283" s="71"/>
      <c r="M1283" s="71"/>
    </row>
    <row r="1284" spans="1:13" s="72" customFormat="1" x14ac:dyDescent="0.25">
      <c r="A1284" s="526"/>
      <c r="B1284" s="526"/>
      <c r="C1284" s="121">
        <v>16</v>
      </c>
      <c r="D1284" s="49">
        <v>57</v>
      </c>
      <c r="E1284" s="83">
        <v>1988</v>
      </c>
      <c r="F1284" s="332">
        <f t="shared" si="363"/>
        <v>31</v>
      </c>
      <c r="G1284" s="68"/>
      <c r="H1284" s="69"/>
      <c r="I1284" s="70"/>
      <c r="J1284" s="71"/>
      <c r="K1284" s="71"/>
      <c r="L1284" s="71"/>
      <c r="M1284" s="71"/>
    </row>
    <row r="1285" spans="1:13" s="72" customFormat="1" ht="15.75" customHeight="1" x14ac:dyDescent="0.25">
      <c r="A1285" s="525" t="s">
        <v>203</v>
      </c>
      <c r="B1285" s="525" t="s">
        <v>672</v>
      </c>
      <c r="C1285" s="121"/>
      <c r="D1285" s="49"/>
      <c r="E1285" s="74"/>
      <c r="F1285" s="329"/>
      <c r="G1285" s="68"/>
      <c r="H1285" s="69"/>
      <c r="I1285" s="70"/>
      <c r="J1285" s="71"/>
      <c r="K1285" s="71"/>
      <c r="L1285" s="71"/>
      <c r="M1285" s="71"/>
    </row>
    <row r="1286" spans="1:13" s="72" customFormat="1" ht="20.25" customHeight="1" x14ac:dyDescent="0.25">
      <c r="A1286" s="531"/>
      <c r="B1286" s="531"/>
      <c r="C1286" s="121">
        <v>7</v>
      </c>
      <c r="D1286" s="49">
        <v>89</v>
      </c>
      <c r="E1286" s="49">
        <v>1987</v>
      </c>
      <c r="F1286" s="332">
        <f t="shared" ref="F1286:F1287" si="364">2019-E1286</f>
        <v>32</v>
      </c>
      <c r="G1286" s="68"/>
      <c r="H1286" s="69"/>
      <c r="I1286" s="70"/>
      <c r="J1286" s="71"/>
      <c r="K1286" s="71"/>
      <c r="L1286" s="71"/>
      <c r="M1286" s="71"/>
    </row>
    <row r="1287" spans="1:13" s="72" customFormat="1" x14ac:dyDescent="0.25">
      <c r="A1287" s="526"/>
      <c r="B1287" s="526"/>
      <c r="C1287" s="121">
        <v>7</v>
      </c>
      <c r="D1287" s="49">
        <v>89</v>
      </c>
      <c r="E1287" s="49">
        <v>1987</v>
      </c>
      <c r="F1287" s="332">
        <f t="shared" si="364"/>
        <v>32</v>
      </c>
      <c r="G1287" s="68"/>
      <c r="H1287" s="69"/>
      <c r="I1287" s="70"/>
      <c r="J1287" s="71"/>
      <c r="K1287" s="71"/>
      <c r="L1287" s="71"/>
      <c r="M1287" s="71"/>
    </row>
    <row r="1288" spans="1:13" s="72" customFormat="1" ht="15.75" customHeight="1" x14ac:dyDescent="0.25">
      <c r="A1288" s="525" t="s">
        <v>217</v>
      </c>
      <c r="B1288" s="525" t="s">
        <v>201</v>
      </c>
      <c r="C1288" s="121"/>
      <c r="D1288" s="49"/>
      <c r="E1288" s="74"/>
      <c r="F1288" s="329"/>
      <c r="G1288" s="68"/>
      <c r="H1288" s="69"/>
      <c r="I1288" s="70"/>
      <c r="J1288" s="71"/>
      <c r="K1288" s="71"/>
      <c r="L1288" s="71"/>
      <c r="M1288" s="71"/>
    </row>
    <row r="1289" spans="1:13" s="72" customFormat="1" ht="18" customHeight="1" x14ac:dyDescent="0.25">
      <c r="A1289" s="531"/>
      <c r="B1289" s="531"/>
      <c r="C1289" s="121">
        <v>32</v>
      </c>
      <c r="D1289" s="49">
        <v>273</v>
      </c>
      <c r="E1289" s="49">
        <v>1986</v>
      </c>
      <c r="F1289" s="332">
        <f t="shared" ref="F1289:F1290" si="365">2019-E1289</f>
        <v>33</v>
      </c>
      <c r="G1289" s="68"/>
      <c r="H1289" s="69"/>
      <c r="I1289" s="70"/>
      <c r="J1289" s="71"/>
      <c r="K1289" s="71"/>
      <c r="L1289" s="71"/>
      <c r="M1289" s="71"/>
    </row>
    <row r="1290" spans="1:13" s="72" customFormat="1" x14ac:dyDescent="0.25">
      <c r="A1290" s="526"/>
      <c r="B1290" s="526"/>
      <c r="C1290" s="121">
        <v>32</v>
      </c>
      <c r="D1290" s="49">
        <v>159</v>
      </c>
      <c r="E1290" s="49">
        <v>1986</v>
      </c>
      <c r="F1290" s="332">
        <f t="shared" si="365"/>
        <v>33</v>
      </c>
      <c r="G1290" s="68"/>
      <c r="H1290" s="69"/>
      <c r="I1290" s="70"/>
      <c r="J1290" s="71"/>
      <c r="K1290" s="71"/>
      <c r="L1290" s="71"/>
      <c r="M1290" s="71"/>
    </row>
    <row r="1291" spans="1:13" s="72" customFormat="1" ht="15.75" customHeight="1" x14ac:dyDescent="0.25">
      <c r="A1291" s="525" t="s">
        <v>213</v>
      </c>
      <c r="B1291" s="525" t="s">
        <v>214</v>
      </c>
      <c r="C1291" s="121"/>
      <c r="D1291" s="49"/>
      <c r="E1291" s="74"/>
      <c r="F1291" s="329"/>
      <c r="G1291" s="68"/>
      <c r="H1291" s="69"/>
      <c r="I1291" s="70"/>
      <c r="J1291" s="71"/>
      <c r="K1291" s="71"/>
      <c r="L1291" s="71"/>
      <c r="M1291" s="71"/>
    </row>
    <row r="1292" spans="1:13" s="72" customFormat="1" ht="20.25" customHeight="1" x14ac:dyDescent="0.25">
      <c r="A1292" s="531"/>
      <c r="B1292" s="531"/>
      <c r="C1292" s="121">
        <v>26</v>
      </c>
      <c r="D1292" s="49">
        <v>273</v>
      </c>
      <c r="E1292" s="49">
        <v>1986</v>
      </c>
      <c r="F1292" s="332">
        <f t="shared" ref="F1292:F1293" si="366">2019-E1292</f>
        <v>33</v>
      </c>
      <c r="G1292" s="68"/>
      <c r="H1292" s="69"/>
      <c r="I1292" s="70"/>
      <c r="J1292" s="71"/>
      <c r="K1292" s="71"/>
      <c r="L1292" s="71"/>
      <c r="M1292" s="71"/>
    </row>
    <row r="1293" spans="1:13" s="72" customFormat="1" x14ac:dyDescent="0.25">
      <c r="A1293" s="526"/>
      <c r="B1293" s="526"/>
      <c r="C1293" s="121">
        <v>26</v>
      </c>
      <c r="D1293" s="49">
        <v>159</v>
      </c>
      <c r="E1293" s="49">
        <v>1986</v>
      </c>
      <c r="F1293" s="332">
        <f t="shared" si="366"/>
        <v>33</v>
      </c>
      <c r="G1293" s="68"/>
      <c r="H1293" s="69"/>
      <c r="I1293" s="70"/>
      <c r="J1293" s="71"/>
      <c r="K1293" s="71"/>
      <c r="L1293" s="71"/>
      <c r="M1293" s="71"/>
    </row>
    <row r="1294" spans="1:13" s="72" customFormat="1" ht="15.75" customHeight="1" x14ac:dyDescent="0.25">
      <c r="A1294" s="525" t="s">
        <v>203</v>
      </c>
      <c r="B1294" s="525" t="s">
        <v>209</v>
      </c>
      <c r="C1294" s="121"/>
      <c r="D1294" s="49"/>
      <c r="E1294" s="74"/>
      <c r="F1294" s="329"/>
      <c r="G1294" s="68"/>
      <c r="H1294" s="69"/>
      <c r="I1294" s="70"/>
      <c r="J1294" s="71"/>
      <c r="K1294" s="71"/>
      <c r="L1294" s="71"/>
      <c r="M1294" s="71"/>
    </row>
    <row r="1295" spans="1:13" s="72" customFormat="1" ht="21" customHeight="1" x14ac:dyDescent="0.25">
      <c r="A1295" s="531"/>
      <c r="B1295" s="531"/>
      <c r="C1295" s="121">
        <v>48</v>
      </c>
      <c r="D1295" s="49">
        <v>159</v>
      </c>
      <c r="E1295" s="49">
        <v>1987</v>
      </c>
      <c r="F1295" s="332">
        <f t="shared" ref="F1295:F1296" si="367">2019-E1295</f>
        <v>32</v>
      </c>
      <c r="G1295" s="68"/>
      <c r="H1295" s="69"/>
      <c r="I1295" s="70"/>
      <c r="J1295" s="71"/>
      <c r="K1295" s="71"/>
      <c r="L1295" s="71"/>
      <c r="M1295" s="71"/>
    </row>
    <row r="1296" spans="1:13" s="72" customFormat="1" x14ac:dyDescent="0.25">
      <c r="A1296" s="526"/>
      <c r="B1296" s="526"/>
      <c r="C1296" s="121">
        <v>48</v>
      </c>
      <c r="D1296" s="49">
        <v>108</v>
      </c>
      <c r="E1296" s="49">
        <v>1987</v>
      </c>
      <c r="F1296" s="332">
        <f t="shared" si="367"/>
        <v>32</v>
      </c>
      <c r="G1296" s="68"/>
      <c r="H1296" s="69"/>
      <c r="I1296" s="70"/>
      <c r="J1296" s="71"/>
      <c r="K1296" s="71"/>
      <c r="L1296" s="71"/>
      <c r="M1296" s="71"/>
    </row>
    <row r="1297" spans="1:13" s="72" customFormat="1" ht="15.75" customHeight="1" x14ac:dyDescent="0.25">
      <c r="A1297" s="525" t="s">
        <v>312</v>
      </c>
      <c r="B1297" s="525" t="s">
        <v>491</v>
      </c>
      <c r="C1297" s="121"/>
      <c r="D1297" s="49"/>
      <c r="E1297" s="74"/>
      <c r="F1297" s="329"/>
      <c r="G1297" s="68"/>
      <c r="H1297" s="69"/>
      <c r="I1297" s="70"/>
      <c r="J1297" s="71"/>
      <c r="K1297" s="71"/>
      <c r="L1297" s="71"/>
      <c r="M1297" s="71"/>
    </row>
    <row r="1298" spans="1:13" s="72" customFormat="1" x14ac:dyDescent="0.25">
      <c r="A1298" s="531"/>
      <c r="B1298" s="531"/>
      <c r="C1298" s="121">
        <v>39</v>
      </c>
      <c r="D1298" s="49">
        <v>219</v>
      </c>
      <c r="E1298" s="49">
        <v>1986</v>
      </c>
      <c r="F1298" s="332">
        <f t="shared" ref="F1298:F1299" si="368">2019-E1298</f>
        <v>33</v>
      </c>
      <c r="G1298" s="68"/>
      <c r="H1298" s="69"/>
      <c r="I1298" s="70"/>
      <c r="J1298" s="71"/>
      <c r="K1298" s="71"/>
      <c r="L1298" s="71"/>
      <c r="M1298" s="71"/>
    </row>
    <row r="1299" spans="1:13" s="72" customFormat="1" x14ac:dyDescent="0.25">
      <c r="A1299" s="526"/>
      <c r="B1299" s="526"/>
      <c r="C1299" s="121">
        <v>39</v>
      </c>
      <c r="D1299" s="49">
        <v>133</v>
      </c>
      <c r="E1299" s="49">
        <v>1986</v>
      </c>
      <c r="F1299" s="332">
        <f t="shared" si="368"/>
        <v>33</v>
      </c>
      <c r="G1299" s="68"/>
      <c r="H1299" s="69"/>
      <c r="I1299" s="70"/>
      <c r="J1299" s="71"/>
      <c r="K1299" s="71"/>
      <c r="L1299" s="71"/>
      <c r="M1299" s="71"/>
    </row>
    <row r="1300" spans="1:13" s="72" customFormat="1" ht="15.75" customHeight="1" x14ac:dyDescent="0.25">
      <c r="A1300" s="525" t="s">
        <v>329</v>
      </c>
      <c r="B1300" s="525" t="s">
        <v>673</v>
      </c>
      <c r="C1300" s="121"/>
      <c r="D1300" s="49"/>
      <c r="E1300" s="74"/>
      <c r="F1300" s="329"/>
      <c r="G1300" s="68"/>
      <c r="H1300" s="69"/>
      <c r="I1300" s="70"/>
      <c r="J1300" s="71"/>
      <c r="K1300" s="71"/>
      <c r="L1300" s="71"/>
      <c r="M1300" s="71"/>
    </row>
    <row r="1301" spans="1:13" s="72" customFormat="1" x14ac:dyDescent="0.25">
      <c r="A1301" s="531"/>
      <c r="B1301" s="531"/>
      <c r="C1301" s="121">
        <v>7</v>
      </c>
      <c r="D1301" s="49">
        <v>76</v>
      </c>
      <c r="E1301" s="49">
        <v>1987</v>
      </c>
      <c r="F1301" s="332">
        <f t="shared" ref="F1301:F1302" si="369">2019-E1301</f>
        <v>32</v>
      </c>
      <c r="G1301" s="68"/>
      <c r="H1301" s="69"/>
      <c r="I1301" s="70"/>
      <c r="J1301" s="71"/>
      <c r="K1301" s="71"/>
      <c r="L1301" s="71"/>
      <c r="M1301" s="71"/>
    </row>
    <row r="1302" spans="1:13" s="72" customFormat="1" x14ac:dyDescent="0.25">
      <c r="A1302" s="526"/>
      <c r="B1302" s="526"/>
      <c r="C1302" s="121">
        <v>7</v>
      </c>
      <c r="D1302" s="49">
        <v>57</v>
      </c>
      <c r="E1302" s="49">
        <v>1987</v>
      </c>
      <c r="F1302" s="332">
        <f t="shared" si="369"/>
        <v>32</v>
      </c>
      <c r="G1302" s="68"/>
      <c r="H1302" s="69"/>
      <c r="I1302" s="70"/>
      <c r="J1302" s="71"/>
      <c r="K1302" s="71"/>
      <c r="L1302" s="71"/>
      <c r="M1302" s="71"/>
    </row>
    <row r="1303" spans="1:13" s="72" customFormat="1" ht="23.25" customHeight="1" x14ac:dyDescent="0.25">
      <c r="A1303" s="525" t="s">
        <v>329</v>
      </c>
      <c r="B1303" s="525" t="s">
        <v>674</v>
      </c>
      <c r="C1303" s="121"/>
      <c r="D1303" s="49"/>
      <c r="E1303" s="74"/>
      <c r="F1303" s="329"/>
      <c r="G1303" s="68"/>
      <c r="H1303" s="69"/>
      <c r="I1303" s="70"/>
      <c r="J1303" s="71"/>
      <c r="K1303" s="71"/>
      <c r="L1303" s="71"/>
      <c r="M1303" s="71"/>
    </row>
    <row r="1304" spans="1:13" s="72" customFormat="1" x14ac:dyDescent="0.25">
      <c r="A1304" s="531"/>
      <c r="B1304" s="531"/>
      <c r="C1304" s="121">
        <v>35</v>
      </c>
      <c r="D1304" s="49">
        <v>57</v>
      </c>
      <c r="E1304" s="49">
        <v>1987</v>
      </c>
      <c r="F1304" s="332">
        <f t="shared" ref="F1304:F1305" si="370">2019-E1304</f>
        <v>32</v>
      </c>
      <c r="G1304" s="68"/>
      <c r="H1304" s="69"/>
      <c r="I1304" s="70"/>
      <c r="J1304" s="71"/>
      <c r="K1304" s="71"/>
      <c r="L1304" s="71"/>
      <c r="M1304" s="71"/>
    </row>
    <row r="1305" spans="1:13" s="72" customFormat="1" x14ac:dyDescent="0.25">
      <c r="A1305" s="526"/>
      <c r="B1305" s="526"/>
      <c r="C1305" s="121">
        <v>35</v>
      </c>
      <c r="D1305" s="49">
        <v>40</v>
      </c>
      <c r="E1305" s="49">
        <v>1987</v>
      </c>
      <c r="F1305" s="332">
        <f t="shared" si="370"/>
        <v>32</v>
      </c>
      <c r="G1305" s="68"/>
      <c r="H1305" s="69"/>
      <c r="I1305" s="70"/>
      <c r="J1305" s="71"/>
      <c r="K1305" s="71"/>
      <c r="L1305" s="71"/>
      <c r="M1305" s="71"/>
    </row>
    <row r="1306" spans="1:13" s="72" customFormat="1" ht="15.75" customHeight="1" x14ac:dyDescent="0.25">
      <c r="A1306" s="534" t="s">
        <v>193</v>
      </c>
      <c r="B1306" s="534" t="s">
        <v>274</v>
      </c>
      <c r="C1306" s="121"/>
      <c r="D1306" s="49"/>
      <c r="E1306" s="74"/>
      <c r="F1306" s="329"/>
      <c r="G1306" s="68"/>
      <c r="H1306" s="69"/>
      <c r="I1306" s="70"/>
      <c r="J1306" s="71"/>
      <c r="K1306" s="71"/>
      <c r="L1306" s="71"/>
      <c r="M1306" s="71"/>
    </row>
    <row r="1307" spans="1:13" s="72" customFormat="1" x14ac:dyDescent="0.25">
      <c r="A1307" s="536"/>
      <c r="B1307" s="536"/>
      <c r="C1307" s="121">
        <v>10</v>
      </c>
      <c r="D1307" s="49">
        <v>273</v>
      </c>
      <c r="E1307" s="49">
        <v>1986</v>
      </c>
      <c r="F1307" s="332">
        <f t="shared" ref="F1307:F1308" si="371">2019-E1307</f>
        <v>33</v>
      </c>
      <c r="G1307" s="68"/>
      <c r="H1307" s="69"/>
      <c r="I1307" s="70"/>
      <c r="J1307" s="71"/>
      <c r="K1307" s="71"/>
      <c r="L1307" s="71"/>
      <c r="M1307" s="71"/>
    </row>
    <row r="1308" spans="1:13" s="72" customFormat="1" x14ac:dyDescent="0.25">
      <c r="A1308" s="535"/>
      <c r="B1308" s="535"/>
      <c r="C1308" s="121">
        <v>10</v>
      </c>
      <c r="D1308" s="49">
        <v>159</v>
      </c>
      <c r="E1308" s="49">
        <v>1986</v>
      </c>
      <c r="F1308" s="332">
        <f t="shared" si="371"/>
        <v>33</v>
      </c>
      <c r="G1308" s="68"/>
      <c r="H1308" s="69"/>
      <c r="I1308" s="70"/>
      <c r="J1308" s="71"/>
      <c r="K1308" s="71"/>
      <c r="L1308" s="71"/>
      <c r="M1308" s="71"/>
    </row>
    <row r="1309" spans="1:13" s="72" customFormat="1" ht="15.75" customHeight="1" x14ac:dyDescent="0.25">
      <c r="A1309" s="534" t="s">
        <v>203</v>
      </c>
      <c r="B1309" s="525" t="s">
        <v>675</v>
      </c>
      <c r="C1309" s="121"/>
      <c r="D1309" s="49"/>
      <c r="E1309" s="56"/>
      <c r="F1309" s="329"/>
      <c r="G1309" s="68"/>
      <c r="H1309" s="69"/>
      <c r="I1309" s="70"/>
      <c r="J1309" s="71"/>
      <c r="K1309" s="71"/>
      <c r="L1309" s="71"/>
      <c r="M1309" s="71"/>
    </row>
    <row r="1310" spans="1:13" s="72" customFormat="1" x14ac:dyDescent="0.25">
      <c r="A1310" s="536"/>
      <c r="B1310" s="531"/>
      <c r="C1310" s="121">
        <v>10</v>
      </c>
      <c r="D1310" s="49">
        <v>89</v>
      </c>
      <c r="E1310" s="49">
        <v>1988</v>
      </c>
      <c r="F1310" s="332">
        <f t="shared" ref="F1310:F1311" si="372">2019-E1310</f>
        <v>31</v>
      </c>
      <c r="G1310" s="68"/>
      <c r="H1310" s="69"/>
      <c r="I1310" s="70"/>
      <c r="J1310" s="71"/>
      <c r="K1310" s="71"/>
      <c r="L1310" s="71"/>
      <c r="M1310" s="71"/>
    </row>
    <row r="1311" spans="1:13" s="72" customFormat="1" x14ac:dyDescent="0.25">
      <c r="A1311" s="535"/>
      <c r="B1311" s="526"/>
      <c r="C1311" s="121">
        <v>10</v>
      </c>
      <c r="D1311" s="49">
        <v>57</v>
      </c>
      <c r="E1311" s="64">
        <v>1988</v>
      </c>
      <c r="F1311" s="332">
        <f t="shared" si="372"/>
        <v>31</v>
      </c>
      <c r="G1311" s="68"/>
      <c r="H1311" s="69"/>
      <c r="I1311" s="70"/>
      <c r="J1311" s="71"/>
      <c r="K1311" s="71"/>
      <c r="L1311" s="71"/>
      <c r="M1311" s="71"/>
    </row>
    <row r="1312" spans="1:13" s="72" customFormat="1" ht="15.75" customHeight="1" x14ac:dyDescent="0.25">
      <c r="A1312" s="525" t="s">
        <v>193</v>
      </c>
      <c r="B1312" s="525" t="s">
        <v>676</v>
      </c>
      <c r="C1312" s="121"/>
      <c r="D1312" s="49"/>
      <c r="E1312" s="56"/>
      <c r="F1312" s="329"/>
      <c r="G1312" s="68"/>
      <c r="H1312" s="69"/>
      <c r="I1312" s="70"/>
      <c r="J1312" s="71"/>
      <c r="K1312" s="71"/>
      <c r="L1312" s="71"/>
      <c r="M1312" s="71"/>
    </row>
    <row r="1313" spans="1:13" s="72" customFormat="1" ht="20.25" customHeight="1" x14ac:dyDescent="0.25">
      <c r="A1313" s="531"/>
      <c r="B1313" s="531"/>
      <c r="C1313" s="121">
        <v>13.1</v>
      </c>
      <c r="D1313" s="49">
        <v>273</v>
      </c>
      <c r="E1313" s="49">
        <v>1986</v>
      </c>
      <c r="F1313" s="332">
        <f t="shared" ref="F1313:F1314" si="373">2019-E1313</f>
        <v>33</v>
      </c>
      <c r="G1313" s="68"/>
      <c r="H1313" s="69"/>
      <c r="I1313" s="70"/>
      <c r="J1313" s="71"/>
      <c r="K1313" s="71"/>
      <c r="L1313" s="71"/>
      <c r="M1313" s="71"/>
    </row>
    <row r="1314" spans="1:13" s="72" customFormat="1" x14ac:dyDescent="0.25">
      <c r="A1314" s="526"/>
      <c r="B1314" s="526"/>
      <c r="C1314" s="121">
        <v>13.1</v>
      </c>
      <c r="D1314" s="49">
        <v>159</v>
      </c>
      <c r="E1314" s="49">
        <v>1986</v>
      </c>
      <c r="F1314" s="332">
        <f t="shared" si="373"/>
        <v>33</v>
      </c>
      <c r="G1314" s="68"/>
      <c r="H1314" s="69"/>
      <c r="I1314" s="70"/>
      <c r="J1314" s="71"/>
      <c r="K1314" s="71"/>
      <c r="L1314" s="71"/>
      <c r="M1314" s="71"/>
    </row>
    <row r="1315" spans="1:13" s="72" customFormat="1" ht="15.75" customHeight="1" x14ac:dyDescent="0.25">
      <c r="A1315" s="525" t="s">
        <v>229</v>
      </c>
      <c r="B1315" s="525" t="s">
        <v>367</v>
      </c>
      <c r="C1315" s="121"/>
      <c r="D1315" s="49"/>
      <c r="E1315" s="56"/>
      <c r="F1315" s="329"/>
      <c r="G1315" s="68"/>
      <c r="H1315" s="69"/>
      <c r="I1315" s="70"/>
      <c r="J1315" s="71"/>
      <c r="K1315" s="71"/>
      <c r="L1315" s="71"/>
      <c r="M1315" s="71"/>
    </row>
    <row r="1316" spans="1:13" s="72" customFormat="1" x14ac:dyDescent="0.25">
      <c r="A1316" s="531"/>
      <c r="B1316" s="531"/>
      <c r="C1316" s="121">
        <v>67</v>
      </c>
      <c r="D1316" s="49">
        <v>159</v>
      </c>
      <c r="E1316" s="49">
        <v>1987</v>
      </c>
      <c r="F1316" s="332">
        <f t="shared" ref="F1316:F1317" si="374">2019-E1316</f>
        <v>32</v>
      </c>
      <c r="G1316" s="68"/>
      <c r="H1316" s="69"/>
      <c r="I1316" s="70"/>
      <c r="J1316" s="71"/>
      <c r="K1316" s="71"/>
      <c r="L1316" s="71"/>
      <c r="M1316" s="71"/>
    </row>
    <row r="1317" spans="1:13" s="72" customFormat="1" x14ac:dyDescent="0.25">
      <c r="A1317" s="526"/>
      <c r="B1317" s="526"/>
      <c r="C1317" s="121">
        <v>67</v>
      </c>
      <c r="D1317" s="49">
        <v>108</v>
      </c>
      <c r="E1317" s="49">
        <v>1987</v>
      </c>
      <c r="F1317" s="332">
        <f t="shared" si="374"/>
        <v>32</v>
      </c>
      <c r="G1317" s="68"/>
      <c r="H1317" s="69"/>
      <c r="I1317" s="70"/>
      <c r="J1317" s="71"/>
      <c r="K1317" s="71"/>
      <c r="L1317" s="71"/>
      <c r="M1317" s="71"/>
    </row>
    <row r="1318" spans="1:13" s="72" customFormat="1" ht="15.75" customHeight="1" x14ac:dyDescent="0.25">
      <c r="A1318" s="525" t="s">
        <v>217</v>
      </c>
      <c r="B1318" s="525" t="s">
        <v>677</v>
      </c>
      <c r="C1318" s="121"/>
      <c r="D1318" s="49"/>
      <c r="E1318" s="56"/>
      <c r="F1318" s="329"/>
      <c r="G1318" s="68"/>
      <c r="H1318" s="69"/>
      <c r="I1318" s="70"/>
      <c r="J1318" s="71"/>
      <c r="K1318" s="71"/>
      <c r="L1318" s="71"/>
      <c r="M1318" s="71"/>
    </row>
    <row r="1319" spans="1:13" s="72" customFormat="1" x14ac:dyDescent="0.25">
      <c r="A1319" s="531"/>
      <c r="B1319" s="531"/>
      <c r="C1319" s="121">
        <v>44</v>
      </c>
      <c r="D1319" s="49">
        <v>273</v>
      </c>
      <c r="E1319" s="49">
        <v>1986</v>
      </c>
      <c r="F1319" s="332">
        <f t="shared" ref="F1319:F1320" si="375">2019-E1319</f>
        <v>33</v>
      </c>
      <c r="G1319" s="68"/>
      <c r="H1319" s="69"/>
      <c r="I1319" s="70"/>
      <c r="J1319" s="71"/>
      <c r="K1319" s="71"/>
      <c r="L1319" s="71"/>
      <c r="M1319" s="71"/>
    </row>
    <row r="1320" spans="1:13" s="72" customFormat="1" x14ac:dyDescent="0.25">
      <c r="A1320" s="526"/>
      <c r="B1320" s="526"/>
      <c r="C1320" s="121">
        <v>44</v>
      </c>
      <c r="D1320" s="49">
        <v>159</v>
      </c>
      <c r="E1320" s="49">
        <v>1986</v>
      </c>
      <c r="F1320" s="332">
        <f t="shared" si="375"/>
        <v>33</v>
      </c>
      <c r="G1320" s="68"/>
      <c r="H1320" s="69"/>
      <c r="I1320" s="70"/>
      <c r="J1320" s="71"/>
      <c r="K1320" s="71"/>
      <c r="L1320" s="71"/>
      <c r="M1320" s="71"/>
    </row>
    <row r="1321" spans="1:13" s="72" customFormat="1" ht="15.75" customHeight="1" x14ac:dyDescent="0.25">
      <c r="A1321" s="534" t="s">
        <v>294</v>
      </c>
      <c r="B1321" s="525" t="s">
        <v>294</v>
      </c>
      <c r="C1321" s="121"/>
      <c r="D1321" s="49"/>
      <c r="E1321" s="56"/>
      <c r="F1321" s="329"/>
      <c r="G1321" s="68"/>
      <c r="H1321" s="69"/>
      <c r="I1321" s="70"/>
      <c r="J1321" s="71"/>
      <c r="K1321" s="71"/>
      <c r="L1321" s="71"/>
      <c r="M1321" s="71"/>
    </row>
    <row r="1322" spans="1:13" s="72" customFormat="1" x14ac:dyDescent="0.25">
      <c r="A1322" s="536"/>
      <c r="B1322" s="531"/>
      <c r="C1322" s="121">
        <v>103</v>
      </c>
      <c r="D1322" s="49">
        <v>273</v>
      </c>
      <c r="E1322" s="49">
        <v>1987</v>
      </c>
      <c r="F1322" s="332">
        <f t="shared" ref="F1322:F1323" si="376">2019-E1322</f>
        <v>32</v>
      </c>
      <c r="G1322" s="68"/>
      <c r="H1322" s="69"/>
      <c r="I1322" s="70"/>
      <c r="J1322" s="71"/>
      <c r="K1322" s="71"/>
      <c r="L1322" s="71"/>
      <c r="M1322" s="71"/>
    </row>
    <row r="1323" spans="1:13" s="72" customFormat="1" x14ac:dyDescent="0.25">
      <c r="A1323" s="535"/>
      <c r="B1323" s="526"/>
      <c r="C1323" s="121">
        <v>103</v>
      </c>
      <c r="D1323" s="49">
        <v>159</v>
      </c>
      <c r="E1323" s="49">
        <v>1987</v>
      </c>
      <c r="F1323" s="332">
        <f t="shared" si="376"/>
        <v>32</v>
      </c>
      <c r="G1323" s="68"/>
      <c r="H1323" s="69"/>
      <c r="I1323" s="70"/>
      <c r="J1323" s="71"/>
      <c r="K1323" s="71"/>
      <c r="L1323" s="71"/>
      <c r="M1323" s="71"/>
    </row>
    <row r="1324" spans="1:13" x14ac:dyDescent="0.2">
      <c r="A1324" s="534" t="s">
        <v>678</v>
      </c>
      <c r="B1324" s="525" t="s">
        <v>679</v>
      </c>
      <c r="C1324" s="123"/>
      <c r="D1324" s="108"/>
      <c r="E1324" s="114"/>
      <c r="F1324" s="329"/>
      <c r="G1324" s="48"/>
      <c r="H1324" s="48"/>
      <c r="I1324" s="48"/>
      <c r="J1324" s="48"/>
      <c r="K1324" s="48"/>
      <c r="L1324" s="48"/>
      <c r="M1324" s="48"/>
    </row>
    <row r="1325" spans="1:13" x14ac:dyDescent="0.25">
      <c r="A1325" s="536"/>
      <c r="B1325" s="531"/>
      <c r="C1325" s="119">
        <v>36</v>
      </c>
      <c r="D1325" s="108">
        <v>89</v>
      </c>
      <c r="E1325" s="114">
        <v>1987</v>
      </c>
      <c r="F1325" s="332">
        <f t="shared" ref="F1325:F1326" si="377">2019-E1325</f>
        <v>32</v>
      </c>
      <c r="G1325" s="48"/>
      <c r="H1325" s="48"/>
      <c r="I1325" s="48"/>
      <c r="J1325" s="48"/>
      <c r="K1325" s="48"/>
      <c r="L1325" s="48"/>
      <c r="M1325" s="48"/>
    </row>
    <row r="1326" spans="1:13" x14ac:dyDescent="0.25">
      <c r="A1326" s="535"/>
      <c r="B1326" s="526"/>
      <c r="C1326" s="119">
        <v>36</v>
      </c>
      <c r="D1326" s="108">
        <v>57</v>
      </c>
      <c r="E1326" s="114">
        <v>1987</v>
      </c>
      <c r="F1326" s="332">
        <f t="shared" si="377"/>
        <v>32</v>
      </c>
      <c r="G1326" s="48"/>
      <c r="H1326" s="48"/>
      <c r="I1326" s="48"/>
      <c r="J1326" s="48"/>
      <c r="K1326" s="48"/>
      <c r="L1326" s="48"/>
      <c r="M1326" s="48"/>
    </row>
    <row r="1327" spans="1:13" x14ac:dyDescent="0.2">
      <c r="A1327" s="525" t="s">
        <v>195</v>
      </c>
      <c r="B1327" s="545" t="s">
        <v>680</v>
      </c>
      <c r="C1327" s="55"/>
      <c r="D1327" s="108"/>
      <c r="E1327" s="114"/>
      <c r="F1327" s="330"/>
      <c r="G1327" s="48"/>
      <c r="H1327" s="48"/>
      <c r="I1327" s="48"/>
      <c r="J1327" s="48"/>
      <c r="K1327" s="48"/>
      <c r="L1327" s="48"/>
      <c r="M1327" s="48"/>
    </row>
    <row r="1328" spans="1:13" x14ac:dyDescent="0.25">
      <c r="A1328" s="531"/>
      <c r="B1328" s="546"/>
      <c r="C1328" s="55">
        <v>54</v>
      </c>
      <c r="D1328" s="108">
        <v>89</v>
      </c>
      <c r="E1328" s="114">
        <v>1995</v>
      </c>
      <c r="F1328" s="332">
        <f t="shared" ref="F1328:F1329" si="378">2019-E1328</f>
        <v>24</v>
      </c>
      <c r="G1328" s="48"/>
      <c r="H1328" s="48"/>
      <c r="I1328" s="48"/>
      <c r="J1328" s="48"/>
      <c r="K1328" s="48"/>
      <c r="L1328" s="48"/>
      <c r="M1328" s="48"/>
    </row>
    <row r="1329" spans="1:13" x14ac:dyDescent="0.25">
      <c r="A1329" s="526"/>
      <c r="B1329" s="547"/>
      <c r="C1329" s="78">
        <v>54</v>
      </c>
      <c r="D1329" s="108">
        <v>40</v>
      </c>
      <c r="E1329" s="114">
        <v>1995</v>
      </c>
      <c r="F1329" s="332">
        <f t="shared" si="378"/>
        <v>24</v>
      </c>
      <c r="G1329" s="48"/>
      <c r="H1329" s="48"/>
      <c r="I1329" s="48"/>
      <c r="J1329" s="48"/>
      <c r="K1329" s="48"/>
      <c r="L1329" s="48"/>
      <c r="M1329" s="48"/>
    </row>
    <row r="1330" spans="1:13" x14ac:dyDescent="0.2">
      <c r="A1330" s="525" t="s">
        <v>195</v>
      </c>
      <c r="B1330" s="545" t="s">
        <v>681</v>
      </c>
      <c r="C1330" s="55"/>
      <c r="D1330" s="108"/>
      <c r="E1330" s="114"/>
      <c r="F1330" s="330"/>
      <c r="G1330" s="48"/>
      <c r="H1330" s="48"/>
      <c r="I1330" s="48"/>
      <c r="J1330" s="48"/>
      <c r="K1330" s="48"/>
      <c r="L1330" s="48"/>
      <c r="M1330" s="48"/>
    </row>
    <row r="1331" spans="1:13" x14ac:dyDescent="0.25">
      <c r="A1331" s="531"/>
      <c r="B1331" s="546"/>
      <c r="C1331" s="78">
        <v>48</v>
      </c>
      <c r="D1331" s="108">
        <v>57</v>
      </c>
      <c r="E1331" s="114">
        <v>1996</v>
      </c>
      <c r="F1331" s="332">
        <f t="shared" ref="F1331:F1332" si="379">2019-E1331</f>
        <v>23</v>
      </c>
      <c r="G1331" s="48"/>
      <c r="H1331" s="48"/>
      <c r="I1331" s="48"/>
      <c r="J1331" s="48"/>
      <c r="K1331" s="48"/>
      <c r="L1331" s="48"/>
      <c r="M1331" s="48"/>
    </row>
    <row r="1332" spans="1:13" x14ac:dyDescent="0.25">
      <c r="A1332" s="526"/>
      <c r="B1332" s="547"/>
      <c r="C1332" s="78">
        <v>48</v>
      </c>
      <c r="D1332" s="108">
        <v>40</v>
      </c>
      <c r="E1332" s="114">
        <v>1996</v>
      </c>
      <c r="F1332" s="332">
        <f t="shared" si="379"/>
        <v>23</v>
      </c>
      <c r="G1332" s="48"/>
      <c r="H1332" s="48"/>
      <c r="I1332" s="48"/>
      <c r="J1332" s="48"/>
      <c r="K1332" s="48"/>
      <c r="L1332" s="48"/>
      <c r="M1332" s="48"/>
    </row>
    <row r="1333" spans="1:13" x14ac:dyDescent="0.2">
      <c r="A1333" s="525" t="s">
        <v>255</v>
      </c>
      <c r="B1333" s="529" t="s">
        <v>345</v>
      </c>
      <c r="C1333" s="53"/>
      <c r="D1333" s="108"/>
      <c r="E1333" s="114"/>
      <c r="F1333" s="330"/>
      <c r="G1333" s="48"/>
      <c r="H1333" s="48"/>
      <c r="I1333" s="48"/>
      <c r="J1333" s="48"/>
      <c r="K1333" s="48"/>
      <c r="L1333" s="48"/>
      <c r="M1333" s="48"/>
    </row>
    <row r="1334" spans="1:13" x14ac:dyDescent="0.25">
      <c r="A1334" s="531"/>
      <c r="B1334" s="544"/>
      <c r="C1334" s="53">
        <v>200</v>
      </c>
      <c r="D1334" s="108">
        <v>108</v>
      </c>
      <c r="E1334" s="114">
        <v>1985</v>
      </c>
      <c r="F1334" s="332">
        <f t="shared" ref="F1334:F1335" si="380">2019-E1334</f>
        <v>34</v>
      </c>
      <c r="G1334" s="48"/>
      <c r="H1334" s="48"/>
      <c r="I1334" s="48"/>
      <c r="J1334" s="48"/>
      <c r="K1334" s="48"/>
      <c r="L1334" s="48"/>
      <c r="M1334" s="48"/>
    </row>
    <row r="1335" spans="1:13" x14ac:dyDescent="0.25">
      <c r="A1335" s="526"/>
      <c r="B1335" s="530"/>
      <c r="C1335" s="119">
        <v>200</v>
      </c>
      <c r="D1335" s="108">
        <v>76</v>
      </c>
      <c r="E1335" s="114">
        <v>1985</v>
      </c>
      <c r="F1335" s="332">
        <f t="shared" si="380"/>
        <v>34</v>
      </c>
      <c r="G1335" s="48"/>
      <c r="H1335" s="48"/>
      <c r="I1335" s="48"/>
      <c r="J1335" s="48"/>
      <c r="K1335" s="48"/>
      <c r="L1335" s="48"/>
      <c r="M1335" s="48"/>
    </row>
    <row r="1336" spans="1:13" x14ac:dyDescent="0.2">
      <c r="A1336" s="525" t="s">
        <v>682</v>
      </c>
      <c r="B1336" s="529" t="s">
        <v>683</v>
      </c>
      <c r="C1336" s="53"/>
      <c r="D1336" s="108"/>
      <c r="E1336" s="114"/>
      <c r="F1336" s="330"/>
      <c r="G1336" s="48"/>
      <c r="H1336" s="48"/>
      <c r="I1336" s="48"/>
      <c r="J1336" s="48"/>
      <c r="K1336" s="48"/>
      <c r="L1336" s="48"/>
      <c r="M1336" s="48"/>
    </row>
    <row r="1337" spans="1:13" x14ac:dyDescent="0.25">
      <c r="A1337" s="531"/>
      <c r="B1337" s="544"/>
      <c r="C1337" s="53">
        <v>36</v>
      </c>
      <c r="D1337" s="108">
        <v>108</v>
      </c>
      <c r="E1337" s="114">
        <v>1986</v>
      </c>
      <c r="F1337" s="332">
        <f t="shared" ref="F1337:F1338" si="381">2019-E1337</f>
        <v>33</v>
      </c>
      <c r="G1337" s="48"/>
      <c r="H1337" s="48"/>
      <c r="I1337" s="48"/>
      <c r="J1337" s="48"/>
      <c r="K1337" s="48"/>
      <c r="L1337" s="48"/>
      <c r="M1337" s="48"/>
    </row>
    <row r="1338" spans="1:13" x14ac:dyDescent="0.25">
      <c r="A1338" s="526"/>
      <c r="B1338" s="530"/>
      <c r="C1338" s="119">
        <v>36</v>
      </c>
      <c r="D1338" s="108">
        <v>76</v>
      </c>
      <c r="E1338" s="114">
        <v>1986</v>
      </c>
      <c r="F1338" s="332">
        <f t="shared" si="381"/>
        <v>33</v>
      </c>
      <c r="G1338" s="48"/>
      <c r="H1338" s="48"/>
      <c r="I1338" s="48"/>
      <c r="J1338" s="48"/>
      <c r="K1338" s="48"/>
      <c r="L1338" s="48"/>
      <c r="M1338" s="48"/>
    </row>
    <row r="1339" spans="1:13" x14ac:dyDescent="0.2">
      <c r="A1339" s="525" t="s">
        <v>522</v>
      </c>
      <c r="B1339" s="525" t="s">
        <v>684</v>
      </c>
      <c r="C1339" s="119"/>
      <c r="D1339" s="108"/>
      <c r="E1339" s="114"/>
      <c r="F1339" s="330"/>
      <c r="G1339" s="48"/>
      <c r="H1339" s="48"/>
      <c r="I1339" s="48"/>
      <c r="J1339" s="48"/>
      <c r="K1339" s="48"/>
      <c r="L1339" s="48"/>
      <c r="M1339" s="48"/>
    </row>
    <row r="1340" spans="1:13" x14ac:dyDescent="0.25">
      <c r="A1340" s="531"/>
      <c r="B1340" s="531"/>
      <c r="C1340" s="119">
        <v>29</v>
      </c>
      <c r="D1340" s="108">
        <v>76</v>
      </c>
      <c r="E1340" s="114">
        <v>1988</v>
      </c>
      <c r="F1340" s="332">
        <f t="shared" ref="F1340:F1341" si="382">2019-E1340</f>
        <v>31</v>
      </c>
      <c r="G1340" s="48"/>
      <c r="H1340" s="48"/>
      <c r="I1340" s="48"/>
      <c r="J1340" s="48"/>
      <c r="K1340" s="48"/>
      <c r="L1340" s="48"/>
      <c r="M1340" s="48"/>
    </row>
    <row r="1341" spans="1:13" x14ac:dyDescent="0.25">
      <c r="A1341" s="526"/>
      <c r="B1341" s="526"/>
      <c r="C1341" s="119">
        <v>29</v>
      </c>
      <c r="D1341" s="108">
        <v>57</v>
      </c>
      <c r="E1341" s="114">
        <v>1988</v>
      </c>
      <c r="F1341" s="332">
        <f t="shared" si="382"/>
        <v>31</v>
      </c>
      <c r="G1341" s="48"/>
      <c r="H1341" s="48"/>
      <c r="I1341" s="48"/>
      <c r="J1341" s="48"/>
      <c r="K1341" s="48"/>
      <c r="L1341" s="48"/>
      <c r="M1341" s="48"/>
    </row>
    <row r="1342" spans="1:13" x14ac:dyDescent="0.2">
      <c r="A1342" s="525" t="s">
        <v>522</v>
      </c>
      <c r="B1342" s="525" t="s">
        <v>685</v>
      </c>
      <c r="C1342" s="119"/>
      <c r="D1342" s="108"/>
      <c r="E1342" s="114"/>
      <c r="F1342" s="330"/>
      <c r="G1342" s="48"/>
      <c r="H1342" s="48"/>
      <c r="I1342" s="48"/>
      <c r="J1342" s="48"/>
      <c r="K1342" s="48"/>
      <c r="L1342" s="48"/>
      <c r="M1342" s="48"/>
    </row>
    <row r="1343" spans="1:13" x14ac:dyDescent="0.25">
      <c r="A1343" s="531"/>
      <c r="B1343" s="531"/>
      <c r="C1343" s="119">
        <v>29</v>
      </c>
      <c r="D1343" s="108">
        <v>76</v>
      </c>
      <c r="E1343" s="114">
        <v>1988</v>
      </c>
      <c r="F1343" s="332">
        <f t="shared" ref="F1343:F1344" si="383">2019-E1343</f>
        <v>31</v>
      </c>
      <c r="G1343" s="48"/>
      <c r="H1343" s="48"/>
      <c r="I1343" s="48"/>
      <c r="J1343" s="48"/>
      <c r="K1343" s="48"/>
      <c r="L1343" s="48"/>
      <c r="M1343" s="48"/>
    </row>
    <row r="1344" spans="1:13" x14ac:dyDescent="0.25">
      <c r="A1344" s="526"/>
      <c r="B1344" s="526"/>
      <c r="C1344" s="119">
        <v>29</v>
      </c>
      <c r="D1344" s="108">
        <v>57</v>
      </c>
      <c r="E1344" s="114">
        <v>1988</v>
      </c>
      <c r="F1344" s="332">
        <f t="shared" si="383"/>
        <v>31</v>
      </c>
      <c r="G1344" s="48"/>
      <c r="H1344" s="48"/>
      <c r="I1344" s="48"/>
      <c r="J1344" s="48"/>
      <c r="K1344" s="48"/>
      <c r="L1344" s="48"/>
      <c r="M1344" s="48"/>
    </row>
    <row r="1345" spans="1:13" x14ac:dyDescent="0.2">
      <c r="A1345" s="525" t="s">
        <v>213</v>
      </c>
      <c r="B1345" s="525" t="s">
        <v>686</v>
      </c>
      <c r="C1345" s="53"/>
      <c r="D1345" s="108"/>
      <c r="E1345" s="114"/>
      <c r="F1345" s="330"/>
      <c r="G1345" s="48"/>
      <c r="H1345" s="48"/>
      <c r="I1345" s="48"/>
      <c r="J1345" s="48"/>
      <c r="K1345" s="48"/>
      <c r="L1345" s="48"/>
      <c r="M1345" s="48"/>
    </row>
    <row r="1346" spans="1:13" x14ac:dyDescent="0.25">
      <c r="A1346" s="531"/>
      <c r="B1346" s="531"/>
      <c r="C1346" s="53">
        <v>92</v>
      </c>
      <c r="D1346" s="108">
        <v>133</v>
      </c>
      <c r="E1346" s="114">
        <v>1988</v>
      </c>
      <c r="F1346" s="332">
        <f t="shared" ref="F1346:F1347" si="384">2019-E1346</f>
        <v>31</v>
      </c>
      <c r="G1346" s="48"/>
      <c r="H1346" s="48"/>
      <c r="I1346" s="48"/>
      <c r="J1346" s="48"/>
      <c r="K1346" s="48"/>
      <c r="L1346" s="48"/>
      <c r="M1346" s="48"/>
    </row>
    <row r="1347" spans="1:13" x14ac:dyDescent="0.25">
      <c r="A1347" s="526"/>
      <c r="B1347" s="526"/>
      <c r="C1347" s="119">
        <v>92</v>
      </c>
      <c r="D1347" s="108">
        <v>89</v>
      </c>
      <c r="E1347" s="114">
        <v>1988</v>
      </c>
      <c r="F1347" s="332">
        <f t="shared" si="384"/>
        <v>31</v>
      </c>
      <c r="G1347" s="48"/>
      <c r="H1347" s="48"/>
      <c r="I1347" s="48"/>
      <c r="J1347" s="48"/>
      <c r="K1347" s="48"/>
      <c r="L1347" s="48"/>
      <c r="M1347" s="48"/>
    </row>
    <row r="1348" spans="1:13" x14ac:dyDescent="0.2">
      <c r="A1348" s="525" t="s">
        <v>253</v>
      </c>
      <c r="B1348" s="525" t="s">
        <v>687</v>
      </c>
      <c r="C1348" s="53"/>
      <c r="D1348" s="108"/>
      <c r="E1348" s="114"/>
      <c r="F1348" s="330"/>
      <c r="G1348" s="48"/>
      <c r="H1348" s="48"/>
      <c r="I1348" s="48"/>
      <c r="J1348" s="48"/>
      <c r="K1348" s="48"/>
      <c r="L1348" s="48"/>
      <c r="M1348" s="48"/>
    </row>
    <row r="1349" spans="1:13" x14ac:dyDescent="0.25">
      <c r="A1349" s="531"/>
      <c r="B1349" s="531"/>
      <c r="C1349" s="53">
        <v>10</v>
      </c>
      <c r="D1349" s="108">
        <v>108</v>
      </c>
      <c r="E1349" s="114">
        <v>1985</v>
      </c>
      <c r="F1349" s="332">
        <f t="shared" ref="F1349:F1350" si="385">2019-E1349</f>
        <v>34</v>
      </c>
      <c r="G1349" s="48"/>
      <c r="H1349" s="48"/>
      <c r="I1349" s="48"/>
      <c r="J1349" s="48"/>
      <c r="K1349" s="48"/>
      <c r="L1349" s="48"/>
      <c r="M1349" s="48"/>
    </row>
    <row r="1350" spans="1:13" x14ac:dyDescent="0.25">
      <c r="A1350" s="526"/>
      <c r="B1350" s="526"/>
      <c r="C1350" s="119">
        <v>10</v>
      </c>
      <c r="D1350" s="108">
        <v>57</v>
      </c>
      <c r="E1350" s="114">
        <v>1985</v>
      </c>
      <c r="F1350" s="332">
        <f t="shared" si="385"/>
        <v>34</v>
      </c>
      <c r="G1350" s="48"/>
      <c r="H1350" s="48"/>
      <c r="I1350" s="48"/>
      <c r="J1350" s="48"/>
      <c r="K1350" s="48"/>
      <c r="L1350" s="48"/>
      <c r="M1350" s="48"/>
    </row>
    <row r="1351" spans="1:13" x14ac:dyDescent="0.2">
      <c r="A1351" s="525" t="s">
        <v>213</v>
      </c>
      <c r="B1351" s="525" t="s">
        <v>688</v>
      </c>
      <c r="C1351" s="119"/>
      <c r="D1351" s="108"/>
      <c r="E1351" s="114"/>
      <c r="F1351" s="330"/>
      <c r="G1351" s="48"/>
      <c r="H1351" s="48"/>
      <c r="I1351" s="48"/>
      <c r="J1351" s="48"/>
      <c r="K1351" s="48"/>
      <c r="L1351" s="48"/>
      <c r="M1351" s="48"/>
    </row>
    <row r="1352" spans="1:13" x14ac:dyDescent="0.25">
      <c r="A1352" s="531"/>
      <c r="B1352" s="531"/>
      <c r="C1352" s="119">
        <v>48</v>
      </c>
      <c r="D1352" s="108">
        <v>40</v>
      </c>
      <c r="E1352" s="114">
        <v>1986</v>
      </c>
      <c r="F1352" s="332">
        <f t="shared" ref="F1352:F1353" si="386">2019-E1352</f>
        <v>33</v>
      </c>
      <c r="G1352" s="48"/>
      <c r="H1352" s="48"/>
      <c r="I1352" s="48"/>
      <c r="J1352" s="48"/>
      <c r="K1352" s="48"/>
      <c r="L1352" s="48"/>
      <c r="M1352" s="48"/>
    </row>
    <row r="1353" spans="1:13" x14ac:dyDescent="0.25">
      <c r="A1353" s="526"/>
      <c r="B1353" s="526"/>
      <c r="C1353" s="53">
        <v>48</v>
      </c>
      <c r="D1353" s="108">
        <v>32</v>
      </c>
      <c r="E1353" s="114">
        <v>1986</v>
      </c>
      <c r="F1353" s="332">
        <f t="shared" si="386"/>
        <v>33</v>
      </c>
      <c r="G1353" s="48"/>
      <c r="H1353" s="48"/>
      <c r="I1353" s="48"/>
      <c r="J1353" s="48"/>
      <c r="K1353" s="48"/>
      <c r="L1353" s="48"/>
      <c r="M1353" s="48"/>
    </row>
    <row r="1354" spans="1:13" x14ac:dyDescent="0.2">
      <c r="A1354" s="525" t="s">
        <v>213</v>
      </c>
      <c r="B1354" s="525" t="s">
        <v>255</v>
      </c>
      <c r="C1354" s="119"/>
      <c r="D1354" s="108"/>
      <c r="E1354" s="114"/>
      <c r="F1354" s="330"/>
      <c r="G1354" s="48"/>
      <c r="H1354" s="48"/>
      <c r="I1354" s="48"/>
      <c r="J1354" s="48"/>
      <c r="K1354" s="48"/>
      <c r="L1354" s="48"/>
      <c r="M1354" s="48"/>
    </row>
    <row r="1355" spans="1:13" x14ac:dyDescent="0.25">
      <c r="A1355" s="531"/>
      <c r="B1355" s="531"/>
      <c r="C1355" s="119">
        <v>52</v>
      </c>
      <c r="D1355" s="108">
        <v>219</v>
      </c>
      <c r="E1355" s="114">
        <v>1985</v>
      </c>
      <c r="F1355" s="332">
        <f t="shared" ref="F1355:F1356" si="387">2019-E1355</f>
        <v>34</v>
      </c>
      <c r="G1355" s="48"/>
      <c r="H1355" s="48"/>
      <c r="I1355" s="48"/>
      <c r="J1355" s="48"/>
      <c r="K1355" s="48"/>
      <c r="L1355" s="48"/>
      <c r="M1355" s="48"/>
    </row>
    <row r="1356" spans="1:13" x14ac:dyDescent="0.25">
      <c r="A1356" s="526"/>
      <c r="B1356" s="526"/>
      <c r="C1356" s="53">
        <v>52</v>
      </c>
      <c r="D1356" s="108">
        <v>133</v>
      </c>
      <c r="E1356" s="114">
        <v>1985</v>
      </c>
      <c r="F1356" s="332">
        <f t="shared" si="387"/>
        <v>34</v>
      </c>
      <c r="G1356" s="48"/>
      <c r="H1356" s="48"/>
      <c r="I1356" s="48"/>
      <c r="J1356" s="48"/>
      <c r="K1356" s="48"/>
      <c r="L1356" s="48"/>
      <c r="M1356" s="48"/>
    </row>
    <row r="1357" spans="1:13" x14ac:dyDescent="0.2">
      <c r="A1357" s="525" t="s">
        <v>419</v>
      </c>
      <c r="B1357" s="525" t="s">
        <v>689</v>
      </c>
      <c r="C1357" s="53"/>
      <c r="D1357" s="108"/>
      <c r="E1357" s="114"/>
      <c r="F1357" s="330"/>
      <c r="G1357" s="48"/>
      <c r="H1357" s="48"/>
      <c r="I1357" s="48"/>
      <c r="J1357" s="48"/>
      <c r="K1357" s="48"/>
      <c r="L1357" s="48"/>
      <c r="M1357" s="48"/>
    </row>
    <row r="1358" spans="1:13" x14ac:dyDescent="0.25">
      <c r="A1358" s="531"/>
      <c r="B1358" s="531"/>
      <c r="C1358" s="53">
        <v>18</v>
      </c>
      <c r="D1358" s="108">
        <v>133</v>
      </c>
      <c r="E1358" s="114">
        <v>1988</v>
      </c>
      <c r="F1358" s="332">
        <f t="shared" ref="F1358:F1359" si="388">2019-E1358</f>
        <v>31</v>
      </c>
      <c r="G1358" s="48"/>
      <c r="H1358" s="48"/>
      <c r="I1358" s="48"/>
      <c r="J1358" s="48"/>
      <c r="K1358" s="48"/>
      <c r="L1358" s="48"/>
      <c r="M1358" s="48"/>
    </row>
    <row r="1359" spans="1:13" x14ac:dyDescent="0.25">
      <c r="A1359" s="526"/>
      <c r="B1359" s="526"/>
      <c r="C1359" s="53">
        <v>18</v>
      </c>
      <c r="D1359" s="108">
        <v>108</v>
      </c>
      <c r="E1359" s="114">
        <v>1988</v>
      </c>
      <c r="F1359" s="332">
        <f t="shared" si="388"/>
        <v>31</v>
      </c>
      <c r="G1359" s="48"/>
      <c r="H1359" s="48"/>
      <c r="I1359" s="48"/>
      <c r="J1359" s="48"/>
      <c r="K1359" s="48"/>
      <c r="L1359" s="48"/>
      <c r="M1359" s="48"/>
    </row>
    <row r="1360" spans="1:13" x14ac:dyDescent="0.2">
      <c r="A1360" s="525" t="s">
        <v>205</v>
      </c>
      <c r="B1360" s="525" t="s">
        <v>569</v>
      </c>
      <c r="C1360" s="119"/>
      <c r="D1360" s="108"/>
      <c r="E1360" s="114"/>
      <c r="F1360" s="330"/>
      <c r="G1360" s="48"/>
      <c r="H1360" s="48"/>
      <c r="I1360" s="48"/>
      <c r="J1360" s="48"/>
      <c r="K1360" s="48"/>
      <c r="L1360" s="48"/>
      <c r="M1360" s="48"/>
    </row>
    <row r="1361" spans="1:13" x14ac:dyDescent="0.25">
      <c r="A1361" s="531"/>
      <c r="B1361" s="531"/>
      <c r="C1361" s="119">
        <v>66</v>
      </c>
      <c r="D1361" s="108">
        <v>76</v>
      </c>
      <c r="E1361" s="114">
        <v>1988</v>
      </c>
      <c r="F1361" s="332">
        <f t="shared" ref="F1361:F1362" si="389">2019-E1361</f>
        <v>31</v>
      </c>
      <c r="G1361" s="48"/>
      <c r="H1361" s="48"/>
      <c r="I1361" s="48"/>
      <c r="J1361" s="48"/>
      <c r="K1361" s="48"/>
      <c r="L1361" s="48"/>
      <c r="M1361" s="48"/>
    </row>
    <row r="1362" spans="1:13" x14ac:dyDescent="0.25">
      <c r="A1362" s="526"/>
      <c r="B1362" s="526"/>
      <c r="C1362" s="119">
        <v>66</v>
      </c>
      <c r="D1362" s="108">
        <v>57</v>
      </c>
      <c r="E1362" s="114">
        <v>1988</v>
      </c>
      <c r="F1362" s="332">
        <f t="shared" si="389"/>
        <v>31</v>
      </c>
      <c r="G1362" s="48"/>
      <c r="H1362" s="48"/>
      <c r="I1362" s="48"/>
      <c r="J1362" s="48"/>
      <c r="K1362" s="48"/>
      <c r="L1362" s="48"/>
      <c r="M1362" s="48"/>
    </row>
    <row r="1363" spans="1:13" x14ac:dyDescent="0.2">
      <c r="A1363" s="525" t="s">
        <v>205</v>
      </c>
      <c r="B1363" s="525" t="s">
        <v>690</v>
      </c>
      <c r="C1363" s="119"/>
      <c r="D1363" s="108"/>
      <c r="E1363" s="114"/>
      <c r="F1363" s="330"/>
      <c r="G1363" s="48"/>
      <c r="H1363" s="48"/>
      <c r="I1363" s="48"/>
      <c r="J1363" s="48"/>
      <c r="K1363" s="48"/>
      <c r="L1363" s="48"/>
      <c r="M1363" s="48"/>
    </row>
    <row r="1364" spans="1:13" x14ac:dyDescent="0.25">
      <c r="A1364" s="531"/>
      <c r="B1364" s="531"/>
      <c r="C1364" s="119">
        <v>40</v>
      </c>
      <c r="D1364" s="108">
        <v>76</v>
      </c>
      <c r="E1364" s="114">
        <v>1988</v>
      </c>
      <c r="F1364" s="332">
        <f t="shared" ref="F1364:F1365" si="390">2019-E1364</f>
        <v>31</v>
      </c>
      <c r="G1364" s="48"/>
      <c r="H1364" s="48"/>
      <c r="I1364" s="48"/>
      <c r="J1364" s="48"/>
      <c r="K1364" s="48"/>
      <c r="L1364" s="48"/>
      <c r="M1364" s="48"/>
    </row>
    <row r="1365" spans="1:13" x14ac:dyDescent="0.25">
      <c r="A1365" s="526"/>
      <c r="B1365" s="526"/>
      <c r="C1365" s="119">
        <v>40</v>
      </c>
      <c r="D1365" s="108">
        <v>57</v>
      </c>
      <c r="E1365" s="114">
        <v>1988</v>
      </c>
      <c r="F1365" s="332">
        <f t="shared" si="390"/>
        <v>31</v>
      </c>
      <c r="G1365" s="48"/>
      <c r="H1365" s="48"/>
      <c r="I1365" s="48"/>
      <c r="J1365" s="48"/>
      <c r="K1365" s="48"/>
      <c r="L1365" s="48"/>
      <c r="M1365" s="48"/>
    </row>
    <row r="1366" spans="1:13" x14ac:dyDescent="0.2">
      <c r="A1366" s="525" t="s">
        <v>205</v>
      </c>
      <c r="B1366" s="525" t="s">
        <v>685</v>
      </c>
      <c r="C1366" s="119"/>
      <c r="D1366" s="108"/>
      <c r="E1366" s="114"/>
      <c r="F1366" s="330"/>
      <c r="G1366" s="48"/>
      <c r="H1366" s="48"/>
      <c r="I1366" s="48"/>
      <c r="J1366" s="48"/>
      <c r="K1366" s="48"/>
      <c r="L1366" s="48"/>
      <c r="M1366" s="48"/>
    </row>
    <row r="1367" spans="1:13" x14ac:dyDescent="0.25">
      <c r="A1367" s="531"/>
      <c r="B1367" s="531"/>
      <c r="C1367" s="119">
        <v>28</v>
      </c>
      <c r="D1367" s="108">
        <v>89</v>
      </c>
      <c r="E1367" s="114">
        <v>1988</v>
      </c>
      <c r="F1367" s="332">
        <f t="shared" ref="F1367:F1368" si="391">2019-E1367</f>
        <v>31</v>
      </c>
      <c r="G1367" s="48"/>
      <c r="H1367" s="48"/>
      <c r="I1367" s="48"/>
      <c r="J1367" s="48"/>
      <c r="K1367" s="48"/>
      <c r="L1367" s="48"/>
      <c r="M1367" s="48"/>
    </row>
    <row r="1368" spans="1:13" x14ac:dyDescent="0.25">
      <c r="A1368" s="526"/>
      <c r="B1368" s="526"/>
      <c r="C1368" s="119">
        <v>28</v>
      </c>
      <c r="D1368" s="108">
        <v>57</v>
      </c>
      <c r="E1368" s="114">
        <v>1988</v>
      </c>
      <c r="F1368" s="332">
        <f t="shared" si="391"/>
        <v>31</v>
      </c>
      <c r="G1368" s="48"/>
      <c r="H1368" s="48"/>
      <c r="I1368" s="48"/>
      <c r="J1368" s="48"/>
      <c r="K1368" s="48"/>
      <c r="L1368" s="48"/>
      <c r="M1368" s="48"/>
    </row>
    <row r="1369" spans="1:13" x14ac:dyDescent="0.2">
      <c r="A1369" s="525" t="s">
        <v>178</v>
      </c>
      <c r="B1369" s="525" t="s">
        <v>691</v>
      </c>
      <c r="C1369" s="119"/>
      <c r="D1369" s="108"/>
      <c r="E1369" s="114"/>
      <c r="F1369" s="330"/>
      <c r="G1369" s="48"/>
      <c r="H1369" s="48"/>
      <c r="I1369" s="48"/>
      <c r="J1369" s="48"/>
      <c r="K1369" s="48"/>
      <c r="L1369" s="48"/>
      <c r="M1369" s="48"/>
    </row>
    <row r="1370" spans="1:13" x14ac:dyDescent="0.25">
      <c r="A1370" s="531"/>
      <c r="B1370" s="531"/>
      <c r="C1370" s="119">
        <v>47.5</v>
      </c>
      <c r="D1370" s="108">
        <v>89</v>
      </c>
      <c r="E1370" s="114">
        <v>1988</v>
      </c>
      <c r="F1370" s="332">
        <f t="shared" ref="F1370:F1371" si="392">2019-E1370</f>
        <v>31</v>
      </c>
      <c r="G1370" s="48"/>
      <c r="H1370" s="48"/>
      <c r="I1370" s="48"/>
      <c r="J1370" s="48"/>
      <c r="K1370" s="48"/>
      <c r="L1370" s="48"/>
      <c r="M1370" s="48"/>
    </row>
    <row r="1371" spans="1:13" x14ac:dyDescent="0.25">
      <c r="A1371" s="526"/>
      <c r="B1371" s="526"/>
      <c r="C1371" s="119">
        <v>47.5</v>
      </c>
      <c r="D1371" s="108">
        <v>57</v>
      </c>
      <c r="E1371" s="114">
        <v>1988</v>
      </c>
      <c r="F1371" s="332">
        <f t="shared" si="392"/>
        <v>31</v>
      </c>
      <c r="G1371" s="48"/>
      <c r="H1371" s="48"/>
      <c r="I1371" s="48"/>
      <c r="J1371" s="48"/>
      <c r="K1371" s="48"/>
      <c r="L1371" s="48"/>
      <c r="M1371" s="48"/>
    </row>
    <row r="1372" spans="1:13" x14ac:dyDescent="0.2">
      <c r="A1372" s="525" t="s">
        <v>229</v>
      </c>
      <c r="B1372" s="525" t="s">
        <v>692</v>
      </c>
      <c r="C1372" s="119"/>
      <c r="D1372" s="108"/>
      <c r="E1372" s="114"/>
      <c r="F1372" s="330"/>
      <c r="G1372" s="48"/>
      <c r="H1372" s="48"/>
      <c r="I1372" s="48"/>
      <c r="J1372" s="48"/>
      <c r="K1372" s="48"/>
      <c r="L1372" s="48"/>
      <c r="M1372" s="48"/>
    </row>
    <row r="1373" spans="1:13" x14ac:dyDescent="0.25">
      <c r="A1373" s="531"/>
      <c r="B1373" s="531"/>
      <c r="C1373" s="119">
        <v>17</v>
      </c>
      <c r="D1373" s="108">
        <v>89</v>
      </c>
      <c r="E1373" s="114">
        <v>1988</v>
      </c>
      <c r="F1373" s="332">
        <f t="shared" ref="F1373:F1374" si="393">2019-E1373</f>
        <v>31</v>
      </c>
      <c r="G1373" s="48"/>
      <c r="H1373" s="48"/>
      <c r="I1373" s="48"/>
      <c r="J1373" s="48"/>
      <c r="K1373" s="48"/>
      <c r="L1373" s="48"/>
      <c r="M1373" s="48"/>
    </row>
    <row r="1374" spans="1:13" x14ac:dyDescent="0.25">
      <c r="A1374" s="526"/>
      <c r="B1374" s="526"/>
      <c r="C1374" s="119">
        <v>17</v>
      </c>
      <c r="D1374" s="108">
        <v>57</v>
      </c>
      <c r="E1374" s="114">
        <v>1988</v>
      </c>
      <c r="F1374" s="332">
        <f t="shared" si="393"/>
        <v>31</v>
      </c>
      <c r="G1374" s="48"/>
      <c r="H1374" s="48"/>
      <c r="I1374" s="48"/>
      <c r="J1374" s="48"/>
      <c r="K1374" s="48"/>
      <c r="L1374" s="48"/>
      <c r="M1374" s="48"/>
    </row>
    <row r="1375" spans="1:13" x14ac:dyDescent="0.2">
      <c r="A1375" s="525" t="s">
        <v>271</v>
      </c>
      <c r="B1375" s="525" t="s">
        <v>693</v>
      </c>
      <c r="C1375" s="53"/>
      <c r="D1375" s="108"/>
      <c r="E1375" s="114"/>
      <c r="F1375" s="330"/>
      <c r="G1375" s="48"/>
      <c r="H1375" s="48"/>
      <c r="I1375" s="48"/>
      <c r="J1375" s="48"/>
      <c r="K1375" s="48"/>
      <c r="L1375" s="48"/>
      <c r="M1375" s="48"/>
    </row>
    <row r="1376" spans="1:13" x14ac:dyDescent="0.25">
      <c r="A1376" s="531"/>
      <c r="B1376" s="531"/>
      <c r="C1376" s="53">
        <v>16</v>
      </c>
      <c r="D1376" s="108">
        <v>133</v>
      </c>
      <c r="E1376" s="114">
        <v>1988</v>
      </c>
      <c r="F1376" s="332">
        <f t="shared" ref="F1376:F1377" si="394">2019-E1376</f>
        <v>31</v>
      </c>
      <c r="G1376" s="48"/>
      <c r="H1376" s="48"/>
      <c r="I1376" s="48"/>
      <c r="J1376" s="48"/>
      <c r="K1376" s="48"/>
      <c r="L1376" s="48"/>
      <c r="M1376" s="48"/>
    </row>
    <row r="1377" spans="1:13" x14ac:dyDescent="0.25">
      <c r="A1377" s="526"/>
      <c r="B1377" s="526"/>
      <c r="C1377" s="53">
        <v>16</v>
      </c>
      <c r="D1377" s="108">
        <v>108</v>
      </c>
      <c r="E1377" s="114">
        <v>1988</v>
      </c>
      <c r="F1377" s="332">
        <f t="shared" si="394"/>
        <v>31</v>
      </c>
      <c r="G1377" s="48"/>
      <c r="H1377" s="48"/>
      <c r="I1377" s="48"/>
      <c r="J1377" s="48"/>
      <c r="K1377" s="48"/>
      <c r="L1377" s="48"/>
      <c r="M1377" s="48"/>
    </row>
    <row r="1378" spans="1:13" x14ac:dyDescent="0.2">
      <c r="A1378" s="525" t="s">
        <v>229</v>
      </c>
      <c r="B1378" s="525" t="s">
        <v>694</v>
      </c>
      <c r="C1378" s="119"/>
      <c r="D1378" s="108"/>
      <c r="E1378" s="114"/>
      <c r="F1378" s="330"/>
      <c r="G1378" s="48"/>
      <c r="H1378" s="48"/>
      <c r="I1378" s="48"/>
      <c r="J1378" s="48"/>
      <c r="K1378" s="48"/>
      <c r="L1378" s="48"/>
      <c r="M1378" s="48"/>
    </row>
    <row r="1379" spans="1:13" x14ac:dyDescent="0.25">
      <c r="A1379" s="531"/>
      <c r="B1379" s="531"/>
      <c r="C1379" s="53">
        <v>97</v>
      </c>
      <c r="D1379" s="108">
        <v>133</v>
      </c>
      <c r="E1379" s="114">
        <v>1987</v>
      </c>
      <c r="F1379" s="332">
        <f t="shared" ref="F1379:F1380" si="395">2019-E1379</f>
        <v>32</v>
      </c>
      <c r="G1379" s="48"/>
      <c r="H1379" s="48"/>
      <c r="I1379" s="48"/>
      <c r="J1379" s="48"/>
      <c r="K1379" s="48"/>
      <c r="L1379" s="48"/>
      <c r="M1379" s="48"/>
    </row>
    <row r="1380" spans="1:13" x14ac:dyDescent="0.25">
      <c r="A1380" s="526"/>
      <c r="B1380" s="526"/>
      <c r="C1380" s="119">
        <v>97</v>
      </c>
      <c r="D1380" s="108">
        <v>89</v>
      </c>
      <c r="E1380" s="114">
        <v>1987</v>
      </c>
      <c r="F1380" s="332">
        <f t="shared" si="395"/>
        <v>32</v>
      </c>
      <c r="G1380" s="48"/>
      <c r="H1380" s="48"/>
      <c r="I1380" s="48"/>
      <c r="J1380" s="48"/>
      <c r="K1380" s="48"/>
      <c r="L1380" s="48"/>
      <c r="M1380" s="48"/>
    </row>
    <row r="1381" spans="1:13" x14ac:dyDescent="0.2">
      <c r="A1381" s="525" t="s">
        <v>229</v>
      </c>
      <c r="B1381" s="525" t="s">
        <v>695</v>
      </c>
      <c r="C1381" s="53"/>
      <c r="D1381" s="108"/>
      <c r="E1381" s="114"/>
      <c r="F1381" s="330"/>
      <c r="G1381" s="48"/>
      <c r="H1381" s="48"/>
      <c r="I1381" s="48"/>
      <c r="J1381" s="48"/>
      <c r="K1381" s="48"/>
      <c r="L1381" s="48"/>
      <c r="M1381" s="48"/>
    </row>
    <row r="1382" spans="1:13" x14ac:dyDescent="0.25">
      <c r="A1382" s="531"/>
      <c r="B1382" s="531"/>
      <c r="C1382" s="53">
        <v>45</v>
      </c>
      <c r="D1382" s="108">
        <v>133</v>
      </c>
      <c r="E1382" s="114">
        <v>1987</v>
      </c>
      <c r="F1382" s="332">
        <f t="shared" ref="F1382:F1383" si="396">2019-E1382</f>
        <v>32</v>
      </c>
      <c r="G1382" s="48"/>
      <c r="H1382" s="48"/>
      <c r="I1382" s="48"/>
      <c r="J1382" s="48"/>
      <c r="K1382" s="48"/>
      <c r="L1382" s="48"/>
      <c r="M1382" s="48"/>
    </row>
    <row r="1383" spans="1:13" x14ac:dyDescent="0.25">
      <c r="A1383" s="526"/>
      <c r="B1383" s="526"/>
      <c r="C1383" s="53">
        <v>45</v>
      </c>
      <c r="D1383" s="108">
        <v>108</v>
      </c>
      <c r="E1383" s="114">
        <v>1987</v>
      </c>
      <c r="F1383" s="332">
        <f t="shared" si="396"/>
        <v>32</v>
      </c>
      <c r="G1383" s="48"/>
      <c r="H1383" s="48"/>
      <c r="I1383" s="48"/>
      <c r="J1383" s="48"/>
      <c r="K1383" s="48"/>
      <c r="L1383" s="48"/>
      <c r="M1383" s="48"/>
    </row>
    <row r="1384" spans="1:13" x14ac:dyDescent="0.2">
      <c r="A1384" s="525" t="s">
        <v>253</v>
      </c>
      <c r="B1384" s="525" t="s">
        <v>215</v>
      </c>
      <c r="C1384" s="119"/>
      <c r="D1384" s="108"/>
      <c r="E1384" s="114"/>
      <c r="F1384" s="330"/>
      <c r="G1384" s="48"/>
      <c r="H1384" s="48"/>
      <c r="I1384" s="48"/>
      <c r="J1384" s="48"/>
      <c r="K1384" s="48"/>
      <c r="L1384" s="48"/>
      <c r="M1384" s="48"/>
    </row>
    <row r="1385" spans="1:13" x14ac:dyDescent="0.25">
      <c r="A1385" s="531"/>
      <c r="B1385" s="531"/>
      <c r="C1385" s="119">
        <v>114</v>
      </c>
      <c r="D1385" s="108">
        <v>219</v>
      </c>
      <c r="E1385" s="114">
        <v>1985</v>
      </c>
      <c r="F1385" s="332">
        <f t="shared" ref="F1385:F1386" si="397">2019-E1385</f>
        <v>34</v>
      </c>
      <c r="G1385" s="48"/>
      <c r="H1385" s="48"/>
      <c r="I1385" s="48"/>
      <c r="J1385" s="48"/>
      <c r="K1385" s="48"/>
      <c r="L1385" s="48"/>
      <c r="M1385" s="48"/>
    </row>
    <row r="1386" spans="1:13" x14ac:dyDescent="0.25">
      <c r="A1386" s="526"/>
      <c r="B1386" s="526"/>
      <c r="C1386" s="53">
        <v>114</v>
      </c>
      <c r="D1386" s="108">
        <v>133</v>
      </c>
      <c r="E1386" s="114">
        <v>1985</v>
      </c>
      <c r="F1386" s="332">
        <f t="shared" si="397"/>
        <v>34</v>
      </c>
      <c r="G1386" s="48"/>
      <c r="H1386" s="48"/>
      <c r="I1386" s="48"/>
      <c r="J1386" s="48"/>
      <c r="K1386" s="48"/>
      <c r="L1386" s="48"/>
      <c r="M1386" s="48"/>
    </row>
    <row r="1387" spans="1:13" x14ac:dyDescent="0.2">
      <c r="A1387" s="525" t="s">
        <v>472</v>
      </c>
      <c r="B1387" s="532" t="s">
        <v>696</v>
      </c>
      <c r="C1387" s="78"/>
      <c r="D1387" s="108"/>
      <c r="E1387" s="114"/>
      <c r="F1387" s="330"/>
      <c r="G1387" s="48"/>
      <c r="H1387" s="48"/>
      <c r="I1387" s="48"/>
      <c r="J1387" s="48"/>
      <c r="K1387" s="48"/>
      <c r="L1387" s="48"/>
      <c r="M1387" s="48"/>
    </row>
    <row r="1388" spans="1:13" x14ac:dyDescent="0.25">
      <c r="A1388" s="531"/>
      <c r="B1388" s="540"/>
      <c r="C1388" s="55">
        <v>37</v>
      </c>
      <c r="D1388" s="108">
        <v>89</v>
      </c>
      <c r="E1388" s="114">
        <v>1994</v>
      </c>
      <c r="F1388" s="332">
        <f t="shared" ref="F1388:F1389" si="398">2019-E1388</f>
        <v>25</v>
      </c>
      <c r="G1388" s="48"/>
      <c r="H1388" s="48"/>
      <c r="I1388" s="48"/>
      <c r="J1388" s="48"/>
      <c r="K1388" s="48"/>
      <c r="L1388" s="48"/>
      <c r="M1388" s="48"/>
    </row>
    <row r="1389" spans="1:13" x14ac:dyDescent="0.25">
      <c r="A1389" s="526"/>
      <c r="B1389" s="533"/>
      <c r="C1389" s="78">
        <v>37</v>
      </c>
      <c r="D1389" s="108">
        <v>76</v>
      </c>
      <c r="E1389" s="114">
        <v>1994</v>
      </c>
      <c r="F1389" s="332">
        <f t="shared" si="398"/>
        <v>25</v>
      </c>
      <c r="G1389" s="48"/>
      <c r="H1389" s="48"/>
      <c r="I1389" s="48"/>
      <c r="J1389" s="48"/>
      <c r="K1389" s="48"/>
      <c r="L1389" s="48"/>
      <c r="M1389" s="48"/>
    </row>
    <row r="1390" spans="1:13" x14ac:dyDescent="0.2">
      <c r="A1390" s="525" t="s">
        <v>256</v>
      </c>
      <c r="B1390" s="525" t="s">
        <v>697</v>
      </c>
      <c r="C1390" s="53"/>
      <c r="D1390" s="108"/>
      <c r="E1390" s="114"/>
      <c r="F1390" s="330"/>
      <c r="G1390" s="48"/>
      <c r="H1390" s="48"/>
      <c r="I1390" s="48"/>
      <c r="J1390" s="48"/>
      <c r="K1390" s="48"/>
      <c r="L1390" s="48"/>
      <c r="M1390" s="48"/>
    </row>
    <row r="1391" spans="1:13" x14ac:dyDescent="0.25">
      <c r="A1391" s="531"/>
      <c r="B1391" s="531"/>
      <c r="C1391" s="53">
        <v>15</v>
      </c>
      <c r="D1391" s="108">
        <v>273</v>
      </c>
      <c r="E1391" s="114">
        <v>1985</v>
      </c>
      <c r="F1391" s="332">
        <f t="shared" ref="F1391:F1392" si="399">2019-E1391</f>
        <v>34</v>
      </c>
      <c r="G1391" s="48"/>
      <c r="H1391" s="48"/>
      <c r="I1391" s="48"/>
      <c r="J1391" s="48"/>
      <c r="K1391" s="48"/>
      <c r="L1391" s="48"/>
      <c r="M1391" s="48"/>
    </row>
    <row r="1392" spans="1:13" x14ac:dyDescent="0.25">
      <c r="A1392" s="526"/>
      <c r="B1392" s="526"/>
      <c r="C1392" s="53">
        <v>15</v>
      </c>
      <c r="D1392" s="108">
        <v>133</v>
      </c>
      <c r="E1392" s="114">
        <v>1985</v>
      </c>
      <c r="F1392" s="332">
        <f t="shared" si="399"/>
        <v>34</v>
      </c>
      <c r="G1392" s="48"/>
      <c r="H1392" s="48"/>
      <c r="I1392" s="48"/>
      <c r="J1392" s="48"/>
      <c r="K1392" s="48"/>
      <c r="L1392" s="48"/>
      <c r="M1392" s="48"/>
    </row>
    <row r="1393" spans="1:13" x14ac:dyDescent="0.2">
      <c r="A1393" s="525" t="s">
        <v>472</v>
      </c>
      <c r="B1393" s="532" t="s">
        <v>201</v>
      </c>
      <c r="C1393" s="78"/>
      <c r="D1393" s="108"/>
      <c r="E1393" s="114"/>
      <c r="F1393" s="330"/>
      <c r="G1393" s="48"/>
      <c r="H1393" s="48"/>
      <c r="I1393" s="48"/>
      <c r="J1393" s="48"/>
      <c r="K1393" s="48"/>
      <c r="L1393" s="48"/>
      <c r="M1393" s="48"/>
    </row>
    <row r="1394" spans="1:13" x14ac:dyDescent="0.25">
      <c r="A1394" s="531"/>
      <c r="B1394" s="540"/>
      <c r="C1394" s="55">
        <v>29</v>
      </c>
      <c r="D1394" s="108">
        <v>89</v>
      </c>
      <c r="E1394" s="114">
        <v>1994</v>
      </c>
      <c r="F1394" s="332">
        <f t="shared" ref="F1394:F1395" si="400">2019-E1394</f>
        <v>25</v>
      </c>
      <c r="G1394" s="48"/>
      <c r="H1394" s="48"/>
      <c r="I1394" s="48"/>
      <c r="J1394" s="48"/>
      <c r="K1394" s="48"/>
      <c r="L1394" s="48"/>
      <c r="M1394" s="48"/>
    </row>
    <row r="1395" spans="1:13" x14ac:dyDescent="0.25">
      <c r="A1395" s="526"/>
      <c r="B1395" s="533"/>
      <c r="C1395" s="78">
        <v>29</v>
      </c>
      <c r="D1395" s="108">
        <v>76</v>
      </c>
      <c r="E1395" s="114">
        <v>1994</v>
      </c>
      <c r="F1395" s="332">
        <f t="shared" si="400"/>
        <v>25</v>
      </c>
      <c r="G1395" s="48"/>
      <c r="H1395" s="48"/>
      <c r="I1395" s="48"/>
      <c r="J1395" s="48"/>
      <c r="K1395" s="48"/>
      <c r="L1395" s="48"/>
      <c r="M1395" s="48"/>
    </row>
    <row r="1396" spans="1:13" x14ac:dyDescent="0.2">
      <c r="A1396" s="534" t="s">
        <v>205</v>
      </c>
      <c r="B1396" s="525" t="s">
        <v>698</v>
      </c>
      <c r="C1396" s="53"/>
      <c r="D1396" s="108"/>
      <c r="E1396" s="114"/>
      <c r="F1396" s="330"/>
      <c r="G1396" s="48"/>
      <c r="H1396" s="48"/>
      <c r="I1396" s="48"/>
      <c r="J1396" s="48"/>
      <c r="K1396" s="48"/>
      <c r="L1396" s="48"/>
      <c r="M1396" s="48"/>
    </row>
    <row r="1397" spans="1:13" x14ac:dyDescent="0.25">
      <c r="A1397" s="536"/>
      <c r="B1397" s="531"/>
      <c r="C1397" s="119">
        <v>46</v>
      </c>
      <c r="D1397" s="108">
        <v>89</v>
      </c>
      <c r="E1397" s="114">
        <v>1988</v>
      </c>
      <c r="F1397" s="332">
        <f t="shared" ref="F1397:F1398" si="401">2019-E1397</f>
        <v>31</v>
      </c>
      <c r="G1397" s="48"/>
      <c r="H1397" s="48"/>
      <c r="I1397" s="48"/>
      <c r="J1397" s="48"/>
      <c r="K1397" s="48"/>
      <c r="L1397" s="48"/>
      <c r="M1397" s="48"/>
    </row>
    <row r="1398" spans="1:13" x14ac:dyDescent="0.25">
      <c r="A1398" s="535"/>
      <c r="B1398" s="526"/>
      <c r="C1398" s="119">
        <v>46</v>
      </c>
      <c r="D1398" s="108">
        <v>57</v>
      </c>
      <c r="E1398" s="114">
        <v>1988</v>
      </c>
      <c r="F1398" s="332">
        <f t="shared" si="401"/>
        <v>31</v>
      </c>
      <c r="G1398" s="48"/>
      <c r="H1398" s="48"/>
      <c r="I1398" s="48"/>
      <c r="J1398" s="48"/>
      <c r="K1398" s="48"/>
      <c r="L1398" s="48"/>
      <c r="M1398" s="48"/>
    </row>
    <row r="1399" spans="1:13" x14ac:dyDescent="0.2">
      <c r="A1399" s="534" t="s">
        <v>271</v>
      </c>
      <c r="B1399" s="532" t="s">
        <v>699</v>
      </c>
      <c r="C1399" s="78"/>
      <c r="D1399" s="108"/>
      <c r="E1399" s="115"/>
      <c r="F1399" s="330"/>
      <c r="G1399" s="48"/>
      <c r="H1399" s="48"/>
      <c r="I1399" s="48"/>
      <c r="J1399" s="48"/>
      <c r="K1399" s="48"/>
      <c r="L1399" s="48"/>
      <c r="M1399" s="48"/>
    </row>
    <row r="1400" spans="1:13" x14ac:dyDescent="0.25">
      <c r="A1400" s="536"/>
      <c r="B1400" s="540"/>
      <c r="C1400" s="78">
        <v>53</v>
      </c>
      <c r="D1400" s="108">
        <v>57</v>
      </c>
      <c r="E1400" s="115">
        <v>1989</v>
      </c>
      <c r="F1400" s="332">
        <f t="shared" ref="F1400:F1401" si="402">2019-E1400</f>
        <v>30</v>
      </c>
      <c r="G1400" s="48"/>
      <c r="H1400" s="48"/>
      <c r="I1400" s="48"/>
      <c r="J1400" s="48"/>
      <c r="K1400" s="48"/>
      <c r="L1400" s="48"/>
      <c r="M1400" s="48"/>
    </row>
    <row r="1401" spans="1:13" x14ac:dyDescent="0.25">
      <c r="A1401" s="535"/>
      <c r="B1401" s="533"/>
      <c r="C1401" s="78">
        <v>53</v>
      </c>
      <c r="D1401" s="108">
        <v>32</v>
      </c>
      <c r="E1401" s="115">
        <v>1989</v>
      </c>
      <c r="F1401" s="332">
        <f t="shared" si="402"/>
        <v>30</v>
      </c>
      <c r="G1401" s="48"/>
      <c r="H1401" s="48"/>
      <c r="I1401" s="48"/>
      <c r="J1401" s="48"/>
      <c r="K1401" s="48"/>
      <c r="L1401" s="48"/>
      <c r="M1401" s="48"/>
    </row>
    <row r="1402" spans="1:13" x14ac:dyDescent="0.2">
      <c r="A1402" s="525" t="s">
        <v>271</v>
      </c>
      <c r="B1402" s="532" t="s">
        <v>700</v>
      </c>
      <c r="C1402" s="55"/>
      <c r="D1402" s="108"/>
      <c r="E1402" s="115"/>
      <c r="F1402" s="330"/>
      <c r="G1402" s="48"/>
      <c r="H1402" s="48"/>
      <c r="I1402" s="48"/>
      <c r="J1402" s="48"/>
      <c r="K1402" s="48"/>
      <c r="L1402" s="48"/>
      <c r="M1402" s="48"/>
    </row>
    <row r="1403" spans="1:13" x14ac:dyDescent="0.25">
      <c r="A1403" s="531"/>
      <c r="B1403" s="540"/>
      <c r="C1403" s="55">
        <v>17</v>
      </c>
      <c r="D1403" s="108">
        <v>89</v>
      </c>
      <c r="E1403" s="115">
        <v>1989</v>
      </c>
      <c r="F1403" s="332">
        <f t="shared" ref="F1403:F1404" si="403">2019-E1403</f>
        <v>30</v>
      </c>
      <c r="G1403" s="48"/>
      <c r="H1403" s="48"/>
      <c r="I1403" s="48"/>
      <c r="J1403" s="48"/>
      <c r="K1403" s="48"/>
      <c r="L1403" s="48"/>
      <c r="M1403" s="48"/>
    </row>
    <row r="1404" spans="1:13" x14ac:dyDescent="0.25">
      <c r="A1404" s="526"/>
      <c r="B1404" s="533"/>
      <c r="C1404" s="78">
        <v>17</v>
      </c>
      <c r="D1404" s="108">
        <v>57</v>
      </c>
      <c r="E1404" s="115">
        <v>1989</v>
      </c>
      <c r="F1404" s="332">
        <f t="shared" si="403"/>
        <v>30</v>
      </c>
      <c r="G1404" s="48"/>
      <c r="H1404" s="48"/>
      <c r="I1404" s="48"/>
      <c r="J1404" s="48"/>
      <c r="K1404" s="48"/>
      <c r="L1404" s="48"/>
      <c r="M1404" s="48"/>
    </row>
    <row r="1405" spans="1:13" x14ac:dyDescent="0.2">
      <c r="A1405" s="525" t="s">
        <v>436</v>
      </c>
      <c r="B1405" s="532" t="s">
        <v>701</v>
      </c>
      <c r="C1405" s="78"/>
      <c r="D1405" s="108"/>
      <c r="E1405" s="115"/>
      <c r="F1405" s="330"/>
      <c r="G1405" s="48"/>
      <c r="H1405" s="48"/>
      <c r="I1405" s="48"/>
      <c r="J1405" s="48"/>
      <c r="K1405" s="48"/>
      <c r="L1405" s="48"/>
      <c r="M1405" s="48"/>
    </row>
    <row r="1406" spans="1:13" x14ac:dyDescent="0.25">
      <c r="A1406" s="531"/>
      <c r="B1406" s="540"/>
      <c r="C1406" s="78">
        <v>48</v>
      </c>
      <c r="D1406" s="108">
        <v>57</v>
      </c>
      <c r="E1406" s="115">
        <v>1989</v>
      </c>
      <c r="F1406" s="332">
        <f t="shared" ref="F1406:F1407" si="404">2019-E1406</f>
        <v>30</v>
      </c>
      <c r="G1406" s="48"/>
      <c r="H1406" s="48"/>
      <c r="I1406" s="48"/>
      <c r="J1406" s="48"/>
      <c r="K1406" s="48"/>
      <c r="L1406" s="48"/>
      <c r="M1406" s="48"/>
    </row>
    <row r="1407" spans="1:13" x14ac:dyDescent="0.25">
      <c r="A1407" s="526"/>
      <c r="B1407" s="533"/>
      <c r="C1407" s="78">
        <v>48</v>
      </c>
      <c r="D1407" s="108">
        <v>40</v>
      </c>
      <c r="E1407" s="115">
        <v>1989</v>
      </c>
      <c r="F1407" s="332">
        <f t="shared" si="404"/>
        <v>30</v>
      </c>
      <c r="G1407" s="48"/>
      <c r="H1407" s="48"/>
      <c r="I1407" s="48"/>
      <c r="J1407" s="48"/>
      <c r="K1407" s="48"/>
      <c r="L1407" s="48"/>
      <c r="M1407" s="48"/>
    </row>
    <row r="1408" spans="1:13" s="92" customFormat="1" ht="15.75" customHeight="1" x14ac:dyDescent="0.2">
      <c r="A1408" s="525" t="s">
        <v>702</v>
      </c>
      <c r="B1408" s="525" t="s">
        <v>703</v>
      </c>
      <c r="C1408" s="78"/>
      <c r="D1408" s="108"/>
      <c r="E1408" s="115"/>
      <c r="F1408" s="330"/>
    </row>
    <row r="1409" spans="1:13" s="92" customFormat="1" x14ac:dyDescent="0.25">
      <c r="A1409" s="531"/>
      <c r="B1409" s="531"/>
      <c r="C1409" s="78">
        <v>19</v>
      </c>
      <c r="D1409" s="108">
        <v>89</v>
      </c>
      <c r="E1409" s="115">
        <v>1999</v>
      </c>
      <c r="F1409" s="332">
        <f t="shared" ref="F1409:F1410" si="405">2019-E1409</f>
        <v>20</v>
      </c>
    </row>
    <row r="1410" spans="1:13" s="92" customFormat="1" x14ac:dyDescent="0.25">
      <c r="A1410" s="526"/>
      <c r="B1410" s="526"/>
      <c r="C1410" s="78">
        <v>19</v>
      </c>
      <c r="D1410" s="108">
        <v>57</v>
      </c>
      <c r="E1410" s="115">
        <v>1999</v>
      </c>
      <c r="F1410" s="332">
        <f t="shared" si="405"/>
        <v>20</v>
      </c>
    </row>
    <row r="1411" spans="1:13" x14ac:dyDescent="0.2">
      <c r="A1411" s="525" t="s">
        <v>436</v>
      </c>
      <c r="B1411" s="525" t="s">
        <v>704</v>
      </c>
      <c r="C1411" s="119"/>
      <c r="D1411" s="108"/>
      <c r="E1411" s="115"/>
      <c r="F1411" s="331"/>
      <c r="G1411" s="48"/>
      <c r="H1411" s="48"/>
      <c r="I1411" s="48"/>
      <c r="J1411" s="48"/>
      <c r="K1411" s="48"/>
      <c r="L1411" s="48"/>
      <c r="M1411" s="48"/>
    </row>
    <row r="1412" spans="1:13" x14ac:dyDescent="0.25">
      <c r="A1412" s="531"/>
      <c r="B1412" s="531"/>
      <c r="C1412" s="53">
        <v>50</v>
      </c>
      <c r="D1412" s="108">
        <v>133</v>
      </c>
      <c r="E1412" s="115">
        <v>2011</v>
      </c>
      <c r="F1412" s="332">
        <f t="shared" ref="F1412:F1413" si="406">2019-E1412</f>
        <v>8</v>
      </c>
      <c r="G1412" s="48"/>
      <c r="H1412" s="48"/>
      <c r="I1412" s="48"/>
      <c r="J1412" s="48"/>
      <c r="K1412" s="48"/>
      <c r="L1412" s="48"/>
      <c r="M1412" s="48"/>
    </row>
    <row r="1413" spans="1:13" x14ac:dyDescent="0.25">
      <c r="A1413" s="526"/>
      <c r="B1413" s="526"/>
      <c r="C1413" s="53">
        <v>50</v>
      </c>
      <c r="D1413" s="108">
        <v>108</v>
      </c>
      <c r="E1413" s="115">
        <v>2011</v>
      </c>
      <c r="F1413" s="332">
        <f t="shared" si="406"/>
        <v>8</v>
      </c>
      <c r="G1413" s="48"/>
      <c r="H1413" s="48"/>
      <c r="I1413" s="48"/>
      <c r="J1413" s="48"/>
      <c r="K1413" s="48"/>
      <c r="L1413" s="48"/>
      <c r="M1413" s="48"/>
    </row>
    <row r="1414" spans="1:13" x14ac:dyDescent="0.2">
      <c r="A1414" s="525" t="s">
        <v>178</v>
      </c>
      <c r="B1414" s="525" t="s">
        <v>295</v>
      </c>
      <c r="C1414" s="53"/>
      <c r="D1414" s="108"/>
      <c r="E1414" s="115"/>
      <c r="F1414" s="330"/>
      <c r="G1414" s="48"/>
      <c r="H1414" s="48"/>
      <c r="I1414" s="48"/>
      <c r="J1414" s="48"/>
      <c r="K1414" s="48"/>
      <c r="L1414" s="48"/>
      <c r="M1414" s="48"/>
    </row>
    <row r="1415" spans="1:13" x14ac:dyDescent="0.25">
      <c r="A1415" s="531"/>
      <c r="B1415" s="531"/>
      <c r="C1415" s="119">
        <v>32</v>
      </c>
      <c r="D1415" s="108">
        <v>159</v>
      </c>
      <c r="E1415" s="115">
        <v>1986</v>
      </c>
      <c r="F1415" s="332">
        <f t="shared" ref="F1415:F1416" si="407">2019-E1415</f>
        <v>33</v>
      </c>
      <c r="G1415" s="48"/>
      <c r="H1415" s="48"/>
      <c r="I1415" s="48"/>
      <c r="J1415" s="48"/>
      <c r="K1415" s="48"/>
      <c r="L1415" s="48"/>
      <c r="M1415" s="48"/>
    </row>
    <row r="1416" spans="1:13" x14ac:dyDescent="0.25">
      <c r="A1416" s="526"/>
      <c r="B1416" s="526"/>
      <c r="C1416" s="53">
        <v>32</v>
      </c>
      <c r="D1416" s="108">
        <v>108</v>
      </c>
      <c r="E1416" s="115">
        <v>1986</v>
      </c>
      <c r="F1416" s="332">
        <f t="shared" si="407"/>
        <v>33</v>
      </c>
      <c r="G1416" s="48"/>
      <c r="H1416" s="48"/>
      <c r="I1416" s="48"/>
      <c r="J1416" s="48"/>
      <c r="K1416" s="48"/>
      <c r="L1416" s="48"/>
      <c r="M1416" s="48"/>
    </row>
    <row r="1417" spans="1:13" ht="15.75" customHeight="1" x14ac:dyDescent="0.2">
      <c r="A1417" s="525" t="s">
        <v>205</v>
      </c>
      <c r="B1417" s="525" t="s">
        <v>569</v>
      </c>
      <c r="C1417" s="53"/>
      <c r="D1417" s="108"/>
      <c r="E1417" s="115"/>
      <c r="F1417" s="330"/>
      <c r="G1417" s="48"/>
      <c r="H1417" s="48"/>
      <c r="I1417" s="48"/>
      <c r="J1417" s="48"/>
      <c r="K1417" s="48"/>
      <c r="L1417" s="48"/>
      <c r="M1417" s="48"/>
    </row>
    <row r="1418" spans="1:13" ht="15.75" customHeight="1" x14ac:dyDescent="0.25">
      <c r="A1418" s="531"/>
      <c r="B1418" s="531"/>
      <c r="C1418" s="119">
        <v>33</v>
      </c>
      <c r="D1418" s="108">
        <v>159</v>
      </c>
      <c r="E1418" s="115">
        <v>1986</v>
      </c>
      <c r="F1418" s="332">
        <f t="shared" ref="F1418:F1419" si="408">2019-E1418</f>
        <v>33</v>
      </c>
      <c r="G1418" s="48"/>
      <c r="H1418" s="48"/>
      <c r="I1418" s="48"/>
      <c r="J1418" s="48"/>
      <c r="K1418" s="48"/>
      <c r="L1418" s="48"/>
      <c r="M1418" s="48"/>
    </row>
    <row r="1419" spans="1:13" ht="15.75" customHeight="1" x14ac:dyDescent="0.25">
      <c r="A1419" s="526"/>
      <c r="B1419" s="526"/>
      <c r="C1419" s="53">
        <v>33</v>
      </c>
      <c r="D1419" s="108">
        <v>108</v>
      </c>
      <c r="E1419" s="115">
        <v>1986</v>
      </c>
      <c r="F1419" s="332">
        <f t="shared" si="408"/>
        <v>33</v>
      </c>
      <c r="G1419" s="48"/>
      <c r="H1419" s="48"/>
      <c r="I1419" s="48"/>
      <c r="J1419" s="48"/>
      <c r="K1419" s="48"/>
      <c r="L1419" s="48"/>
      <c r="M1419" s="48"/>
    </row>
    <row r="1420" spans="1:13" ht="15.75" customHeight="1" x14ac:dyDescent="0.2">
      <c r="A1420" s="525" t="s">
        <v>522</v>
      </c>
      <c r="B1420" s="525" t="s">
        <v>705</v>
      </c>
      <c r="C1420" s="119"/>
      <c r="D1420" s="108"/>
      <c r="E1420" s="115"/>
      <c r="F1420" s="330"/>
      <c r="G1420" s="48"/>
      <c r="H1420" s="48"/>
      <c r="I1420" s="48"/>
      <c r="J1420" s="48"/>
      <c r="K1420" s="48"/>
      <c r="L1420" s="48"/>
      <c r="M1420" s="48"/>
    </row>
    <row r="1421" spans="1:13" ht="15.75" customHeight="1" x14ac:dyDescent="0.25">
      <c r="A1421" s="531"/>
      <c r="B1421" s="531"/>
      <c r="C1421" s="119">
        <v>23</v>
      </c>
      <c r="D1421" s="108">
        <v>57</v>
      </c>
      <c r="E1421" s="115">
        <v>1988</v>
      </c>
      <c r="F1421" s="332">
        <f t="shared" ref="F1421:F1422" si="409">2019-E1421</f>
        <v>31</v>
      </c>
      <c r="G1421" s="48"/>
      <c r="H1421" s="48"/>
      <c r="I1421" s="48"/>
      <c r="J1421" s="48"/>
      <c r="K1421" s="48"/>
      <c r="L1421" s="48"/>
      <c r="M1421" s="48"/>
    </row>
    <row r="1422" spans="1:13" ht="15.75" customHeight="1" x14ac:dyDescent="0.25">
      <c r="A1422" s="526"/>
      <c r="B1422" s="526"/>
      <c r="C1422" s="53">
        <v>23</v>
      </c>
      <c r="D1422" s="108">
        <v>32</v>
      </c>
      <c r="E1422" s="115">
        <v>1988</v>
      </c>
      <c r="F1422" s="332">
        <f t="shared" si="409"/>
        <v>31</v>
      </c>
      <c r="G1422" s="48"/>
      <c r="H1422" s="48"/>
      <c r="I1422" s="48"/>
      <c r="J1422" s="48"/>
      <c r="K1422" s="48"/>
      <c r="L1422" s="48"/>
      <c r="M1422" s="48"/>
    </row>
    <row r="1423" spans="1:13" ht="15.75" customHeight="1" x14ac:dyDescent="0.2">
      <c r="A1423" s="525" t="s">
        <v>522</v>
      </c>
      <c r="B1423" s="532" t="s">
        <v>706</v>
      </c>
      <c r="C1423" s="55"/>
      <c r="D1423" s="108"/>
      <c r="E1423" s="115"/>
      <c r="F1423" s="330"/>
      <c r="G1423" s="48"/>
      <c r="H1423" s="48"/>
      <c r="I1423" s="48"/>
      <c r="J1423" s="48"/>
      <c r="K1423" s="48"/>
      <c r="L1423" s="48"/>
      <c r="M1423" s="48"/>
    </row>
    <row r="1424" spans="1:13" ht="15.75" customHeight="1" x14ac:dyDescent="0.25">
      <c r="A1424" s="531"/>
      <c r="B1424" s="540"/>
      <c r="C1424" s="78">
        <v>45</v>
      </c>
      <c r="D1424" s="108">
        <v>76</v>
      </c>
      <c r="E1424" s="115">
        <v>1989</v>
      </c>
      <c r="F1424" s="332">
        <f t="shared" ref="F1424:F1425" si="410">2019-E1424</f>
        <v>30</v>
      </c>
      <c r="G1424" s="48"/>
      <c r="H1424" s="48"/>
      <c r="I1424" s="48"/>
      <c r="J1424" s="48"/>
      <c r="K1424" s="48"/>
      <c r="L1424" s="48"/>
      <c r="M1424" s="48"/>
    </row>
    <row r="1425" spans="1:13" ht="15.75" customHeight="1" x14ac:dyDescent="0.25">
      <c r="A1425" s="526"/>
      <c r="B1425" s="533"/>
      <c r="C1425" s="78">
        <v>45</v>
      </c>
      <c r="D1425" s="108">
        <v>57</v>
      </c>
      <c r="E1425" s="115">
        <v>1989</v>
      </c>
      <c r="F1425" s="332">
        <f t="shared" si="410"/>
        <v>30</v>
      </c>
      <c r="G1425" s="48"/>
      <c r="H1425" s="48"/>
      <c r="I1425" s="48"/>
      <c r="J1425" s="48"/>
      <c r="K1425" s="48"/>
      <c r="L1425" s="48"/>
      <c r="M1425" s="48"/>
    </row>
    <row r="1426" spans="1:13" ht="15.75" customHeight="1" x14ac:dyDescent="0.2">
      <c r="A1426" s="525" t="s">
        <v>522</v>
      </c>
      <c r="B1426" s="525" t="s">
        <v>707</v>
      </c>
      <c r="C1426" s="53"/>
      <c r="D1426" s="108"/>
      <c r="E1426" s="115"/>
      <c r="F1426" s="330"/>
      <c r="G1426" s="48"/>
      <c r="H1426" s="48"/>
      <c r="I1426" s="48"/>
      <c r="J1426" s="48"/>
      <c r="K1426" s="48"/>
      <c r="L1426" s="48"/>
      <c r="M1426" s="48"/>
    </row>
    <row r="1427" spans="1:13" ht="15.75" customHeight="1" x14ac:dyDescent="0.25">
      <c r="A1427" s="531"/>
      <c r="B1427" s="531"/>
      <c r="C1427" s="119">
        <v>53</v>
      </c>
      <c r="D1427" s="108">
        <v>159</v>
      </c>
      <c r="E1427" s="115">
        <v>1987</v>
      </c>
      <c r="F1427" s="332">
        <f t="shared" ref="F1427:F1428" si="411">2019-E1427</f>
        <v>32</v>
      </c>
      <c r="G1427" s="48"/>
      <c r="H1427" s="48"/>
      <c r="I1427" s="48"/>
      <c r="J1427" s="48"/>
      <c r="K1427" s="48"/>
      <c r="L1427" s="48"/>
      <c r="M1427" s="48"/>
    </row>
    <row r="1428" spans="1:13" ht="15.75" customHeight="1" x14ac:dyDescent="0.25">
      <c r="A1428" s="526"/>
      <c r="B1428" s="526"/>
      <c r="C1428" s="53">
        <v>53</v>
      </c>
      <c r="D1428" s="108">
        <v>108</v>
      </c>
      <c r="E1428" s="115">
        <v>1987</v>
      </c>
      <c r="F1428" s="332">
        <f t="shared" si="411"/>
        <v>32</v>
      </c>
      <c r="G1428" s="48"/>
      <c r="H1428" s="48"/>
      <c r="I1428" s="48"/>
      <c r="J1428" s="48"/>
      <c r="K1428" s="48"/>
      <c r="L1428" s="48"/>
      <c r="M1428" s="48"/>
    </row>
    <row r="1429" spans="1:13" ht="15.75" customHeight="1" x14ac:dyDescent="0.2">
      <c r="A1429" s="525" t="s">
        <v>513</v>
      </c>
      <c r="B1429" s="532" t="s">
        <v>708</v>
      </c>
      <c r="C1429" s="78"/>
      <c r="D1429" s="108"/>
      <c r="E1429" s="115"/>
      <c r="F1429" s="330"/>
      <c r="G1429" s="48"/>
      <c r="H1429" s="48"/>
      <c r="I1429" s="48"/>
      <c r="J1429" s="48"/>
      <c r="K1429" s="48"/>
      <c r="L1429" s="48"/>
      <c r="M1429" s="48"/>
    </row>
    <row r="1430" spans="1:13" ht="15.75" customHeight="1" x14ac:dyDescent="0.25">
      <c r="A1430" s="531"/>
      <c r="B1430" s="540"/>
      <c r="C1430" s="78">
        <v>56</v>
      </c>
      <c r="D1430" s="108">
        <v>108</v>
      </c>
      <c r="E1430" s="115">
        <v>1989</v>
      </c>
      <c r="F1430" s="332">
        <f t="shared" ref="F1430:F1431" si="412">2019-E1430</f>
        <v>30</v>
      </c>
      <c r="G1430" s="48"/>
      <c r="H1430" s="48"/>
      <c r="I1430" s="48"/>
      <c r="J1430" s="48"/>
      <c r="K1430" s="48"/>
      <c r="L1430" s="48"/>
      <c r="M1430" s="48"/>
    </row>
    <row r="1431" spans="1:13" ht="15.75" customHeight="1" x14ac:dyDescent="0.25">
      <c r="A1431" s="526"/>
      <c r="B1431" s="533"/>
      <c r="C1431" s="55">
        <v>56</v>
      </c>
      <c r="D1431" s="108">
        <v>89</v>
      </c>
      <c r="E1431" s="115">
        <v>1989</v>
      </c>
      <c r="F1431" s="332">
        <f t="shared" si="412"/>
        <v>30</v>
      </c>
      <c r="G1431" s="48"/>
      <c r="H1431" s="48"/>
      <c r="I1431" s="48"/>
      <c r="J1431" s="48"/>
      <c r="K1431" s="48"/>
      <c r="L1431" s="48"/>
      <c r="M1431" s="48"/>
    </row>
    <row r="1432" spans="1:13" ht="15.75" customHeight="1" x14ac:dyDescent="0.2">
      <c r="A1432" s="525" t="s">
        <v>552</v>
      </c>
      <c r="B1432" s="532" t="s">
        <v>709</v>
      </c>
      <c r="C1432" s="78"/>
      <c r="D1432" s="108"/>
      <c r="E1432" s="115"/>
      <c r="F1432" s="330"/>
      <c r="G1432" s="48"/>
      <c r="H1432" s="48"/>
      <c r="I1432" s="48"/>
      <c r="J1432" s="48"/>
      <c r="K1432" s="48"/>
      <c r="L1432" s="48"/>
      <c r="M1432" s="48"/>
    </row>
    <row r="1433" spans="1:13" ht="15.75" customHeight="1" x14ac:dyDescent="0.25">
      <c r="A1433" s="531"/>
      <c r="B1433" s="540"/>
      <c r="C1433" s="78">
        <v>42</v>
      </c>
      <c r="D1433" s="108">
        <v>76</v>
      </c>
      <c r="E1433" s="115">
        <v>1989</v>
      </c>
      <c r="F1433" s="332">
        <f t="shared" ref="F1433:F1434" si="413">2019-E1433</f>
        <v>30</v>
      </c>
      <c r="G1433" s="48"/>
      <c r="H1433" s="48"/>
      <c r="I1433" s="48"/>
      <c r="J1433" s="48"/>
      <c r="K1433" s="48"/>
      <c r="L1433" s="48"/>
      <c r="M1433" s="48"/>
    </row>
    <row r="1434" spans="1:13" ht="15.75" customHeight="1" x14ac:dyDescent="0.25">
      <c r="A1434" s="526"/>
      <c r="B1434" s="533"/>
      <c r="C1434" s="78">
        <v>42</v>
      </c>
      <c r="D1434" s="108">
        <v>57</v>
      </c>
      <c r="E1434" s="115">
        <v>1989</v>
      </c>
      <c r="F1434" s="332">
        <f t="shared" si="413"/>
        <v>30</v>
      </c>
      <c r="G1434" s="48"/>
      <c r="H1434" s="48"/>
      <c r="I1434" s="48"/>
      <c r="J1434" s="48"/>
      <c r="K1434" s="48"/>
      <c r="L1434" s="48"/>
      <c r="M1434" s="48"/>
    </row>
    <row r="1435" spans="1:13" ht="15.75" customHeight="1" x14ac:dyDescent="0.2">
      <c r="A1435" s="525" t="s">
        <v>552</v>
      </c>
      <c r="B1435" s="532" t="s">
        <v>710</v>
      </c>
      <c r="C1435" s="78"/>
      <c r="D1435" s="108"/>
      <c r="E1435" s="115"/>
      <c r="F1435" s="330"/>
      <c r="G1435" s="48"/>
      <c r="H1435" s="48"/>
      <c r="I1435" s="48"/>
      <c r="J1435" s="48"/>
      <c r="K1435" s="48"/>
      <c r="L1435" s="48"/>
      <c r="M1435" s="48"/>
    </row>
    <row r="1436" spans="1:13" ht="15.75" customHeight="1" x14ac:dyDescent="0.25">
      <c r="A1436" s="531"/>
      <c r="B1436" s="540"/>
      <c r="C1436" s="78">
        <v>97</v>
      </c>
      <c r="D1436" s="108">
        <v>57</v>
      </c>
      <c r="E1436" s="115">
        <v>1993</v>
      </c>
      <c r="F1436" s="332">
        <f t="shared" ref="F1436:F1437" si="414">2019-E1436</f>
        <v>26</v>
      </c>
      <c r="G1436" s="48"/>
      <c r="H1436" s="48"/>
      <c r="I1436" s="48"/>
      <c r="J1436" s="48"/>
      <c r="K1436" s="48"/>
      <c r="L1436" s="48"/>
      <c r="M1436" s="48"/>
    </row>
    <row r="1437" spans="1:13" ht="15.75" customHeight="1" x14ac:dyDescent="0.25">
      <c r="A1437" s="526"/>
      <c r="B1437" s="533"/>
      <c r="C1437" s="78">
        <v>97</v>
      </c>
      <c r="D1437" s="108">
        <v>40</v>
      </c>
      <c r="E1437" s="115">
        <v>1993</v>
      </c>
      <c r="F1437" s="332">
        <f t="shared" si="414"/>
        <v>26</v>
      </c>
      <c r="G1437" s="48"/>
      <c r="H1437" s="48"/>
      <c r="I1437" s="48"/>
      <c r="J1437" s="48"/>
      <c r="K1437" s="48"/>
      <c r="L1437" s="48"/>
      <c r="M1437" s="48"/>
    </row>
    <row r="1438" spans="1:13" ht="15.75" customHeight="1" x14ac:dyDescent="0.2">
      <c r="A1438" s="525" t="s">
        <v>513</v>
      </c>
      <c r="B1438" s="532" t="s">
        <v>711</v>
      </c>
      <c r="C1438" s="78"/>
      <c r="D1438" s="108"/>
      <c r="E1438" s="115"/>
      <c r="F1438" s="330"/>
      <c r="G1438" s="48"/>
      <c r="H1438" s="48"/>
      <c r="I1438" s="48"/>
      <c r="J1438" s="48"/>
      <c r="K1438" s="48"/>
      <c r="L1438" s="48"/>
      <c r="M1438" s="48"/>
    </row>
    <row r="1439" spans="1:13" ht="15.75" customHeight="1" x14ac:dyDescent="0.25">
      <c r="A1439" s="531"/>
      <c r="B1439" s="540"/>
      <c r="C1439" s="78">
        <v>32</v>
      </c>
      <c r="D1439" s="108">
        <v>76</v>
      </c>
      <c r="E1439" s="115">
        <v>1989</v>
      </c>
      <c r="F1439" s="332">
        <f t="shared" ref="F1439:F1440" si="415">2019-E1439</f>
        <v>30</v>
      </c>
      <c r="G1439" s="48"/>
      <c r="H1439" s="48"/>
      <c r="I1439" s="48"/>
      <c r="J1439" s="48"/>
      <c r="K1439" s="48"/>
      <c r="L1439" s="48"/>
      <c r="M1439" s="48"/>
    </row>
    <row r="1440" spans="1:13" ht="15.75" customHeight="1" x14ac:dyDescent="0.25">
      <c r="A1440" s="526"/>
      <c r="B1440" s="533"/>
      <c r="C1440" s="78">
        <v>32</v>
      </c>
      <c r="D1440" s="108">
        <v>57</v>
      </c>
      <c r="E1440" s="115">
        <v>1989</v>
      </c>
      <c r="F1440" s="332">
        <f t="shared" si="415"/>
        <v>30</v>
      </c>
      <c r="G1440" s="48"/>
      <c r="H1440" s="48"/>
      <c r="I1440" s="48"/>
      <c r="J1440" s="48"/>
      <c r="K1440" s="48"/>
      <c r="L1440" s="48"/>
      <c r="M1440" s="48"/>
    </row>
    <row r="1441" spans="1:13" ht="15.75" customHeight="1" x14ac:dyDescent="0.2">
      <c r="A1441" s="525" t="s">
        <v>513</v>
      </c>
      <c r="B1441" s="525" t="s">
        <v>574</v>
      </c>
      <c r="C1441" s="53"/>
      <c r="D1441" s="108"/>
      <c r="E1441" s="115"/>
      <c r="F1441" s="330"/>
      <c r="G1441" s="48"/>
      <c r="H1441" s="48"/>
      <c r="I1441" s="48"/>
      <c r="J1441" s="48"/>
      <c r="K1441" s="48"/>
      <c r="L1441" s="48"/>
      <c r="M1441" s="48"/>
    </row>
    <row r="1442" spans="1:13" ht="15.75" customHeight="1" x14ac:dyDescent="0.25">
      <c r="A1442" s="531"/>
      <c r="B1442" s="531"/>
      <c r="C1442" s="53">
        <v>60</v>
      </c>
      <c r="D1442" s="108">
        <v>108</v>
      </c>
      <c r="E1442" s="115">
        <v>1988</v>
      </c>
      <c r="F1442" s="332">
        <f t="shared" ref="F1442:F1443" si="416">2019-E1442</f>
        <v>31</v>
      </c>
      <c r="G1442" s="48"/>
      <c r="H1442" s="48"/>
      <c r="I1442" s="48"/>
      <c r="J1442" s="48"/>
      <c r="K1442" s="48"/>
      <c r="L1442" s="48"/>
      <c r="M1442" s="48"/>
    </row>
    <row r="1443" spans="1:13" ht="15.75" customHeight="1" x14ac:dyDescent="0.25">
      <c r="A1443" s="526"/>
      <c r="B1443" s="526"/>
      <c r="C1443" s="119">
        <v>60</v>
      </c>
      <c r="D1443" s="108">
        <v>76</v>
      </c>
      <c r="E1443" s="115">
        <v>1988</v>
      </c>
      <c r="F1443" s="332">
        <f t="shared" si="416"/>
        <v>31</v>
      </c>
      <c r="G1443" s="48"/>
      <c r="H1443" s="48"/>
      <c r="I1443" s="48"/>
      <c r="J1443" s="48"/>
      <c r="K1443" s="48"/>
      <c r="L1443" s="48"/>
      <c r="M1443" s="48"/>
    </row>
    <row r="1444" spans="1:13" ht="15.75" customHeight="1" x14ac:dyDescent="0.2">
      <c r="A1444" s="525" t="s">
        <v>712</v>
      </c>
      <c r="B1444" s="525" t="s">
        <v>713</v>
      </c>
      <c r="C1444" s="119"/>
      <c r="D1444" s="108"/>
      <c r="E1444" s="115"/>
      <c r="F1444" s="330"/>
      <c r="G1444" s="48"/>
      <c r="H1444" s="48"/>
      <c r="I1444" s="48"/>
      <c r="J1444" s="48"/>
      <c r="K1444" s="48"/>
      <c r="L1444" s="48"/>
      <c r="M1444" s="48"/>
    </row>
    <row r="1445" spans="1:13" ht="15.75" customHeight="1" x14ac:dyDescent="0.25">
      <c r="A1445" s="531"/>
      <c r="B1445" s="531"/>
      <c r="C1445" s="119">
        <v>27</v>
      </c>
      <c r="D1445" s="108">
        <v>76</v>
      </c>
      <c r="E1445" s="115">
        <v>1988</v>
      </c>
      <c r="F1445" s="332">
        <f t="shared" ref="F1445:F1446" si="417">2019-E1445</f>
        <v>31</v>
      </c>
      <c r="G1445" s="48"/>
      <c r="H1445" s="48"/>
      <c r="I1445" s="48"/>
      <c r="J1445" s="48"/>
      <c r="K1445" s="48"/>
      <c r="L1445" s="48"/>
      <c r="M1445" s="48"/>
    </row>
    <row r="1446" spans="1:13" ht="15.75" customHeight="1" x14ac:dyDescent="0.25">
      <c r="A1446" s="526"/>
      <c r="B1446" s="526"/>
      <c r="C1446" s="119">
        <v>27</v>
      </c>
      <c r="D1446" s="108">
        <v>57</v>
      </c>
      <c r="E1446" s="115">
        <v>1988</v>
      </c>
      <c r="F1446" s="332">
        <f t="shared" si="417"/>
        <v>31</v>
      </c>
      <c r="G1446" s="48"/>
      <c r="H1446" s="48"/>
      <c r="I1446" s="48"/>
      <c r="J1446" s="48"/>
      <c r="K1446" s="48"/>
      <c r="L1446" s="48"/>
      <c r="M1446" s="48"/>
    </row>
    <row r="1447" spans="1:13" ht="15.75" customHeight="1" x14ac:dyDescent="0.2">
      <c r="A1447" s="525" t="s">
        <v>712</v>
      </c>
      <c r="B1447" s="525" t="s">
        <v>714</v>
      </c>
      <c r="C1447" s="53"/>
      <c r="D1447" s="108"/>
      <c r="E1447" s="115"/>
      <c r="F1447" s="330"/>
      <c r="G1447" s="48"/>
      <c r="H1447" s="48"/>
      <c r="I1447" s="48"/>
      <c r="J1447" s="48"/>
      <c r="K1447" s="48"/>
      <c r="L1447" s="48"/>
      <c r="M1447" s="48"/>
    </row>
    <row r="1448" spans="1:13" ht="15.75" customHeight="1" x14ac:dyDescent="0.25">
      <c r="A1448" s="531"/>
      <c r="B1448" s="531"/>
      <c r="C1448" s="53">
        <v>62</v>
      </c>
      <c r="D1448" s="108">
        <v>108</v>
      </c>
      <c r="E1448" s="115">
        <v>1988</v>
      </c>
      <c r="F1448" s="332">
        <f t="shared" ref="F1448:F1449" si="418">2019-E1448</f>
        <v>31</v>
      </c>
      <c r="G1448" s="48"/>
      <c r="H1448" s="48"/>
      <c r="I1448" s="48"/>
      <c r="J1448" s="48"/>
      <c r="K1448" s="48"/>
      <c r="L1448" s="48"/>
      <c r="M1448" s="48"/>
    </row>
    <row r="1449" spans="1:13" ht="15.75" customHeight="1" x14ac:dyDescent="0.25">
      <c r="A1449" s="526"/>
      <c r="B1449" s="526"/>
      <c r="C1449" s="119">
        <v>62</v>
      </c>
      <c r="D1449" s="108">
        <v>76</v>
      </c>
      <c r="E1449" s="115">
        <v>1988</v>
      </c>
      <c r="F1449" s="332">
        <f t="shared" si="418"/>
        <v>31</v>
      </c>
      <c r="G1449" s="48"/>
      <c r="H1449" s="48"/>
      <c r="I1449" s="48"/>
      <c r="J1449" s="48"/>
      <c r="K1449" s="48"/>
      <c r="L1449" s="48"/>
      <c r="M1449" s="48"/>
    </row>
    <row r="1450" spans="1:13" ht="15.75" customHeight="1" x14ac:dyDescent="0.2">
      <c r="A1450" s="525" t="s">
        <v>454</v>
      </c>
      <c r="B1450" s="525" t="s">
        <v>715</v>
      </c>
      <c r="C1450" s="119"/>
      <c r="D1450" s="108"/>
      <c r="E1450" s="115"/>
      <c r="F1450" s="330"/>
      <c r="G1450" s="48"/>
      <c r="H1450" s="48"/>
      <c r="I1450" s="48"/>
      <c r="J1450" s="48"/>
      <c r="K1450" s="48"/>
      <c r="L1450" s="48"/>
      <c r="M1450" s="48"/>
    </row>
    <row r="1451" spans="1:13" ht="15.75" customHeight="1" x14ac:dyDescent="0.25">
      <c r="A1451" s="531"/>
      <c r="B1451" s="531"/>
      <c r="C1451" s="119">
        <v>32</v>
      </c>
      <c r="D1451" s="108">
        <v>76</v>
      </c>
      <c r="E1451" s="115">
        <v>1988</v>
      </c>
      <c r="F1451" s="332">
        <f t="shared" ref="F1451:F1452" si="419">2019-E1451</f>
        <v>31</v>
      </c>
      <c r="G1451" s="48"/>
      <c r="H1451" s="48"/>
      <c r="I1451" s="48"/>
      <c r="J1451" s="48"/>
      <c r="K1451" s="48"/>
      <c r="L1451" s="48"/>
      <c r="M1451" s="48"/>
    </row>
    <row r="1452" spans="1:13" ht="15.75" customHeight="1" x14ac:dyDescent="0.25">
      <c r="A1452" s="526"/>
      <c r="B1452" s="526"/>
      <c r="C1452" s="119">
        <v>32</v>
      </c>
      <c r="D1452" s="108">
        <v>57</v>
      </c>
      <c r="E1452" s="115">
        <v>1988</v>
      </c>
      <c r="F1452" s="332">
        <f t="shared" si="419"/>
        <v>31</v>
      </c>
      <c r="G1452" s="48"/>
      <c r="H1452" s="48"/>
      <c r="I1452" s="48"/>
      <c r="J1452" s="48"/>
      <c r="K1452" s="48"/>
      <c r="L1452" s="48"/>
      <c r="M1452" s="48"/>
    </row>
    <row r="1453" spans="1:13" ht="15.75" customHeight="1" x14ac:dyDescent="0.2">
      <c r="A1453" s="525" t="s">
        <v>454</v>
      </c>
      <c r="B1453" s="525" t="s">
        <v>716</v>
      </c>
      <c r="C1453" s="119"/>
      <c r="D1453" s="108"/>
      <c r="E1453" s="115"/>
      <c r="F1453" s="330"/>
      <c r="G1453" s="48"/>
      <c r="H1453" s="48"/>
      <c r="I1453" s="48"/>
      <c r="J1453" s="48"/>
      <c r="K1453" s="48"/>
      <c r="L1453" s="48"/>
      <c r="M1453" s="48"/>
    </row>
    <row r="1454" spans="1:13" ht="15.75" customHeight="1" x14ac:dyDescent="0.25">
      <c r="A1454" s="531"/>
      <c r="B1454" s="531"/>
      <c r="C1454" s="119">
        <v>25</v>
      </c>
      <c r="D1454" s="108">
        <v>76</v>
      </c>
      <c r="E1454" s="115">
        <v>1988</v>
      </c>
      <c r="F1454" s="332">
        <f t="shared" ref="F1454:F1455" si="420">2019-E1454</f>
        <v>31</v>
      </c>
      <c r="G1454" s="48"/>
      <c r="H1454" s="48"/>
      <c r="I1454" s="48"/>
      <c r="J1454" s="48"/>
      <c r="K1454" s="48"/>
      <c r="L1454" s="48"/>
      <c r="M1454" s="48"/>
    </row>
    <row r="1455" spans="1:13" ht="15.75" customHeight="1" x14ac:dyDescent="0.25">
      <c r="A1455" s="526"/>
      <c r="B1455" s="526"/>
      <c r="C1455" s="119">
        <v>25</v>
      </c>
      <c r="D1455" s="108">
        <v>40</v>
      </c>
      <c r="E1455" s="115">
        <v>1988</v>
      </c>
      <c r="F1455" s="332">
        <f t="shared" si="420"/>
        <v>31</v>
      </c>
      <c r="G1455" s="48"/>
      <c r="H1455" s="48"/>
      <c r="I1455" s="48"/>
      <c r="J1455" s="48"/>
      <c r="K1455" s="48"/>
      <c r="L1455" s="48"/>
      <c r="M1455" s="48"/>
    </row>
    <row r="1456" spans="1:13" ht="15.75" customHeight="1" x14ac:dyDescent="0.2">
      <c r="A1456" s="525" t="s">
        <v>385</v>
      </c>
      <c r="B1456" s="525" t="s">
        <v>575</v>
      </c>
      <c r="C1456" s="119"/>
      <c r="D1456" s="108"/>
      <c r="E1456" s="115"/>
      <c r="F1456" s="330"/>
      <c r="G1456" s="48"/>
      <c r="H1456" s="48"/>
      <c r="I1456" s="48"/>
      <c r="J1456" s="48"/>
      <c r="K1456" s="48"/>
      <c r="L1456" s="48"/>
      <c r="M1456" s="48"/>
    </row>
    <row r="1457" spans="1:13" ht="15.75" customHeight="1" x14ac:dyDescent="0.25">
      <c r="A1457" s="531"/>
      <c r="B1457" s="531"/>
      <c r="C1457" s="53">
        <v>84</v>
      </c>
      <c r="D1457" s="108">
        <v>219</v>
      </c>
      <c r="E1457" s="115">
        <v>2012</v>
      </c>
      <c r="F1457" s="332">
        <f t="shared" ref="F1457:F1458" si="421">2019-E1457</f>
        <v>7</v>
      </c>
      <c r="G1457" s="48"/>
      <c r="H1457" s="48"/>
      <c r="I1457" s="48"/>
      <c r="J1457" s="48"/>
      <c r="K1457" s="48"/>
      <c r="L1457" s="48"/>
      <c r="M1457" s="48"/>
    </row>
    <row r="1458" spans="1:13" ht="15.75" customHeight="1" x14ac:dyDescent="0.25">
      <c r="A1458" s="526"/>
      <c r="B1458" s="526"/>
      <c r="C1458" s="53">
        <v>84</v>
      </c>
      <c r="D1458" s="108">
        <v>133</v>
      </c>
      <c r="E1458" s="115">
        <v>2012</v>
      </c>
      <c r="F1458" s="332">
        <f t="shared" si="421"/>
        <v>7</v>
      </c>
      <c r="G1458" s="48"/>
      <c r="H1458" s="48"/>
      <c r="I1458" s="48"/>
      <c r="J1458" s="48"/>
      <c r="K1458" s="48"/>
      <c r="L1458" s="48"/>
      <c r="M1458" s="48"/>
    </row>
    <row r="1459" spans="1:13" ht="15.75" customHeight="1" x14ac:dyDescent="0.2">
      <c r="A1459" s="525" t="s">
        <v>356</v>
      </c>
      <c r="B1459" s="532" t="s">
        <v>717</v>
      </c>
      <c r="C1459" s="55"/>
      <c r="D1459" s="108"/>
      <c r="E1459" s="115"/>
      <c r="F1459" s="330"/>
      <c r="G1459" s="48"/>
      <c r="H1459" s="48"/>
      <c r="I1459" s="48"/>
      <c r="J1459" s="48"/>
      <c r="K1459" s="48"/>
      <c r="L1459" s="48"/>
      <c r="M1459" s="48"/>
    </row>
    <row r="1460" spans="1:13" ht="15.75" customHeight="1" x14ac:dyDescent="0.25">
      <c r="A1460" s="531"/>
      <c r="B1460" s="531"/>
      <c r="C1460" s="53">
        <v>23</v>
      </c>
      <c r="D1460" s="108">
        <v>89</v>
      </c>
      <c r="E1460" s="115">
        <v>2009</v>
      </c>
      <c r="F1460" s="332">
        <f t="shared" ref="F1460:F1461" si="422">2019-E1460</f>
        <v>10</v>
      </c>
      <c r="G1460" s="48"/>
      <c r="H1460" s="48"/>
      <c r="I1460" s="48"/>
      <c r="J1460" s="48"/>
      <c r="K1460" s="48"/>
      <c r="L1460" s="48"/>
      <c r="M1460" s="48"/>
    </row>
    <row r="1461" spans="1:13" ht="15.75" customHeight="1" x14ac:dyDescent="0.25">
      <c r="A1461" s="526"/>
      <c r="B1461" s="526"/>
      <c r="C1461" s="53">
        <v>23</v>
      </c>
      <c r="D1461" s="108">
        <v>57</v>
      </c>
      <c r="E1461" s="115">
        <v>2009</v>
      </c>
      <c r="F1461" s="332">
        <f t="shared" si="422"/>
        <v>10</v>
      </c>
      <c r="G1461" s="48"/>
      <c r="H1461" s="48"/>
      <c r="I1461" s="48"/>
      <c r="J1461" s="48"/>
      <c r="K1461" s="48"/>
      <c r="L1461" s="48"/>
      <c r="M1461" s="48"/>
    </row>
    <row r="1462" spans="1:13" ht="15.75" customHeight="1" x14ac:dyDescent="0.2">
      <c r="A1462" s="525" t="s">
        <v>461</v>
      </c>
      <c r="B1462" s="532" t="s">
        <v>718</v>
      </c>
      <c r="C1462" s="55"/>
      <c r="D1462" s="108"/>
      <c r="E1462" s="115"/>
      <c r="F1462" s="330"/>
      <c r="G1462" s="48"/>
      <c r="H1462" s="48"/>
      <c r="I1462" s="48"/>
      <c r="J1462" s="48"/>
      <c r="K1462" s="48"/>
      <c r="L1462" s="48"/>
      <c r="M1462" s="48"/>
    </row>
    <row r="1463" spans="1:13" ht="15.75" customHeight="1" x14ac:dyDescent="0.25">
      <c r="A1463" s="531"/>
      <c r="B1463" s="531"/>
      <c r="C1463" s="78">
        <v>36</v>
      </c>
      <c r="D1463" s="108">
        <v>57</v>
      </c>
      <c r="E1463" s="115">
        <v>2008</v>
      </c>
      <c r="F1463" s="332">
        <f t="shared" ref="F1463:F1464" si="423">2019-E1463</f>
        <v>11</v>
      </c>
      <c r="G1463" s="48"/>
      <c r="H1463" s="48"/>
      <c r="I1463" s="48"/>
      <c r="J1463" s="48"/>
      <c r="K1463" s="48"/>
      <c r="L1463" s="48"/>
      <c r="M1463" s="48"/>
    </row>
    <row r="1464" spans="1:13" ht="15.75" customHeight="1" x14ac:dyDescent="0.25">
      <c r="A1464" s="526"/>
      <c r="B1464" s="526"/>
      <c r="C1464" s="78">
        <v>36</v>
      </c>
      <c r="D1464" s="108">
        <v>40</v>
      </c>
      <c r="E1464" s="115">
        <v>2008</v>
      </c>
      <c r="F1464" s="332">
        <f t="shared" si="423"/>
        <v>11</v>
      </c>
      <c r="G1464" s="48"/>
      <c r="H1464" s="48"/>
      <c r="I1464" s="48"/>
      <c r="J1464" s="48"/>
      <c r="K1464" s="48"/>
      <c r="L1464" s="48"/>
      <c r="M1464" s="48"/>
    </row>
    <row r="1465" spans="1:13" ht="15.75" customHeight="1" x14ac:dyDescent="0.2">
      <c r="A1465" s="525" t="s">
        <v>190</v>
      </c>
      <c r="B1465" s="532" t="s">
        <v>719</v>
      </c>
      <c r="C1465" s="55"/>
      <c r="D1465" s="108"/>
      <c r="E1465" s="115"/>
      <c r="F1465" s="330"/>
      <c r="G1465" s="48"/>
      <c r="H1465" s="48"/>
      <c r="I1465" s="48"/>
      <c r="J1465" s="48"/>
      <c r="K1465" s="48"/>
      <c r="L1465" s="48"/>
      <c r="M1465" s="48"/>
    </row>
    <row r="1466" spans="1:13" ht="15.75" customHeight="1" x14ac:dyDescent="0.25">
      <c r="A1466" s="531"/>
      <c r="B1466" s="540"/>
      <c r="C1466" s="55">
        <v>9</v>
      </c>
      <c r="D1466" s="108">
        <v>89</v>
      </c>
      <c r="E1466" s="115">
        <v>1989</v>
      </c>
      <c r="F1466" s="332">
        <f t="shared" ref="F1466:F1467" si="424">2019-E1466</f>
        <v>30</v>
      </c>
      <c r="G1466" s="48"/>
      <c r="H1466" s="48"/>
      <c r="I1466" s="48"/>
      <c r="J1466" s="48"/>
      <c r="K1466" s="48"/>
      <c r="L1466" s="48"/>
      <c r="M1466" s="48"/>
    </row>
    <row r="1467" spans="1:13" ht="15.75" customHeight="1" x14ac:dyDescent="0.25">
      <c r="A1467" s="526"/>
      <c r="B1467" s="533"/>
      <c r="C1467" s="78">
        <v>9</v>
      </c>
      <c r="D1467" s="108">
        <v>40</v>
      </c>
      <c r="E1467" s="115">
        <v>1989</v>
      </c>
      <c r="F1467" s="332">
        <f t="shared" si="424"/>
        <v>30</v>
      </c>
      <c r="G1467" s="48"/>
      <c r="H1467" s="48"/>
      <c r="I1467" s="48"/>
      <c r="J1467" s="48"/>
      <c r="K1467" s="48"/>
      <c r="L1467" s="48"/>
      <c r="M1467" s="48"/>
    </row>
    <row r="1468" spans="1:13" ht="15.75" customHeight="1" x14ac:dyDescent="0.2">
      <c r="A1468" s="525" t="s">
        <v>190</v>
      </c>
      <c r="B1468" s="532" t="s">
        <v>720</v>
      </c>
      <c r="C1468" s="55"/>
      <c r="D1468" s="108"/>
      <c r="E1468" s="115"/>
      <c r="F1468" s="330"/>
      <c r="G1468" s="48"/>
      <c r="H1468" s="48"/>
      <c r="I1468" s="48"/>
      <c r="J1468" s="48"/>
      <c r="K1468" s="48"/>
      <c r="L1468" s="48"/>
      <c r="M1468" s="48"/>
    </row>
    <row r="1469" spans="1:13" ht="15.75" customHeight="1" x14ac:dyDescent="0.25">
      <c r="A1469" s="531"/>
      <c r="B1469" s="540"/>
      <c r="C1469" s="78">
        <v>60</v>
      </c>
      <c r="D1469" s="108">
        <v>57</v>
      </c>
      <c r="E1469" s="115">
        <v>1989</v>
      </c>
      <c r="F1469" s="332">
        <f t="shared" ref="F1469:F1470" si="425">2019-E1469</f>
        <v>30</v>
      </c>
      <c r="G1469" s="48"/>
      <c r="H1469" s="48"/>
      <c r="I1469" s="48"/>
      <c r="J1469" s="48"/>
      <c r="K1469" s="48"/>
      <c r="L1469" s="48"/>
      <c r="M1469" s="48"/>
    </row>
    <row r="1470" spans="1:13" ht="15.75" customHeight="1" x14ac:dyDescent="0.25">
      <c r="A1470" s="526"/>
      <c r="B1470" s="533"/>
      <c r="C1470" s="78">
        <v>60</v>
      </c>
      <c r="D1470" s="108">
        <v>32</v>
      </c>
      <c r="E1470" s="115">
        <v>1989</v>
      </c>
      <c r="F1470" s="332">
        <f t="shared" si="425"/>
        <v>30</v>
      </c>
      <c r="G1470" s="48"/>
      <c r="H1470" s="48"/>
      <c r="I1470" s="48"/>
      <c r="J1470" s="48"/>
      <c r="K1470" s="48"/>
      <c r="L1470" s="48"/>
      <c r="M1470" s="48"/>
    </row>
    <row r="1471" spans="1:13" ht="15.75" customHeight="1" x14ac:dyDescent="0.2">
      <c r="A1471" s="525" t="s">
        <v>721</v>
      </c>
      <c r="B1471" s="532" t="s">
        <v>538</v>
      </c>
      <c r="C1471" s="55"/>
      <c r="D1471" s="108"/>
      <c r="E1471" s="115"/>
      <c r="F1471" s="330"/>
      <c r="G1471" s="48"/>
      <c r="H1471" s="48"/>
      <c r="I1471" s="48"/>
      <c r="J1471" s="48"/>
      <c r="K1471" s="48"/>
      <c r="L1471" s="48"/>
      <c r="M1471" s="48"/>
    </row>
    <row r="1472" spans="1:13" ht="15.75" customHeight="1" x14ac:dyDescent="0.25">
      <c r="A1472" s="531"/>
      <c r="B1472" s="531"/>
      <c r="C1472" s="53">
        <v>43</v>
      </c>
      <c r="D1472" s="108">
        <v>89</v>
      </c>
      <c r="E1472" s="115">
        <v>2011</v>
      </c>
      <c r="F1472" s="332">
        <f t="shared" ref="F1472:F1473" si="426">2019-E1472</f>
        <v>8</v>
      </c>
      <c r="G1472" s="48"/>
      <c r="H1472" s="48"/>
      <c r="I1472" s="48"/>
      <c r="J1472" s="48"/>
      <c r="K1472" s="48"/>
      <c r="L1472" s="48"/>
      <c r="M1472" s="48"/>
    </row>
    <row r="1473" spans="1:13" ht="15.75" customHeight="1" x14ac:dyDescent="0.25">
      <c r="A1473" s="526"/>
      <c r="B1473" s="526"/>
      <c r="C1473" s="53">
        <v>43</v>
      </c>
      <c r="D1473" s="108">
        <v>76</v>
      </c>
      <c r="E1473" s="115">
        <v>2011</v>
      </c>
      <c r="F1473" s="332">
        <f t="shared" si="426"/>
        <v>8</v>
      </c>
      <c r="G1473" s="48"/>
      <c r="H1473" s="48"/>
      <c r="I1473" s="48"/>
      <c r="J1473" s="48"/>
      <c r="K1473" s="48"/>
      <c r="L1473" s="48"/>
      <c r="M1473" s="48"/>
    </row>
    <row r="1474" spans="1:13" ht="15.75" customHeight="1" x14ac:dyDescent="0.2">
      <c r="A1474" s="525" t="s">
        <v>229</v>
      </c>
      <c r="B1474" s="525" t="s">
        <v>320</v>
      </c>
      <c r="C1474" s="119"/>
      <c r="D1474" s="108"/>
      <c r="E1474" s="115"/>
      <c r="F1474" s="330"/>
      <c r="G1474" s="48"/>
      <c r="H1474" s="48"/>
      <c r="I1474" s="48"/>
      <c r="J1474" s="48"/>
      <c r="K1474" s="48"/>
      <c r="L1474" s="48"/>
      <c r="M1474" s="48"/>
    </row>
    <row r="1475" spans="1:13" ht="15.75" customHeight="1" x14ac:dyDescent="0.25">
      <c r="A1475" s="531"/>
      <c r="B1475" s="531"/>
      <c r="C1475" s="119">
        <v>66</v>
      </c>
      <c r="D1475" s="108">
        <v>89</v>
      </c>
      <c r="E1475" s="115">
        <v>1987</v>
      </c>
      <c r="F1475" s="332">
        <f t="shared" ref="F1475:F1476" si="427">2019-E1475</f>
        <v>32</v>
      </c>
      <c r="G1475" s="48"/>
      <c r="H1475" s="48"/>
      <c r="I1475" s="48"/>
      <c r="J1475" s="48"/>
      <c r="K1475" s="48"/>
      <c r="L1475" s="48"/>
      <c r="M1475" s="48"/>
    </row>
    <row r="1476" spans="1:13" ht="15.75" customHeight="1" x14ac:dyDescent="0.25">
      <c r="A1476" s="526"/>
      <c r="B1476" s="526"/>
      <c r="C1476" s="119">
        <v>66</v>
      </c>
      <c r="D1476" s="108">
        <v>57</v>
      </c>
      <c r="E1476" s="115">
        <v>1987</v>
      </c>
      <c r="F1476" s="332">
        <f t="shared" si="427"/>
        <v>32</v>
      </c>
      <c r="G1476" s="48"/>
      <c r="H1476" s="48"/>
      <c r="I1476" s="48"/>
      <c r="J1476" s="48"/>
      <c r="K1476" s="48"/>
      <c r="L1476" s="48"/>
      <c r="M1476" s="48"/>
    </row>
    <row r="1477" spans="1:13" ht="15.75" customHeight="1" x14ac:dyDescent="0.2">
      <c r="A1477" s="525" t="s">
        <v>555</v>
      </c>
      <c r="B1477" s="532" t="s">
        <v>190</v>
      </c>
      <c r="C1477" s="55"/>
      <c r="D1477" s="108"/>
      <c r="E1477" s="115"/>
      <c r="F1477" s="330"/>
      <c r="G1477" s="48"/>
      <c r="H1477" s="48"/>
      <c r="I1477" s="48"/>
      <c r="J1477" s="48"/>
      <c r="K1477" s="48"/>
      <c r="L1477" s="48"/>
      <c r="M1477" s="48"/>
    </row>
    <row r="1478" spans="1:13" ht="15.75" customHeight="1" x14ac:dyDescent="0.25">
      <c r="A1478" s="531"/>
      <c r="B1478" s="540"/>
      <c r="C1478" s="78">
        <v>104</v>
      </c>
      <c r="D1478" s="108">
        <v>108</v>
      </c>
      <c r="E1478" s="115">
        <v>1989</v>
      </c>
      <c r="F1478" s="332">
        <f t="shared" ref="F1478:F1479" si="428">2019-E1478</f>
        <v>30</v>
      </c>
      <c r="G1478" s="48"/>
      <c r="H1478" s="48"/>
      <c r="I1478" s="48"/>
      <c r="J1478" s="48"/>
      <c r="K1478" s="48"/>
      <c r="L1478" s="48"/>
      <c r="M1478" s="48"/>
    </row>
    <row r="1479" spans="1:13" ht="15.75" customHeight="1" x14ac:dyDescent="0.25">
      <c r="A1479" s="526"/>
      <c r="B1479" s="533"/>
      <c r="C1479" s="78">
        <v>104</v>
      </c>
      <c r="D1479" s="108">
        <v>76</v>
      </c>
      <c r="E1479" s="115">
        <v>1989</v>
      </c>
      <c r="F1479" s="332">
        <f t="shared" si="428"/>
        <v>30</v>
      </c>
      <c r="G1479" s="48"/>
      <c r="H1479" s="48"/>
      <c r="I1479" s="48"/>
      <c r="J1479" s="48"/>
      <c r="K1479" s="48"/>
      <c r="L1479" s="48"/>
      <c r="M1479" s="48"/>
    </row>
    <row r="1480" spans="1:13" ht="15.75" customHeight="1" x14ac:dyDescent="0.2">
      <c r="A1480" s="525" t="s">
        <v>178</v>
      </c>
      <c r="B1480" s="525" t="s">
        <v>722</v>
      </c>
      <c r="C1480" s="53"/>
      <c r="D1480" s="108"/>
      <c r="E1480" s="115"/>
      <c r="F1480" s="330"/>
      <c r="G1480" s="48"/>
      <c r="H1480" s="48"/>
      <c r="I1480" s="48"/>
      <c r="J1480" s="48"/>
      <c r="K1480" s="48"/>
      <c r="L1480" s="48"/>
      <c r="M1480" s="48"/>
    </row>
    <row r="1481" spans="1:13" ht="15.75" customHeight="1" x14ac:dyDescent="0.25">
      <c r="A1481" s="531"/>
      <c r="B1481" s="531"/>
      <c r="C1481" s="53">
        <v>32</v>
      </c>
      <c r="D1481" s="108">
        <v>108</v>
      </c>
      <c r="E1481" s="115">
        <v>1986</v>
      </c>
      <c r="F1481" s="332">
        <f t="shared" ref="F1481:F1482" si="429">2019-E1481</f>
        <v>33</v>
      </c>
      <c r="G1481" s="48"/>
      <c r="H1481" s="48"/>
      <c r="I1481" s="48"/>
      <c r="J1481" s="48"/>
      <c r="K1481" s="48"/>
      <c r="L1481" s="48"/>
      <c r="M1481" s="48"/>
    </row>
    <row r="1482" spans="1:13" ht="15.75" customHeight="1" x14ac:dyDescent="0.25">
      <c r="A1482" s="526"/>
      <c r="B1482" s="526"/>
      <c r="C1482" s="119">
        <v>32</v>
      </c>
      <c r="D1482" s="108">
        <v>76</v>
      </c>
      <c r="E1482" s="115">
        <v>1986</v>
      </c>
      <c r="F1482" s="332">
        <f t="shared" si="429"/>
        <v>33</v>
      </c>
      <c r="G1482" s="48"/>
      <c r="H1482" s="48"/>
      <c r="I1482" s="48"/>
      <c r="J1482" s="48"/>
      <c r="K1482" s="48"/>
      <c r="L1482" s="48"/>
      <c r="M1482" s="48"/>
    </row>
    <row r="1483" spans="1:13" ht="15.75" customHeight="1" x14ac:dyDescent="0.2">
      <c r="A1483" s="525" t="s">
        <v>385</v>
      </c>
      <c r="B1483" s="525" t="s">
        <v>586</v>
      </c>
      <c r="C1483" s="119"/>
      <c r="D1483" s="108"/>
      <c r="E1483" s="115"/>
      <c r="F1483" s="330"/>
      <c r="G1483" s="48"/>
      <c r="H1483" s="48"/>
      <c r="I1483" s="48"/>
      <c r="J1483" s="48"/>
      <c r="K1483" s="48"/>
      <c r="L1483" s="48"/>
      <c r="M1483" s="48"/>
    </row>
    <row r="1484" spans="1:13" ht="15.75" customHeight="1" x14ac:dyDescent="0.25">
      <c r="A1484" s="531"/>
      <c r="B1484" s="531"/>
      <c r="C1484" s="53">
        <v>44</v>
      </c>
      <c r="D1484" s="108">
        <v>133</v>
      </c>
      <c r="E1484" s="115">
        <v>1986</v>
      </c>
      <c r="F1484" s="332">
        <f t="shared" ref="F1484:F1485" si="430">2019-E1484</f>
        <v>33</v>
      </c>
      <c r="G1484" s="48"/>
      <c r="H1484" s="48"/>
      <c r="I1484" s="48"/>
      <c r="J1484" s="48"/>
      <c r="K1484" s="48"/>
      <c r="L1484" s="48"/>
      <c r="M1484" s="48"/>
    </row>
    <row r="1485" spans="1:13" ht="15.75" customHeight="1" x14ac:dyDescent="0.25">
      <c r="A1485" s="526"/>
      <c r="B1485" s="526"/>
      <c r="C1485" s="53">
        <v>44</v>
      </c>
      <c r="D1485" s="108">
        <v>108</v>
      </c>
      <c r="E1485" s="115">
        <v>1986</v>
      </c>
      <c r="F1485" s="332">
        <f t="shared" si="430"/>
        <v>33</v>
      </c>
      <c r="G1485" s="48"/>
      <c r="H1485" s="48"/>
      <c r="I1485" s="48"/>
      <c r="J1485" s="48"/>
      <c r="K1485" s="48"/>
      <c r="L1485" s="48"/>
      <c r="M1485" s="48"/>
    </row>
    <row r="1486" spans="1:13" ht="15.75" customHeight="1" x14ac:dyDescent="0.2">
      <c r="A1486" s="525" t="s">
        <v>315</v>
      </c>
      <c r="B1486" s="525" t="s">
        <v>501</v>
      </c>
      <c r="C1486" s="53"/>
      <c r="D1486" s="108"/>
      <c r="E1486" s="115"/>
      <c r="F1486" s="330"/>
      <c r="G1486" s="48"/>
      <c r="H1486" s="48"/>
      <c r="I1486" s="48"/>
      <c r="J1486" s="48"/>
      <c r="K1486" s="48"/>
      <c r="L1486" s="48"/>
      <c r="M1486" s="48"/>
    </row>
    <row r="1487" spans="1:13" ht="15.75" customHeight="1" x14ac:dyDescent="0.25">
      <c r="A1487" s="531"/>
      <c r="B1487" s="531"/>
      <c r="C1487" s="53">
        <v>68</v>
      </c>
      <c r="D1487" s="108">
        <v>108</v>
      </c>
      <c r="E1487" s="115">
        <v>1986</v>
      </c>
      <c r="F1487" s="332">
        <f t="shared" ref="F1487:F1488" si="431">2019-E1487</f>
        <v>33</v>
      </c>
      <c r="G1487" s="48"/>
      <c r="H1487" s="48"/>
      <c r="I1487" s="48"/>
      <c r="J1487" s="48"/>
      <c r="K1487" s="48"/>
      <c r="L1487" s="48"/>
      <c r="M1487" s="48"/>
    </row>
    <row r="1488" spans="1:13" ht="15.75" customHeight="1" x14ac:dyDescent="0.25">
      <c r="A1488" s="526"/>
      <c r="B1488" s="526"/>
      <c r="C1488" s="119">
        <v>68</v>
      </c>
      <c r="D1488" s="108">
        <v>76</v>
      </c>
      <c r="E1488" s="115">
        <v>1986</v>
      </c>
      <c r="F1488" s="332">
        <f t="shared" si="431"/>
        <v>33</v>
      </c>
      <c r="G1488" s="48"/>
      <c r="H1488" s="48"/>
      <c r="I1488" s="48"/>
      <c r="J1488" s="48"/>
      <c r="K1488" s="48"/>
      <c r="L1488" s="48"/>
      <c r="M1488" s="48"/>
    </row>
    <row r="1489" spans="1:13" ht="15.75" customHeight="1" x14ac:dyDescent="0.2">
      <c r="A1489" s="525" t="s">
        <v>723</v>
      </c>
      <c r="B1489" s="532" t="s">
        <v>724</v>
      </c>
      <c r="C1489" s="78"/>
      <c r="D1489" s="108"/>
      <c r="E1489" s="115"/>
      <c r="F1489" s="330"/>
      <c r="G1489" s="48"/>
      <c r="H1489" s="48"/>
      <c r="I1489" s="48"/>
      <c r="J1489" s="48"/>
      <c r="K1489" s="48"/>
      <c r="L1489" s="48"/>
      <c r="M1489" s="48"/>
    </row>
    <row r="1490" spans="1:13" ht="15.75" customHeight="1" x14ac:dyDescent="0.25">
      <c r="A1490" s="531"/>
      <c r="B1490" s="540"/>
      <c r="C1490" s="78">
        <v>11</v>
      </c>
      <c r="D1490" s="108">
        <v>57</v>
      </c>
      <c r="E1490" s="115">
        <v>1989</v>
      </c>
      <c r="F1490" s="332">
        <f t="shared" ref="F1490:F1491" si="432">2019-E1490</f>
        <v>30</v>
      </c>
      <c r="G1490" s="48"/>
      <c r="H1490" s="48"/>
      <c r="I1490" s="48"/>
      <c r="J1490" s="48"/>
      <c r="K1490" s="48"/>
      <c r="L1490" s="48"/>
      <c r="M1490" s="48"/>
    </row>
    <row r="1491" spans="1:13" ht="15.75" customHeight="1" x14ac:dyDescent="0.25">
      <c r="A1491" s="526"/>
      <c r="B1491" s="533"/>
      <c r="C1491" s="78">
        <v>11</v>
      </c>
      <c r="D1491" s="108">
        <v>40</v>
      </c>
      <c r="E1491" s="115">
        <v>1989</v>
      </c>
      <c r="F1491" s="332">
        <f t="shared" si="432"/>
        <v>30</v>
      </c>
      <c r="G1491" s="48"/>
      <c r="H1491" s="48"/>
      <c r="I1491" s="48"/>
      <c r="J1491" s="48"/>
      <c r="K1491" s="48"/>
      <c r="L1491" s="48"/>
      <c r="M1491" s="48"/>
    </row>
    <row r="1492" spans="1:13" ht="15.75" customHeight="1" x14ac:dyDescent="0.2">
      <c r="A1492" s="525" t="s">
        <v>723</v>
      </c>
      <c r="B1492" s="525" t="s">
        <v>725</v>
      </c>
      <c r="C1492" s="119"/>
      <c r="D1492" s="108"/>
      <c r="E1492" s="115"/>
      <c r="F1492" s="330"/>
      <c r="G1492" s="48"/>
      <c r="H1492" s="48"/>
      <c r="I1492" s="48"/>
      <c r="J1492" s="48"/>
      <c r="K1492" s="48"/>
      <c r="L1492" s="48"/>
      <c r="M1492" s="48"/>
    </row>
    <row r="1493" spans="1:13" ht="15.75" customHeight="1" x14ac:dyDescent="0.25">
      <c r="A1493" s="531"/>
      <c r="B1493" s="531"/>
      <c r="C1493" s="119">
        <v>36</v>
      </c>
      <c r="D1493" s="108">
        <v>57</v>
      </c>
      <c r="E1493" s="115">
        <v>1987</v>
      </c>
      <c r="F1493" s="332">
        <f t="shared" ref="F1493:F1494" si="433">2019-E1493</f>
        <v>32</v>
      </c>
      <c r="G1493" s="48"/>
      <c r="H1493" s="48"/>
      <c r="I1493" s="48"/>
      <c r="J1493" s="48"/>
      <c r="K1493" s="48"/>
      <c r="L1493" s="48"/>
      <c r="M1493" s="48"/>
    </row>
    <row r="1494" spans="1:13" ht="15.75" customHeight="1" x14ac:dyDescent="0.25">
      <c r="A1494" s="526"/>
      <c r="B1494" s="526"/>
      <c r="C1494" s="119">
        <v>36</v>
      </c>
      <c r="D1494" s="108">
        <v>40</v>
      </c>
      <c r="E1494" s="115">
        <v>1987</v>
      </c>
      <c r="F1494" s="332">
        <f t="shared" si="433"/>
        <v>32</v>
      </c>
      <c r="G1494" s="48"/>
      <c r="H1494" s="48"/>
      <c r="I1494" s="48"/>
      <c r="J1494" s="48"/>
      <c r="K1494" s="48"/>
      <c r="L1494" s="48"/>
      <c r="M1494" s="48"/>
    </row>
    <row r="1495" spans="1:13" ht="15.75" customHeight="1" x14ac:dyDescent="0.2">
      <c r="A1495" s="525" t="s">
        <v>515</v>
      </c>
      <c r="B1495" s="525" t="s">
        <v>726</v>
      </c>
      <c r="C1495" s="119"/>
      <c r="D1495" s="108"/>
      <c r="E1495" s="115"/>
      <c r="F1495" s="330"/>
      <c r="G1495" s="48"/>
      <c r="H1495" s="48"/>
      <c r="I1495" s="48"/>
      <c r="J1495" s="48"/>
      <c r="K1495" s="48"/>
      <c r="L1495" s="48"/>
      <c r="M1495" s="48"/>
    </row>
    <row r="1496" spans="1:13" ht="15.75" customHeight="1" x14ac:dyDescent="0.25">
      <c r="A1496" s="531"/>
      <c r="B1496" s="531"/>
      <c r="C1496" s="119">
        <v>27</v>
      </c>
      <c r="D1496" s="108">
        <v>76</v>
      </c>
      <c r="E1496" s="115">
        <v>1986</v>
      </c>
      <c r="F1496" s="332">
        <f t="shared" ref="F1496:F1497" si="434">2019-E1496</f>
        <v>33</v>
      </c>
      <c r="G1496" s="48"/>
      <c r="H1496" s="48"/>
      <c r="I1496" s="48"/>
      <c r="J1496" s="48"/>
      <c r="K1496" s="48"/>
      <c r="L1496" s="48"/>
      <c r="M1496" s="48"/>
    </row>
    <row r="1497" spans="1:13" ht="15.75" customHeight="1" x14ac:dyDescent="0.25">
      <c r="A1497" s="526"/>
      <c r="B1497" s="526"/>
      <c r="C1497" s="119">
        <v>27</v>
      </c>
      <c r="D1497" s="108">
        <v>57</v>
      </c>
      <c r="E1497" s="115">
        <v>1986</v>
      </c>
      <c r="F1497" s="332">
        <f t="shared" si="434"/>
        <v>33</v>
      </c>
      <c r="G1497" s="48"/>
      <c r="H1497" s="48"/>
      <c r="I1497" s="48"/>
      <c r="J1497" s="48"/>
      <c r="K1497" s="48"/>
      <c r="L1497" s="48"/>
      <c r="M1497" s="48"/>
    </row>
    <row r="1498" spans="1:13" ht="15.75" customHeight="1" x14ac:dyDescent="0.2">
      <c r="A1498" s="525" t="s">
        <v>727</v>
      </c>
      <c r="B1498" s="525" t="s">
        <v>728</v>
      </c>
      <c r="C1498" s="119"/>
      <c r="D1498" s="108"/>
      <c r="E1498" s="115"/>
      <c r="F1498" s="330"/>
      <c r="G1498" s="48"/>
      <c r="H1498" s="48"/>
      <c r="I1498" s="48"/>
      <c r="J1498" s="48"/>
      <c r="K1498" s="48"/>
      <c r="L1498" s="48"/>
      <c r="M1498" s="48"/>
    </row>
    <row r="1499" spans="1:13" ht="15.75" customHeight="1" x14ac:dyDescent="0.25">
      <c r="A1499" s="531"/>
      <c r="B1499" s="531"/>
      <c r="C1499" s="119">
        <v>7</v>
      </c>
      <c r="D1499" s="108">
        <v>76</v>
      </c>
      <c r="E1499" s="115">
        <v>1988</v>
      </c>
      <c r="F1499" s="332">
        <f t="shared" ref="F1499:F1500" si="435">2019-E1499</f>
        <v>31</v>
      </c>
      <c r="G1499" s="48"/>
      <c r="H1499" s="48"/>
      <c r="I1499" s="48"/>
      <c r="J1499" s="48"/>
      <c r="K1499" s="48"/>
      <c r="L1499" s="48"/>
      <c r="M1499" s="48"/>
    </row>
    <row r="1500" spans="1:13" ht="15.75" customHeight="1" x14ac:dyDescent="0.25">
      <c r="A1500" s="526"/>
      <c r="B1500" s="526"/>
      <c r="C1500" s="119">
        <v>7</v>
      </c>
      <c r="D1500" s="108">
        <v>57</v>
      </c>
      <c r="E1500" s="115">
        <v>1988</v>
      </c>
      <c r="F1500" s="332">
        <f t="shared" si="435"/>
        <v>31</v>
      </c>
      <c r="G1500" s="48"/>
      <c r="H1500" s="48"/>
      <c r="I1500" s="48"/>
      <c r="J1500" s="48"/>
      <c r="K1500" s="48"/>
      <c r="L1500" s="48"/>
      <c r="M1500" s="48"/>
    </row>
    <row r="1501" spans="1:13" ht="15.75" customHeight="1" x14ac:dyDescent="0.2">
      <c r="A1501" s="525" t="s">
        <v>727</v>
      </c>
      <c r="B1501" s="532" t="s">
        <v>729</v>
      </c>
      <c r="C1501" s="55"/>
      <c r="D1501" s="108"/>
      <c r="E1501" s="115"/>
      <c r="F1501" s="330"/>
      <c r="G1501" s="48"/>
      <c r="H1501" s="48"/>
      <c r="I1501" s="48"/>
      <c r="J1501" s="48"/>
      <c r="K1501" s="48"/>
      <c r="L1501" s="48"/>
      <c r="M1501" s="48"/>
    </row>
    <row r="1502" spans="1:13" ht="15.75" customHeight="1" x14ac:dyDescent="0.25">
      <c r="A1502" s="531"/>
      <c r="B1502" s="540"/>
      <c r="C1502" s="78">
        <v>63</v>
      </c>
      <c r="D1502" s="108">
        <v>108</v>
      </c>
      <c r="E1502" s="115">
        <v>1989</v>
      </c>
      <c r="F1502" s="332">
        <f t="shared" ref="F1502:F1503" si="436">2019-E1502</f>
        <v>30</v>
      </c>
      <c r="G1502" s="48"/>
      <c r="H1502" s="48"/>
      <c r="I1502" s="48"/>
      <c r="J1502" s="48"/>
      <c r="K1502" s="48"/>
      <c r="L1502" s="48"/>
      <c r="M1502" s="48"/>
    </row>
    <row r="1503" spans="1:13" ht="15.75" customHeight="1" x14ac:dyDescent="0.25">
      <c r="A1503" s="526"/>
      <c r="B1503" s="533"/>
      <c r="C1503" s="78">
        <v>63</v>
      </c>
      <c r="D1503" s="108">
        <v>76</v>
      </c>
      <c r="E1503" s="115">
        <v>1989</v>
      </c>
      <c r="F1503" s="332">
        <f t="shared" si="436"/>
        <v>30</v>
      </c>
      <c r="G1503" s="48"/>
      <c r="H1503" s="48"/>
      <c r="I1503" s="48"/>
      <c r="J1503" s="48"/>
      <c r="K1503" s="48"/>
      <c r="L1503" s="48"/>
      <c r="M1503" s="48"/>
    </row>
    <row r="1504" spans="1:13" ht="15.75" customHeight="1" x14ac:dyDescent="0.2">
      <c r="A1504" s="525" t="s">
        <v>555</v>
      </c>
      <c r="B1504" s="532" t="s">
        <v>730</v>
      </c>
      <c r="C1504" s="78"/>
      <c r="D1504" s="108"/>
      <c r="E1504" s="115"/>
      <c r="F1504" s="330"/>
      <c r="G1504" s="48"/>
      <c r="H1504" s="48"/>
      <c r="I1504" s="48"/>
      <c r="J1504" s="48"/>
      <c r="K1504" s="48"/>
      <c r="L1504" s="48"/>
      <c r="M1504" s="48"/>
    </row>
    <row r="1505" spans="1:13" ht="15.75" customHeight="1" x14ac:dyDescent="0.25">
      <c r="A1505" s="531"/>
      <c r="B1505" s="540"/>
      <c r="C1505" s="78">
        <v>15</v>
      </c>
      <c r="D1505" s="108">
        <v>40</v>
      </c>
      <c r="E1505" s="115">
        <v>1989</v>
      </c>
      <c r="F1505" s="332">
        <f t="shared" ref="F1505:F1506" si="437">2019-E1505</f>
        <v>30</v>
      </c>
      <c r="G1505" s="48"/>
      <c r="H1505" s="48"/>
      <c r="I1505" s="48"/>
      <c r="J1505" s="48"/>
      <c r="K1505" s="48"/>
      <c r="L1505" s="48"/>
      <c r="M1505" s="48"/>
    </row>
    <row r="1506" spans="1:13" ht="15.75" customHeight="1" x14ac:dyDescent="0.25">
      <c r="A1506" s="526"/>
      <c r="B1506" s="533"/>
      <c r="C1506" s="78">
        <v>15</v>
      </c>
      <c r="D1506" s="108">
        <v>32</v>
      </c>
      <c r="E1506" s="115">
        <v>1989</v>
      </c>
      <c r="F1506" s="332">
        <f t="shared" si="437"/>
        <v>30</v>
      </c>
      <c r="G1506" s="48"/>
      <c r="H1506" s="48"/>
      <c r="I1506" s="48"/>
      <c r="J1506" s="48"/>
      <c r="K1506" s="48"/>
      <c r="L1506" s="48"/>
      <c r="M1506" s="48"/>
    </row>
    <row r="1507" spans="1:13" ht="15.75" customHeight="1" x14ac:dyDescent="0.2">
      <c r="A1507" s="525" t="s">
        <v>731</v>
      </c>
      <c r="B1507" s="532" t="s">
        <v>732</v>
      </c>
      <c r="C1507" s="78"/>
      <c r="D1507" s="108"/>
      <c r="E1507" s="115"/>
      <c r="F1507" s="330"/>
      <c r="G1507" s="48"/>
      <c r="H1507" s="48"/>
      <c r="I1507" s="48"/>
      <c r="J1507" s="48"/>
      <c r="K1507" s="48"/>
      <c r="L1507" s="48"/>
      <c r="M1507" s="48"/>
    </row>
    <row r="1508" spans="1:13" ht="15.75" customHeight="1" x14ac:dyDescent="0.25">
      <c r="A1508" s="531"/>
      <c r="B1508" s="531"/>
      <c r="C1508" s="53">
        <v>31</v>
      </c>
      <c r="D1508" s="108">
        <v>76</v>
      </c>
      <c r="E1508" s="115">
        <v>2013</v>
      </c>
      <c r="F1508" s="332">
        <f t="shared" ref="F1508:F1509" si="438">2019-E1508</f>
        <v>6</v>
      </c>
      <c r="G1508" s="48"/>
      <c r="H1508" s="48"/>
      <c r="I1508" s="48"/>
      <c r="J1508" s="48"/>
      <c r="K1508" s="48"/>
      <c r="L1508" s="48"/>
      <c r="M1508" s="48"/>
    </row>
    <row r="1509" spans="1:13" ht="15.75" customHeight="1" x14ac:dyDescent="0.25">
      <c r="A1509" s="526"/>
      <c r="B1509" s="526"/>
      <c r="C1509" s="53">
        <v>31</v>
      </c>
      <c r="D1509" s="108">
        <v>32</v>
      </c>
      <c r="E1509" s="115">
        <v>2013</v>
      </c>
      <c r="F1509" s="332">
        <f t="shared" si="438"/>
        <v>6</v>
      </c>
      <c r="G1509" s="48"/>
      <c r="H1509" s="48"/>
      <c r="I1509" s="48"/>
      <c r="J1509" s="48"/>
      <c r="K1509" s="48"/>
      <c r="L1509" s="48"/>
      <c r="M1509" s="48"/>
    </row>
    <row r="1510" spans="1:13" ht="15.75" customHeight="1" x14ac:dyDescent="0.2">
      <c r="A1510" s="525" t="s">
        <v>731</v>
      </c>
      <c r="B1510" s="532" t="s">
        <v>733</v>
      </c>
      <c r="C1510" s="55"/>
      <c r="D1510" s="108"/>
      <c r="E1510" s="115"/>
      <c r="F1510" s="330"/>
      <c r="G1510" s="48"/>
      <c r="H1510" s="48"/>
      <c r="I1510" s="48"/>
      <c r="J1510" s="48"/>
      <c r="K1510" s="48"/>
      <c r="L1510" s="48"/>
      <c r="M1510" s="48"/>
    </row>
    <row r="1511" spans="1:13" ht="15.75" customHeight="1" x14ac:dyDescent="0.25">
      <c r="A1511" s="531"/>
      <c r="B1511" s="540"/>
      <c r="C1511" s="55">
        <v>33</v>
      </c>
      <c r="D1511" s="108">
        <v>89</v>
      </c>
      <c r="E1511" s="115">
        <v>1990</v>
      </c>
      <c r="F1511" s="332">
        <f t="shared" ref="F1511:F1512" si="439">2019-E1511</f>
        <v>29</v>
      </c>
      <c r="G1511" s="48"/>
      <c r="H1511" s="48"/>
      <c r="I1511" s="48"/>
      <c r="J1511" s="48"/>
      <c r="K1511" s="48"/>
      <c r="L1511" s="48"/>
      <c r="M1511" s="48"/>
    </row>
    <row r="1512" spans="1:13" ht="15.75" customHeight="1" x14ac:dyDescent="0.25">
      <c r="A1512" s="526"/>
      <c r="B1512" s="533"/>
      <c r="C1512" s="78">
        <v>33</v>
      </c>
      <c r="D1512" s="108">
        <v>57</v>
      </c>
      <c r="E1512" s="115">
        <v>1990</v>
      </c>
      <c r="F1512" s="332">
        <f t="shared" si="439"/>
        <v>29</v>
      </c>
      <c r="G1512" s="48"/>
      <c r="H1512" s="48"/>
      <c r="I1512" s="48"/>
      <c r="J1512" s="48"/>
      <c r="K1512" s="48"/>
      <c r="L1512" s="48"/>
      <c r="M1512" s="48"/>
    </row>
    <row r="1513" spans="1:13" ht="15.75" customHeight="1" x14ac:dyDescent="0.2">
      <c r="A1513" s="525" t="s">
        <v>731</v>
      </c>
      <c r="B1513" s="525" t="s">
        <v>734</v>
      </c>
      <c r="C1513" s="53"/>
      <c r="D1513" s="108"/>
      <c r="E1513" s="115"/>
      <c r="F1513" s="330"/>
      <c r="G1513" s="48"/>
      <c r="H1513" s="48"/>
      <c r="I1513" s="48"/>
      <c r="J1513" s="48"/>
      <c r="K1513" s="48"/>
      <c r="L1513" s="48"/>
      <c r="M1513" s="48"/>
    </row>
    <row r="1514" spans="1:13" ht="15.75" customHeight="1" x14ac:dyDescent="0.25">
      <c r="A1514" s="531"/>
      <c r="B1514" s="531"/>
      <c r="C1514" s="78">
        <v>22</v>
      </c>
      <c r="D1514" s="108">
        <v>108</v>
      </c>
      <c r="E1514" s="115">
        <v>2006</v>
      </c>
      <c r="F1514" s="332">
        <f t="shared" ref="F1514:F1515" si="440">2019-E1514</f>
        <v>13</v>
      </c>
      <c r="G1514" s="48"/>
      <c r="H1514" s="48"/>
      <c r="I1514" s="48"/>
      <c r="J1514" s="48"/>
      <c r="K1514" s="48"/>
      <c r="L1514" s="48"/>
      <c r="M1514" s="48"/>
    </row>
    <row r="1515" spans="1:13" ht="15.75" customHeight="1" x14ac:dyDescent="0.25">
      <c r="A1515" s="526"/>
      <c r="B1515" s="526"/>
      <c r="C1515" s="55">
        <v>22</v>
      </c>
      <c r="D1515" s="108">
        <v>76</v>
      </c>
      <c r="E1515" s="115">
        <v>2006</v>
      </c>
      <c r="F1515" s="332">
        <f t="shared" si="440"/>
        <v>13</v>
      </c>
      <c r="G1515" s="48"/>
      <c r="H1515" s="48"/>
      <c r="I1515" s="48"/>
      <c r="J1515" s="48"/>
      <c r="K1515" s="48"/>
      <c r="L1515" s="48"/>
      <c r="M1515" s="48"/>
    </row>
    <row r="1516" spans="1:13" ht="15.75" customHeight="1" x14ac:dyDescent="0.2">
      <c r="A1516" s="525" t="s">
        <v>735</v>
      </c>
      <c r="B1516" s="525" t="s">
        <v>640</v>
      </c>
      <c r="C1516" s="53"/>
      <c r="D1516" s="108"/>
      <c r="E1516" s="115"/>
      <c r="F1516" s="330"/>
      <c r="G1516" s="48"/>
      <c r="H1516" s="48"/>
      <c r="I1516" s="48"/>
      <c r="J1516" s="48"/>
      <c r="K1516" s="48"/>
      <c r="L1516" s="48"/>
      <c r="M1516" s="48"/>
    </row>
    <row r="1517" spans="1:13" ht="15.75" customHeight="1" x14ac:dyDescent="0.25">
      <c r="A1517" s="531"/>
      <c r="B1517" s="531"/>
      <c r="C1517" s="78">
        <v>28</v>
      </c>
      <c r="D1517" s="108">
        <v>108</v>
      </c>
      <c r="E1517" s="115">
        <v>2006</v>
      </c>
      <c r="F1517" s="332">
        <f t="shared" ref="F1517:F1518" si="441">2019-E1517</f>
        <v>13</v>
      </c>
      <c r="G1517" s="48"/>
      <c r="H1517" s="48"/>
      <c r="I1517" s="48"/>
      <c r="J1517" s="48"/>
      <c r="K1517" s="48"/>
      <c r="L1517" s="48"/>
      <c r="M1517" s="48"/>
    </row>
    <row r="1518" spans="1:13" ht="15.75" customHeight="1" x14ac:dyDescent="0.25">
      <c r="A1518" s="526"/>
      <c r="B1518" s="526"/>
      <c r="C1518" s="55">
        <v>28</v>
      </c>
      <c r="D1518" s="108">
        <v>76</v>
      </c>
      <c r="E1518" s="115">
        <v>2006</v>
      </c>
      <c r="F1518" s="332">
        <f t="shared" si="441"/>
        <v>13</v>
      </c>
      <c r="G1518" s="48"/>
      <c r="H1518" s="48"/>
      <c r="I1518" s="48"/>
      <c r="J1518" s="48"/>
      <c r="K1518" s="48"/>
      <c r="L1518" s="48"/>
      <c r="M1518" s="48"/>
    </row>
    <row r="1519" spans="1:13" ht="15.75" customHeight="1" x14ac:dyDescent="0.2">
      <c r="A1519" s="525" t="s">
        <v>735</v>
      </c>
      <c r="B1519" s="532" t="s">
        <v>736</v>
      </c>
      <c r="C1519" s="78"/>
      <c r="D1519" s="108"/>
      <c r="E1519" s="115"/>
      <c r="F1519" s="330"/>
      <c r="G1519" s="48"/>
      <c r="H1519" s="48"/>
      <c r="I1519" s="48"/>
      <c r="J1519" s="48"/>
      <c r="K1519" s="48"/>
      <c r="L1519" s="48"/>
      <c r="M1519" s="48"/>
    </row>
    <row r="1520" spans="1:13" ht="15.75" customHeight="1" x14ac:dyDescent="0.25">
      <c r="A1520" s="531"/>
      <c r="B1520" s="540"/>
      <c r="C1520" s="78">
        <v>27</v>
      </c>
      <c r="D1520" s="108">
        <v>57</v>
      </c>
      <c r="E1520" s="115">
        <v>1989</v>
      </c>
      <c r="F1520" s="332">
        <f t="shared" ref="F1520:F1521" si="442">2019-E1520</f>
        <v>30</v>
      </c>
      <c r="G1520" s="48"/>
      <c r="H1520" s="48"/>
      <c r="I1520" s="48"/>
      <c r="J1520" s="48"/>
      <c r="K1520" s="48"/>
      <c r="L1520" s="48"/>
      <c r="M1520" s="48"/>
    </row>
    <row r="1521" spans="1:13" ht="15.75" customHeight="1" x14ac:dyDescent="0.25">
      <c r="A1521" s="526"/>
      <c r="B1521" s="533"/>
      <c r="C1521" s="78">
        <v>27</v>
      </c>
      <c r="D1521" s="108">
        <v>40</v>
      </c>
      <c r="E1521" s="115">
        <v>1989</v>
      </c>
      <c r="F1521" s="332">
        <f t="shared" si="442"/>
        <v>30</v>
      </c>
      <c r="G1521" s="48"/>
      <c r="H1521" s="48"/>
      <c r="I1521" s="48"/>
      <c r="J1521" s="48"/>
      <c r="K1521" s="48"/>
      <c r="L1521" s="48"/>
      <c r="M1521" s="48"/>
    </row>
    <row r="1522" spans="1:13" ht="15.75" customHeight="1" x14ac:dyDescent="0.2">
      <c r="A1522" s="525" t="s">
        <v>737</v>
      </c>
      <c r="B1522" s="532" t="s">
        <v>702</v>
      </c>
      <c r="C1522" s="78"/>
      <c r="D1522" s="108"/>
      <c r="E1522" s="115"/>
      <c r="F1522" s="330"/>
      <c r="G1522" s="48"/>
      <c r="H1522" s="48"/>
      <c r="I1522" s="48"/>
      <c r="J1522" s="48"/>
      <c r="K1522" s="48"/>
      <c r="L1522" s="48"/>
      <c r="M1522" s="48"/>
    </row>
    <row r="1523" spans="1:13" ht="15.75" customHeight="1" x14ac:dyDescent="0.25">
      <c r="A1523" s="531"/>
      <c r="B1523" s="540"/>
      <c r="C1523" s="78">
        <v>14</v>
      </c>
      <c r="D1523" s="108">
        <v>57</v>
      </c>
      <c r="E1523" s="115">
        <v>1989</v>
      </c>
      <c r="F1523" s="332">
        <f t="shared" ref="F1523:F1524" si="443">2019-E1523</f>
        <v>30</v>
      </c>
      <c r="G1523" s="48"/>
      <c r="H1523" s="48"/>
      <c r="I1523" s="48"/>
      <c r="J1523" s="48"/>
      <c r="K1523" s="48"/>
      <c r="L1523" s="48"/>
      <c r="M1523" s="48"/>
    </row>
    <row r="1524" spans="1:13" ht="15.75" customHeight="1" x14ac:dyDescent="0.25">
      <c r="A1524" s="526"/>
      <c r="B1524" s="533"/>
      <c r="C1524" s="78">
        <v>14</v>
      </c>
      <c r="D1524" s="108">
        <v>40</v>
      </c>
      <c r="E1524" s="115">
        <v>1989</v>
      </c>
      <c r="F1524" s="332">
        <f t="shared" si="443"/>
        <v>30</v>
      </c>
      <c r="G1524" s="48"/>
      <c r="H1524" s="48"/>
      <c r="I1524" s="48"/>
      <c r="J1524" s="48"/>
      <c r="K1524" s="48"/>
      <c r="L1524" s="48"/>
      <c r="M1524" s="48"/>
    </row>
    <row r="1525" spans="1:13" ht="15.75" customHeight="1" x14ac:dyDescent="0.2">
      <c r="A1525" s="525" t="s">
        <v>461</v>
      </c>
      <c r="B1525" s="532" t="s">
        <v>738</v>
      </c>
      <c r="C1525" s="55"/>
      <c r="D1525" s="108"/>
      <c r="E1525" s="115"/>
      <c r="F1525" s="330"/>
      <c r="G1525" s="48"/>
      <c r="H1525" s="48"/>
      <c r="I1525" s="48"/>
      <c r="J1525" s="48"/>
      <c r="K1525" s="48"/>
      <c r="L1525" s="48"/>
      <c r="M1525" s="48"/>
    </row>
    <row r="1526" spans="1:13" ht="15.75" customHeight="1" x14ac:dyDescent="0.25">
      <c r="A1526" s="531"/>
      <c r="B1526" s="540"/>
      <c r="C1526" s="78">
        <v>100</v>
      </c>
      <c r="D1526" s="108">
        <v>76</v>
      </c>
      <c r="E1526" s="115">
        <v>1994</v>
      </c>
      <c r="F1526" s="332">
        <f t="shared" ref="F1526:F1527" si="444">2019-E1526</f>
        <v>25</v>
      </c>
      <c r="G1526" s="48"/>
      <c r="H1526" s="48"/>
      <c r="I1526" s="48"/>
      <c r="J1526" s="48"/>
      <c r="K1526" s="48"/>
      <c r="L1526" s="48"/>
      <c r="M1526" s="48"/>
    </row>
    <row r="1527" spans="1:13" ht="15.75" customHeight="1" x14ac:dyDescent="0.25">
      <c r="A1527" s="526"/>
      <c r="B1527" s="533"/>
      <c r="C1527" s="78">
        <v>100</v>
      </c>
      <c r="D1527" s="108">
        <v>40</v>
      </c>
      <c r="E1527" s="115">
        <v>1994</v>
      </c>
      <c r="F1527" s="332">
        <f t="shared" si="444"/>
        <v>25</v>
      </c>
      <c r="G1527" s="48"/>
      <c r="H1527" s="48"/>
      <c r="I1527" s="48"/>
      <c r="J1527" s="48"/>
      <c r="K1527" s="48"/>
      <c r="L1527" s="48"/>
      <c r="M1527" s="48"/>
    </row>
    <row r="1528" spans="1:13" ht="15.75" customHeight="1" x14ac:dyDescent="0.2">
      <c r="A1528" s="525" t="s">
        <v>456</v>
      </c>
      <c r="B1528" s="532" t="s">
        <v>739</v>
      </c>
      <c r="C1528" s="55"/>
      <c r="D1528" s="108"/>
      <c r="E1528" s="115"/>
      <c r="F1528" s="330"/>
      <c r="G1528" s="48"/>
      <c r="H1528" s="48"/>
      <c r="I1528" s="48"/>
      <c r="J1528" s="48"/>
      <c r="K1528" s="48"/>
      <c r="L1528" s="48"/>
      <c r="M1528" s="48"/>
    </row>
    <row r="1529" spans="1:13" ht="15.75" customHeight="1" x14ac:dyDescent="0.25">
      <c r="A1529" s="531"/>
      <c r="B1529" s="540"/>
      <c r="C1529" s="55">
        <v>8</v>
      </c>
      <c r="D1529" s="108">
        <v>89</v>
      </c>
      <c r="E1529" s="115">
        <v>1990</v>
      </c>
      <c r="F1529" s="332">
        <f t="shared" ref="F1529:F1530" si="445">2019-E1529</f>
        <v>29</v>
      </c>
      <c r="G1529" s="48"/>
      <c r="H1529" s="48"/>
      <c r="I1529" s="48"/>
      <c r="J1529" s="48"/>
      <c r="K1529" s="48"/>
      <c r="L1529" s="48"/>
      <c r="M1529" s="48"/>
    </row>
    <row r="1530" spans="1:13" ht="15.75" customHeight="1" x14ac:dyDescent="0.25">
      <c r="A1530" s="526"/>
      <c r="B1530" s="533"/>
      <c r="C1530" s="78">
        <v>8</v>
      </c>
      <c r="D1530" s="108">
        <v>57</v>
      </c>
      <c r="E1530" s="115">
        <v>1990</v>
      </c>
      <c r="F1530" s="332">
        <f t="shared" si="445"/>
        <v>29</v>
      </c>
      <c r="G1530" s="48"/>
      <c r="H1530" s="48"/>
      <c r="I1530" s="48"/>
      <c r="J1530" s="48"/>
      <c r="K1530" s="48"/>
      <c r="L1530" s="48"/>
      <c r="M1530" s="48"/>
    </row>
    <row r="1531" spans="1:13" ht="15.75" customHeight="1" x14ac:dyDescent="0.2">
      <c r="A1531" s="525" t="s">
        <v>216</v>
      </c>
      <c r="B1531" s="525" t="s">
        <v>201</v>
      </c>
      <c r="C1531" s="53"/>
      <c r="D1531" s="108"/>
      <c r="E1531" s="115"/>
      <c r="F1531" s="330"/>
      <c r="G1531" s="48"/>
      <c r="H1531" s="48"/>
      <c r="I1531" s="48"/>
      <c r="J1531" s="48"/>
      <c r="K1531" s="48"/>
      <c r="L1531" s="48"/>
      <c r="M1531" s="48"/>
    </row>
    <row r="1532" spans="1:13" ht="15.75" customHeight="1" x14ac:dyDescent="0.25">
      <c r="A1532" s="531"/>
      <c r="B1532" s="531"/>
      <c r="C1532" s="53">
        <v>51</v>
      </c>
      <c r="D1532" s="108">
        <v>108</v>
      </c>
      <c r="E1532" s="115">
        <v>1988</v>
      </c>
      <c r="F1532" s="332">
        <f t="shared" ref="F1532:F1533" si="446">2019-E1532</f>
        <v>31</v>
      </c>
      <c r="G1532" s="48"/>
      <c r="H1532" s="48"/>
      <c r="I1532" s="48"/>
      <c r="J1532" s="48"/>
      <c r="K1532" s="48"/>
      <c r="L1532" s="48"/>
      <c r="M1532" s="48"/>
    </row>
    <row r="1533" spans="1:13" ht="15.75" customHeight="1" x14ac:dyDescent="0.25">
      <c r="A1533" s="526"/>
      <c r="B1533" s="526"/>
      <c r="C1533" s="119">
        <v>51</v>
      </c>
      <c r="D1533" s="108">
        <v>89</v>
      </c>
      <c r="E1533" s="115">
        <v>1988</v>
      </c>
      <c r="F1533" s="332">
        <f t="shared" si="446"/>
        <v>31</v>
      </c>
      <c r="G1533" s="48"/>
      <c r="H1533" s="48"/>
      <c r="I1533" s="48"/>
      <c r="J1533" s="48"/>
      <c r="K1533" s="48"/>
      <c r="L1533" s="48"/>
      <c r="M1533" s="48"/>
    </row>
    <row r="1534" spans="1:13" ht="15.75" customHeight="1" x14ac:dyDescent="0.2">
      <c r="A1534" s="525" t="s">
        <v>256</v>
      </c>
      <c r="B1534" s="525" t="s">
        <v>385</v>
      </c>
      <c r="C1534" s="53"/>
      <c r="D1534" s="108"/>
      <c r="E1534" s="115"/>
      <c r="F1534" s="330"/>
      <c r="G1534" s="48"/>
      <c r="H1534" s="48"/>
      <c r="I1534" s="48"/>
      <c r="J1534" s="48"/>
      <c r="K1534" s="48"/>
      <c r="L1534" s="48"/>
      <c r="M1534" s="48"/>
    </row>
    <row r="1535" spans="1:13" ht="15.75" customHeight="1" x14ac:dyDescent="0.25">
      <c r="A1535" s="531"/>
      <c r="B1535" s="531"/>
      <c r="C1535" s="119">
        <v>10</v>
      </c>
      <c r="D1535" s="108">
        <v>219</v>
      </c>
      <c r="E1535" s="115">
        <v>1986</v>
      </c>
      <c r="F1535" s="332">
        <f t="shared" ref="F1535:F1536" si="447">2019-E1535</f>
        <v>33</v>
      </c>
      <c r="G1535" s="48"/>
      <c r="H1535" s="48"/>
      <c r="I1535" s="48"/>
      <c r="J1535" s="48"/>
      <c r="K1535" s="48"/>
      <c r="L1535" s="48"/>
      <c r="M1535" s="48"/>
    </row>
    <row r="1536" spans="1:13" ht="15.75" customHeight="1" x14ac:dyDescent="0.25">
      <c r="A1536" s="526"/>
      <c r="B1536" s="526"/>
      <c r="C1536" s="53">
        <v>10</v>
      </c>
      <c r="D1536" s="108">
        <v>133</v>
      </c>
      <c r="E1536" s="115">
        <v>1986</v>
      </c>
      <c r="F1536" s="332">
        <f t="shared" si="447"/>
        <v>33</v>
      </c>
      <c r="G1536" s="48"/>
      <c r="H1536" s="48"/>
      <c r="I1536" s="48"/>
      <c r="J1536" s="48"/>
      <c r="K1536" s="48"/>
      <c r="L1536" s="48"/>
      <c r="M1536" s="48"/>
    </row>
    <row r="1537" spans="1:13" ht="15.75" customHeight="1" x14ac:dyDescent="0.2">
      <c r="A1537" s="525" t="s">
        <v>229</v>
      </c>
      <c r="B1537" s="525" t="s">
        <v>740</v>
      </c>
      <c r="C1537" s="119"/>
      <c r="D1537" s="108"/>
      <c r="E1537" s="115"/>
      <c r="F1537" s="330"/>
      <c r="G1537" s="48"/>
      <c r="H1537" s="48"/>
      <c r="I1537" s="48"/>
      <c r="J1537" s="48"/>
      <c r="K1537" s="48"/>
      <c r="L1537" s="48"/>
      <c r="M1537" s="48"/>
    </row>
    <row r="1538" spans="1:13" ht="15.75" customHeight="1" x14ac:dyDescent="0.25">
      <c r="A1538" s="531"/>
      <c r="B1538" s="531"/>
      <c r="C1538" s="119">
        <v>11</v>
      </c>
      <c r="D1538" s="108">
        <v>89</v>
      </c>
      <c r="E1538" s="115">
        <v>1988</v>
      </c>
      <c r="F1538" s="332">
        <f t="shared" ref="F1538:F1539" si="448">2019-E1538</f>
        <v>31</v>
      </c>
      <c r="G1538" s="48"/>
      <c r="H1538" s="48"/>
      <c r="I1538" s="48"/>
      <c r="J1538" s="48"/>
      <c r="K1538" s="48"/>
      <c r="L1538" s="48"/>
      <c r="M1538" s="48"/>
    </row>
    <row r="1539" spans="1:13" ht="15.75" customHeight="1" x14ac:dyDescent="0.25">
      <c r="A1539" s="526"/>
      <c r="B1539" s="526"/>
      <c r="C1539" s="119">
        <v>11</v>
      </c>
      <c r="D1539" s="108">
        <v>57</v>
      </c>
      <c r="E1539" s="115">
        <v>1988</v>
      </c>
      <c r="F1539" s="332">
        <f t="shared" si="448"/>
        <v>31</v>
      </c>
      <c r="G1539" s="48"/>
      <c r="H1539" s="48"/>
      <c r="I1539" s="48"/>
      <c r="J1539" s="48"/>
      <c r="K1539" s="48"/>
      <c r="L1539" s="48"/>
      <c r="M1539" s="48"/>
    </row>
    <row r="1540" spans="1:13" ht="15.75" customHeight="1" x14ac:dyDescent="0.2">
      <c r="A1540" s="525" t="s">
        <v>229</v>
      </c>
      <c r="B1540" s="525" t="s">
        <v>741</v>
      </c>
      <c r="C1540" s="119"/>
      <c r="D1540" s="108"/>
      <c r="E1540" s="115"/>
      <c r="F1540" s="330"/>
      <c r="G1540" s="48"/>
      <c r="H1540" s="48"/>
      <c r="I1540" s="48"/>
      <c r="J1540" s="48"/>
      <c r="K1540" s="48"/>
      <c r="L1540" s="48"/>
      <c r="M1540" s="48"/>
    </row>
    <row r="1541" spans="1:13" ht="15.75" customHeight="1" x14ac:dyDescent="0.25">
      <c r="A1541" s="531"/>
      <c r="B1541" s="531"/>
      <c r="C1541" s="119">
        <v>32</v>
      </c>
      <c r="D1541" s="108">
        <v>57</v>
      </c>
      <c r="E1541" s="115">
        <v>1988</v>
      </c>
      <c r="F1541" s="332">
        <f t="shared" ref="F1541:F1542" si="449">2019-E1541</f>
        <v>31</v>
      </c>
      <c r="G1541" s="48"/>
      <c r="H1541" s="48"/>
      <c r="I1541" s="48"/>
      <c r="J1541" s="48"/>
      <c r="K1541" s="48"/>
      <c r="L1541" s="48"/>
      <c r="M1541" s="48"/>
    </row>
    <row r="1542" spans="1:13" ht="15.75" customHeight="1" x14ac:dyDescent="0.25">
      <c r="A1542" s="526"/>
      <c r="B1542" s="526"/>
      <c r="C1542" s="119">
        <v>32</v>
      </c>
      <c r="D1542" s="108">
        <v>40</v>
      </c>
      <c r="E1542" s="115">
        <v>1988</v>
      </c>
      <c r="F1542" s="332">
        <f t="shared" si="449"/>
        <v>31</v>
      </c>
      <c r="G1542" s="48"/>
      <c r="H1542" s="48"/>
      <c r="I1542" s="48"/>
      <c r="J1542" s="48"/>
      <c r="K1542" s="48"/>
      <c r="L1542" s="48"/>
      <c r="M1542" s="48"/>
    </row>
    <row r="1543" spans="1:13" ht="15.75" customHeight="1" x14ac:dyDescent="0.2">
      <c r="A1543" s="525" t="s">
        <v>422</v>
      </c>
      <c r="B1543" s="525" t="s">
        <v>324</v>
      </c>
      <c r="C1543" s="53"/>
      <c r="D1543" s="108"/>
      <c r="E1543" s="115"/>
      <c r="F1543" s="330"/>
      <c r="G1543" s="48"/>
      <c r="H1543" s="48"/>
      <c r="I1543" s="48"/>
      <c r="J1543" s="48"/>
      <c r="K1543" s="48"/>
      <c r="L1543" s="48"/>
      <c r="M1543" s="48"/>
    </row>
    <row r="1544" spans="1:13" ht="15.75" customHeight="1" x14ac:dyDescent="0.25">
      <c r="A1544" s="531"/>
      <c r="B1544" s="531"/>
      <c r="C1544" s="53">
        <v>62</v>
      </c>
      <c r="D1544" s="108">
        <v>108</v>
      </c>
      <c r="E1544" s="115">
        <v>1987</v>
      </c>
      <c r="F1544" s="332">
        <f t="shared" ref="F1544:F1545" si="450">2019-E1544</f>
        <v>32</v>
      </c>
      <c r="G1544" s="48"/>
      <c r="H1544" s="48"/>
      <c r="I1544" s="48"/>
      <c r="J1544" s="48"/>
      <c r="K1544" s="48"/>
      <c r="L1544" s="48"/>
      <c r="M1544" s="48"/>
    </row>
    <row r="1545" spans="1:13" ht="15.75" customHeight="1" x14ac:dyDescent="0.25">
      <c r="A1545" s="526"/>
      <c r="B1545" s="526"/>
      <c r="C1545" s="119">
        <v>62</v>
      </c>
      <c r="D1545" s="108">
        <v>89</v>
      </c>
      <c r="E1545" s="115">
        <v>1987</v>
      </c>
      <c r="F1545" s="332">
        <f t="shared" si="450"/>
        <v>32</v>
      </c>
      <c r="G1545" s="48"/>
      <c r="H1545" s="48"/>
      <c r="I1545" s="48"/>
      <c r="J1545" s="48"/>
      <c r="K1545" s="48"/>
      <c r="L1545" s="48"/>
      <c r="M1545" s="48"/>
    </row>
    <row r="1546" spans="1:13" ht="15.75" customHeight="1" x14ac:dyDescent="0.2">
      <c r="A1546" s="525" t="s">
        <v>216</v>
      </c>
      <c r="B1546" s="532" t="s">
        <v>742</v>
      </c>
      <c r="C1546" s="55"/>
      <c r="D1546" s="108"/>
      <c r="E1546" s="115"/>
      <c r="F1546" s="330"/>
      <c r="G1546" s="48"/>
      <c r="H1546" s="48"/>
      <c r="I1546" s="48"/>
      <c r="J1546" s="48"/>
      <c r="K1546" s="48"/>
      <c r="L1546" s="48"/>
      <c r="M1546" s="48"/>
    </row>
    <row r="1547" spans="1:13" ht="15.75" customHeight="1" x14ac:dyDescent="0.25">
      <c r="A1547" s="531"/>
      <c r="B1547" s="540"/>
      <c r="C1547" s="78">
        <v>14</v>
      </c>
      <c r="D1547" s="108">
        <v>76</v>
      </c>
      <c r="E1547" s="115">
        <v>1989</v>
      </c>
      <c r="F1547" s="332">
        <f t="shared" ref="F1547:F1548" si="451">2019-E1547</f>
        <v>30</v>
      </c>
      <c r="G1547" s="48"/>
      <c r="H1547" s="48"/>
      <c r="I1547" s="48"/>
      <c r="J1547" s="48"/>
      <c r="K1547" s="48"/>
      <c r="L1547" s="48"/>
      <c r="M1547" s="48"/>
    </row>
    <row r="1548" spans="1:13" ht="15.75" customHeight="1" x14ac:dyDescent="0.25">
      <c r="A1548" s="526"/>
      <c r="B1548" s="533"/>
      <c r="C1548" s="78">
        <v>14</v>
      </c>
      <c r="D1548" s="108">
        <v>57</v>
      </c>
      <c r="E1548" s="115">
        <v>1989</v>
      </c>
      <c r="F1548" s="332">
        <f t="shared" si="451"/>
        <v>30</v>
      </c>
      <c r="G1548" s="48"/>
      <c r="H1548" s="48"/>
      <c r="I1548" s="48"/>
      <c r="J1548" s="48"/>
      <c r="K1548" s="48"/>
      <c r="L1548" s="48"/>
      <c r="M1548" s="48"/>
    </row>
    <row r="1549" spans="1:13" ht="15.75" customHeight="1" x14ac:dyDescent="0.2">
      <c r="A1549" s="525" t="s">
        <v>253</v>
      </c>
      <c r="B1549" s="525" t="s">
        <v>743</v>
      </c>
      <c r="C1549" s="119"/>
      <c r="D1549" s="108"/>
      <c r="E1549" s="115"/>
      <c r="F1549" s="330"/>
      <c r="G1549" s="48"/>
      <c r="H1549" s="48"/>
      <c r="I1549" s="48"/>
      <c r="J1549" s="48"/>
      <c r="K1549" s="48"/>
      <c r="L1549" s="48"/>
      <c r="M1549" s="48"/>
    </row>
    <row r="1550" spans="1:13" ht="15.75" customHeight="1" x14ac:dyDescent="0.25">
      <c r="A1550" s="531"/>
      <c r="B1550" s="531"/>
      <c r="C1550" s="119">
        <v>76</v>
      </c>
      <c r="D1550" s="108">
        <v>219</v>
      </c>
      <c r="E1550" s="115">
        <v>1986</v>
      </c>
      <c r="F1550" s="332">
        <f t="shared" ref="F1550:F1551" si="452">2019-E1550</f>
        <v>33</v>
      </c>
      <c r="G1550" s="48"/>
      <c r="H1550" s="48"/>
      <c r="I1550" s="48"/>
      <c r="J1550" s="48"/>
      <c r="K1550" s="48"/>
      <c r="L1550" s="48"/>
      <c r="M1550" s="48"/>
    </row>
    <row r="1551" spans="1:13" ht="15.75" customHeight="1" x14ac:dyDescent="0.25">
      <c r="A1551" s="526"/>
      <c r="B1551" s="526"/>
      <c r="C1551" s="53">
        <v>76</v>
      </c>
      <c r="D1551" s="108">
        <v>133</v>
      </c>
      <c r="E1551" s="115">
        <v>1986</v>
      </c>
      <c r="F1551" s="332">
        <f t="shared" si="452"/>
        <v>33</v>
      </c>
      <c r="G1551" s="48"/>
      <c r="H1551" s="48"/>
      <c r="I1551" s="48"/>
      <c r="J1551" s="48"/>
      <c r="K1551" s="48"/>
      <c r="L1551" s="48"/>
      <c r="M1551" s="48"/>
    </row>
    <row r="1552" spans="1:13" ht="15.75" customHeight="1" x14ac:dyDescent="0.2">
      <c r="A1552" s="525" t="s">
        <v>205</v>
      </c>
      <c r="B1552" s="525" t="s">
        <v>216</v>
      </c>
      <c r="C1552" s="119"/>
      <c r="D1552" s="108"/>
      <c r="E1552" s="115"/>
      <c r="F1552" s="330"/>
      <c r="G1552" s="48"/>
      <c r="H1552" s="48"/>
      <c r="I1552" s="48"/>
      <c r="J1552" s="48"/>
      <c r="K1552" s="48"/>
      <c r="L1552" s="48"/>
      <c r="M1552" s="48"/>
    </row>
    <row r="1553" spans="1:13" ht="15.75" customHeight="1" x14ac:dyDescent="0.25">
      <c r="A1553" s="531"/>
      <c r="B1553" s="531"/>
      <c r="C1553" s="119">
        <v>40</v>
      </c>
      <c r="D1553" s="108">
        <v>219</v>
      </c>
      <c r="E1553" s="115">
        <v>1988</v>
      </c>
      <c r="F1553" s="332">
        <f t="shared" ref="F1553:F1554" si="453">2019-E1553</f>
        <v>31</v>
      </c>
      <c r="G1553" s="48"/>
      <c r="H1553" s="48"/>
      <c r="I1553" s="48"/>
      <c r="J1553" s="48"/>
      <c r="K1553" s="48"/>
      <c r="L1553" s="48"/>
      <c r="M1553" s="48"/>
    </row>
    <row r="1554" spans="1:13" ht="15.75" customHeight="1" x14ac:dyDescent="0.25">
      <c r="A1554" s="526"/>
      <c r="B1554" s="526"/>
      <c r="C1554" s="53">
        <v>40</v>
      </c>
      <c r="D1554" s="108">
        <v>108</v>
      </c>
      <c r="E1554" s="115">
        <v>1988</v>
      </c>
      <c r="F1554" s="332">
        <f t="shared" si="453"/>
        <v>31</v>
      </c>
      <c r="G1554" s="48"/>
      <c r="H1554" s="48"/>
      <c r="I1554" s="48"/>
      <c r="J1554" s="48"/>
      <c r="K1554" s="48"/>
      <c r="L1554" s="48"/>
      <c r="M1554" s="48"/>
    </row>
    <row r="1555" spans="1:13" ht="15.75" customHeight="1" x14ac:dyDescent="0.2">
      <c r="A1555" s="525" t="s">
        <v>195</v>
      </c>
      <c r="B1555" s="532" t="s">
        <v>301</v>
      </c>
      <c r="C1555" s="78"/>
      <c r="D1555" s="108"/>
      <c r="E1555" s="115"/>
      <c r="F1555" s="330"/>
      <c r="G1555" s="48"/>
      <c r="H1555" s="48"/>
      <c r="I1555" s="48"/>
      <c r="J1555" s="48"/>
      <c r="K1555" s="48"/>
      <c r="L1555" s="48"/>
      <c r="M1555" s="48"/>
    </row>
    <row r="1556" spans="1:13" ht="15.75" customHeight="1" x14ac:dyDescent="0.25">
      <c r="A1556" s="531"/>
      <c r="B1556" s="540"/>
      <c r="C1556" s="55">
        <v>37</v>
      </c>
      <c r="D1556" s="108">
        <v>89</v>
      </c>
      <c r="E1556" s="115">
        <v>1989</v>
      </c>
      <c r="F1556" s="332">
        <f t="shared" ref="F1556:F1557" si="454">2019-E1556</f>
        <v>30</v>
      </c>
      <c r="G1556" s="48"/>
      <c r="H1556" s="48"/>
      <c r="I1556" s="48"/>
      <c r="J1556" s="48"/>
      <c r="K1556" s="48"/>
      <c r="L1556" s="48"/>
      <c r="M1556" s="48"/>
    </row>
    <row r="1557" spans="1:13" ht="15.75" customHeight="1" x14ac:dyDescent="0.25">
      <c r="A1557" s="526"/>
      <c r="B1557" s="533"/>
      <c r="C1557" s="78">
        <v>37</v>
      </c>
      <c r="D1557" s="108">
        <v>57</v>
      </c>
      <c r="E1557" s="115">
        <v>1989</v>
      </c>
      <c r="F1557" s="332">
        <f t="shared" si="454"/>
        <v>30</v>
      </c>
      <c r="G1557" s="48"/>
      <c r="H1557" s="48"/>
      <c r="I1557" s="48"/>
      <c r="J1557" s="48"/>
      <c r="K1557" s="48"/>
      <c r="L1557" s="48"/>
      <c r="M1557" s="48"/>
    </row>
    <row r="1558" spans="1:13" ht="15.75" customHeight="1" x14ac:dyDescent="0.2">
      <c r="A1558" s="525" t="s">
        <v>737</v>
      </c>
      <c r="B1558" s="532" t="s">
        <v>744</v>
      </c>
      <c r="C1558" s="78"/>
      <c r="D1558" s="108"/>
      <c r="E1558" s="115"/>
      <c r="F1558" s="330"/>
      <c r="G1558" s="48"/>
      <c r="H1558" s="48"/>
      <c r="I1558" s="48"/>
      <c r="J1558" s="48"/>
      <c r="K1558" s="48"/>
      <c r="L1558" s="48"/>
      <c r="M1558" s="48"/>
    </row>
    <row r="1559" spans="1:13" ht="15.75" customHeight="1" x14ac:dyDescent="0.25">
      <c r="A1559" s="531"/>
      <c r="B1559" s="540"/>
      <c r="C1559" s="78">
        <v>33</v>
      </c>
      <c r="D1559" s="108">
        <v>57</v>
      </c>
      <c r="E1559" s="115">
        <v>1989</v>
      </c>
      <c r="F1559" s="332">
        <f t="shared" ref="F1559:F1560" si="455">2019-E1559</f>
        <v>30</v>
      </c>
      <c r="G1559" s="48"/>
      <c r="H1559" s="48"/>
      <c r="I1559" s="48"/>
      <c r="J1559" s="48"/>
      <c r="K1559" s="48"/>
      <c r="L1559" s="48"/>
      <c r="M1559" s="48"/>
    </row>
    <row r="1560" spans="1:13" ht="15.75" customHeight="1" x14ac:dyDescent="0.25">
      <c r="A1560" s="526"/>
      <c r="B1560" s="533"/>
      <c r="C1560" s="78">
        <v>33</v>
      </c>
      <c r="D1560" s="108">
        <v>40</v>
      </c>
      <c r="E1560" s="115">
        <v>1989</v>
      </c>
      <c r="F1560" s="332">
        <f t="shared" si="455"/>
        <v>30</v>
      </c>
      <c r="G1560" s="48"/>
      <c r="H1560" s="48"/>
      <c r="I1560" s="48"/>
      <c r="J1560" s="48"/>
      <c r="K1560" s="48"/>
      <c r="L1560" s="48"/>
      <c r="M1560" s="48"/>
    </row>
    <row r="1561" spans="1:13" ht="15.75" customHeight="1" x14ac:dyDescent="0.2">
      <c r="A1561" s="525" t="s">
        <v>745</v>
      </c>
      <c r="B1561" s="525" t="s">
        <v>347</v>
      </c>
      <c r="C1561" s="119"/>
      <c r="D1561" s="108"/>
      <c r="E1561" s="115"/>
      <c r="F1561" s="330"/>
      <c r="G1561" s="48"/>
      <c r="H1561" s="48"/>
      <c r="I1561" s="48"/>
      <c r="J1561" s="48"/>
      <c r="K1561" s="48"/>
      <c r="L1561" s="48"/>
      <c r="M1561" s="48"/>
    </row>
    <row r="1562" spans="1:13" ht="15.75" customHeight="1" x14ac:dyDescent="0.25">
      <c r="A1562" s="531"/>
      <c r="B1562" s="531"/>
      <c r="C1562" s="119">
        <v>69</v>
      </c>
      <c r="D1562" s="108">
        <v>219</v>
      </c>
      <c r="E1562" s="115">
        <v>1986</v>
      </c>
      <c r="F1562" s="332">
        <f t="shared" ref="F1562:F1563" si="456">2019-E1562</f>
        <v>33</v>
      </c>
      <c r="G1562" s="48"/>
      <c r="H1562" s="48"/>
      <c r="I1562" s="48"/>
      <c r="J1562" s="48"/>
      <c r="K1562" s="48"/>
      <c r="L1562" s="48"/>
      <c r="M1562" s="48"/>
    </row>
    <row r="1563" spans="1:13" ht="15.75" customHeight="1" x14ac:dyDescent="0.25">
      <c r="A1563" s="526"/>
      <c r="B1563" s="526"/>
      <c r="C1563" s="53">
        <v>69</v>
      </c>
      <c r="D1563" s="108">
        <v>133</v>
      </c>
      <c r="E1563" s="115">
        <v>1986</v>
      </c>
      <c r="F1563" s="332">
        <f t="shared" si="456"/>
        <v>33</v>
      </c>
      <c r="G1563" s="48"/>
      <c r="H1563" s="48"/>
      <c r="I1563" s="48"/>
      <c r="J1563" s="48"/>
      <c r="K1563" s="48"/>
      <c r="L1563" s="48"/>
      <c r="M1563" s="48"/>
    </row>
    <row r="1564" spans="1:13" ht="15.75" customHeight="1" x14ac:dyDescent="0.2">
      <c r="A1564" s="525" t="s">
        <v>745</v>
      </c>
      <c r="B1564" s="532" t="s">
        <v>746</v>
      </c>
      <c r="C1564" s="55"/>
      <c r="D1564" s="108"/>
      <c r="E1564" s="115"/>
      <c r="F1564" s="330"/>
      <c r="G1564" s="48"/>
      <c r="H1564" s="48"/>
      <c r="I1564" s="48"/>
      <c r="J1564" s="48"/>
      <c r="K1564" s="48"/>
      <c r="L1564" s="48"/>
      <c r="M1564" s="48"/>
    </row>
    <row r="1565" spans="1:13" ht="15.75" customHeight="1" x14ac:dyDescent="0.25">
      <c r="A1565" s="531"/>
      <c r="B1565" s="540"/>
      <c r="C1565" s="78">
        <v>14.5</v>
      </c>
      <c r="D1565" s="108">
        <v>57</v>
      </c>
      <c r="E1565" s="115">
        <v>1989</v>
      </c>
      <c r="F1565" s="332">
        <f t="shared" ref="F1565:F1566" si="457">2019-E1565</f>
        <v>30</v>
      </c>
      <c r="G1565" s="48"/>
      <c r="H1565" s="48"/>
      <c r="I1565" s="48"/>
      <c r="J1565" s="48"/>
      <c r="K1565" s="48"/>
      <c r="L1565" s="48"/>
      <c r="M1565" s="48"/>
    </row>
    <row r="1566" spans="1:13" ht="15.75" customHeight="1" x14ac:dyDescent="0.25">
      <c r="A1566" s="526"/>
      <c r="B1566" s="533"/>
      <c r="C1566" s="78">
        <v>14.5</v>
      </c>
      <c r="D1566" s="108">
        <v>40</v>
      </c>
      <c r="E1566" s="115">
        <v>1989</v>
      </c>
      <c r="F1566" s="332">
        <f t="shared" si="457"/>
        <v>30</v>
      </c>
      <c r="G1566" s="48"/>
      <c r="H1566" s="48"/>
      <c r="I1566" s="48"/>
      <c r="J1566" s="48"/>
      <c r="K1566" s="48"/>
      <c r="L1566" s="48"/>
      <c r="M1566" s="48"/>
    </row>
    <row r="1567" spans="1:13" ht="15.75" customHeight="1" x14ac:dyDescent="0.2">
      <c r="A1567" s="534" t="s">
        <v>195</v>
      </c>
      <c r="B1567" s="532" t="s">
        <v>747</v>
      </c>
      <c r="C1567" s="55"/>
      <c r="D1567" s="108"/>
      <c r="E1567" s="115"/>
      <c r="F1567" s="330"/>
      <c r="G1567" s="48"/>
      <c r="H1567" s="48"/>
      <c r="I1567" s="48"/>
      <c r="J1567" s="48"/>
      <c r="K1567" s="48"/>
      <c r="L1567" s="48"/>
      <c r="M1567" s="48"/>
    </row>
    <row r="1568" spans="1:13" x14ac:dyDescent="0.25">
      <c r="A1568" s="536"/>
      <c r="B1568" s="540"/>
      <c r="C1568" s="55">
        <v>33</v>
      </c>
      <c r="D1568" s="108">
        <v>89</v>
      </c>
      <c r="E1568" s="115">
        <v>1989</v>
      </c>
      <c r="F1568" s="332">
        <f t="shared" ref="F1568:F1569" si="458">2019-E1568</f>
        <v>30</v>
      </c>
      <c r="G1568" s="48"/>
      <c r="H1568" s="48"/>
      <c r="I1568" s="48"/>
      <c r="J1568" s="48"/>
      <c r="K1568" s="48"/>
      <c r="L1568" s="48"/>
      <c r="M1568" s="48"/>
    </row>
    <row r="1569" spans="1:13" x14ac:dyDescent="0.25">
      <c r="A1569" s="535"/>
      <c r="B1569" s="533"/>
      <c r="C1569" s="78">
        <v>33</v>
      </c>
      <c r="D1569" s="108">
        <v>40</v>
      </c>
      <c r="E1569" s="115">
        <v>1989</v>
      </c>
      <c r="F1569" s="332">
        <f t="shared" si="458"/>
        <v>30</v>
      </c>
      <c r="G1569" s="48"/>
      <c r="H1569" s="48"/>
      <c r="I1569" s="48"/>
      <c r="J1569" s="48"/>
      <c r="K1569" s="48"/>
      <c r="L1569" s="48"/>
      <c r="M1569" s="48"/>
    </row>
    <row r="1570" spans="1:13" ht="15.75" customHeight="1" x14ac:dyDescent="0.2">
      <c r="A1570" s="534" t="s">
        <v>748</v>
      </c>
      <c r="B1570" s="525" t="s">
        <v>178</v>
      </c>
      <c r="C1570" s="53"/>
      <c r="D1570" s="108"/>
      <c r="E1570" s="114"/>
      <c r="F1570" s="330"/>
      <c r="G1570" s="48"/>
      <c r="H1570" s="48"/>
      <c r="I1570" s="48"/>
      <c r="J1570" s="48"/>
      <c r="K1570" s="48"/>
      <c r="L1570" s="48"/>
      <c r="M1570" s="48"/>
    </row>
    <row r="1571" spans="1:13" x14ac:dyDescent="0.25">
      <c r="A1571" s="536"/>
      <c r="B1571" s="531"/>
      <c r="C1571" s="53">
        <v>77</v>
      </c>
      <c r="D1571" s="108">
        <v>108</v>
      </c>
      <c r="E1571" s="114">
        <v>1988</v>
      </c>
      <c r="F1571" s="332">
        <f t="shared" ref="F1571:F1572" si="459">2019-E1571</f>
        <v>31</v>
      </c>
      <c r="G1571" s="48"/>
      <c r="H1571" s="48"/>
      <c r="I1571" s="48"/>
      <c r="J1571" s="48"/>
      <c r="K1571" s="48"/>
      <c r="L1571" s="48"/>
      <c r="M1571" s="48"/>
    </row>
    <row r="1572" spans="1:13" x14ac:dyDescent="0.25">
      <c r="A1572" s="535"/>
      <c r="B1572" s="526"/>
      <c r="C1572" s="119">
        <v>77</v>
      </c>
      <c r="D1572" s="108">
        <v>89</v>
      </c>
      <c r="E1572" s="114">
        <v>1988</v>
      </c>
      <c r="F1572" s="332">
        <f t="shared" si="459"/>
        <v>31</v>
      </c>
      <c r="G1572" s="48"/>
      <c r="H1572" s="48"/>
      <c r="I1572" s="48"/>
      <c r="J1572" s="48"/>
      <c r="K1572" s="48"/>
      <c r="L1572" s="48"/>
      <c r="M1572" s="48"/>
    </row>
    <row r="1573" spans="1:13" ht="15.75" customHeight="1" x14ac:dyDescent="0.2">
      <c r="A1573" s="525" t="s">
        <v>271</v>
      </c>
      <c r="B1573" s="525" t="s">
        <v>749</v>
      </c>
      <c r="C1573" s="53"/>
      <c r="D1573" s="108"/>
      <c r="E1573" s="114"/>
      <c r="F1573" s="330"/>
      <c r="G1573" s="48"/>
      <c r="H1573" s="48"/>
      <c r="I1573" s="48"/>
      <c r="J1573" s="48"/>
      <c r="K1573" s="48"/>
      <c r="L1573" s="48"/>
      <c r="M1573" s="48"/>
    </row>
    <row r="1574" spans="1:13" x14ac:dyDescent="0.25">
      <c r="A1574" s="531"/>
      <c r="B1574" s="531"/>
      <c r="C1574" s="78">
        <v>49</v>
      </c>
      <c r="D1574" s="108">
        <v>89</v>
      </c>
      <c r="E1574" s="114">
        <v>2006</v>
      </c>
      <c r="F1574" s="332">
        <f t="shared" ref="F1574:F1575" si="460">2019-E1574</f>
        <v>13</v>
      </c>
      <c r="G1574" s="48"/>
      <c r="H1574" s="48"/>
      <c r="I1574" s="48"/>
      <c r="J1574" s="48"/>
      <c r="K1574" s="48"/>
      <c r="L1574" s="48"/>
      <c r="M1574" s="48"/>
    </row>
    <row r="1575" spans="1:13" x14ac:dyDescent="0.25">
      <c r="A1575" s="526"/>
      <c r="B1575" s="526"/>
      <c r="C1575" s="55">
        <v>49</v>
      </c>
      <c r="D1575" s="108">
        <v>76</v>
      </c>
      <c r="E1575" s="114">
        <v>2006</v>
      </c>
      <c r="F1575" s="332">
        <f t="shared" si="460"/>
        <v>13</v>
      </c>
      <c r="G1575" s="48"/>
      <c r="H1575" s="48"/>
      <c r="I1575" s="48"/>
      <c r="J1575" s="48"/>
      <c r="K1575" s="48"/>
      <c r="L1575" s="48"/>
      <c r="M1575" s="48"/>
    </row>
    <row r="1576" spans="1:13" ht="15.75" customHeight="1" x14ac:dyDescent="0.2">
      <c r="A1576" s="525" t="s">
        <v>229</v>
      </c>
      <c r="B1576" s="525" t="s">
        <v>419</v>
      </c>
      <c r="C1576" s="119"/>
      <c r="D1576" s="108"/>
      <c r="E1576" s="114"/>
      <c r="F1576" s="330"/>
      <c r="G1576" s="48"/>
      <c r="H1576" s="48"/>
      <c r="I1576" s="48"/>
      <c r="J1576" s="48"/>
      <c r="K1576" s="48"/>
      <c r="L1576" s="48"/>
      <c r="M1576" s="48"/>
    </row>
    <row r="1577" spans="1:13" x14ac:dyDescent="0.25">
      <c r="A1577" s="531"/>
      <c r="B1577" s="531"/>
      <c r="C1577" s="53">
        <v>32</v>
      </c>
      <c r="D1577" s="108">
        <v>133</v>
      </c>
      <c r="E1577" s="114">
        <v>1987</v>
      </c>
      <c r="F1577" s="332">
        <f t="shared" ref="F1577:F1578" si="461">2019-E1577</f>
        <v>32</v>
      </c>
      <c r="G1577" s="48"/>
      <c r="H1577" s="48"/>
      <c r="I1577" s="48"/>
      <c r="J1577" s="48"/>
      <c r="K1577" s="48"/>
      <c r="L1577" s="48"/>
      <c r="M1577" s="48"/>
    </row>
    <row r="1578" spans="1:13" x14ac:dyDescent="0.25">
      <c r="A1578" s="526"/>
      <c r="B1578" s="526"/>
      <c r="C1578" s="53">
        <v>32</v>
      </c>
      <c r="D1578" s="108">
        <v>108</v>
      </c>
      <c r="E1578" s="114">
        <v>1987</v>
      </c>
      <c r="F1578" s="332">
        <f t="shared" si="461"/>
        <v>32</v>
      </c>
      <c r="G1578" s="48"/>
      <c r="H1578" s="48"/>
      <c r="I1578" s="48"/>
      <c r="J1578" s="48"/>
      <c r="K1578" s="48"/>
      <c r="L1578" s="48"/>
      <c r="M1578" s="48"/>
    </row>
    <row r="1579" spans="1:13" ht="15.75" customHeight="1" x14ac:dyDescent="0.2">
      <c r="A1579" s="525" t="s">
        <v>213</v>
      </c>
      <c r="B1579" s="525" t="s">
        <v>750</v>
      </c>
      <c r="C1579" s="119"/>
      <c r="D1579" s="108"/>
      <c r="E1579" s="114"/>
      <c r="F1579" s="330"/>
      <c r="G1579" s="48"/>
      <c r="H1579" s="48"/>
      <c r="I1579" s="48"/>
      <c r="J1579" s="48"/>
      <c r="K1579" s="48"/>
      <c r="L1579" s="48"/>
      <c r="M1579" s="48"/>
    </row>
    <row r="1580" spans="1:13" x14ac:dyDescent="0.25">
      <c r="A1580" s="531"/>
      <c r="B1580" s="531"/>
      <c r="C1580" s="78">
        <v>47</v>
      </c>
      <c r="D1580" s="108">
        <v>89</v>
      </c>
      <c r="E1580" s="114">
        <v>2002</v>
      </c>
      <c r="F1580" s="332">
        <f t="shared" ref="F1580:F1581" si="462">2019-E1580</f>
        <v>17</v>
      </c>
      <c r="G1580" s="48"/>
      <c r="H1580" s="48"/>
      <c r="I1580" s="48"/>
      <c r="J1580" s="48"/>
      <c r="K1580" s="48"/>
      <c r="L1580" s="48"/>
      <c r="M1580" s="48"/>
    </row>
    <row r="1581" spans="1:13" x14ac:dyDescent="0.25">
      <c r="A1581" s="526"/>
      <c r="B1581" s="526"/>
      <c r="C1581" s="78">
        <v>47</v>
      </c>
      <c r="D1581" s="108">
        <v>57</v>
      </c>
      <c r="E1581" s="114">
        <v>2002</v>
      </c>
      <c r="F1581" s="332">
        <f t="shared" si="462"/>
        <v>17</v>
      </c>
      <c r="G1581" s="48"/>
      <c r="H1581" s="48"/>
      <c r="I1581" s="48"/>
      <c r="J1581" s="48"/>
      <c r="K1581" s="48"/>
      <c r="L1581" s="48"/>
      <c r="M1581" s="48"/>
    </row>
    <row r="1582" spans="1:13" ht="15.75" customHeight="1" x14ac:dyDescent="0.2">
      <c r="A1582" s="525" t="s">
        <v>253</v>
      </c>
      <c r="B1582" s="525" t="s">
        <v>229</v>
      </c>
      <c r="C1582" s="119"/>
      <c r="D1582" s="108"/>
      <c r="E1582" s="114"/>
      <c r="F1582" s="330"/>
      <c r="G1582" s="48"/>
      <c r="H1582" s="48"/>
      <c r="I1582" s="48"/>
      <c r="J1582" s="48"/>
      <c r="K1582" s="48"/>
      <c r="L1582" s="48"/>
      <c r="M1582" s="48"/>
    </row>
    <row r="1583" spans="1:13" x14ac:dyDescent="0.25">
      <c r="A1583" s="531"/>
      <c r="B1583" s="531"/>
      <c r="C1583" s="78">
        <v>18</v>
      </c>
      <c r="D1583" s="108">
        <v>159</v>
      </c>
      <c r="E1583" s="114">
        <v>2006</v>
      </c>
      <c r="F1583" s="332">
        <f t="shared" ref="F1583:F1584" si="463">2019-E1583</f>
        <v>13</v>
      </c>
      <c r="G1583" s="48"/>
      <c r="H1583" s="48"/>
      <c r="I1583" s="48"/>
      <c r="J1583" s="48"/>
      <c r="K1583" s="48"/>
      <c r="L1583" s="48"/>
      <c r="M1583" s="48"/>
    </row>
    <row r="1584" spans="1:13" x14ac:dyDescent="0.25">
      <c r="A1584" s="526"/>
      <c r="B1584" s="526"/>
      <c r="C1584" s="78">
        <v>18</v>
      </c>
      <c r="D1584" s="108">
        <v>89</v>
      </c>
      <c r="E1584" s="114">
        <v>2006</v>
      </c>
      <c r="F1584" s="332">
        <f t="shared" si="463"/>
        <v>13</v>
      </c>
      <c r="G1584" s="48"/>
      <c r="H1584" s="48"/>
      <c r="I1584" s="48"/>
      <c r="J1584" s="48"/>
      <c r="K1584" s="48"/>
      <c r="L1584" s="48"/>
      <c r="M1584" s="48"/>
    </row>
    <row r="1585" spans="1:13" ht="15.75" customHeight="1" x14ac:dyDescent="0.2">
      <c r="A1585" s="525" t="s">
        <v>253</v>
      </c>
      <c r="B1585" s="525" t="s">
        <v>246</v>
      </c>
      <c r="C1585" s="53"/>
      <c r="D1585" s="108"/>
      <c r="E1585" s="114"/>
      <c r="F1585" s="330"/>
      <c r="G1585" s="48"/>
      <c r="H1585" s="48"/>
      <c r="I1585" s="48"/>
      <c r="J1585" s="48"/>
      <c r="K1585" s="48"/>
      <c r="L1585" s="48"/>
      <c r="M1585" s="48"/>
    </row>
    <row r="1586" spans="1:13" x14ac:dyDescent="0.25">
      <c r="A1586" s="531"/>
      <c r="B1586" s="531"/>
      <c r="C1586" s="78">
        <v>59</v>
      </c>
      <c r="D1586" s="108">
        <v>108</v>
      </c>
      <c r="E1586" s="114">
        <v>2007</v>
      </c>
      <c r="F1586" s="332">
        <f t="shared" ref="F1586:F1587" si="464">2019-E1586</f>
        <v>12</v>
      </c>
      <c r="G1586" s="48"/>
      <c r="H1586" s="48"/>
      <c r="I1586" s="48"/>
      <c r="J1586" s="48"/>
      <c r="K1586" s="48"/>
      <c r="L1586" s="48"/>
      <c r="M1586" s="48"/>
    </row>
    <row r="1587" spans="1:13" x14ac:dyDescent="0.25">
      <c r="A1587" s="526"/>
      <c r="B1587" s="526"/>
      <c r="C1587" s="78">
        <v>59</v>
      </c>
      <c r="D1587" s="108">
        <v>89</v>
      </c>
      <c r="E1587" s="114">
        <v>2007</v>
      </c>
      <c r="F1587" s="332">
        <f t="shared" si="464"/>
        <v>12</v>
      </c>
      <c r="G1587" s="48"/>
      <c r="H1587" s="48"/>
      <c r="I1587" s="48"/>
      <c r="J1587" s="48"/>
      <c r="K1587" s="48"/>
      <c r="L1587" s="48"/>
      <c r="M1587" s="48"/>
    </row>
    <row r="1588" spans="1:13" ht="15.75" customHeight="1" x14ac:dyDescent="0.2">
      <c r="A1588" s="525" t="s">
        <v>253</v>
      </c>
      <c r="B1588" s="532" t="s">
        <v>751</v>
      </c>
      <c r="C1588" s="78"/>
      <c r="D1588" s="108"/>
      <c r="E1588" s="114"/>
      <c r="F1588" s="330"/>
      <c r="G1588" s="48"/>
      <c r="H1588" s="48"/>
      <c r="I1588" s="48"/>
      <c r="J1588" s="48"/>
      <c r="K1588" s="48"/>
      <c r="L1588" s="48"/>
      <c r="M1588" s="48"/>
    </row>
    <row r="1589" spans="1:13" x14ac:dyDescent="0.25">
      <c r="A1589" s="531"/>
      <c r="B1589" s="540"/>
      <c r="C1589" s="78">
        <v>27</v>
      </c>
      <c r="D1589" s="108">
        <v>108</v>
      </c>
      <c r="E1589" s="114">
        <v>1989</v>
      </c>
      <c r="F1589" s="332">
        <f t="shared" ref="F1589:F1590" si="465">2019-E1589</f>
        <v>30</v>
      </c>
      <c r="G1589" s="48"/>
      <c r="H1589" s="48"/>
      <c r="I1589" s="48"/>
      <c r="J1589" s="48"/>
      <c r="K1589" s="48"/>
      <c r="L1589" s="48"/>
      <c r="M1589" s="48"/>
    </row>
    <row r="1590" spans="1:13" x14ac:dyDescent="0.25">
      <c r="A1590" s="526"/>
      <c r="B1590" s="533"/>
      <c r="C1590" s="55">
        <v>27</v>
      </c>
      <c r="D1590" s="108">
        <v>89</v>
      </c>
      <c r="E1590" s="114">
        <v>1989</v>
      </c>
      <c r="F1590" s="332">
        <f t="shared" si="465"/>
        <v>30</v>
      </c>
      <c r="G1590" s="48"/>
      <c r="H1590" s="48"/>
      <c r="I1590" s="48"/>
      <c r="J1590" s="48"/>
      <c r="K1590" s="48"/>
      <c r="L1590" s="48"/>
      <c r="M1590" s="48"/>
    </row>
    <row r="1591" spans="1:13" ht="15.75" customHeight="1" x14ac:dyDescent="0.2">
      <c r="A1591" s="525" t="s">
        <v>205</v>
      </c>
      <c r="B1591" s="532" t="s">
        <v>752</v>
      </c>
      <c r="C1591" s="55"/>
      <c r="D1591" s="108"/>
      <c r="E1591" s="114"/>
      <c r="F1591" s="330"/>
      <c r="G1591" s="48"/>
      <c r="H1591" s="48"/>
      <c r="I1591" s="48"/>
      <c r="J1591" s="48"/>
      <c r="K1591" s="48"/>
      <c r="L1591" s="48"/>
      <c r="M1591" s="48"/>
    </row>
    <row r="1592" spans="1:13" x14ac:dyDescent="0.25">
      <c r="A1592" s="531"/>
      <c r="B1592" s="540"/>
      <c r="C1592" s="55">
        <v>40</v>
      </c>
      <c r="D1592" s="108">
        <v>89</v>
      </c>
      <c r="E1592" s="114">
        <v>1993</v>
      </c>
      <c r="F1592" s="332">
        <f t="shared" ref="F1592:F1593" si="466">2019-E1592</f>
        <v>26</v>
      </c>
      <c r="G1592" s="48"/>
      <c r="H1592" s="48"/>
      <c r="I1592" s="48"/>
      <c r="J1592" s="48"/>
      <c r="K1592" s="48"/>
      <c r="L1592" s="48"/>
      <c r="M1592" s="48"/>
    </row>
    <row r="1593" spans="1:13" x14ac:dyDescent="0.25">
      <c r="A1593" s="526"/>
      <c r="B1593" s="533"/>
      <c r="C1593" s="78">
        <v>40</v>
      </c>
      <c r="D1593" s="108">
        <v>57</v>
      </c>
      <c r="E1593" s="114">
        <v>1993</v>
      </c>
      <c r="F1593" s="332">
        <f t="shared" si="466"/>
        <v>26</v>
      </c>
      <c r="G1593" s="48"/>
      <c r="H1593" s="48"/>
      <c r="I1593" s="48"/>
      <c r="J1593" s="48"/>
      <c r="K1593" s="48"/>
      <c r="L1593" s="48"/>
      <c r="M1593" s="48"/>
    </row>
    <row r="1594" spans="1:13" ht="15.75" customHeight="1" x14ac:dyDescent="0.2">
      <c r="A1594" s="525" t="s">
        <v>178</v>
      </c>
      <c r="B1594" s="525" t="s">
        <v>753</v>
      </c>
      <c r="C1594" s="119"/>
      <c r="D1594" s="108"/>
      <c r="E1594" s="114"/>
      <c r="F1594" s="330"/>
      <c r="G1594" s="48"/>
      <c r="H1594" s="48"/>
      <c r="I1594" s="48"/>
      <c r="J1594" s="48"/>
      <c r="K1594" s="48"/>
      <c r="L1594" s="48"/>
      <c r="M1594" s="48"/>
    </row>
    <row r="1595" spans="1:13" x14ac:dyDescent="0.25">
      <c r="A1595" s="531"/>
      <c r="B1595" s="531"/>
      <c r="C1595" s="55">
        <v>33</v>
      </c>
      <c r="D1595" s="108">
        <v>76</v>
      </c>
      <c r="E1595" s="114">
        <v>2007</v>
      </c>
      <c r="F1595" s="332">
        <f t="shared" ref="F1595:F1596" si="467">2019-E1595</f>
        <v>12</v>
      </c>
      <c r="G1595" s="48"/>
      <c r="H1595" s="48"/>
      <c r="I1595" s="48"/>
      <c r="J1595" s="48"/>
      <c r="K1595" s="48"/>
      <c r="L1595" s="48"/>
      <c r="M1595" s="48"/>
    </row>
    <row r="1596" spans="1:13" x14ac:dyDescent="0.25">
      <c r="A1596" s="526"/>
      <c r="B1596" s="526"/>
      <c r="C1596" s="78">
        <v>33</v>
      </c>
      <c r="D1596" s="108">
        <v>57</v>
      </c>
      <c r="E1596" s="114">
        <v>2007</v>
      </c>
      <c r="F1596" s="332">
        <f t="shared" si="467"/>
        <v>12</v>
      </c>
      <c r="G1596" s="48"/>
      <c r="H1596" s="48"/>
      <c r="I1596" s="48"/>
      <c r="J1596" s="48"/>
      <c r="K1596" s="48"/>
      <c r="L1596" s="48"/>
      <c r="M1596" s="48"/>
    </row>
    <row r="1597" spans="1:13" ht="15.75" customHeight="1" x14ac:dyDescent="0.2">
      <c r="A1597" s="525" t="s">
        <v>754</v>
      </c>
      <c r="B1597" s="532" t="s">
        <v>205</v>
      </c>
      <c r="C1597" s="55"/>
      <c r="D1597" s="108"/>
      <c r="E1597" s="114"/>
      <c r="F1597" s="330"/>
      <c r="G1597" s="48"/>
      <c r="H1597" s="48"/>
      <c r="I1597" s="48"/>
      <c r="J1597" s="48"/>
      <c r="K1597" s="48"/>
      <c r="L1597" s="48"/>
      <c r="M1597" s="48"/>
    </row>
    <row r="1598" spans="1:13" x14ac:dyDescent="0.25">
      <c r="A1598" s="531"/>
      <c r="B1598" s="540"/>
      <c r="C1598" s="55">
        <v>8.1999999999999993</v>
      </c>
      <c r="D1598" s="108">
        <v>89</v>
      </c>
      <c r="E1598" s="114">
        <v>1994</v>
      </c>
      <c r="F1598" s="332">
        <f t="shared" ref="F1598:F1599" si="468">2019-E1598</f>
        <v>25</v>
      </c>
      <c r="G1598" s="48"/>
      <c r="H1598" s="48"/>
      <c r="I1598" s="48"/>
      <c r="J1598" s="48"/>
      <c r="K1598" s="48"/>
      <c r="L1598" s="48"/>
      <c r="M1598" s="48"/>
    </row>
    <row r="1599" spans="1:13" x14ac:dyDescent="0.25">
      <c r="A1599" s="526"/>
      <c r="B1599" s="533"/>
      <c r="C1599" s="78">
        <v>8.1999999999999993</v>
      </c>
      <c r="D1599" s="108">
        <v>57</v>
      </c>
      <c r="E1599" s="114">
        <v>1994</v>
      </c>
      <c r="F1599" s="332">
        <f t="shared" si="468"/>
        <v>25</v>
      </c>
      <c r="G1599" s="48"/>
      <c r="H1599" s="48"/>
      <c r="I1599" s="48"/>
      <c r="J1599" s="48"/>
      <c r="K1599" s="48"/>
      <c r="L1599" s="48"/>
      <c r="M1599" s="48"/>
    </row>
    <row r="1600" spans="1:13" ht="15.75" customHeight="1" x14ac:dyDescent="0.2">
      <c r="A1600" s="534" t="s">
        <v>256</v>
      </c>
      <c r="B1600" s="525" t="s">
        <v>214</v>
      </c>
      <c r="C1600" s="53"/>
      <c r="D1600" s="108"/>
      <c r="E1600" s="114"/>
      <c r="F1600" s="330"/>
      <c r="G1600" s="48"/>
      <c r="H1600" s="48"/>
      <c r="I1600" s="48"/>
      <c r="J1600" s="48"/>
      <c r="K1600" s="48"/>
      <c r="L1600" s="48"/>
      <c r="M1600" s="48"/>
    </row>
    <row r="1601" spans="1:13" x14ac:dyDescent="0.25">
      <c r="A1601" s="536"/>
      <c r="B1601" s="531"/>
      <c r="C1601" s="78">
        <v>50</v>
      </c>
      <c r="D1601" s="108">
        <v>159</v>
      </c>
      <c r="E1601" s="114">
        <v>2007</v>
      </c>
      <c r="F1601" s="332">
        <f t="shared" ref="F1601:F1602" si="469">2019-E1601</f>
        <v>12</v>
      </c>
      <c r="G1601" s="48"/>
      <c r="H1601" s="48"/>
      <c r="I1601" s="48"/>
      <c r="J1601" s="48"/>
      <c r="K1601" s="48"/>
      <c r="L1601" s="48"/>
      <c r="M1601" s="48"/>
    </row>
    <row r="1602" spans="1:13" x14ac:dyDescent="0.25">
      <c r="A1602" s="535"/>
      <c r="B1602" s="526"/>
      <c r="C1602" s="78">
        <v>50</v>
      </c>
      <c r="D1602" s="108">
        <v>108</v>
      </c>
      <c r="E1602" s="114">
        <v>2007</v>
      </c>
      <c r="F1602" s="332">
        <f t="shared" si="469"/>
        <v>12</v>
      </c>
      <c r="G1602" s="48"/>
      <c r="H1602" s="48"/>
      <c r="I1602" s="48"/>
      <c r="J1602" s="48"/>
      <c r="K1602" s="48"/>
      <c r="L1602" s="48"/>
      <c r="M1602" s="48"/>
    </row>
    <row r="1603" spans="1:13" ht="15.75" customHeight="1" x14ac:dyDescent="0.2">
      <c r="A1603" s="525" t="s">
        <v>755</v>
      </c>
      <c r="B1603" s="532" t="s">
        <v>756</v>
      </c>
      <c r="C1603" s="55"/>
      <c r="D1603" s="108"/>
      <c r="E1603" s="115"/>
      <c r="F1603" s="330"/>
      <c r="G1603" s="48"/>
      <c r="H1603" s="48"/>
      <c r="I1603" s="48"/>
      <c r="J1603" s="48"/>
      <c r="K1603" s="48"/>
      <c r="L1603" s="48"/>
      <c r="M1603" s="48"/>
    </row>
    <row r="1604" spans="1:13" ht="15.75" customHeight="1" x14ac:dyDescent="0.25">
      <c r="A1604" s="531"/>
      <c r="B1604" s="540"/>
      <c r="C1604" s="78">
        <v>18</v>
      </c>
      <c r="D1604" s="108">
        <v>57</v>
      </c>
      <c r="E1604" s="115">
        <v>1992</v>
      </c>
      <c r="F1604" s="332">
        <f t="shared" ref="F1604:F1605" si="470">2019-E1604</f>
        <v>27</v>
      </c>
      <c r="G1604" s="48"/>
      <c r="H1604" s="48"/>
      <c r="I1604" s="48"/>
      <c r="J1604" s="48"/>
      <c r="K1604" s="48"/>
      <c r="L1604" s="48"/>
      <c r="M1604" s="48"/>
    </row>
    <row r="1605" spans="1:13" ht="15.75" customHeight="1" x14ac:dyDescent="0.25">
      <c r="A1605" s="526"/>
      <c r="B1605" s="533"/>
      <c r="C1605" s="78">
        <v>18</v>
      </c>
      <c r="D1605" s="108">
        <v>40</v>
      </c>
      <c r="E1605" s="115">
        <v>1992</v>
      </c>
      <c r="F1605" s="332">
        <f t="shared" si="470"/>
        <v>27</v>
      </c>
      <c r="G1605" s="48"/>
      <c r="H1605" s="48"/>
      <c r="I1605" s="48"/>
      <c r="J1605" s="48"/>
      <c r="K1605" s="48"/>
      <c r="L1605" s="48"/>
      <c r="M1605" s="48"/>
    </row>
    <row r="1606" spans="1:13" ht="15.75" customHeight="1" x14ac:dyDescent="0.2">
      <c r="A1606" s="525" t="s">
        <v>757</v>
      </c>
      <c r="B1606" s="532" t="s">
        <v>758</v>
      </c>
      <c r="C1606" s="55"/>
      <c r="D1606" s="108"/>
      <c r="E1606" s="115"/>
      <c r="F1606" s="330"/>
      <c r="G1606" s="48"/>
      <c r="H1606" s="48"/>
      <c r="I1606" s="48"/>
      <c r="J1606" s="48"/>
      <c r="K1606" s="48"/>
      <c r="L1606" s="48"/>
      <c r="M1606" s="48"/>
    </row>
    <row r="1607" spans="1:13" ht="15.75" customHeight="1" x14ac:dyDescent="0.25">
      <c r="A1607" s="531"/>
      <c r="B1607" s="540"/>
      <c r="C1607" s="78">
        <v>13</v>
      </c>
      <c r="D1607" s="108">
        <v>57</v>
      </c>
      <c r="E1607" s="115">
        <v>1992</v>
      </c>
      <c r="F1607" s="332">
        <f t="shared" ref="F1607:F1608" si="471">2019-E1607</f>
        <v>27</v>
      </c>
      <c r="G1607" s="48"/>
      <c r="H1607" s="48"/>
      <c r="I1607" s="48"/>
      <c r="J1607" s="48"/>
      <c r="K1607" s="48"/>
      <c r="L1607" s="48"/>
      <c r="M1607" s="48"/>
    </row>
    <row r="1608" spans="1:13" ht="15.75" customHeight="1" x14ac:dyDescent="0.25">
      <c r="A1608" s="526"/>
      <c r="B1608" s="533"/>
      <c r="C1608" s="55">
        <v>13</v>
      </c>
      <c r="D1608" s="108">
        <v>89</v>
      </c>
      <c r="E1608" s="115">
        <v>1992</v>
      </c>
      <c r="F1608" s="332">
        <f t="shared" si="471"/>
        <v>27</v>
      </c>
      <c r="G1608" s="48"/>
      <c r="H1608" s="48"/>
      <c r="I1608" s="48"/>
      <c r="J1608" s="48"/>
      <c r="K1608" s="48"/>
      <c r="L1608" s="48"/>
      <c r="M1608" s="48"/>
    </row>
    <row r="1609" spans="1:13" ht="15.75" customHeight="1" x14ac:dyDescent="0.2">
      <c r="A1609" s="525" t="s">
        <v>757</v>
      </c>
      <c r="B1609" s="532" t="s">
        <v>759</v>
      </c>
      <c r="C1609" s="78"/>
      <c r="D1609" s="108"/>
      <c r="E1609" s="115"/>
      <c r="F1609" s="330"/>
      <c r="G1609" s="48"/>
      <c r="H1609" s="48"/>
      <c r="I1609" s="48"/>
      <c r="J1609" s="48"/>
      <c r="K1609" s="48"/>
      <c r="L1609" s="48"/>
      <c r="M1609" s="48"/>
    </row>
    <row r="1610" spans="1:13" ht="15.75" customHeight="1" x14ac:dyDescent="0.25">
      <c r="A1610" s="531"/>
      <c r="B1610" s="540"/>
      <c r="C1610" s="78">
        <v>71</v>
      </c>
      <c r="D1610" s="108">
        <v>76</v>
      </c>
      <c r="E1610" s="115">
        <v>1992</v>
      </c>
      <c r="F1610" s="332">
        <f t="shared" ref="F1610:F1611" si="472">2019-E1610</f>
        <v>27</v>
      </c>
      <c r="G1610" s="48"/>
      <c r="H1610" s="48"/>
      <c r="I1610" s="48"/>
      <c r="J1610" s="48"/>
      <c r="K1610" s="48"/>
      <c r="L1610" s="48"/>
      <c r="M1610" s="48"/>
    </row>
    <row r="1611" spans="1:13" ht="15.75" customHeight="1" x14ac:dyDescent="0.25">
      <c r="A1611" s="526"/>
      <c r="B1611" s="533"/>
      <c r="C1611" s="78">
        <v>71</v>
      </c>
      <c r="D1611" s="108">
        <v>40</v>
      </c>
      <c r="E1611" s="115">
        <v>1992</v>
      </c>
      <c r="F1611" s="332">
        <f t="shared" si="472"/>
        <v>27</v>
      </c>
      <c r="G1611" s="48"/>
      <c r="H1611" s="48"/>
      <c r="I1611" s="48"/>
      <c r="J1611" s="48"/>
      <c r="K1611" s="48"/>
      <c r="L1611" s="48"/>
      <c r="M1611" s="48"/>
    </row>
    <row r="1612" spans="1:13" ht="15.75" customHeight="1" x14ac:dyDescent="0.2">
      <c r="A1612" s="525" t="s">
        <v>760</v>
      </c>
      <c r="B1612" s="532" t="s">
        <v>761</v>
      </c>
      <c r="C1612" s="55"/>
      <c r="D1612" s="108"/>
      <c r="E1612" s="115"/>
      <c r="F1612" s="330"/>
      <c r="G1612" s="48"/>
      <c r="H1612" s="48"/>
      <c r="I1612" s="48"/>
      <c r="J1612" s="48"/>
      <c r="K1612" s="48"/>
      <c r="L1612" s="48"/>
      <c r="M1612" s="48"/>
    </row>
    <row r="1613" spans="1:13" ht="15.75" customHeight="1" x14ac:dyDescent="0.25">
      <c r="A1613" s="531"/>
      <c r="B1613" s="540"/>
      <c r="C1613" s="55">
        <v>40</v>
      </c>
      <c r="D1613" s="108">
        <v>89</v>
      </c>
      <c r="E1613" s="115">
        <v>1992</v>
      </c>
      <c r="F1613" s="332">
        <f t="shared" ref="F1613:F1614" si="473">2019-E1613</f>
        <v>27</v>
      </c>
      <c r="G1613" s="48"/>
      <c r="H1613" s="48"/>
      <c r="I1613" s="48"/>
      <c r="J1613" s="48"/>
      <c r="K1613" s="48"/>
      <c r="L1613" s="48"/>
      <c r="M1613" s="48"/>
    </row>
    <row r="1614" spans="1:13" ht="15.75" customHeight="1" x14ac:dyDescent="0.25">
      <c r="A1614" s="526"/>
      <c r="B1614" s="533"/>
      <c r="C1614" s="78">
        <v>40</v>
      </c>
      <c r="D1614" s="108">
        <v>57</v>
      </c>
      <c r="E1614" s="115">
        <v>1992</v>
      </c>
      <c r="F1614" s="332">
        <f t="shared" si="473"/>
        <v>27</v>
      </c>
      <c r="G1614" s="48"/>
      <c r="H1614" s="48"/>
      <c r="I1614" s="48"/>
      <c r="J1614" s="48"/>
      <c r="K1614" s="48"/>
      <c r="L1614" s="48"/>
      <c r="M1614" s="48"/>
    </row>
    <row r="1615" spans="1:13" ht="15.75" customHeight="1" x14ac:dyDescent="0.2">
      <c r="A1615" s="525" t="s">
        <v>762</v>
      </c>
      <c r="B1615" s="532" t="s">
        <v>763</v>
      </c>
      <c r="C1615" s="55"/>
      <c r="D1615" s="108"/>
      <c r="E1615" s="115"/>
      <c r="F1615" s="330"/>
      <c r="G1615" s="48"/>
      <c r="H1615" s="48"/>
      <c r="I1615" s="48"/>
      <c r="J1615" s="48"/>
      <c r="K1615" s="48"/>
      <c r="L1615" s="48"/>
      <c r="M1615" s="48"/>
    </row>
    <row r="1616" spans="1:13" ht="15.75" customHeight="1" x14ac:dyDescent="0.25">
      <c r="A1616" s="531"/>
      <c r="B1616" s="540"/>
      <c r="C1616" s="55">
        <v>59</v>
      </c>
      <c r="D1616" s="108">
        <v>89</v>
      </c>
      <c r="E1616" s="115">
        <v>1990</v>
      </c>
      <c r="F1616" s="332">
        <f t="shared" ref="F1616:F1617" si="474">2019-E1616</f>
        <v>29</v>
      </c>
      <c r="G1616" s="48"/>
      <c r="H1616" s="48"/>
      <c r="I1616" s="48"/>
      <c r="J1616" s="48"/>
      <c r="K1616" s="48"/>
      <c r="L1616" s="48"/>
      <c r="M1616" s="48"/>
    </row>
    <row r="1617" spans="1:13" ht="15.75" customHeight="1" x14ac:dyDescent="0.25">
      <c r="A1617" s="526"/>
      <c r="B1617" s="533"/>
      <c r="C1617" s="78">
        <v>59</v>
      </c>
      <c r="D1617" s="108">
        <v>57</v>
      </c>
      <c r="E1617" s="115">
        <v>1990</v>
      </c>
      <c r="F1617" s="332">
        <f t="shared" si="474"/>
        <v>29</v>
      </c>
      <c r="G1617" s="48"/>
      <c r="H1617" s="48"/>
      <c r="I1617" s="48"/>
      <c r="J1617" s="48"/>
      <c r="K1617" s="48"/>
      <c r="L1617" s="48"/>
      <c r="M1617" s="48"/>
    </row>
    <row r="1618" spans="1:13" ht="15.75" customHeight="1" x14ac:dyDescent="0.2">
      <c r="A1618" s="525" t="s">
        <v>764</v>
      </c>
      <c r="B1618" s="532" t="s">
        <v>765</v>
      </c>
      <c r="C1618" s="55"/>
      <c r="D1618" s="108"/>
      <c r="E1618" s="115"/>
      <c r="F1618" s="330"/>
      <c r="G1618" s="48"/>
      <c r="H1618" s="48"/>
      <c r="I1618" s="48"/>
      <c r="J1618" s="48"/>
      <c r="K1618" s="48"/>
      <c r="L1618" s="48"/>
      <c r="M1618" s="48"/>
    </row>
    <row r="1619" spans="1:13" ht="15.75" customHeight="1" x14ac:dyDescent="0.25">
      <c r="A1619" s="531"/>
      <c r="B1619" s="540"/>
      <c r="C1619" s="78">
        <v>64</v>
      </c>
      <c r="D1619" s="108">
        <v>57</v>
      </c>
      <c r="E1619" s="115">
        <v>1992</v>
      </c>
      <c r="F1619" s="332">
        <f t="shared" ref="F1619:F1620" si="475">2019-E1619</f>
        <v>27</v>
      </c>
      <c r="G1619" s="48"/>
      <c r="H1619" s="48"/>
      <c r="I1619" s="48"/>
      <c r="J1619" s="48"/>
      <c r="K1619" s="48"/>
      <c r="L1619" s="48"/>
      <c r="M1619" s="48"/>
    </row>
    <row r="1620" spans="1:13" ht="15.75" customHeight="1" x14ac:dyDescent="0.25">
      <c r="A1620" s="526"/>
      <c r="B1620" s="533"/>
      <c r="C1620" s="78">
        <v>64</v>
      </c>
      <c r="D1620" s="108">
        <v>25</v>
      </c>
      <c r="E1620" s="115">
        <v>1992</v>
      </c>
      <c r="F1620" s="332">
        <f t="shared" si="475"/>
        <v>27</v>
      </c>
      <c r="G1620" s="48"/>
      <c r="H1620" s="48"/>
      <c r="I1620" s="48"/>
      <c r="J1620" s="48"/>
      <c r="K1620" s="48"/>
      <c r="L1620" s="48"/>
      <c r="M1620" s="48"/>
    </row>
    <row r="1621" spans="1:13" ht="15.75" customHeight="1" x14ac:dyDescent="0.2">
      <c r="A1621" s="525" t="s">
        <v>762</v>
      </c>
      <c r="B1621" s="532" t="s">
        <v>766</v>
      </c>
      <c r="C1621" s="55"/>
      <c r="D1621" s="108"/>
      <c r="E1621" s="115"/>
      <c r="F1621" s="330"/>
      <c r="G1621" s="48"/>
      <c r="H1621" s="48"/>
      <c r="I1621" s="48"/>
      <c r="J1621" s="48"/>
      <c r="K1621" s="48"/>
      <c r="L1621" s="48"/>
      <c r="M1621" s="48"/>
    </row>
    <row r="1622" spans="1:13" ht="15.75" customHeight="1" x14ac:dyDescent="0.25">
      <c r="A1622" s="531"/>
      <c r="B1622" s="540"/>
      <c r="C1622" s="55">
        <v>19</v>
      </c>
      <c r="D1622" s="108">
        <v>89</v>
      </c>
      <c r="E1622" s="115">
        <v>1990</v>
      </c>
      <c r="F1622" s="332">
        <f t="shared" ref="F1622:F1623" si="476">2019-E1622</f>
        <v>29</v>
      </c>
      <c r="G1622" s="48"/>
      <c r="H1622" s="48"/>
      <c r="I1622" s="48"/>
      <c r="J1622" s="48"/>
      <c r="K1622" s="48"/>
      <c r="L1622" s="48"/>
      <c r="M1622" s="48"/>
    </row>
    <row r="1623" spans="1:13" ht="15.75" customHeight="1" x14ac:dyDescent="0.25">
      <c r="A1623" s="526"/>
      <c r="B1623" s="533"/>
      <c r="C1623" s="78">
        <v>19</v>
      </c>
      <c r="D1623" s="108">
        <v>57</v>
      </c>
      <c r="E1623" s="115">
        <v>1990</v>
      </c>
      <c r="F1623" s="332">
        <f t="shared" si="476"/>
        <v>29</v>
      </c>
      <c r="G1623" s="48"/>
      <c r="H1623" s="48"/>
      <c r="I1623" s="48"/>
      <c r="J1623" s="48"/>
      <c r="K1623" s="48"/>
      <c r="L1623" s="48"/>
      <c r="M1623" s="48"/>
    </row>
    <row r="1624" spans="1:13" ht="15.75" customHeight="1" x14ac:dyDescent="0.2">
      <c r="A1624" s="525" t="s">
        <v>767</v>
      </c>
      <c r="B1624" s="532" t="s">
        <v>768</v>
      </c>
      <c r="C1624" s="78"/>
      <c r="D1624" s="108"/>
      <c r="E1624" s="115"/>
      <c r="F1624" s="330"/>
      <c r="G1624" s="48"/>
      <c r="H1624" s="48"/>
      <c r="I1624" s="48"/>
      <c r="J1624" s="48"/>
      <c r="K1624" s="48"/>
      <c r="L1624" s="48"/>
      <c r="M1624" s="48"/>
    </row>
    <row r="1625" spans="1:13" ht="15.75" customHeight="1" x14ac:dyDescent="0.25">
      <c r="A1625" s="531"/>
      <c r="B1625" s="540"/>
      <c r="C1625" s="55">
        <v>67</v>
      </c>
      <c r="D1625" s="108">
        <v>89</v>
      </c>
      <c r="E1625" s="115">
        <v>1990</v>
      </c>
      <c r="F1625" s="332">
        <f t="shared" ref="F1625:F1626" si="477">2019-E1625</f>
        <v>29</v>
      </c>
      <c r="G1625" s="48"/>
      <c r="H1625" s="48"/>
      <c r="I1625" s="48"/>
      <c r="J1625" s="48"/>
      <c r="K1625" s="48"/>
      <c r="L1625" s="48"/>
      <c r="M1625" s="48"/>
    </row>
    <row r="1626" spans="1:13" ht="15.75" customHeight="1" x14ac:dyDescent="0.25">
      <c r="A1626" s="526"/>
      <c r="B1626" s="533"/>
      <c r="C1626" s="78">
        <v>67</v>
      </c>
      <c r="D1626" s="108">
        <v>57</v>
      </c>
      <c r="E1626" s="115">
        <v>1990</v>
      </c>
      <c r="F1626" s="332">
        <f t="shared" si="477"/>
        <v>29</v>
      </c>
      <c r="G1626" s="48"/>
      <c r="H1626" s="48"/>
      <c r="I1626" s="48"/>
      <c r="J1626" s="48"/>
      <c r="K1626" s="48"/>
      <c r="L1626" s="48"/>
      <c r="M1626" s="48"/>
    </row>
    <row r="1627" spans="1:13" ht="15.75" customHeight="1" x14ac:dyDescent="0.2">
      <c r="A1627" s="525" t="s">
        <v>769</v>
      </c>
      <c r="B1627" s="532" t="s">
        <v>770</v>
      </c>
      <c r="C1627" s="55"/>
      <c r="D1627" s="108"/>
      <c r="E1627" s="115"/>
      <c r="F1627" s="330"/>
      <c r="G1627" s="48"/>
      <c r="H1627" s="48"/>
      <c r="I1627" s="48"/>
      <c r="J1627" s="48"/>
      <c r="K1627" s="48"/>
      <c r="L1627" s="48"/>
      <c r="M1627" s="48"/>
    </row>
    <row r="1628" spans="1:13" ht="15.75" customHeight="1" x14ac:dyDescent="0.25">
      <c r="A1628" s="531"/>
      <c r="B1628" s="540"/>
      <c r="C1628" s="55">
        <v>176</v>
      </c>
      <c r="D1628" s="108">
        <v>219</v>
      </c>
      <c r="E1628" s="115">
        <v>1990</v>
      </c>
      <c r="F1628" s="332">
        <f t="shared" ref="F1628:F1629" si="478">2019-E1628</f>
        <v>29</v>
      </c>
      <c r="G1628" s="48"/>
      <c r="H1628" s="48"/>
      <c r="I1628" s="48"/>
      <c r="J1628" s="48"/>
      <c r="K1628" s="48"/>
      <c r="L1628" s="48"/>
      <c r="M1628" s="48"/>
    </row>
    <row r="1629" spans="1:13" ht="15.75" customHeight="1" x14ac:dyDescent="0.25">
      <c r="A1629" s="526"/>
      <c r="B1629" s="533"/>
      <c r="C1629" s="55">
        <v>176</v>
      </c>
      <c r="D1629" s="108">
        <v>133</v>
      </c>
      <c r="E1629" s="115">
        <v>1990</v>
      </c>
      <c r="F1629" s="332">
        <f t="shared" si="478"/>
        <v>29</v>
      </c>
      <c r="G1629" s="48"/>
      <c r="H1629" s="48"/>
      <c r="I1629" s="48"/>
      <c r="J1629" s="48"/>
      <c r="K1629" s="48"/>
      <c r="L1629" s="48"/>
      <c r="M1629" s="48"/>
    </row>
    <row r="1630" spans="1:13" ht="15.75" customHeight="1" x14ac:dyDescent="0.2">
      <c r="A1630" s="525" t="s">
        <v>771</v>
      </c>
      <c r="B1630" s="532" t="s">
        <v>772</v>
      </c>
      <c r="C1630" s="55"/>
      <c r="D1630" s="108"/>
      <c r="E1630" s="115"/>
      <c r="F1630" s="330"/>
      <c r="G1630" s="48"/>
      <c r="H1630" s="48"/>
      <c r="I1630" s="48"/>
      <c r="J1630" s="48"/>
      <c r="K1630" s="48"/>
      <c r="L1630" s="48"/>
      <c r="M1630" s="48"/>
    </row>
    <row r="1631" spans="1:13" ht="15.75" customHeight="1" x14ac:dyDescent="0.25">
      <c r="A1631" s="531"/>
      <c r="B1631" s="540"/>
      <c r="C1631" s="78">
        <v>40</v>
      </c>
      <c r="D1631" s="108">
        <v>108</v>
      </c>
      <c r="E1631" s="115">
        <v>1990</v>
      </c>
      <c r="F1631" s="332">
        <f t="shared" ref="F1631:F1632" si="479">2019-E1631</f>
        <v>29</v>
      </c>
      <c r="G1631" s="48"/>
      <c r="H1631" s="48"/>
      <c r="I1631" s="48"/>
      <c r="J1631" s="48"/>
      <c r="K1631" s="48"/>
      <c r="L1631" s="48"/>
      <c r="M1631" s="48"/>
    </row>
    <row r="1632" spans="1:13" ht="15.75" customHeight="1" x14ac:dyDescent="0.25">
      <c r="A1632" s="526"/>
      <c r="B1632" s="533"/>
      <c r="C1632" s="78">
        <v>40</v>
      </c>
      <c r="D1632" s="108">
        <v>76</v>
      </c>
      <c r="E1632" s="115">
        <v>1990</v>
      </c>
      <c r="F1632" s="332">
        <f t="shared" si="479"/>
        <v>29</v>
      </c>
      <c r="G1632" s="48"/>
      <c r="H1632" s="48"/>
      <c r="I1632" s="48"/>
      <c r="J1632" s="48"/>
      <c r="K1632" s="48"/>
      <c r="L1632" s="48"/>
      <c r="M1632" s="48"/>
    </row>
    <row r="1633" spans="1:13" ht="15.75" customHeight="1" x14ac:dyDescent="0.2">
      <c r="A1633" s="525" t="s">
        <v>773</v>
      </c>
      <c r="B1633" s="532" t="s">
        <v>774</v>
      </c>
      <c r="C1633" s="55"/>
      <c r="D1633" s="108"/>
      <c r="E1633" s="115"/>
      <c r="F1633" s="330"/>
      <c r="G1633" s="48"/>
      <c r="H1633" s="48"/>
      <c r="I1633" s="48"/>
      <c r="J1633" s="48"/>
      <c r="K1633" s="48"/>
      <c r="L1633" s="48"/>
      <c r="M1633" s="48"/>
    </row>
    <row r="1634" spans="1:13" ht="15.75" customHeight="1" x14ac:dyDescent="0.25">
      <c r="A1634" s="531"/>
      <c r="B1634" s="540"/>
      <c r="C1634" s="55">
        <v>15</v>
      </c>
      <c r="D1634" s="108">
        <v>89</v>
      </c>
      <c r="E1634" s="115">
        <v>1990</v>
      </c>
      <c r="F1634" s="332">
        <f t="shared" ref="F1634:F1635" si="480">2019-E1634</f>
        <v>29</v>
      </c>
      <c r="G1634" s="48"/>
      <c r="H1634" s="48"/>
      <c r="I1634" s="48"/>
      <c r="J1634" s="48"/>
      <c r="K1634" s="48"/>
      <c r="L1634" s="48"/>
      <c r="M1634" s="48"/>
    </row>
    <row r="1635" spans="1:13" ht="15.75" customHeight="1" x14ac:dyDescent="0.25">
      <c r="A1635" s="526"/>
      <c r="B1635" s="533"/>
      <c r="C1635" s="78">
        <v>15</v>
      </c>
      <c r="D1635" s="108">
        <v>57</v>
      </c>
      <c r="E1635" s="115">
        <v>1990</v>
      </c>
      <c r="F1635" s="332">
        <f t="shared" si="480"/>
        <v>29</v>
      </c>
      <c r="G1635" s="48"/>
      <c r="H1635" s="48"/>
      <c r="I1635" s="48"/>
      <c r="J1635" s="48"/>
      <c r="K1635" s="48"/>
      <c r="L1635" s="48"/>
      <c r="M1635" s="48"/>
    </row>
    <row r="1636" spans="1:13" ht="15.75" customHeight="1" x14ac:dyDescent="0.2">
      <c r="A1636" s="525" t="s">
        <v>775</v>
      </c>
      <c r="B1636" s="532" t="s">
        <v>776</v>
      </c>
      <c r="C1636" s="55"/>
      <c r="D1636" s="108"/>
      <c r="E1636" s="115"/>
      <c r="F1636" s="330"/>
      <c r="G1636" s="48"/>
      <c r="H1636" s="48"/>
      <c r="I1636" s="48"/>
      <c r="J1636" s="48"/>
      <c r="K1636" s="48"/>
      <c r="L1636" s="48"/>
      <c r="M1636" s="48"/>
    </row>
    <row r="1637" spans="1:13" ht="15.75" customHeight="1" x14ac:dyDescent="0.25">
      <c r="A1637" s="531"/>
      <c r="B1637" s="540"/>
      <c r="C1637" s="78">
        <v>6</v>
      </c>
      <c r="D1637" s="108">
        <v>57</v>
      </c>
      <c r="E1637" s="115">
        <v>1994</v>
      </c>
      <c r="F1637" s="332">
        <f t="shared" ref="F1637:F1638" si="481">2019-E1637</f>
        <v>25</v>
      </c>
      <c r="G1637" s="48"/>
      <c r="H1637" s="48"/>
      <c r="I1637" s="48"/>
      <c r="J1637" s="48"/>
      <c r="K1637" s="48"/>
      <c r="L1637" s="48"/>
      <c r="M1637" s="48"/>
    </row>
    <row r="1638" spans="1:13" ht="15.75" customHeight="1" x14ac:dyDescent="0.25">
      <c r="A1638" s="526"/>
      <c r="B1638" s="533"/>
      <c r="C1638" s="78">
        <v>6</v>
      </c>
      <c r="D1638" s="108">
        <v>40</v>
      </c>
      <c r="E1638" s="115">
        <v>1994</v>
      </c>
      <c r="F1638" s="332">
        <f t="shared" si="481"/>
        <v>25</v>
      </c>
      <c r="G1638" s="48"/>
      <c r="H1638" s="48"/>
      <c r="I1638" s="48"/>
      <c r="J1638" s="48"/>
      <c r="K1638" s="48"/>
      <c r="L1638" s="48"/>
      <c r="M1638" s="48"/>
    </row>
    <row r="1639" spans="1:13" ht="15.75" customHeight="1" x14ac:dyDescent="0.2">
      <c r="A1639" s="525" t="s">
        <v>777</v>
      </c>
      <c r="B1639" s="532" t="s">
        <v>570</v>
      </c>
      <c r="C1639" s="55"/>
      <c r="D1639" s="108"/>
      <c r="E1639" s="115"/>
      <c r="F1639" s="330"/>
      <c r="G1639" s="48"/>
      <c r="H1639" s="48"/>
      <c r="I1639" s="48"/>
      <c r="J1639" s="48"/>
      <c r="K1639" s="48"/>
      <c r="L1639" s="48"/>
      <c r="M1639" s="48"/>
    </row>
    <row r="1640" spans="1:13" ht="15.75" customHeight="1" x14ac:dyDescent="0.25">
      <c r="A1640" s="531"/>
      <c r="B1640" s="540"/>
      <c r="C1640" s="55">
        <v>65.3</v>
      </c>
      <c r="D1640" s="108">
        <v>89</v>
      </c>
      <c r="E1640" s="115">
        <v>1992</v>
      </c>
      <c r="F1640" s="332">
        <f t="shared" ref="F1640:F1641" si="482">2019-E1640</f>
        <v>27</v>
      </c>
      <c r="G1640" s="48"/>
      <c r="H1640" s="48"/>
      <c r="I1640" s="48"/>
      <c r="J1640" s="48"/>
      <c r="K1640" s="48"/>
      <c r="L1640" s="48"/>
      <c r="M1640" s="48"/>
    </row>
    <row r="1641" spans="1:13" ht="15.75" customHeight="1" x14ac:dyDescent="0.25">
      <c r="A1641" s="526"/>
      <c r="B1641" s="533"/>
      <c r="C1641" s="78">
        <v>65.3</v>
      </c>
      <c r="D1641" s="108">
        <v>57</v>
      </c>
      <c r="E1641" s="115">
        <v>1992</v>
      </c>
      <c r="F1641" s="332">
        <f t="shared" si="482"/>
        <v>27</v>
      </c>
      <c r="G1641" s="48"/>
      <c r="H1641" s="48"/>
      <c r="I1641" s="48"/>
      <c r="J1641" s="48"/>
      <c r="K1641" s="48"/>
      <c r="L1641" s="48"/>
      <c r="M1641" s="48"/>
    </row>
    <row r="1642" spans="1:13" ht="15.75" customHeight="1" x14ac:dyDescent="0.2">
      <c r="A1642" s="525" t="s">
        <v>638</v>
      </c>
      <c r="B1642" s="532" t="s">
        <v>778</v>
      </c>
      <c r="C1642" s="78"/>
      <c r="D1642" s="108"/>
      <c r="E1642" s="115"/>
      <c r="F1642" s="330"/>
      <c r="G1642" s="48"/>
      <c r="H1642" s="48"/>
      <c r="I1642" s="48"/>
      <c r="J1642" s="48"/>
      <c r="K1642" s="48"/>
      <c r="L1642" s="48"/>
      <c r="M1642" s="48"/>
    </row>
    <row r="1643" spans="1:13" ht="15.75" customHeight="1" x14ac:dyDescent="0.25">
      <c r="A1643" s="531"/>
      <c r="B1643" s="540"/>
      <c r="C1643" s="55">
        <f>2*62</f>
        <v>124</v>
      </c>
      <c r="D1643" s="318">
        <v>89</v>
      </c>
      <c r="E1643" s="115">
        <v>1990</v>
      </c>
      <c r="F1643" s="332">
        <f t="shared" ref="F1643" si="483">2019-E1643</f>
        <v>29</v>
      </c>
      <c r="G1643" s="48"/>
      <c r="H1643" s="48"/>
      <c r="I1643" s="48"/>
      <c r="J1643" s="48"/>
      <c r="K1643" s="48"/>
      <c r="L1643" s="48"/>
      <c r="M1643" s="48"/>
    </row>
    <row r="1644" spans="1:13" ht="15.75" customHeight="1" x14ac:dyDescent="0.2">
      <c r="A1644" s="525" t="s">
        <v>779</v>
      </c>
      <c r="B1644" s="532" t="s">
        <v>780</v>
      </c>
      <c r="C1644" s="55"/>
      <c r="D1644" s="108"/>
      <c r="E1644" s="115"/>
      <c r="F1644" s="330"/>
      <c r="G1644" s="48"/>
      <c r="H1644" s="48"/>
      <c r="I1644" s="48"/>
      <c r="J1644" s="48"/>
      <c r="K1644" s="48"/>
      <c r="L1644" s="48"/>
      <c r="M1644" s="48"/>
    </row>
    <row r="1645" spans="1:13" ht="15.75" customHeight="1" x14ac:dyDescent="0.25">
      <c r="A1645" s="531"/>
      <c r="B1645" s="540"/>
      <c r="C1645" s="55">
        <v>37</v>
      </c>
      <c r="D1645" s="108">
        <v>219</v>
      </c>
      <c r="E1645" s="115">
        <v>1990</v>
      </c>
      <c r="F1645" s="332">
        <f t="shared" ref="F1645:F1646" si="484">2019-E1645</f>
        <v>29</v>
      </c>
      <c r="G1645" s="48"/>
      <c r="H1645" s="48"/>
      <c r="I1645" s="48"/>
      <c r="J1645" s="48"/>
      <c r="K1645" s="48"/>
      <c r="L1645" s="48"/>
      <c r="M1645" s="48"/>
    </row>
    <row r="1646" spans="1:13" ht="15.75" customHeight="1" x14ac:dyDescent="0.25">
      <c r="A1646" s="526"/>
      <c r="B1646" s="533"/>
      <c r="C1646" s="55">
        <v>37</v>
      </c>
      <c r="D1646" s="108">
        <v>133</v>
      </c>
      <c r="E1646" s="115">
        <v>1990</v>
      </c>
      <c r="F1646" s="332">
        <f t="shared" si="484"/>
        <v>29</v>
      </c>
      <c r="G1646" s="48"/>
      <c r="H1646" s="48"/>
      <c r="I1646" s="48"/>
      <c r="J1646" s="48"/>
      <c r="K1646" s="48"/>
      <c r="L1646" s="48"/>
      <c r="M1646" s="48"/>
    </row>
    <row r="1647" spans="1:13" ht="15.75" customHeight="1" x14ac:dyDescent="0.2">
      <c r="A1647" s="525" t="s">
        <v>781</v>
      </c>
      <c r="B1647" s="532" t="s">
        <v>325</v>
      </c>
      <c r="C1647" s="55"/>
      <c r="D1647" s="108"/>
      <c r="E1647" s="115"/>
      <c r="F1647" s="330"/>
      <c r="G1647" s="48"/>
      <c r="H1647" s="48"/>
      <c r="I1647" s="48"/>
      <c r="J1647" s="48"/>
      <c r="K1647" s="48"/>
      <c r="L1647" s="48"/>
      <c r="M1647" s="48"/>
    </row>
    <row r="1648" spans="1:13" ht="15.75" customHeight="1" x14ac:dyDescent="0.25">
      <c r="A1648" s="531"/>
      <c r="B1648" s="540"/>
      <c r="C1648" s="78">
        <v>22</v>
      </c>
      <c r="D1648" s="108">
        <v>159</v>
      </c>
      <c r="E1648" s="115">
        <v>1990</v>
      </c>
      <c r="F1648" s="332">
        <f t="shared" ref="F1648:F1649" si="485">2019-E1648</f>
        <v>29</v>
      </c>
      <c r="G1648" s="48"/>
      <c r="H1648" s="48"/>
      <c r="I1648" s="48"/>
      <c r="J1648" s="48"/>
      <c r="K1648" s="48"/>
      <c r="L1648" s="48"/>
      <c r="M1648" s="48"/>
    </row>
    <row r="1649" spans="1:13" ht="15.75" customHeight="1" x14ac:dyDescent="0.25">
      <c r="A1649" s="526"/>
      <c r="B1649" s="533"/>
      <c r="C1649" s="55">
        <v>22</v>
      </c>
      <c r="D1649" s="108">
        <v>133</v>
      </c>
      <c r="E1649" s="115">
        <v>1990</v>
      </c>
      <c r="F1649" s="332">
        <f t="shared" si="485"/>
        <v>29</v>
      </c>
      <c r="G1649" s="48"/>
      <c r="H1649" s="48"/>
      <c r="I1649" s="48"/>
      <c r="J1649" s="48"/>
      <c r="K1649" s="48"/>
      <c r="L1649" s="48"/>
      <c r="M1649" s="48"/>
    </row>
    <row r="1650" spans="1:13" ht="15.75" customHeight="1" x14ac:dyDescent="0.2">
      <c r="A1650" s="525" t="s">
        <v>782</v>
      </c>
      <c r="B1650" s="532" t="s">
        <v>743</v>
      </c>
      <c r="C1650" s="55"/>
      <c r="D1650" s="108"/>
      <c r="E1650" s="115"/>
      <c r="F1650" s="330"/>
      <c r="G1650" s="48"/>
      <c r="H1650" s="48"/>
      <c r="I1650" s="48"/>
      <c r="J1650" s="48"/>
      <c r="K1650" s="48"/>
      <c r="L1650" s="48"/>
      <c r="M1650" s="48"/>
    </row>
    <row r="1651" spans="1:13" ht="15.75" customHeight="1" x14ac:dyDescent="0.25">
      <c r="A1651" s="531"/>
      <c r="B1651" s="540"/>
      <c r="C1651" s="55">
        <v>54</v>
      </c>
      <c r="D1651" s="108">
        <v>219</v>
      </c>
      <c r="E1651" s="115">
        <v>1992</v>
      </c>
      <c r="F1651" s="332">
        <f t="shared" ref="F1651:F1652" si="486">2019-E1651</f>
        <v>27</v>
      </c>
      <c r="G1651" s="48"/>
      <c r="H1651" s="48"/>
      <c r="I1651" s="48"/>
      <c r="J1651" s="48"/>
      <c r="K1651" s="48"/>
      <c r="L1651" s="48"/>
      <c r="M1651" s="48"/>
    </row>
    <row r="1652" spans="1:13" ht="15.75" customHeight="1" x14ac:dyDescent="0.25">
      <c r="A1652" s="526"/>
      <c r="B1652" s="533"/>
      <c r="C1652" s="55">
        <v>54</v>
      </c>
      <c r="D1652" s="108">
        <v>133</v>
      </c>
      <c r="E1652" s="115">
        <v>1992</v>
      </c>
      <c r="F1652" s="332">
        <f t="shared" si="486"/>
        <v>27</v>
      </c>
      <c r="G1652" s="48"/>
      <c r="H1652" s="48"/>
      <c r="I1652" s="48"/>
      <c r="J1652" s="48"/>
      <c r="K1652" s="48"/>
      <c r="L1652" s="48"/>
      <c r="M1652" s="48"/>
    </row>
    <row r="1653" spans="1:13" ht="15.75" customHeight="1" x14ac:dyDescent="0.2">
      <c r="A1653" s="525" t="s">
        <v>783</v>
      </c>
      <c r="B1653" s="532" t="s">
        <v>784</v>
      </c>
      <c r="C1653" s="55"/>
      <c r="D1653" s="108"/>
      <c r="E1653" s="115"/>
      <c r="F1653" s="330"/>
      <c r="G1653" s="48"/>
      <c r="H1653" s="48"/>
      <c r="I1653" s="48"/>
      <c r="J1653" s="48"/>
      <c r="K1653" s="48"/>
      <c r="L1653" s="48"/>
      <c r="M1653" s="48"/>
    </row>
    <row r="1654" spans="1:13" ht="15.75" customHeight="1" x14ac:dyDescent="0.25">
      <c r="A1654" s="531"/>
      <c r="B1654" s="540"/>
      <c r="C1654" s="78">
        <v>61</v>
      </c>
      <c r="D1654" s="108">
        <v>57</v>
      </c>
      <c r="E1654" s="115">
        <v>1992</v>
      </c>
      <c r="F1654" s="332">
        <f t="shared" ref="F1654:F1655" si="487">2019-E1654</f>
        <v>27</v>
      </c>
      <c r="G1654" s="48"/>
      <c r="H1654" s="48"/>
      <c r="I1654" s="48"/>
      <c r="J1654" s="48"/>
      <c r="K1654" s="48"/>
      <c r="L1654" s="48"/>
      <c r="M1654" s="48"/>
    </row>
    <row r="1655" spans="1:13" ht="15.75" customHeight="1" x14ac:dyDescent="0.25">
      <c r="A1655" s="526"/>
      <c r="B1655" s="533"/>
      <c r="C1655" s="78">
        <v>61</v>
      </c>
      <c r="D1655" s="108">
        <v>32</v>
      </c>
      <c r="E1655" s="115">
        <v>1992</v>
      </c>
      <c r="F1655" s="332">
        <f t="shared" si="487"/>
        <v>27</v>
      </c>
      <c r="G1655" s="48"/>
      <c r="H1655" s="48"/>
      <c r="I1655" s="48"/>
      <c r="J1655" s="48"/>
      <c r="K1655" s="48"/>
      <c r="L1655" s="48"/>
      <c r="M1655" s="48"/>
    </row>
    <row r="1656" spans="1:13" ht="15.75" customHeight="1" x14ac:dyDescent="0.2">
      <c r="A1656" s="525" t="s">
        <v>785</v>
      </c>
      <c r="B1656" s="525" t="s">
        <v>786</v>
      </c>
      <c r="C1656" s="78"/>
      <c r="D1656" s="108"/>
      <c r="E1656" s="115"/>
      <c r="F1656" s="330"/>
      <c r="G1656" s="48"/>
      <c r="H1656" s="48"/>
      <c r="I1656" s="48"/>
      <c r="J1656" s="48"/>
      <c r="K1656" s="48"/>
      <c r="L1656" s="48"/>
      <c r="M1656" s="48"/>
    </row>
    <row r="1657" spans="1:13" ht="15.75" customHeight="1" x14ac:dyDescent="0.25">
      <c r="A1657" s="531"/>
      <c r="B1657" s="531"/>
      <c r="C1657" s="78">
        <v>8</v>
      </c>
      <c r="D1657" s="108">
        <v>57</v>
      </c>
      <c r="E1657" s="115">
        <v>1999</v>
      </c>
      <c r="F1657" s="332">
        <f t="shared" ref="F1657:F1658" si="488">2019-E1657</f>
        <v>20</v>
      </c>
      <c r="G1657" s="48"/>
      <c r="H1657" s="48"/>
      <c r="I1657" s="48"/>
      <c r="J1657" s="48"/>
      <c r="K1657" s="48"/>
      <c r="L1657" s="48"/>
      <c r="M1657" s="48"/>
    </row>
    <row r="1658" spans="1:13" ht="15.75" customHeight="1" x14ac:dyDescent="0.25">
      <c r="A1658" s="526"/>
      <c r="B1658" s="526"/>
      <c r="C1658" s="119">
        <v>8</v>
      </c>
      <c r="D1658" s="108">
        <v>32</v>
      </c>
      <c r="E1658" s="115">
        <v>1999</v>
      </c>
      <c r="F1658" s="332">
        <f t="shared" si="488"/>
        <v>20</v>
      </c>
      <c r="G1658" s="48"/>
      <c r="H1658" s="48"/>
      <c r="I1658" s="48"/>
      <c r="J1658" s="48"/>
      <c r="K1658" s="48"/>
      <c r="L1658" s="48"/>
      <c r="M1658" s="48"/>
    </row>
    <row r="1659" spans="1:13" ht="15.75" customHeight="1" x14ac:dyDescent="0.2">
      <c r="A1659" s="525" t="s">
        <v>787</v>
      </c>
      <c r="B1659" s="532" t="s">
        <v>530</v>
      </c>
      <c r="C1659" s="55"/>
      <c r="D1659" s="108"/>
      <c r="E1659" s="115"/>
      <c r="F1659" s="330"/>
      <c r="G1659" s="48"/>
      <c r="H1659" s="48"/>
      <c r="I1659" s="48"/>
      <c r="J1659" s="48"/>
      <c r="K1659" s="48"/>
      <c r="L1659" s="48"/>
      <c r="M1659" s="48"/>
    </row>
    <row r="1660" spans="1:13" ht="15.75" customHeight="1" x14ac:dyDescent="0.25">
      <c r="A1660" s="531"/>
      <c r="B1660" s="540"/>
      <c r="C1660" s="55">
        <v>57</v>
      </c>
      <c r="D1660" s="108">
        <v>219</v>
      </c>
      <c r="E1660" s="115">
        <v>1992</v>
      </c>
      <c r="F1660" s="332">
        <f t="shared" ref="F1660:F1661" si="489">2019-E1660</f>
        <v>27</v>
      </c>
      <c r="G1660" s="48"/>
      <c r="H1660" s="48"/>
      <c r="I1660" s="48"/>
      <c r="J1660" s="48"/>
      <c r="K1660" s="48"/>
      <c r="L1660" s="48"/>
      <c r="M1660" s="48"/>
    </row>
    <row r="1661" spans="1:13" ht="15.75" customHeight="1" x14ac:dyDescent="0.25">
      <c r="A1661" s="526"/>
      <c r="B1661" s="533"/>
      <c r="C1661" s="55">
        <v>57</v>
      </c>
      <c r="D1661" s="108">
        <v>133</v>
      </c>
      <c r="E1661" s="115">
        <v>1992</v>
      </c>
      <c r="F1661" s="332">
        <f t="shared" si="489"/>
        <v>27</v>
      </c>
      <c r="G1661" s="48"/>
      <c r="H1661" s="48"/>
      <c r="I1661" s="48"/>
      <c r="J1661" s="48"/>
      <c r="K1661" s="48"/>
      <c r="L1661" s="48"/>
      <c r="M1661" s="48"/>
    </row>
    <row r="1662" spans="1:13" ht="15.75" customHeight="1" x14ac:dyDescent="0.2">
      <c r="A1662" s="525" t="s">
        <v>788</v>
      </c>
      <c r="B1662" s="532" t="s">
        <v>789</v>
      </c>
      <c r="C1662" s="55"/>
      <c r="D1662" s="108"/>
      <c r="E1662" s="115"/>
      <c r="F1662" s="330"/>
      <c r="G1662" s="48"/>
      <c r="H1662" s="48"/>
      <c r="I1662" s="48"/>
      <c r="J1662" s="48"/>
      <c r="K1662" s="48"/>
      <c r="L1662" s="48"/>
      <c r="M1662" s="48"/>
    </row>
    <row r="1663" spans="1:13" ht="15.75" customHeight="1" x14ac:dyDescent="0.25">
      <c r="A1663" s="531"/>
      <c r="B1663" s="540"/>
      <c r="C1663" s="78">
        <f>2*10</f>
        <v>20</v>
      </c>
      <c r="D1663" s="318">
        <v>40</v>
      </c>
      <c r="E1663" s="115">
        <v>1990</v>
      </c>
      <c r="F1663" s="332">
        <f t="shared" ref="F1663" si="490">2019-E1663</f>
        <v>29</v>
      </c>
      <c r="G1663" s="48"/>
      <c r="H1663" s="48"/>
      <c r="I1663" s="48"/>
      <c r="J1663" s="48"/>
      <c r="K1663" s="48"/>
      <c r="L1663" s="48"/>
      <c r="M1663" s="48"/>
    </row>
    <row r="1664" spans="1:13" ht="15.75" customHeight="1" x14ac:dyDescent="0.2">
      <c r="A1664" s="525" t="s">
        <v>788</v>
      </c>
      <c r="B1664" s="532" t="s">
        <v>790</v>
      </c>
      <c r="C1664" s="55"/>
      <c r="D1664" s="108"/>
      <c r="E1664" s="115"/>
      <c r="F1664" s="330"/>
      <c r="G1664" s="48"/>
      <c r="H1664" s="48"/>
      <c r="I1664" s="48"/>
      <c r="J1664" s="48"/>
      <c r="K1664" s="48"/>
      <c r="L1664" s="48"/>
      <c r="M1664" s="48"/>
    </row>
    <row r="1665" spans="1:13" ht="15.75" customHeight="1" x14ac:dyDescent="0.25">
      <c r="A1665" s="531"/>
      <c r="B1665" s="540"/>
      <c r="C1665" s="78">
        <v>44</v>
      </c>
      <c r="D1665" s="108">
        <v>57</v>
      </c>
      <c r="E1665" s="115">
        <v>1993</v>
      </c>
      <c r="F1665" s="332">
        <f t="shared" ref="F1665:F1666" si="491">2019-E1665</f>
        <v>26</v>
      </c>
      <c r="G1665" s="48"/>
      <c r="H1665" s="48"/>
      <c r="I1665" s="48"/>
      <c r="J1665" s="48"/>
      <c r="K1665" s="48"/>
      <c r="L1665" s="48"/>
      <c r="M1665" s="48"/>
    </row>
    <row r="1666" spans="1:13" ht="15.75" customHeight="1" x14ac:dyDescent="0.25">
      <c r="A1666" s="526"/>
      <c r="B1666" s="533"/>
      <c r="C1666" s="78">
        <v>44</v>
      </c>
      <c r="D1666" s="108">
        <v>40</v>
      </c>
      <c r="E1666" s="115">
        <v>1993</v>
      </c>
      <c r="F1666" s="332">
        <f t="shared" si="491"/>
        <v>26</v>
      </c>
      <c r="G1666" s="48"/>
      <c r="H1666" s="48"/>
      <c r="I1666" s="48"/>
      <c r="J1666" s="48"/>
      <c r="K1666" s="48"/>
      <c r="L1666" s="48"/>
      <c r="M1666" s="48"/>
    </row>
    <row r="1667" spans="1:13" ht="15.75" customHeight="1" x14ac:dyDescent="0.2">
      <c r="A1667" s="525" t="s">
        <v>791</v>
      </c>
      <c r="B1667" s="532" t="s">
        <v>792</v>
      </c>
      <c r="C1667" s="55"/>
      <c r="D1667" s="108"/>
      <c r="E1667" s="115"/>
      <c r="F1667" s="330"/>
      <c r="G1667" s="48"/>
      <c r="H1667" s="48"/>
      <c r="I1667" s="48"/>
      <c r="J1667" s="48"/>
      <c r="K1667" s="48"/>
      <c r="L1667" s="48"/>
      <c r="M1667" s="48"/>
    </row>
    <row r="1668" spans="1:13" ht="15.75" customHeight="1" x14ac:dyDescent="0.25">
      <c r="A1668" s="531"/>
      <c r="B1668" s="540"/>
      <c r="C1668" s="55">
        <v>125</v>
      </c>
      <c r="D1668" s="108">
        <v>219</v>
      </c>
      <c r="E1668" s="115">
        <v>1991</v>
      </c>
      <c r="F1668" s="332">
        <f t="shared" ref="F1668:F1669" si="492">2019-E1668</f>
        <v>28</v>
      </c>
      <c r="G1668" s="48"/>
      <c r="H1668" s="48"/>
      <c r="I1668" s="48"/>
      <c r="J1668" s="48"/>
      <c r="K1668" s="48"/>
      <c r="L1668" s="48"/>
      <c r="M1668" s="48"/>
    </row>
    <row r="1669" spans="1:13" ht="15.75" customHeight="1" x14ac:dyDescent="0.25">
      <c r="A1669" s="526"/>
      <c r="B1669" s="533"/>
      <c r="C1669" s="55">
        <v>125</v>
      </c>
      <c r="D1669" s="108">
        <v>133</v>
      </c>
      <c r="E1669" s="115">
        <v>1991</v>
      </c>
      <c r="F1669" s="332">
        <f t="shared" si="492"/>
        <v>28</v>
      </c>
      <c r="G1669" s="48"/>
      <c r="H1669" s="48"/>
      <c r="I1669" s="48"/>
      <c r="J1669" s="48"/>
      <c r="K1669" s="48"/>
      <c r="L1669" s="48"/>
      <c r="M1669" s="48"/>
    </row>
    <row r="1670" spans="1:13" ht="15.75" customHeight="1" x14ac:dyDescent="0.2">
      <c r="A1670" s="525" t="s">
        <v>793</v>
      </c>
      <c r="B1670" s="532" t="s">
        <v>737</v>
      </c>
      <c r="C1670" s="55"/>
      <c r="D1670" s="108"/>
      <c r="E1670" s="115"/>
      <c r="F1670" s="330"/>
      <c r="G1670" s="48"/>
      <c r="H1670" s="48"/>
      <c r="I1670" s="48"/>
      <c r="J1670" s="48"/>
      <c r="K1670" s="48"/>
      <c r="L1670" s="48"/>
      <c r="M1670" s="48"/>
    </row>
    <row r="1671" spans="1:13" ht="15.75" customHeight="1" x14ac:dyDescent="0.25">
      <c r="A1671" s="531"/>
      <c r="B1671" s="540"/>
      <c r="C1671" s="55">
        <v>60</v>
      </c>
      <c r="D1671" s="108">
        <v>219</v>
      </c>
      <c r="E1671" s="115">
        <v>1992</v>
      </c>
      <c r="F1671" s="332">
        <f t="shared" ref="F1671:F1672" si="493">2019-E1671</f>
        <v>27</v>
      </c>
      <c r="G1671" s="48"/>
      <c r="H1671" s="48"/>
      <c r="I1671" s="48"/>
      <c r="J1671" s="48"/>
      <c r="K1671" s="48"/>
      <c r="L1671" s="48"/>
      <c r="M1671" s="48"/>
    </row>
    <row r="1672" spans="1:13" ht="15.75" customHeight="1" x14ac:dyDescent="0.25">
      <c r="A1672" s="526"/>
      <c r="B1672" s="533"/>
      <c r="C1672" s="55">
        <v>60</v>
      </c>
      <c r="D1672" s="108">
        <v>133</v>
      </c>
      <c r="E1672" s="115">
        <v>1992</v>
      </c>
      <c r="F1672" s="332">
        <f t="shared" si="493"/>
        <v>27</v>
      </c>
      <c r="G1672" s="48"/>
      <c r="H1672" s="48"/>
      <c r="I1672" s="48"/>
      <c r="J1672" s="48"/>
      <c r="K1672" s="48"/>
      <c r="L1672" s="48"/>
      <c r="M1672" s="48"/>
    </row>
    <row r="1673" spans="1:13" ht="15.75" customHeight="1" x14ac:dyDescent="0.2">
      <c r="A1673" s="525" t="s">
        <v>190</v>
      </c>
      <c r="B1673" s="532" t="s">
        <v>771</v>
      </c>
      <c r="C1673" s="55"/>
      <c r="D1673" s="108"/>
      <c r="E1673" s="115"/>
      <c r="F1673" s="330"/>
      <c r="G1673" s="48"/>
      <c r="H1673" s="48"/>
      <c r="I1673" s="48"/>
      <c r="J1673" s="48"/>
      <c r="K1673" s="48"/>
      <c r="L1673" s="48"/>
      <c r="M1673" s="48"/>
    </row>
    <row r="1674" spans="1:13" ht="15.75" customHeight="1" x14ac:dyDescent="0.25">
      <c r="A1674" s="531"/>
      <c r="B1674" s="540"/>
      <c r="C1674" s="78">
        <v>40</v>
      </c>
      <c r="D1674" s="108">
        <v>108</v>
      </c>
      <c r="E1674" s="115">
        <v>1990</v>
      </c>
      <c r="F1674" s="332">
        <f t="shared" ref="F1674:F1675" si="494">2019-E1674</f>
        <v>29</v>
      </c>
      <c r="G1674" s="48"/>
      <c r="H1674" s="48"/>
      <c r="I1674" s="48"/>
      <c r="J1674" s="48"/>
      <c r="K1674" s="48"/>
      <c r="L1674" s="48"/>
      <c r="M1674" s="48"/>
    </row>
    <row r="1675" spans="1:13" ht="15.75" customHeight="1" x14ac:dyDescent="0.25">
      <c r="A1675" s="526"/>
      <c r="B1675" s="533"/>
      <c r="C1675" s="78">
        <v>40</v>
      </c>
      <c r="D1675" s="108">
        <v>76</v>
      </c>
      <c r="E1675" s="115">
        <v>1990</v>
      </c>
      <c r="F1675" s="332">
        <f t="shared" si="494"/>
        <v>29</v>
      </c>
      <c r="G1675" s="48"/>
      <c r="H1675" s="48"/>
      <c r="I1675" s="48"/>
      <c r="J1675" s="48"/>
      <c r="K1675" s="48"/>
      <c r="L1675" s="48"/>
      <c r="M1675" s="48"/>
    </row>
    <row r="1676" spans="1:13" ht="15.75" customHeight="1" x14ac:dyDescent="0.2">
      <c r="A1676" s="525" t="s">
        <v>794</v>
      </c>
      <c r="B1676" s="532" t="s">
        <v>549</v>
      </c>
      <c r="C1676" s="55"/>
      <c r="D1676" s="108"/>
      <c r="E1676" s="115"/>
      <c r="F1676" s="330"/>
      <c r="G1676" s="48"/>
      <c r="H1676" s="48"/>
      <c r="I1676" s="48"/>
      <c r="J1676" s="48"/>
      <c r="K1676" s="48"/>
      <c r="L1676" s="48"/>
      <c r="M1676" s="48"/>
    </row>
    <row r="1677" spans="1:13" ht="15.75" customHeight="1" x14ac:dyDescent="0.25">
      <c r="A1677" s="531"/>
      <c r="B1677" s="540"/>
      <c r="C1677" s="55">
        <v>53</v>
      </c>
      <c r="D1677" s="108">
        <v>219</v>
      </c>
      <c r="E1677" s="115">
        <v>1992</v>
      </c>
      <c r="F1677" s="332">
        <f t="shared" ref="F1677:F1678" si="495">2019-E1677</f>
        <v>27</v>
      </c>
      <c r="G1677" s="48"/>
      <c r="H1677" s="48"/>
      <c r="I1677" s="48"/>
      <c r="J1677" s="48"/>
      <c r="K1677" s="48"/>
      <c r="L1677" s="48"/>
      <c r="M1677" s="48"/>
    </row>
    <row r="1678" spans="1:13" ht="15.75" customHeight="1" x14ac:dyDescent="0.25">
      <c r="A1678" s="526"/>
      <c r="B1678" s="533"/>
      <c r="C1678" s="55">
        <v>53</v>
      </c>
      <c r="D1678" s="108">
        <v>133</v>
      </c>
      <c r="E1678" s="115">
        <v>1992</v>
      </c>
      <c r="F1678" s="332">
        <f t="shared" si="495"/>
        <v>27</v>
      </c>
      <c r="G1678" s="48"/>
      <c r="H1678" s="48"/>
      <c r="I1678" s="48"/>
      <c r="J1678" s="48"/>
      <c r="K1678" s="48"/>
      <c r="L1678" s="48"/>
      <c r="M1678" s="48"/>
    </row>
    <row r="1679" spans="1:13" ht="15.75" customHeight="1" x14ac:dyDescent="0.2">
      <c r="A1679" s="525" t="s">
        <v>795</v>
      </c>
      <c r="B1679" s="532" t="s">
        <v>796</v>
      </c>
      <c r="C1679" s="55"/>
      <c r="D1679" s="108"/>
      <c r="E1679" s="115"/>
      <c r="F1679" s="330"/>
      <c r="G1679" s="48"/>
      <c r="H1679" s="48"/>
      <c r="I1679" s="48"/>
      <c r="J1679" s="48"/>
      <c r="K1679" s="48"/>
      <c r="L1679" s="48"/>
      <c r="M1679" s="48"/>
    </row>
    <row r="1680" spans="1:13" ht="15.75" customHeight="1" x14ac:dyDescent="0.25">
      <c r="A1680" s="531"/>
      <c r="B1680" s="540"/>
      <c r="C1680" s="78">
        <f>2*30</f>
        <v>60</v>
      </c>
      <c r="D1680" s="318">
        <v>57</v>
      </c>
      <c r="E1680" s="115">
        <v>1990</v>
      </c>
      <c r="F1680" s="332">
        <f t="shared" ref="F1680" si="496">2019-E1680</f>
        <v>29</v>
      </c>
      <c r="G1680" s="48"/>
      <c r="H1680" s="48"/>
      <c r="I1680" s="48"/>
      <c r="J1680" s="48"/>
      <c r="K1680" s="48"/>
      <c r="L1680" s="48"/>
      <c r="M1680" s="48"/>
    </row>
    <row r="1681" spans="1:13" ht="15.75" customHeight="1" x14ac:dyDescent="0.2">
      <c r="A1681" s="525" t="s">
        <v>797</v>
      </c>
      <c r="B1681" s="532" t="s">
        <v>195</v>
      </c>
      <c r="C1681" s="55"/>
      <c r="D1681" s="108"/>
      <c r="E1681" s="115"/>
      <c r="F1681" s="330"/>
      <c r="G1681" s="48"/>
      <c r="H1681" s="48"/>
      <c r="I1681" s="48"/>
      <c r="J1681" s="48"/>
      <c r="K1681" s="48"/>
      <c r="L1681" s="48"/>
      <c r="M1681" s="48"/>
    </row>
    <row r="1682" spans="1:13" ht="15.75" customHeight="1" x14ac:dyDescent="0.25">
      <c r="A1682" s="531"/>
      <c r="B1682" s="540"/>
      <c r="C1682" s="55">
        <v>44</v>
      </c>
      <c r="D1682" s="108">
        <v>219</v>
      </c>
      <c r="E1682" s="115">
        <v>1990</v>
      </c>
      <c r="F1682" s="332">
        <f t="shared" ref="F1682:F1683" si="497">2019-E1682</f>
        <v>29</v>
      </c>
      <c r="G1682" s="48"/>
      <c r="H1682" s="48"/>
      <c r="I1682" s="48"/>
      <c r="J1682" s="48"/>
      <c r="K1682" s="48"/>
      <c r="L1682" s="48"/>
      <c r="M1682" s="48"/>
    </row>
    <row r="1683" spans="1:13" ht="15.75" customHeight="1" x14ac:dyDescent="0.25">
      <c r="A1683" s="526"/>
      <c r="B1683" s="533"/>
      <c r="C1683" s="55">
        <v>44</v>
      </c>
      <c r="D1683" s="108">
        <v>133</v>
      </c>
      <c r="E1683" s="115">
        <v>1990</v>
      </c>
      <c r="F1683" s="332">
        <f t="shared" si="497"/>
        <v>29</v>
      </c>
      <c r="G1683" s="48"/>
      <c r="H1683" s="48"/>
      <c r="I1683" s="48"/>
      <c r="J1683" s="48"/>
      <c r="K1683" s="48"/>
      <c r="L1683" s="48"/>
      <c r="M1683" s="48"/>
    </row>
    <row r="1684" spans="1:13" ht="15.75" customHeight="1" x14ac:dyDescent="0.2">
      <c r="A1684" s="525" t="s">
        <v>798</v>
      </c>
      <c r="B1684" s="532" t="s">
        <v>799</v>
      </c>
      <c r="C1684" s="55"/>
      <c r="D1684" s="108"/>
      <c r="E1684" s="115"/>
      <c r="F1684" s="330"/>
      <c r="G1684" s="48"/>
      <c r="H1684" s="48"/>
      <c r="I1684" s="48"/>
      <c r="J1684" s="48"/>
      <c r="K1684" s="48"/>
      <c r="L1684" s="48"/>
      <c r="M1684" s="48"/>
    </row>
    <row r="1685" spans="1:13" ht="15.75" customHeight="1" x14ac:dyDescent="0.25">
      <c r="A1685" s="531"/>
      <c r="B1685" s="540"/>
      <c r="C1685" s="78">
        <v>13</v>
      </c>
      <c r="D1685" s="108">
        <v>40</v>
      </c>
      <c r="E1685" s="115">
        <v>1991</v>
      </c>
      <c r="F1685" s="332">
        <f t="shared" ref="F1685:F1686" si="498">2019-E1685</f>
        <v>28</v>
      </c>
      <c r="G1685" s="48"/>
      <c r="H1685" s="48"/>
      <c r="I1685" s="48"/>
      <c r="J1685" s="48"/>
      <c r="K1685" s="48"/>
      <c r="L1685" s="48"/>
      <c r="M1685" s="48"/>
    </row>
    <row r="1686" spans="1:13" ht="15.75" customHeight="1" x14ac:dyDescent="0.25">
      <c r="A1686" s="526"/>
      <c r="B1686" s="533"/>
      <c r="C1686" s="78">
        <v>13</v>
      </c>
      <c r="D1686" s="108">
        <v>32</v>
      </c>
      <c r="E1686" s="115">
        <v>1991</v>
      </c>
      <c r="F1686" s="332">
        <f t="shared" si="498"/>
        <v>28</v>
      </c>
      <c r="G1686" s="48"/>
      <c r="H1686" s="48"/>
      <c r="I1686" s="48"/>
      <c r="J1686" s="48"/>
      <c r="K1686" s="48"/>
      <c r="L1686" s="48"/>
      <c r="M1686" s="48"/>
    </row>
    <row r="1687" spans="1:13" ht="15.75" customHeight="1" x14ac:dyDescent="0.2">
      <c r="A1687" s="525" t="s">
        <v>767</v>
      </c>
      <c r="B1687" s="532" t="s">
        <v>800</v>
      </c>
      <c r="C1687" s="55"/>
      <c r="D1687" s="108"/>
      <c r="E1687" s="115"/>
      <c r="F1687" s="330"/>
      <c r="G1687" s="48"/>
      <c r="H1687" s="48"/>
      <c r="I1687" s="48"/>
      <c r="J1687" s="48"/>
      <c r="K1687" s="48"/>
      <c r="L1687" s="48"/>
      <c r="M1687" s="48"/>
    </row>
    <row r="1688" spans="1:13" ht="15.75" customHeight="1" x14ac:dyDescent="0.25">
      <c r="A1688" s="531"/>
      <c r="B1688" s="540"/>
      <c r="C1688" s="78">
        <v>12</v>
      </c>
      <c r="D1688" s="108">
        <v>57</v>
      </c>
      <c r="E1688" s="115">
        <v>1991</v>
      </c>
      <c r="F1688" s="332">
        <f t="shared" ref="F1688:F1689" si="499">2019-E1688</f>
        <v>28</v>
      </c>
      <c r="G1688" s="48"/>
      <c r="H1688" s="48"/>
      <c r="I1688" s="48"/>
      <c r="J1688" s="48"/>
      <c r="K1688" s="48"/>
      <c r="L1688" s="48"/>
      <c r="M1688" s="48"/>
    </row>
    <row r="1689" spans="1:13" ht="15.75" customHeight="1" x14ac:dyDescent="0.25">
      <c r="A1689" s="526"/>
      <c r="B1689" s="533"/>
      <c r="C1689" s="78">
        <v>12</v>
      </c>
      <c r="D1689" s="108">
        <v>25</v>
      </c>
      <c r="E1689" s="115">
        <v>1991</v>
      </c>
      <c r="F1689" s="332">
        <f t="shared" si="499"/>
        <v>28</v>
      </c>
      <c r="G1689" s="48"/>
      <c r="H1689" s="48"/>
      <c r="I1689" s="48"/>
      <c r="J1689" s="48"/>
      <c r="K1689" s="48"/>
      <c r="L1689" s="48"/>
      <c r="M1689" s="48"/>
    </row>
    <row r="1690" spans="1:13" ht="15.75" customHeight="1" x14ac:dyDescent="0.2">
      <c r="A1690" s="525" t="s">
        <v>801</v>
      </c>
      <c r="B1690" s="532" t="s">
        <v>802</v>
      </c>
      <c r="C1690" s="78"/>
      <c r="D1690" s="108"/>
      <c r="E1690" s="115"/>
      <c r="F1690" s="330"/>
      <c r="G1690" s="48"/>
      <c r="H1690" s="48"/>
      <c r="I1690" s="48"/>
      <c r="J1690" s="48"/>
      <c r="K1690" s="48"/>
      <c r="L1690" s="48"/>
      <c r="M1690" s="48"/>
    </row>
    <row r="1691" spans="1:13" ht="15.75" customHeight="1" x14ac:dyDescent="0.25">
      <c r="A1691" s="531"/>
      <c r="B1691" s="540"/>
      <c r="C1691" s="78">
        <v>19</v>
      </c>
      <c r="D1691" s="108">
        <v>57</v>
      </c>
      <c r="E1691" s="115">
        <v>1991</v>
      </c>
      <c r="F1691" s="332">
        <f t="shared" ref="F1691:F1692" si="500">2019-E1691</f>
        <v>28</v>
      </c>
      <c r="G1691" s="48"/>
      <c r="H1691" s="48"/>
      <c r="I1691" s="48"/>
      <c r="J1691" s="48"/>
      <c r="K1691" s="48"/>
      <c r="L1691" s="48"/>
      <c r="M1691" s="48"/>
    </row>
    <row r="1692" spans="1:13" ht="15.75" customHeight="1" x14ac:dyDescent="0.25">
      <c r="A1692" s="526"/>
      <c r="B1692" s="533"/>
      <c r="C1692" s="78">
        <v>19</v>
      </c>
      <c r="D1692" s="108">
        <v>40</v>
      </c>
      <c r="E1692" s="115">
        <v>1991</v>
      </c>
      <c r="F1692" s="332">
        <f t="shared" si="500"/>
        <v>28</v>
      </c>
      <c r="G1692" s="48"/>
      <c r="H1692" s="48"/>
      <c r="I1692" s="48"/>
      <c r="J1692" s="48"/>
      <c r="K1692" s="48"/>
      <c r="L1692" s="48"/>
      <c r="M1692" s="48"/>
    </row>
    <row r="1693" spans="1:13" ht="15.75" customHeight="1" x14ac:dyDescent="0.2">
      <c r="A1693" s="525" t="s">
        <v>801</v>
      </c>
      <c r="B1693" s="532" t="s">
        <v>216</v>
      </c>
      <c r="C1693" s="55"/>
      <c r="D1693" s="108"/>
      <c r="E1693" s="115"/>
      <c r="F1693" s="330"/>
      <c r="G1693" s="48"/>
      <c r="H1693" s="48"/>
      <c r="I1693" s="48"/>
      <c r="J1693" s="48"/>
      <c r="K1693" s="48"/>
      <c r="L1693" s="48"/>
      <c r="M1693" s="48"/>
    </row>
    <row r="1694" spans="1:13" ht="15.75" customHeight="1" x14ac:dyDescent="0.25">
      <c r="A1694" s="531"/>
      <c r="B1694" s="540"/>
      <c r="C1694" s="55">
        <v>104</v>
      </c>
      <c r="D1694" s="108">
        <v>219</v>
      </c>
      <c r="E1694" s="115">
        <v>1990</v>
      </c>
      <c r="F1694" s="332">
        <f t="shared" ref="F1694:F1695" si="501">2019-E1694</f>
        <v>29</v>
      </c>
      <c r="G1694" s="48"/>
      <c r="H1694" s="48"/>
      <c r="I1694" s="48"/>
      <c r="J1694" s="48"/>
      <c r="K1694" s="48"/>
      <c r="L1694" s="48"/>
      <c r="M1694" s="48"/>
    </row>
    <row r="1695" spans="1:13" ht="15.75" customHeight="1" x14ac:dyDescent="0.25">
      <c r="A1695" s="526"/>
      <c r="B1695" s="533"/>
      <c r="C1695" s="55">
        <v>104</v>
      </c>
      <c r="D1695" s="108">
        <v>133</v>
      </c>
      <c r="E1695" s="115">
        <v>1990</v>
      </c>
      <c r="F1695" s="332">
        <f t="shared" si="501"/>
        <v>29</v>
      </c>
      <c r="G1695" s="48"/>
      <c r="H1695" s="48"/>
      <c r="I1695" s="48"/>
      <c r="J1695" s="48"/>
      <c r="K1695" s="48"/>
      <c r="L1695" s="48"/>
      <c r="M1695" s="48"/>
    </row>
    <row r="1696" spans="1:13" ht="15.75" customHeight="1" x14ac:dyDescent="0.2">
      <c r="A1696" s="525" t="s">
        <v>803</v>
      </c>
      <c r="B1696" s="532" t="s">
        <v>730</v>
      </c>
      <c r="C1696" s="78"/>
      <c r="D1696" s="108"/>
      <c r="E1696" s="115"/>
      <c r="F1696" s="330"/>
      <c r="G1696" s="48"/>
      <c r="H1696" s="48"/>
      <c r="I1696" s="48"/>
      <c r="J1696" s="48"/>
      <c r="K1696" s="48"/>
      <c r="L1696" s="48"/>
      <c r="M1696" s="48"/>
    </row>
    <row r="1697" spans="1:13" ht="15.75" customHeight="1" x14ac:dyDescent="0.25">
      <c r="A1697" s="531"/>
      <c r="B1697" s="540"/>
      <c r="C1697" s="78">
        <v>18</v>
      </c>
      <c r="D1697" s="108">
        <v>57</v>
      </c>
      <c r="E1697" s="115">
        <v>1992</v>
      </c>
      <c r="F1697" s="332">
        <f t="shared" ref="F1697:F1698" si="502">2019-E1697</f>
        <v>27</v>
      </c>
      <c r="G1697" s="48"/>
      <c r="H1697" s="48"/>
      <c r="I1697" s="48"/>
      <c r="J1697" s="48"/>
      <c r="K1697" s="48"/>
      <c r="L1697" s="48"/>
      <c r="M1697" s="48"/>
    </row>
    <row r="1698" spans="1:13" ht="15.75" customHeight="1" x14ac:dyDescent="0.25">
      <c r="A1698" s="526"/>
      <c r="B1698" s="533"/>
      <c r="C1698" s="78">
        <v>18</v>
      </c>
      <c r="D1698" s="108">
        <v>32</v>
      </c>
      <c r="E1698" s="115">
        <v>1992</v>
      </c>
      <c r="F1698" s="332">
        <f t="shared" si="502"/>
        <v>27</v>
      </c>
      <c r="G1698" s="48"/>
      <c r="H1698" s="48"/>
      <c r="I1698" s="48"/>
      <c r="J1698" s="48"/>
      <c r="K1698" s="48"/>
      <c r="L1698" s="48"/>
      <c r="M1698" s="48"/>
    </row>
    <row r="1699" spans="1:13" ht="15.75" customHeight="1" x14ac:dyDescent="0.2">
      <c r="A1699" s="525" t="s">
        <v>795</v>
      </c>
      <c r="B1699" s="532" t="s">
        <v>804</v>
      </c>
      <c r="C1699" s="55"/>
      <c r="D1699" s="108"/>
      <c r="E1699" s="115"/>
      <c r="F1699" s="330"/>
      <c r="G1699" s="48"/>
      <c r="H1699" s="48"/>
      <c r="I1699" s="48"/>
      <c r="J1699" s="48"/>
      <c r="K1699" s="48"/>
      <c r="L1699" s="48"/>
      <c r="M1699" s="48"/>
    </row>
    <row r="1700" spans="1:13" ht="15.75" customHeight="1" x14ac:dyDescent="0.25">
      <c r="A1700" s="531"/>
      <c r="B1700" s="540"/>
      <c r="C1700" s="78">
        <f>12*2</f>
        <v>24</v>
      </c>
      <c r="D1700" s="318">
        <v>57</v>
      </c>
      <c r="E1700" s="115">
        <v>1991</v>
      </c>
      <c r="F1700" s="332">
        <f t="shared" ref="F1700" si="503">2019-E1700</f>
        <v>28</v>
      </c>
      <c r="G1700" s="48"/>
      <c r="H1700" s="48"/>
      <c r="I1700" s="48"/>
      <c r="J1700" s="48"/>
      <c r="K1700" s="48"/>
      <c r="L1700" s="48"/>
      <c r="M1700" s="48"/>
    </row>
    <row r="1701" spans="1:13" ht="15.75" customHeight="1" x14ac:dyDescent="0.2">
      <c r="A1701" s="525" t="s">
        <v>772</v>
      </c>
      <c r="B1701" s="532" t="s">
        <v>515</v>
      </c>
      <c r="C1701" s="55"/>
      <c r="D1701" s="108"/>
      <c r="E1701" s="115"/>
      <c r="F1701" s="330"/>
      <c r="G1701" s="48"/>
      <c r="H1701" s="48"/>
      <c r="I1701" s="48"/>
      <c r="J1701" s="48"/>
      <c r="K1701" s="48"/>
      <c r="L1701" s="48"/>
      <c r="M1701" s="48"/>
    </row>
    <row r="1702" spans="1:13" ht="15.75" customHeight="1" x14ac:dyDescent="0.25">
      <c r="A1702" s="531"/>
      <c r="B1702" s="540"/>
      <c r="C1702" s="55">
        <v>66</v>
      </c>
      <c r="D1702" s="108">
        <v>89</v>
      </c>
      <c r="E1702" s="115">
        <v>1990</v>
      </c>
      <c r="F1702" s="332">
        <f t="shared" ref="F1702:F1703" si="504">2019-E1702</f>
        <v>29</v>
      </c>
      <c r="G1702" s="48"/>
      <c r="H1702" s="48"/>
      <c r="I1702" s="48"/>
      <c r="J1702" s="48"/>
      <c r="K1702" s="48"/>
      <c r="L1702" s="48"/>
      <c r="M1702" s="48"/>
    </row>
    <row r="1703" spans="1:13" ht="15.75" customHeight="1" x14ac:dyDescent="0.25">
      <c r="A1703" s="526"/>
      <c r="B1703" s="533"/>
      <c r="C1703" s="78">
        <v>66</v>
      </c>
      <c r="D1703" s="108">
        <v>57</v>
      </c>
      <c r="E1703" s="115">
        <v>1990</v>
      </c>
      <c r="F1703" s="332">
        <f t="shared" si="504"/>
        <v>29</v>
      </c>
      <c r="G1703" s="48"/>
      <c r="H1703" s="48"/>
      <c r="I1703" s="48"/>
      <c r="J1703" s="48"/>
      <c r="K1703" s="48"/>
      <c r="L1703" s="48"/>
      <c r="M1703" s="48"/>
    </row>
    <row r="1704" spans="1:13" ht="15.75" customHeight="1" x14ac:dyDescent="0.2">
      <c r="A1704" s="525" t="s">
        <v>805</v>
      </c>
      <c r="B1704" s="525" t="s">
        <v>806</v>
      </c>
      <c r="C1704" s="78"/>
      <c r="D1704" s="108"/>
      <c r="E1704" s="115"/>
      <c r="F1704" s="330"/>
      <c r="G1704" s="48"/>
      <c r="H1704" s="48"/>
      <c r="I1704" s="48"/>
      <c r="J1704" s="48"/>
      <c r="K1704" s="48"/>
      <c r="L1704" s="48"/>
      <c r="M1704" s="48"/>
    </row>
    <row r="1705" spans="1:13" ht="15.75" customHeight="1" x14ac:dyDescent="0.25">
      <c r="A1705" s="531"/>
      <c r="B1705" s="531"/>
      <c r="C1705" s="78">
        <v>11</v>
      </c>
      <c r="D1705" s="108">
        <v>89</v>
      </c>
      <c r="E1705" s="115">
        <v>2001</v>
      </c>
      <c r="F1705" s="332">
        <f t="shared" ref="F1705:F1706" si="505">2019-E1705</f>
        <v>18</v>
      </c>
      <c r="G1705" s="48"/>
      <c r="H1705" s="48"/>
      <c r="I1705" s="48"/>
      <c r="J1705" s="48"/>
      <c r="K1705" s="48"/>
      <c r="L1705" s="48"/>
      <c r="M1705" s="48"/>
    </row>
    <row r="1706" spans="1:13" ht="15.75" customHeight="1" x14ac:dyDescent="0.25">
      <c r="A1706" s="526"/>
      <c r="B1706" s="526"/>
      <c r="C1706" s="78">
        <v>11</v>
      </c>
      <c r="D1706" s="108">
        <v>57</v>
      </c>
      <c r="E1706" s="115">
        <v>2001</v>
      </c>
      <c r="F1706" s="332">
        <f t="shared" si="505"/>
        <v>18</v>
      </c>
      <c r="G1706" s="48"/>
      <c r="H1706" s="48"/>
      <c r="I1706" s="48"/>
      <c r="J1706" s="48"/>
      <c r="K1706" s="48"/>
      <c r="L1706" s="48"/>
      <c r="M1706" s="48"/>
    </row>
    <row r="1707" spans="1:13" ht="15.75" customHeight="1" x14ac:dyDescent="0.2">
      <c r="A1707" s="525" t="s">
        <v>617</v>
      </c>
      <c r="B1707" s="532" t="s">
        <v>788</v>
      </c>
      <c r="C1707" s="55"/>
      <c r="D1707" s="108"/>
      <c r="E1707" s="115"/>
      <c r="F1707" s="330"/>
      <c r="G1707" s="48"/>
      <c r="H1707" s="48"/>
      <c r="I1707" s="48"/>
      <c r="J1707" s="48"/>
      <c r="K1707" s="48"/>
      <c r="L1707" s="48"/>
      <c r="M1707" s="48"/>
    </row>
    <row r="1708" spans="1:13" ht="15.75" customHeight="1" x14ac:dyDescent="0.25">
      <c r="A1708" s="531"/>
      <c r="B1708" s="540"/>
      <c r="C1708" s="78">
        <v>49</v>
      </c>
      <c r="D1708" s="108">
        <v>76</v>
      </c>
      <c r="E1708" s="115">
        <v>1990</v>
      </c>
      <c r="F1708" s="332">
        <f t="shared" ref="F1708:F1709" si="506">2019-E1708</f>
        <v>29</v>
      </c>
      <c r="G1708" s="48"/>
      <c r="H1708" s="48"/>
      <c r="I1708" s="48"/>
      <c r="J1708" s="48"/>
      <c r="K1708" s="48"/>
      <c r="L1708" s="48"/>
      <c r="M1708" s="48"/>
    </row>
    <row r="1709" spans="1:13" ht="15.75" customHeight="1" x14ac:dyDescent="0.25">
      <c r="A1709" s="526"/>
      <c r="B1709" s="533"/>
      <c r="C1709" s="78">
        <v>49</v>
      </c>
      <c r="D1709" s="108">
        <v>57</v>
      </c>
      <c r="E1709" s="115">
        <v>1990</v>
      </c>
      <c r="F1709" s="332">
        <f t="shared" si="506"/>
        <v>29</v>
      </c>
      <c r="G1709" s="48"/>
      <c r="H1709" s="48"/>
      <c r="I1709" s="48"/>
      <c r="J1709" s="48"/>
      <c r="K1709" s="48"/>
      <c r="L1709" s="48"/>
      <c r="M1709" s="48"/>
    </row>
    <row r="1710" spans="1:13" ht="15.75" customHeight="1" x14ac:dyDescent="0.2">
      <c r="A1710" s="525" t="s">
        <v>807</v>
      </c>
      <c r="B1710" s="532" t="s">
        <v>808</v>
      </c>
      <c r="C1710" s="55"/>
      <c r="D1710" s="108"/>
      <c r="E1710" s="115"/>
      <c r="F1710" s="330"/>
      <c r="G1710" s="48"/>
      <c r="H1710" s="48"/>
      <c r="I1710" s="48"/>
      <c r="J1710" s="48"/>
      <c r="K1710" s="48"/>
      <c r="L1710" s="48"/>
      <c r="M1710" s="48"/>
    </row>
    <row r="1711" spans="1:13" ht="15.75" customHeight="1" x14ac:dyDescent="0.25">
      <c r="A1711" s="531"/>
      <c r="B1711" s="540"/>
      <c r="C1711" s="78">
        <f>2*9</f>
        <v>18</v>
      </c>
      <c r="D1711" s="318">
        <v>57</v>
      </c>
      <c r="E1711" s="115">
        <v>1990</v>
      </c>
      <c r="F1711" s="332">
        <f t="shared" ref="F1711" si="507">2019-E1711</f>
        <v>29</v>
      </c>
      <c r="G1711" s="48"/>
      <c r="H1711" s="48"/>
      <c r="I1711" s="48"/>
      <c r="J1711" s="48"/>
      <c r="K1711" s="48"/>
      <c r="L1711" s="48"/>
      <c r="M1711" s="48"/>
    </row>
    <row r="1712" spans="1:13" ht="15.75" customHeight="1" x14ac:dyDescent="0.2">
      <c r="A1712" s="525" t="s">
        <v>781</v>
      </c>
      <c r="B1712" s="532" t="s">
        <v>617</v>
      </c>
      <c r="C1712" s="78"/>
      <c r="D1712" s="108"/>
      <c r="E1712" s="115"/>
      <c r="F1712" s="330"/>
      <c r="G1712" s="48"/>
      <c r="H1712" s="48"/>
      <c r="I1712" s="48"/>
      <c r="J1712" s="48"/>
      <c r="K1712" s="48"/>
      <c r="L1712" s="48"/>
      <c r="M1712" s="48"/>
    </row>
    <row r="1713" spans="1:13" ht="15.75" customHeight="1" x14ac:dyDescent="0.25">
      <c r="A1713" s="531"/>
      <c r="B1713" s="540"/>
      <c r="C1713" s="78">
        <v>29</v>
      </c>
      <c r="D1713" s="108">
        <v>76</v>
      </c>
      <c r="E1713" s="115">
        <v>1990</v>
      </c>
      <c r="F1713" s="332">
        <f t="shared" ref="F1713:F1714" si="508">2019-E1713</f>
        <v>29</v>
      </c>
      <c r="G1713" s="48"/>
      <c r="H1713" s="48"/>
      <c r="I1713" s="48"/>
      <c r="J1713" s="48"/>
      <c r="K1713" s="48"/>
      <c r="L1713" s="48"/>
      <c r="M1713" s="48"/>
    </row>
    <row r="1714" spans="1:13" ht="15.75" customHeight="1" x14ac:dyDescent="0.25">
      <c r="A1714" s="526"/>
      <c r="B1714" s="533"/>
      <c r="C1714" s="78">
        <v>29</v>
      </c>
      <c r="D1714" s="108">
        <v>57</v>
      </c>
      <c r="E1714" s="115">
        <v>1990</v>
      </c>
      <c r="F1714" s="332">
        <f t="shared" si="508"/>
        <v>29</v>
      </c>
      <c r="G1714" s="48"/>
      <c r="H1714" s="48"/>
      <c r="I1714" s="48"/>
      <c r="J1714" s="48"/>
      <c r="K1714" s="48"/>
      <c r="L1714" s="48"/>
      <c r="M1714" s="48"/>
    </row>
    <row r="1715" spans="1:13" ht="15.75" customHeight="1" x14ac:dyDescent="0.2">
      <c r="A1715" s="525" t="s">
        <v>809</v>
      </c>
      <c r="B1715" s="532" t="s">
        <v>810</v>
      </c>
      <c r="C1715" s="55"/>
      <c r="D1715" s="108"/>
      <c r="E1715" s="115"/>
      <c r="F1715" s="330"/>
      <c r="G1715" s="48"/>
      <c r="H1715" s="48"/>
      <c r="I1715" s="48"/>
      <c r="J1715" s="48"/>
      <c r="K1715" s="48"/>
      <c r="L1715" s="48"/>
      <c r="M1715" s="48"/>
    </row>
    <row r="1716" spans="1:13" ht="15.75" customHeight="1" x14ac:dyDescent="0.25">
      <c r="A1716" s="531"/>
      <c r="B1716" s="540"/>
      <c r="C1716" s="78">
        <v>76</v>
      </c>
      <c r="D1716" s="108">
        <v>57</v>
      </c>
      <c r="E1716" s="115">
        <v>1991</v>
      </c>
      <c r="F1716" s="332">
        <f t="shared" ref="F1716:F1717" si="509">2019-E1716</f>
        <v>28</v>
      </c>
      <c r="G1716" s="48"/>
      <c r="H1716" s="48"/>
      <c r="I1716" s="48"/>
      <c r="J1716" s="48"/>
      <c r="K1716" s="48"/>
      <c r="L1716" s="48"/>
      <c r="M1716" s="48"/>
    </row>
    <row r="1717" spans="1:13" ht="15.75" customHeight="1" x14ac:dyDescent="0.25">
      <c r="A1717" s="526"/>
      <c r="B1717" s="533"/>
      <c r="C1717" s="78">
        <v>76</v>
      </c>
      <c r="D1717" s="108">
        <v>25</v>
      </c>
      <c r="E1717" s="115">
        <v>1991</v>
      </c>
      <c r="F1717" s="332">
        <f t="shared" si="509"/>
        <v>28</v>
      </c>
      <c r="G1717" s="48"/>
      <c r="H1717" s="48"/>
      <c r="I1717" s="48"/>
      <c r="J1717" s="48"/>
      <c r="K1717" s="48"/>
      <c r="L1717" s="48"/>
      <c r="M1717" s="48"/>
    </row>
    <row r="1718" spans="1:13" ht="15.75" customHeight="1" x14ac:dyDescent="0.2">
      <c r="A1718" s="525" t="s">
        <v>809</v>
      </c>
      <c r="B1718" s="532" t="s">
        <v>811</v>
      </c>
      <c r="C1718" s="55"/>
      <c r="D1718" s="108"/>
      <c r="E1718" s="115"/>
      <c r="F1718" s="330"/>
      <c r="G1718" s="48"/>
      <c r="H1718" s="48"/>
      <c r="I1718" s="48"/>
      <c r="J1718" s="48"/>
      <c r="K1718" s="48"/>
      <c r="L1718" s="48"/>
      <c r="M1718" s="48"/>
    </row>
    <row r="1719" spans="1:13" ht="15.75" customHeight="1" x14ac:dyDescent="0.25">
      <c r="A1719" s="531"/>
      <c r="B1719" s="540"/>
      <c r="C1719" s="78">
        <v>14</v>
      </c>
      <c r="D1719" s="108">
        <v>57</v>
      </c>
      <c r="E1719" s="115">
        <v>1991</v>
      </c>
      <c r="F1719" s="332">
        <f t="shared" ref="F1719:F1720" si="510">2019-E1719</f>
        <v>28</v>
      </c>
      <c r="G1719" s="48"/>
      <c r="H1719" s="48"/>
      <c r="I1719" s="48"/>
      <c r="J1719" s="48"/>
      <c r="K1719" s="48"/>
      <c r="L1719" s="48"/>
      <c r="M1719" s="48"/>
    </row>
    <row r="1720" spans="1:13" ht="15.75" customHeight="1" x14ac:dyDescent="0.25">
      <c r="A1720" s="526"/>
      <c r="B1720" s="533"/>
      <c r="C1720" s="78">
        <v>14</v>
      </c>
      <c r="D1720" s="108">
        <v>25</v>
      </c>
      <c r="E1720" s="115">
        <v>1991</v>
      </c>
      <c r="F1720" s="332">
        <f t="shared" si="510"/>
        <v>28</v>
      </c>
      <c r="G1720" s="48"/>
      <c r="H1720" s="48"/>
      <c r="I1720" s="48"/>
      <c r="J1720" s="48"/>
      <c r="K1720" s="48"/>
      <c r="L1720" s="48"/>
      <c r="M1720" s="48"/>
    </row>
    <row r="1721" spans="1:13" ht="15.75" customHeight="1" x14ac:dyDescent="0.2">
      <c r="A1721" s="525" t="s">
        <v>812</v>
      </c>
      <c r="B1721" s="532" t="s">
        <v>813</v>
      </c>
      <c r="C1721" s="55"/>
      <c r="D1721" s="108"/>
      <c r="E1721" s="115"/>
      <c r="F1721" s="330"/>
      <c r="G1721" s="48"/>
      <c r="H1721" s="48"/>
      <c r="I1721" s="48"/>
      <c r="J1721" s="48"/>
      <c r="K1721" s="48"/>
      <c r="L1721" s="48"/>
      <c r="M1721" s="48"/>
    </row>
    <row r="1722" spans="1:13" ht="15.75" customHeight="1" x14ac:dyDescent="0.25">
      <c r="A1722" s="531"/>
      <c r="B1722" s="540"/>
      <c r="C1722" s="55">
        <f>2*49</f>
        <v>98</v>
      </c>
      <c r="D1722" s="318">
        <v>89</v>
      </c>
      <c r="E1722" s="115">
        <v>1991</v>
      </c>
      <c r="F1722" s="332">
        <f t="shared" ref="F1722" si="511">2019-E1722</f>
        <v>28</v>
      </c>
      <c r="G1722" s="48"/>
      <c r="H1722" s="48"/>
      <c r="I1722" s="48"/>
      <c r="J1722" s="48"/>
      <c r="K1722" s="48"/>
      <c r="L1722" s="48"/>
      <c r="M1722" s="48"/>
    </row>
    <row r="1723" spans="1:13" ht="15.75" customHeight="1" x14ac:dyDescent="0.2">
      <c r="A1723" s="525" t="s">
        <v>814</v>
      </c>
      <c r="B1723" s="532" t="s">
        <v>815</v>
      </c>
      <c r="C1723" s="78"/>
      <c r="D1723" s="108"/>
      <c r="E1723" s="115"/>
      <c r="F1723" s="330"/>
      <c r="G1723" s="48"/>
      <c r="H1723" s="48"/>
      <c r="I1723" s="48"/>
      <c r="J1723" s="48"/>
      <c r="K1723" s="48"/>
      <c r="L1723" s="48"/>
      <c r="M1723" s="48"/>
    </row>
    <row r="1724" spans="1:13" ht="15.75" customHeight="1" x14ac:dyDescent="0.25">
      <c r="A1724" s="531"/>
      <c r="B1724" s="540"/>
      <c r="C1724" s="55">
        <v>72</v>
      </c>
      <c r="D1724" s="108">
        <v>89</v>
      </c>
      <c r="E1724" s="115">
        <v>1991</v>
      </c>
      <c r="F1724" s="332">
        <f t="shared" ref="F1724:F1725" si="512">2019-E1724</f>
        <v>28</v>
      </c>
      <c r="G1724" s="48"/>
      <c r="H1724" s="48"/>
      <c r="I1724" s="48"/>
      <c r="J1724" s="48"/>
      <c r="K1724" s="48"/>
      <c r="L1724" s="48"/>
      <c r="M1724" s="48"/>
    </row>
    <row r="1725" spans="1:13" ht="15.75" customHeight="1" x14ac:dyDescent="0.25">
      <c r="A1725" s="526"/>
      <c r="B1725" s="533"/>
      <c r="C1725" s="78">
        <v>72</v>
      </c>
      <c r="D1725" s="108">
        <v>57</v>
      </c>
      <c r="E1725" s="115">
        <v>1991</v>
      </c>
      <c r="F1725" s="332">
        <f t="shared" si="512"/>
        <v>28</v>
      </c>
      <c r="G1725" s="48"/>
      <c r="H1725" s="48"/>
      <c r="I1725" s="48"/>
      <c r="J1725" s="48"/>
      <c r="K1725" s="48"/>
      <c r="L1725" s="48"/>
      <c r="M1725" s="48"/>
    </row>
    <row r="1726" spans="1:13" ht="15.75" customHeight="1" x14ac:dyDescent="0.2">
      <c r="A1726" s="525" t="s">
        <v>769</v>
      </c>
      <c r="B1726" s="532" t="s">
        <v>190</v>
      </c>
      <c r="C1726" s="55"/>
      <c r="D1726" s="108"/>
      <c r="E1726" s="115"/>
      <c r="F1726" s="330"/>
      <c r="G1726" s="48"/>
      <c r="H1726" s="48"/>
      <c r="I1726" s="48"/>
      <c r="J1726" s="48"/>
      <c r="K1726" s="48"/>
      <c r="L1726" s="48"/>
      <c r="M1726" s="48"/>
    </row>
    <row r="1727" spans="1:13" ht="15.75" customHeight="1" x14ac:dyDescent="0.25">
      <c r="A1727" s="531"/>
      <c r="B1727" s="540"/>
      <c r="C1727" s="55">
        <v>71</v>
      </c>
      <c r="D1727" s="108">
        <v>219</v>
      </c>
      <c r="E1727" s="115">
        <v>1990</v>
      </c>
      <c r="F1727" s="332">
        <f t="shared" ref="F1727:F1728" si="513">2019-E1727</f>
        <v>29</v>
      </c>
      <c r="G1727" s="48"/>
      <c r="H1727" s="48"/>
      <c r="I1727" s="48"/>
      <c r="J1727" s="48"/>
      <c r="K1727" s="48"/>
      <c r="L1727" s="48"/>
      <c r="M1727" s="48"/>
    </row>
    <row r="1728" spans="1:13" ht="15.75" customHeight="1" x14ac:dyDescent="0.25">
      <c r="A1728" s="526"/>
      <c r="B1728" s="533"/>
      <c r="C1728" s="55">
        <v>71</v>
      </c>
      <c r="D1728" s="108">
        <v>133</v>
      </c>
      <c r="E1728" s="115">
        <v>1990</v>
      </c>
      <c r="F1728" s="332">
        <f t="shared" si="513"/>
        <v>29</v>
      </c>
      <c r="G1728" s="48"/>
      <c r="H1728" s="48"/>
      <c r="I1728" s="48"/>
      <c r="J1728" s="48"/>
      <c r="K1728" s="48"/>
      <c r="L1728" s="48"/>
      <c r="M1728" s="48"/>
    </row>
    <row r="1729" spans="1:13" s="92" customFormat="1" ht="15.75" customHeight="1" x14ac:dyDescent="0.2">
      <c r="A1729" s="525" t="s">
        <v>816</v>
      </c>
      <c r="B1729" s="532" t="s">
        <v>817</v>
      </c>
      <c r="C1729" s="78"/>
      <c r="D1729" s="108"/>
      <c r="E1729" s="115"/>
      <c r="F1729" s="330"/>
    </row>
    <row r="1730" spans="1:13" s="92" customFormat="1" ht="15.75" customHeight="1" x14ac:dyDescent="0.25">
      <c r="A1730" s="531"/>
      <c r="B1730" s="540"/>
      <c r="C1730" s="55">
        <v>193</v>
      </c>
      <c r="D1730" s="108">
        <v>133</v>
      </c>
      <c r="E1730" s="115">
        <v>1990</v>
      </c>
      <c r="F1730" s="332">
        <f t="shared" ref="F1730:F1731" si="514">2019-E1730</f>
        <v>29</v>
      </c>
    </row>
    <row r="1731" spans="1:13" s="92" customFormat="1" ht="15.75" customHeight="1" x14ac:dyDescent="0.25">
      <c r="A1731" s="526"/>
      <c r="B1731" s="533"/>
      <c r="C1731" s="55">
        <v>193</v>
      </c>
      <c r="D1731" s="108">
        <v>89</v>
      </c>
      <c r="E1731" s="115">
        <v>1990</v>
      </c>
      <c r="F1731" s="332">
        <f t="shared" si="514"/>
        <v>29</v>
      </c>
    </row>
    <row r="1732" spans="1:13" s="92" customFormat="1" ht="15.75" customHeight="1" x14ac:dyDescent="0.2">
      <c r="A1732" s="525" t="s">
        <v>815</v>
      </c>
      <c r="B1732" s="532" t="s">
        <v>818</v>
      </c>
      <c r="C1732" s="55"/>
      <c r="D1732" s="108"/>
      <c r="E1732" s="115"/>
      <c r="F1732" s="331"/>
    </row>
    <row r="1733" spans="1:13" ht="15.75" customHeight="1" x14ac:dyDescent="0.25">
      <c r="A1733" s="531"/>
      <c r="B1733" s="540"/>
      <c r="C1733" s="78">
        <v>12</v>
      </c>
      <c r="D1733" s="108">
        <v>57</v>
      </c>
      <c r="E1733" s="115">
        <v>1992</v>
      </c>
      <c r="F1733" s="332">
        <f t="shared" ref="F1733:F1734" si="515">2019-E1733</f>
        <v>27</v>
      </c>
      <c r="G1733" s="48"/>
      <c r="H1733" s="48"/>
      <c r="I1733" s="48"/>
      <c r="J1733" s="48"/>
      <c r="K1733" s="48"/>
      <c r="L1733" s="48"/>
      <c r="M1733" s="48"/>
    </row>
    <row r="1734" spans="1:13" ht="15.75" customHeight="1" x14ac:dyDescent="0.25">
      <c r="A1734" s="526"/>
      <c r="B1734" s="533"/>
      <c r="C1734" s="78">
        <v>12</v>
      </c>
      <c r="D1734" s="108">
        <v>40</v>
      </c>
      <c r="E1734" s="115">
        <v>1992</v>
      </c>
      <c r="F1734" s="332">
        <f t="shared" si="515"/>
        <v>27</v>
      </c>
      <c r="G1734" s="48"/>
      <c r="H1734" s="48"/>
      <c r="I1734" s="48"/>
      <c r="J1734" s="48"/>
      <c r="K1734" s="48"/>
      <c r="L1734" s="48"/>
      <c r="M1734" s="48"/>
    </row>
    <row r="1735" spans="1:13" ht="15.75" customHeight="1" x14ac:dyDescent="0.2">
      <c r="A1735" s="525" t="s">
        <v>814</v>
      </c>
      <c r="B1735" s="532" t="s">
        <v>819</v>
      </c>
      <c r="C1735" s="55"/>
      <c r="D1735" s="108"/>
      <c r="E1735" s="115"/>
      <c r="F1735" s="330"/>
      <c r="G1735" s="48"/>
      <c r="H1735" s="48"/>
      <c r="I1735" s="48"/>
      <c r="J1735" s="48"/>
      <c r="K1735" s="48"/>
      <c r="L1735" s="48"/>
      <c r="M1735" s="48"/>
    </row>
    <row r="1736" spans="1:13" ht="15.75" customHeight="1" x14ac:dyDescent="0.25">
      <c r="A1736" s="531"/>
      <c r="B1736" s="540"/>
      <c r="C1736" s="78">
        <v>12</v>
      </c>
      <c r="D1736" s="108">
        <v>57</v>
      </c>
      <c r="E1736" s="115">
        <v>1992</v>
      </c>
      <c r="F1736" s="332">
        <f t="shared" ref="F1736:F1737" si="516">2019-E1736</f>
        <v>27</v>
      </c>
      <c r="G1736" s="48"/>
      <c r="H1736" s="48"/>
      <c r="I1736" s="48"/>
      <c r="J1736" s="48"/>
      <c r="K1736" s="48"/>
      <c r="L1736" s="48"/>
      <c r="M1736" s="48"/>
    </row>
    <row r="1737" spans="1:13" ht="15.75" customHeight="1" x14ac:dyDescent="0.25">
      <c r="A1737" s="526"/>
      <c r="B1737" s="533"/>
      <c r="C1737" s="78">
        <v>12</v>
      </c>
      <c r="D1737" s="108">
        <v>40</v>
      </c>
      <c r="E1737" s="115">
        <v>1992</v>
      </c>
      <c r="F1737" s="332">
        <f t="shared" si="516"/>
        <v>27</v>
      </c>
      <c r="G1737" s="48"/>
      <c r="H1737" s="48"/>
      <c r="I1737" s="48"/>
      <c r="J1737" s="48"/>
      <c r="K1737" s="48"/>
      <c r="L1737" s="48"/>
      <c r="M1737" s="48"/>
    </row>
    <row r="1738" spans="1:13" ht="15.75" customHeight="1" x14ac:dyDescent="0.2">
      <c r="A1738" s="525" t="s">
        <v>820</v>
      </c>
      <c r="B1738" s="532" t="s">
        <v>821</v>
      </c>
      <c r="C1738" s="55"/>
      <c r="D1738" s="108"/>
      <c r="E1738" s="115"/>
      <c r="F1738" s="330"/>
      <c r="G1738" s="48"/>
      <c r="H1738" s="48"/>
      <c r="I1738" s="48"/>
      <c r="J1738" s="48"/>
      <c r="K1738" s="48"/>
      <c r="L1738" s="48"/>
      <c r="M1738" s="48"/>
    </row>
    <row r="1739" spans="1:13" ht="15.75" customHeight="1" x14ac:dyDescent="0.25">
      <c r="A1739" s="531"/>
      <c r="B1739" s="540"/>
      <c r="C1739" s="78">
        <f>2*66</f>
        <v>132</v>
      </c>
      <c r="D1739" s="318">
        <v>40</v>
      </c>
      <c r="E1739" s="115">
        <v>1992</v>
      </c>
      <c r="F1739" s="332">
        <f t="shared" ref="F1739" si="517">2019-E1739</f>
        <v>27</v>
      </c>
      <c r="G1739" s="48"/>
      <c r="H1739" s="48"/>
      <c r="I1739" s="48"/>
      <c r="J1739" s="48"/>
      <c r="K1739" s="48"/>
      <c r="L1739" s="48"/>
      <c r="M1739" s="48"/>
    </row>
    <row r="1740" spans="1:13" ht="15.75" customHeight="1" x14ac:dyDescent="0.2">
      <c r="A1740" s="525" t="s">
        <v>822</v>
      </c>
      <c r="B1740" s="532" t="s">
        <v>823</v>
      </c>
      <c r="C1740" s="55"/>
      <c r="D1740" s="108"/>
      <c r="E1740" s="115"/>
      <c r="F1740" s="330"/>
      <c r="G1740" s="48"/>
      <c r="H1740" s="48"/>
      <c r="I1740" s="48"/>
      <c r="J1740" s="48"/>
      <c r="K1740" s="48"/>
      <c r="L1740" s="48"/>
      <c r="M1740" s="48"/>
    </row>
    <row r="1741" spans="1:13" ht="15.75" customHeight="1" x14ac:dyDescent="0.25">
      <c r="A1741" s="531"/>
      <c r="B1741" s="540"/>
      <c r="C1741" s="55">
        <v>36</v>
      </c>
      <c r="D1741" s="108">
        <v>89</v>
      </c>
      <c r="E1741" s="115">
        <v>1991</v>
      </c>
      <c r="F1741" s="332">
        <f t="shared" ref="F1741:F1742" si="518">2019-E1741</f>
        <v>28</v>
      </c>
      <c r="G1741" s="48"/>
      <c r="H1741" s="48"/>
      <c r="I1741" s="48"/>
      <c r="J1741" s="48"/>
      <c r="K1741" s="48"/>
      <c r="L1741" s="48"/>
      <c r="M1741" s="48"/>
    </row>
    <row r="1742" spans="1:13" ht="15.75" customHeight="1" x14ac:dyDescent="0.25">
      <c r="A1742" s="526"/>
      <c r="B1742" s="533"/>
      <c r="C1742" s="78">
        <v>36</v>
      </c>
      <c r="D1742" s="108">
        <v>57</v>
      </c>
      <c r="E1742" s="115">
        <v>1991</v>
      </c>
      <c r="F1742" s="332">
        <f t="shared" si="518"/>
        <v>28</v>
      </c>
      <c r="G1742" s="48"/>
      <c r="H1742" s="48"/>
      <c r="I1742" s="48"/>
      <c r="J1742" s="48"/>
      <c r="K1742" s="48"/>
      <c r="L1742" s="48"/>
      <c r="M1742" s="48"/>
    </row>
    <row r="1743" spans="1:13" ht="15.75" customHeight="1" x14ac:dyDescent="0.2">
      <c r="A1743" s="525" t="s">
        <v>803</v>
      </c>
      <c r="B1743" s="532" t="s">
        <v>824</v>
      </c>
      <c r="C1743" s="78"/>
      <c r="D1743" s="108"/>
      <c r="E1743" s="115"/>
      <c r="F1743" s="330"/>
      <c r="G1743" s="48"/>
      <c r="H1743" s="48"/>
      <c r="I1743" s="48"/>
      <c r="J1743" s="48"/>
      <c r="K1743" s="48"/>
      <c r="L1743" s="48"/>
      <c r="M1743" s="48"/>
    </row>
    <row r="1744" spans="1:13" ht="15.75" customHeight="1" x14ac:dyDescent="0.25">
      <c r="A1744" s="531"/>
      <c r="B1744" s="540"/>
      <c r="C1744" s="78">
        <v>17</v>
      </c>
      <c r="D1744" s="108">
        <v>57</v>
      </c>
      <c r="E1744" s="115">
        <v>1992</v>
      </c>
      <c r="F1744" s="332">
        <f t="shared" ref="F1744:F1745" si="519">2019-E1744</f>
        <v>27</v>
      </c>
      <c r="G1744" s="48"/>
      <c r="H1744" s="48"/>
      <c r="I1744" s="48"/>
      <c r="J1744" s="48"/>
      <c r="K1744" s="48"/>
      <c r="L1744" s="48"/>
      <c r="M1744" s="48"/>
    </row>
    <row r="1745" spans="1:13" ht="15.75" customHeight="1" x14ac:dyDescent="0.25">
      <c r="A1745" s="526"/>
      <c r="B1745" s="533"/>
      <c r="C1745" s="78">
        <v>17</v>
      </c>
      <c r="D1745" s="108">
        <v>32</v>
      </c>
      <c r="E1745" s="115">
        <v>1992</v>
      </c>
      <c r="F1745" s="332">
        <f t="shared" si="519"/>
        <v>27</v>
      </c>
      <c r="G1745" s="48"/>
      <c r="H1745" s="48"/>
      <c r="I1745" s="48"/>
      <c r="J1745" s="48"/>
      <c r="K1745" s="48"/>
      <c r="L1745" s="48"/>
      <c r="M1745" s="48"/>
    </row>
    <row r="1746" spans="1:13" ht="15.75" customHeight="1" x14ac:dyDescent="0.2">
      <c r="A1746" s="525" t="s">
        <v>825</v>
      </c>
      <c r="B1746" s="532" t="s">
        <v>393</v>
      </c>
      <c r="C1746" s="55"/>
      <c r="D1746" s="108"/>
      <c r="E1746" s="115"/>
      <c r="F1746" s="330"/>
      <c r="G1746" s="48"/>
      <c r="H1746" s="48"/>
      <c r="I1746" s="48"/>
      <c r="J1746" s="48"/>
      <c r="K1746" s="48"/>
      <c r="L1746" s="48"/>
      <c r="M1746" s="48"/>
    </row>
    <row r="1747" spans="1:13" ht="15.75" customHeight="1" x14ac:dyDescent="0.25">
      <c r="A1747" s="531"/>
      <c r="B1747" s="540"/>
      <c r="C1747" s="55">
        <v>99</v>
      </c>
      <c r="D1747" s="108">
        <v>219</v>
      </c>
      <c r="E1747" s="115">
        <v>1990</v>
      </c>
      <c r="F1747" s="332">
        <f t="shared" ref="F1747:F1748" si="520">2019-E1747</f>
        <v>29</v>
      </c>
      <c r="G1747" s="48"/>
      <c r="H1747" s="48"/>
      <c r="I1747" s="48"/>
      <c r="J1747" s="48"/>
      <c r="K1747" s="48"/>
      <c r="L1747" s="48"/>
      <c r="M1747" s="48"/>
    </row>
    <row r="1748" spans="1:13" ht="15.75" customHeight="1" x14ac:dyDescent="0.25">
      <c r="A1748" s="526"/>
      <c r="B1748" s="533"/>
      <c r="C1748" s="55">
        <v>99</v>
      </c>
      <c r="D1748" s="108">
        <v>133</v>
      </c>
      <c r="E1748" s="115">
        <v>1990</v>
      </c>
      <c r="F1748" s="332">
        <f t="shared" si="520"/>
        <v>29</v>
      </c>
      <c r="G1748" s="48"/>
      <c r="H1748" s="48"/>
      <c r="I1748" s="48"/>
      <c r="J1748" s="48"/>
      <c r="K1748" s="48"/>
      <c r="L1748" s="48"/>
      <c r="M1748" s="48"/>
    </row>
    <row r="1749" spans="1:13" ht="15.75" customHeight="1" x14ac:dyDescent="0.2">
      <c r="A1749" s="525" t="s">
        <v>826</v>
      </c>
      <c r="B1749" s="532" t="s">
        <v>827</v>
      </c>
      <c r="C1749" s="55"/>
      <c r="D1749" s="108"/>
      <c r="E1749" s="115"/>
      <c r="F1749" s="330"/>
      <c r="G1749" s="48"/>
      <c r="H1749" s="48"/>
      <c r="I1749" s="48"/>
      <c r="J1749" s="48"/>
      <c r="K1749" s="48"/>
      <c r="L1749" s="48"/>
      <c r="M1749" s="48"/>
    </row>
    <row r="1750" spans="1:13" ht="15.75" customHeight="1" x14ac:dyDescent="0.25">
      <c r="A1750" s="531"/>
      <c r="B1750" s="540"/>
      <c r="C1750" s="78">
        <v>9</v>
      </c>
      <c r="D1750" s="108">
        <v>57</v>
      </c>
      <c r="E1750" s="115">
        <v>1990</v>
      </c>
      <c r="F1750" s="332">
        <f t="shared" ref="F1750:F1751" si="521">2019-E1750</f>
        <v>29</v>
      </c>
      <c r="G1750" s="48"/>
      <c r="H1750" s="48"/>
      <c r="I1750" s="48"/>
      <c r="J1750" s="48"/>
      <c r="K1750" s="48"/>
      <c r="L1750" s="48"/>
      <c r="M1750" s="48"/>
    </row>
    <row r="1751" spans="1:13" ht="15.75" customHeight="1" x14ac:dyDescent="0.25">
      <c r="A1751" s="526"/>
      <c r="B1751" s="533"/>
      <c r="C1751" s="78">
        <v>9</v>
      </c>
      <c r="D1751" s="108">
        <v>40</v>
      </c>
      <c r="E1751" s="115">
        <v>1990</v>
      </c>
      <c r="F1751" s="332">
        <f t="shared" si="521"/>
        <v>29</v>
      </c>
      <c r="G1751" s="48"/>
      <c r="H1751" s="48"/>
      <c r="I1751" s="48"/>
      <c r="J1751" s="48"/>
      <c r="K1751" s="48"/>
      <c r="L1751" s="48"/>
      <c r="M1751" s="48"/>
    </row>
    <row r="1752" spans="1:13" ht="15.75" customHeight="1" x14ac:dyDescent="0.2">
      <c r="A1752" s="525" t="s">
        <v>812</v>
      </c>
      <c r="B1752" s="532" t="s">
        <v>828</v>
      </c>
      <c r="C1752" s="55"/>
      <c r="D1752" s="108"/>
      <c r="E1752" s="115"/>
      <c r="F1752" s="330"/>
      <c r="G1752" s="48"/>
      <c r="H1752" s="48"/>
      <c r="I1752" s="48"/>
      <c r="J1752" s="48"/>
      <c r="K1752" s="48"/>
      <c r="L1752" s="48"/>
      <c r="M1752" s="48"/>
    </row>
    <row r="1753" spans="1:13" ht="15.75" customHeight="1" x14ac:dyDescent="0.25">
      <c r="A1753" s="531"/>
      <c r="B1753" s="540"/>
      <c r="C1753" s="55">
        <v>35</v>
      </c>
      <c r="D1753" s="108">
        <v>219</v>
      </c>
      <c r="E1753" s="115">
        <v>1991</v>
      </c>
      <c r="F1753" s="332">
        <f t="shared" ref="F1753:F1754" si="522">2019-E1753</f>
        <v>28</v>
      </c>
      <c r="G1753" s="48"/>
      <c r="H1753" s="48"/>
      <c r="I1753" s="48"/>
      <c r="J1753" s="48"/>
      <c r="K1753" s="48"/>
      <c r="L1753" s="48"/>
      <c r="M1753" s="48"/>
    </row>
    <row r="1754" spans="1:13" ht="15.75" customHeight="1" x14ac:dyDescent="0.25">
      <c r="A1754" s="526"/>
      <c r="B1754" s="533"/>
      <c r="C1754" s="55">
        <v>35</v>
      </c>
      <c r="D1754" s="108">
        <v>133</v>
      </c>
      <c r="E1754" s="115">
        <v>1991</v>
      </c>
      <c r="F1754" s="332">
        <f t="shared" si="522"/>
        <v>28</v>
      </c>
      <c r="G1754" s="48"/>
      <c r="H1754" s="48"/>
      <c r="I1754" s="48"/>
      <c r="J1754" s="48"/>
      <c r="K1754" s="48"/>
      <c r="L1754" s="48"/>
      <c r="M1754" s="48"/>
    </row>
    <row r="1755" spans="1:13" ht="15.75" customHeight="1" x14ac:dyDescent="0.2">
      <c r="A1755" s="525" t="s">
        <v>829</v>
      </c>
      <c r="B1755" s="532" t="s">
        <v>777</v>
      </c>
      <c r="C1755" s="55"/>
      <c r="D1755" s="108"/>
      <c r="E1755" s="115"/>
      <c r="F1755" s="330"/>
      <c r="G1755" s="48"/>
      <c r="H1755" s="48"/>
      <c r="I1755" s="48"/>
      <c r="J1755" s="48"/>
      <c r="K1755" s="48"/>
      <c r="L1755" s="48"/>
      <c r="M1755" s="48"/>
    </row>
    <row r="1756" spans="1:13" ht="15.75" customHeight="1" x14ac:dyDescent="0.25">
      <c r="A1756" s="531"/>
      <c r="B1756" s="540"/>
      <c r="C1756" s="78">
        <v>116</v>
      </c>
      <c r="D1756" s="108">
        <v>108</v>
      </c>
      <c r="E1756" s="115">
        <v>1992</v>
      </c>
      <c r="F1756" s="332">
        <f t="shared" ref="F1756:F1757" si="523">2019-E1756</f>
        <v>27</v>
      </c>
      <c r="G1756" s="48"/>
      <c r="H1756" s="48"/>
      <c r="I1756" s="48"/>
      <c r="J1756" s="48"/>
      <c r="K1756" s="48"/>
      <c r="L1756" s="48"/>
      <c r="M1756" s="48"/>
    </row>
    <row r="1757" spans="1:13" ht="15.75" customHeight="1" x14ac:dyDescent="0.25">
      <c r="A1757" s="526"/>
      <c r="B1757" s="533"/>
      <c r="C1757" s="78">
        <v>116</v>
      </c>
      <c r="D1757" s="108">
        <v>76</v>
      </c>
      <c r="E1757" s="115">
        <v>1992</v>
      </c>
      <c r="F1757" s="332">
        <f t="shared" si="523"/>
        <v>27</v>
      </c>
      <c r="G1757" s="48"/>
      <c r="H1757" s="48"/>
      <c r="I1757" s="48"/>
      <c r="J1757" s="48"/>
      <c r="K1757" s="48"/>
      <c r="L1757" s="48"/>
      <c r="M1757" s="48"/>
    </row>
    <row r="1758" spans="1:13" ht="15.75" customHeight="1" x14ac:dyDescent="0.2">
      <c r="A1758" s="534" t="s">
        <v>256</v>
      </c>
      <c r="B1758" s="541" t="s">
        <v>391</v>
      </c>
      <c r="C1758" s="53"/>
      <c r="D1758" s="108"/>
      <c r="E1758" s="115"/>
      <c r="F1758" s="330"/>
      <c r="G1758" s="48"/>
      <c r="H1758" s="48"/>
      <c r="I1758" s="48"/>
      <c r="J1758" s="48"/>
      <c r="K1758" s="48"/>
      <c r="L1758" s="48"/>
      <c r="M1758" s="48"/>
    </row>
    <row r="1759" spans="1:13" x14ac:dyDescent="0.25">
      <c r="A1759" s="536"/>
      <c r="B1759" s="542"/>
      <c r="C1759" s="55">
        <v>13</v>
      </c>
      <c r="D1759" s="108">
        <v>219</v>
      </c>
      <c r="E1759" s="115">
        <v>1990</v>
      </c>
      <c r="F1759" s="332">
        <f t="shared" ref="F1759:F1760" si="524">2019-E1759</f>
        <v>29</v>
      </c>
      <c r="G1759" s="48"/>
      <c r="H1759" s="48"/>
      <c r="I1759" s="48"/>
      <c r="J1759" s="48"/>
      <c r="K1759" s="48"/>
      <c r="L1759" s="48"/>
      <c r="M1759" s="48"/>
    </row>
    <row r="1760" spans="1:13" x14ac:dyDescent="0.25">
      <c r="A1760" s="535"/>
      <c r="B1760" s="543"/>
      <c r="C1760" s="55">
        <v>13</v>
      </c>
      <c r="D1760" s="108">
        <v>133</v>
      </c>
      <c r="E1760" s="115">
        <v>1990</v>
      </c>
      <c r="F1760" s="332">
        <f t="shared" si="524"/>
        <v>29</v>
      </c>
      <c r="G1760" s="48"/>
      <c r="H1760" s="48"/>
      <c r="I1760" s="48"/>
      <c r="J1760" s="48"/>
      <c r="K1760" s="48"/>
      <c r="L1760" s="48"/>
      <c r="M1760" s="48"/>
    </row>
    <row r="1761" spans="1:13" ht="15.75" customHeight="1" x14ac:dyDescent="0.2">
      <c r="A1761" s="525" t="s">
        <v>190</v>
      </c>
      <c r="B1761" s="532" t="s">
        <v>830</v>
      </c>
      <c r="C1761" s="55"/>
      <c r="D1761" s="108"/>
      <c r="E1761" s="114"/>
      <c r="F1761" s="330"/>
      <c r="G1761" s="48"/>
      <c r="H1761" s="48"/>
      <c r="I1761" s="48"/>
      <c r="J1761" s="48"/>
      <c r="K1761" s="48"/>
      <c r="L1761" s="48"/>
      <c r="M1761" s="48"/>
    </row>
    <row r="1762" spans="1:13" ht="15.75" customHeight="1" x14ac:dyDescent="0.25">
      <c r="A1762" s="531"/>
      <c r="B1762" s="540"/>
      <c r="C1762" s="78">
        <v>6</v>
      </c>
      <c r="D1762" s="108">
        <v>57</v>
      </c>
      <c r="E1762" s="114">
        <v>1993</v>
      </c>
      <c r="F1762" s="332">
        <f t="shared" ref="F1762:F1763" si="525">2019-E1762</f>
        <v>26</v>
      </c>
      <c r="G1762" s="48"/>
      <c r="H1762" s="48"/>
      <c r="I1762" s="48"/>
      <c r="J1762" s="48"/>
      <c r="K1762" s="48"/>
      <c r="L1762" s="48"/>
      <c r="M1762" s="48"/>
    </row>
    <row r="1763" spans="1:13" ht="15.75" customHeight="1" x14ac:dyDescent="0.25">
      <c r="A1763" s="526"/>
      <c r="B1763" s="533"/>
      <c r="C1763" s="78">
        <v>6</v>
      </c>
      <c r="D1763" s="108">
        <v>40</v>
      </c>
      <c r="E1763" s="114">
        <v>1993</v>
      </c>
      <c r="F1763" s="332">
        <f t="shared" si="525"/>
        <v>26</v>
      </c>
      <c r="G1763" s="48"/>
      <c r="H1763" s="48"/>
      <c r="I1763" s="48"/>
      <c r="J1763" s="48"/>
      <c r="K1763" s="48"/>
      <c r="L1763" s="48"/>
      <c r="M1763" s="48"/>
    </row>
    <row r="1764" spans="1:13" ht="15.75" customHeight="1" x14ac:dyDescent="0.2">
      <c r="A1764" s="525" t="s">
        <v>436</v>
      </c>
      <c r="B1764" s="532" t="s">
        <v>830</v>
      </c>
      <c r="C1764" s="78"/>
      <c r="D1764" s="108"/>
      <c r="E1764" s="114"/>
      <c r="F1764" s="330"/>
      <c r="G1764" s="48"/>
      <c r="H1764" s="48"/>
      <c r="I1764" s="48"/>
      <c r="J1764" s="48"/>
      <c r="K1764" s="48"/>
      <c r="L1764" s="48"/>
      <c r="M1764" s="48"/>
    </row>
    <row r="1765" spans="1:13" ht="15.75" customHeight="1" x14ac:dyDescent="0.25">
      <c r="A1765" s="531"/>
      <c r="B1765" s="540"/>
      <c r="C1765" s="78">
        <v>6</v>
      </c>
      <c r="D1765" s="108">
        <v>57</v>
      </c>
      <c r="E1765" s="114">
        <v>1996</v>
      </c>
      <c r="F1765" s="332">
        <f t="shared" ref="F1765:F1766" si="526">2019-E1765</f>
        <v>23</v>
      </c>
      <c r="G1765" s="48"/>
      <c r="H1765" s="48"/>
      <c r="I1765" s="48"/>
      <c r="J1765" s="48"/>
      <c r="K1765" s="48"/>
      <c r="L1765" s="48"/>
      <c r="M1765" s="48"/>
    </row>
    <row r="1766" spans="1:13" ht="15.75" customHeight="1" x14ac:dyDescent="0.25">
      <c r="A1766" s="526"/>
      <c r="B1766" s="533"/>
      <c r="C1766" s="78">
        <v>6</v>
      </c>
      <c r="D1766" s="108">
        <v>40</v>
      </c>
      <c r="E1766" s="114">
        <v>1996</v>
      </c>
      <c r="F1766" s="332">
        <f t="shared" si="526"/>
        <v>23</v>
      </c>
      <c r="G1766" s="48"/>
      <c r="H1766" s="48"/>
      <c r="I1766" s="48"/>
      <c r="J1766" s="48"/>
      <c r="K1766" s="48"/>
      <c r="L1766" s="48"/>
      <c r="M1766" s="48"/>
    </row>
    <row r="1767" spans="1:13" ht="15.75" customHeight="1" x14ac:dyDescent="0.2">
      <c r="A1767" s="525" t="s">
        <v>178</v>
      </c>
      <c r="B1767" s="532" t="s">
        <v>522</v>
      </c>
      <c r="C1767" s="55"/>
      <c r="D1767" s="108"/>
      <c r="E1767" s="114"/>
      <c r="F1767" s="330"/>
      <c r="G1767" s="48"/>
      <c r="H1767" s="48"/>
      <c r="I1767" s="48"/>
      <c r="J1767" s="48"/>
      <c r="K1767" s="48"/>
      <c r="L1767" s="48"/>
      <c r="M1767" s="48"/>
    </row>
    <row r="1768" spans="1:13" ht="15.75" customHeight="1" x14ac:dyDescent="0.25">
      <c r="A1768" s="531"/>
      <c r="B1768" s="540"/>
      <c r="C1768" s="55">
        <f>2*84</f>
        <v>168</v>
      </c>
      <c r="D1768" s="318">
        <v>89</v>
      </c>
      <c r="E1768" s="114">
        <v>1992</v>
      </c>
      <c r="F1768" s="332">
        <f t="shared" ref="F1768" si="527">2019-E1768</f>
        <v>27</v>
      </c>
      <c r="G1768" s="48"/>
      <c r="H1768" s="48"/>
      <c r="I1768" s="48"/>
      <c r="J1768" s="48"/>
      <c r="K1768" s="48"/>
      <c r="L1768" s="48"/>
      <c r="M1768" s="48"/>
    </row>
    <row r="1769" spans="1:13" ht="15.75" customHeight="1" x14ac:dyDescent="0.2">
      <c r="A1769" s="525" t="s">
        <v>522</v>
      </c>
      <c r="B1769" s="525" t="s">
        <v>501</v>
      </c>
      <c r="C1769" s="119"/>
      <c r="D1769" s="108"/>
      <c r="E1769" s="49"/>
      <c r="F1769" s="330"/>
      <c r="G1769" s="48"/>
      <c r="H1769" s="48"/>
      <c r="I1769" s="48"/>
      <c r="J1769" s="48"/>
      <c r="K1769" s="48"/>
      <c r="L1769" s="48"/>
      <c r="M1769" s="48"/>
    </row>
    <row r="1770" spans="1:13" ht="15.75" customHeight="1" x14ac:dyDescent="0.25">
      <c r="A1770" s="531"/>
      <c r="B1770" s="531"/>
      <c r="C1770" s="78">
        <v>84</v>
      </c>
      <c r="D1770" s="108">
        <v>89</v>
      </c>
      <c r="E1770" s="49">
        <v>1999</v>
      </c>
      <c r="F1770" s="332">
        <f t="shared" ref="F1770:F1771" si="528">2019-E1770</f>
        <v>20</v>
      </c>
      <c r="G1770" s="48"/>
      <c r="H1770" s="48"/>
      <c r="I1770" s="48"/>
      <c r="J1770" s="48"/>
      <c r="K1770" s="48"/>
      <c r="L1770" s="48"/>
      <c r="M1770" s="48"/>
    </row>
    <row r="1771" spans="1:13" ht="15.75" customHeight="1" x14ac:dyDescent="0.25">
      <c r="A1771" s="526"/>
      <c r="B1771" s="526"/>
      <c r="C1771" s="78">
        <v>84</v>
      </c>
      <c r="D1771" s="108">
        <v>57</v>
      </c>
      <c r="E1771" s="49">
        <v>1999</v>
      </c>
      <c r="F1771" s="332">
        <f t="shared" si="528"/>
        <v>20</v>
      </c>
      <c r="G1771" s="48"/>
      <c r="H1771" s="48"/>
      <c r="I1771" s="48"/>
      <c r="J1771" s="48"/>
      <c r="K1771" s="48"/>
      <c r="L1771" s="48"/>
      <c r="M1771" s="48"/>
    </row>
    <row r="1772" spans="1:13" ht="15.75" customHeight="1" x14ac:dyDescent="0.2">
      <c r="A1772" s="525" t="s">
        <v>312</v>
      </c>
      <c r="B1772" s="525" t="s">
        <v>831</v>
      </c>
      <c r="C1772" s="78"/>
      <c r="D1772" s="108"/>
      <c r="E1772" s="49"/>
      <c r="F1772" s="330"/>
      <c r="G1772" s="48"/>
      <c r="H1772" s="48"/>
      <c r="I1772" s="48"/>
      <c r="J1772" s="48"/>
      <c r="K1772" s="48"/>
      <c r="L1772" s="48"/>
      <c r="M1772" s="48"/>
    </row>
    <row r="1773" spans="1:13" ht="15.75" customHeight="1" x14ac:dyDescent="0.25">
      <c r="A1773" s="531"/>
      <c r="B1773" s="531"/>
      <c r="C1773" s="78">
        <f>2*16</f>
        <v>32</v>
      </c>
      <c r="D1773" s="318">
        <v>57</v>
      </c>
      <c r="E1773" s="49">
        <v>1999</v>
      </c>
      <c r="F1773" s="332">
        <f t="shared" ref="F1773" si="529">2019-E1773</f>
        <v>20</v>
      </c>
      <c r="G1773" s="48"/>
      <c r="H1773" s="48"/>
      <c r="I1773" s="48"/>
      <c r="J1773" s="48"/>
      <c r="K1773" s="48"/>
      <c r="L1773" s="48"/>
      <c r="M1773" s="48"/>
    </row>
    <row r="1774" spans="1:13" ht="15.75" customHeight="1" x14ac:dyDescent="0.2">
      <c r="A1774" s="525" t="s">
        <v>178</v>
      </c>
      <c r="B1774" s="532" t="s">
        <v>832</v>
      </c>
      <c r="C1774" s="78"/>
      <c r="D1774" s="108"/>
      <c r="E1774" s="114"/>
      <c r="F1774" s="330"/>
      <c r="G1774" s="48"/>
      <c r="H1774" s="48"/>
      <c r="I1774" s="48"/>
      <c r="J1774" s="48"/>
      <c r="K1774" s="48"/>
      <c r="L1774" s="48"/>
      <c r="M1774" s="48"/>
    </row>
    <row r="1775" spans="1:13" ht="15.75" customHeight="1" x14ac:dyDescent="0.25">
      <c r="A1775" s="531"/>
      <c r="B1775" s="540"/>
      <c r="C1775" s="55">
        <v>9</v>
      </c>
      <c r="D1775" s="108">
        <v>89</v>
      </c>
      <c r="E1775" s="114">
        <v>1990</v>
      </c>
      <c r="F1775" s="332">
        <f t="shared" ref="F1775:F1776" si="530">2019-E1775</f>
        <v>29</v>
      </c>
      <c r="G1775" s="48"/>
      <c r="H1775" s="48"/>
      <c r="I1775" s="48"/>
      <c r="J1775" s="48"/>
      <c r="K1775" s="48"/>
      <c r="L1775" s="48"/>
      <c r="M1775" s="48"/>
    </row>
    <row r="1776" spans="1:13" ht="15.75" customHeight="1" x14ac:dyDescent="0.25">
      <c r="A1776" s="526"/>
      <c r="B1776" s="533"/>
      <c r="C1776" s="78">
        <v>9</v>
      </c>
      <c r="D1776" s="108">
        <v>57</v>
      </c>
      <c r="E1776" s="114">
        <v>1990</v>
      </c>
      <c r="F1776" s="332">
        <f t="shared" si="530"/>
        <v>29</v>
      </c>
      <c r="G1776" s="48"/>
      <c r="H1776" s="48"/>
      <c r="I1776" s="48"/>
      <c r="J1776" s="48"/>
      <c r="K1776" s="48"/>
      <c r="L1776" s="48"/>
      <c r="M1776" s="48"/>
    </row>
    <row r="1777" spans="1:13" ht="15.75" customHeight="1" x14ac:dyDescent="0.2">
      <c r="A1777" s="525" t="s">
        <v>271</v>
      </c>
      <c r="B1777" s="532" t="s">
        <v>350</v>
      </c>
      <c r="C1777" s="55"/>
      <c r="D1777" s="108"/>
      <c r="E1777" s="114"/>
      <c r="F1777" s="330"/>
      <c r="G1777" s="48"/>
      <c r="H1777" s="48"/>
      <c r="I1777" s="48"/>
      <c r="J1777" s="48"/>
      <c r="K1777" s="48"/>
      <c r="L1777" s="48"/>
      <c r="M1777" s="48"/>
    </row>
    <row r="1778" spans="1:13" ht="15.75" customHeight="1" x14ac:dyDescent="0.25">
      <c r="A1778" s="531"/>
      <c r="B1778" s="531"/>
      <c r="C1778" s="53">
        <v>84</v>
      </c>
      <c r="D1778" s="108">
        <v>159</v>
      </c>
      <c r="E1778" s="114">
        <v>2009</v>
      </c>
      <c r="F1778" s="332">
        <f t="shared" ref="F1778:F1779" si="531">2019-E1778</f>
        <v>10</v>
      </c>
      <c r="G1778" s="48"/>
      <c r="H1778" s="48"/>
      <c r="I1778" s="48"/>
      <c r="J1778" s="48"/>
      <c r="K1778" s="48"/>
      <c r="L1778" s="48"/>
      <c r="M1778" s="48"/>
    </row>
    <row r="1779" spans="1:13" ht="15.75" customHeight="1" x14ac:dyDescent="0.25">
      <c r="A1779" s="526"/>
      <c r="B1779" s="526"/>
      <c r="C1779" s="53">
        <v>84</v>
      </c>
      <c r="D1779" s="108">
        <v>108</v>
      </c>
      <c r="E1779" s="114">
        <v>2009</v>
      </c>
      <c r="F1779" s="332">
        <f t="shared" si="531"/>
        <v>10</v>
      </c>
      <c r="G1779" s="48"/>
      <c r="H1779" s="48"/>
      <c r="I1779" s="48"/>
      <c r="J1779" s="48"/>
      <c r="K1779" s="48"/>
      <c r="L1779" s="48"/>
      <c r="M1779" s="48"/>
    </row>
    <row r="1780" spans="1:13" ht="15.75" customHeight="1" x14ac:dyDescent="0.2">
      <c r="A1780" s="525" t="s">
        <v>195</v>
      </c>
      <c r="B1780" s="532" t="s">
        <v>477</v>
      </c>
      <c r="C1780" s="78"/>
      <c r="D1780" s="108"/>
      <c r="E1780" s="114"/>
      <c r="F1780" s="330"/>
      <c r="G1780" s="48"/>
      <c r="H1780" s="48"/>
      <c r="I1780" s="48"/>
      <c r="J1780" s="48"/>
      <c r="K1780" s="48"/>
      <c r="L1780" s="48"/>
      <c r="M1780" s="48"/>
    </row>
    <row r="1781" spans="1:13" ht="15.75" customHeight="1" x14ac:dyDescent="0.25">
      <c r="A1781" s="531"/>
      <c r="B1781" s="540"/>
      <c r="C1781" s="78">
        <v>21</v>
      </c>
      <c r="D1781" s="108">
        <v>76</v>
      </c>
      <c r="E1781" s="114">
        <v>1990</v>
      </c>
      <c r="F1781" s="332">
        <f t="shared" ref="F1781:F1782" si="532">2019-E1781</f>
        <v>29</v>
      </c>
      <c r="G1781" s="48"/>
      <c r="H1781" s="48"/>
      <c r="I1781" s="48"/>
      <c r="J1781" s="48"/>
      <c r="K1781" s="48"/>
      <c r="L1781" s="48"/>
      <c r="M1781" s="48"/>
    </row>
    <row r="1782" spans="1:13" ht="15.75" customHeight="1" x14ac:dyDescent="0.25">
      <c r="A1782" s="526"/>
      <c r="B1782" s="533"/>
      <c r="C1782" s="78">
        <v>21</v>
      </c>
      <c r="D1782" s="108">
        <v>57</v>
      </c>
      <c r="E1782" s="114">
        <v>1990</v>
      </c>
      <c r="F1782" s="332">
        <f t="shared" si="532"/>
        <v>29</v>
      </c>
      <c r="G1782" s="48"/>
      <c r="H1782" s="48"/>
      <c r="I1782" s="48"/>
      <c r="J1782" s="48"/>
      <c r="K1782" s="48"/>
      <c r="L1782" s="48"/>
      <c r="M1782" s="48"/>
    </row>
    <row r="1783" spans="1:13" ht="15.75" customHeight="1" x14ac:dyDescent="0.2">
      <c r="A1783" s="525" t="s">
        <v>522</v>
      </c>
      <c r="B1783" s="532" t="s">
        <v>833</v>
      </c>
      <c r="C1783" s="55"/>
      <c r="D1783" s="108"/>
      <c r="E1783" s="114"/>
      <c r="F1783" s="330"/>
      <c r="G1783" s="48"/>
      <c r="H1783" s="48"/>
      <c r="I1783" s="48"/>
      <c r="J1783" s="48"/>
      <c r="K1783" s="48"/>
      <c r="L1783" s="48"/>
      <c r="M1783" s="48"/>
    </row>
    <row r="1784" spans="1:13" ht="15.75" customHeight="1" x14ac:dyDescent="0.25">
      <c r="A1784" s="531"/>
      <c r="B1784" s="540"/>
      <c r="C1784" s="55">
        <v>17</v>
      </c>
      <c r="D1784" s="108">
        <v>89</v>
      </c>
      <c r="E1784" s="114">
        <v>1992</v>
      </c>
      <c r="F1784" s="332">
        <f t="shared" ref="F1784:F1785" si="533">2019-E1784</f>
        <v>27</v>
      </c>
      <c r="G1784" s="48"/>
      <c r="H1784" s="48"/>
      <c r="I1784" s="48"/>
      <c r="J1784" s="48"/>
      <c r="K1784" s="48"/>
      <c r="L1784" s="48"/>
      <c r="M1784" s="48"/>
    </row>
    <row r="1785" spans="1:13" ht="15.75" customHeight="1" x14ac:dyDescent="0.25">
      <c r="A1785" s="526"/>
      <c r="B1785" s="533"/>
      <c r="C1785" s="78">
        <v>17</v>
      </c>
      <c r="D1785" s="108">
        <v>57</v>
      </c>
      <c r="E1785" s="114">
        <v>1992</v>
      </c>
      <c r="F1785" s="332">
        <f t="shared" si="533"/>
        <v>27</v>
      </c>
      <c r="G1785" s="48"/>
      <c r="H1785" s="48"/>
      <c r="I1785" s="48"/>
      <c r="J1785" s="48"/>
      <c r="K1785" s="48"/>
      <c r="L1785" s="48"/>
      <c r="M1785" s="48"/>
    </row>
    <row r="1786" spans="1:13" ht="15.75" customHeight="1" x14ac:dyDescent="0.2">
      <c r="A1786" s="525" t="s">
        <v>834</v>
      </c>
      <c r="B1786" s="532" t="s">
        <v>835</v>
      </c>
      <c r="C1786" s="78"/>
      <c r="D1786" s="108"/>
      <c r="E1786" s="114"/>
      <c r="F1786" s="330"/>
      <c r="G1786" s="48"/>
      <c r="H1786" s="48"/>
      <c r="I1786" s="48"/>
      <c r="J1786" s="48"/>
      <c r="K1786" s="48"/>
      <c r="L1786" s="48"/>
      <c r="M1786" s="48"/>
    </row>
    <row r="1787" spans="1:13" ht="15.75" customHeight="1" x14ac:dyDescent="0.25">
      <c r="A1787" s="531"/>
      <c r="B1787" s="540"/>
      <c r="C1787" s="78">
        <v>54</v>
      </c>
      <c r="D1787" s="108">
        <v>76</v>
      </c>
      <c r="E1787" s="114">
        <v>1991</v>
      </c>
      <c r="F1787" s="332">
        <f t="shared" ref="F1787:F1788" si="534">2019-E1787</f>
        <v>28</v>
      </c>
      <c r="G1787" s="48"/>
      <c r="H1787" s="48"/>
      <c r="I1787" s="48"/>
      <c r="J1787" s="48"/>
      <c r="K1787" s="48"/>
      <c r="L1787" s="48"/>
      <c r="M1787" s="48"/>
    </row>
    <row r="1788" spans="1:13" ht="15.75" customHeight="1" x14ac:dyDescent="0.25">
      <c r="A1788" s="526"/>
      <c r="B1788" s="533"/>
      <c r="C1788" s="78">
        <v>54</v>
      </c>
      <c r="D1788" s="108">
        <v>57</v>
      </c>
      <c r="E1788" s="114">
        <v>1991</v>
      </c>
      <c r="F1788" s="332">
        <f t="shared" si="534"/>
        <v>28</v>
      </c>
      <c r="G1788" s="48"/>
      <c r="H1788" s="48"/>
      <c r="I1788" s="48"/>
      <c r="J1788" s="48"/>
      <c r="K1788" s="48"/>
      <c r="L1788" s="48"/>
      <c r="M1788" s="48"/>
    </row>
    <row r="1789" spans="1:13" ht="15.75" customHeight="1" x14ac:dyDescent="0.2">
      <c r="A1789" s="525" t="s">
        <v>256</v>
      </c>
      <c r="B1789" s="532" t="s">
        <v>246</v>
      </c>
      <c r="C1789" s="53"/>
      <c r="D1789" s="108"/>
      <c r="E1789" s="114"/>
      <c r="F1789" s="330"/>
      <c r="G1789" s="48"/>
      <c r="H1789" s="48"/>
      <c r="I1789" s="48"/>
      <c r="J1789" s="48"/>
      <c r="K1789" s="48"/>
      <c r="L1789" s="48"/>
      <c r="M1789" s="48"/>
    </row>
    <row r="1790" spans="1:13" ht="15.75" customHeight="1" x14ac:dyDescent="0.25">
      <c r="A1790" s="531"/>
      <c r="B1790" s="540"/>
      <c r="C1790" s="55">
        <v>6</v>
      </c>
      <c r="D1790" s="108">
        <v>219</v>
      </c>
      <c r="E1790" s="114">
        <v>1990</v>
      </c>
      <c r="F1790" s="332">
        <f t="shared" ref="F1790:F1791" si="535">2019-E1790</f>
        <v>29</v>
      </c>
      <c r="G1790" s="48"/>
      <c r="H1790" s="48"/>
      <c r="I1790" s="48"/>
      <c r="J1790" s="48"/>
      <c r="K1790" s="48"/>
      <c r="L1790" s="48"/>
      <c r="M1790" s="48"/>
    </row>
    <row r="1791" spans="1:13" ht="15.75" customHeight="1" x14ac:dyDescent="0.25">
      <c r="A1791" s="526"/>
      <c r="B1791" s="533"/>
      <c r="C1791" s="78">
        <v>6</v>
      </c>
      <c r="D1791" s="108">
        <v>108</v>
      </c>
      <c r="E1791" s="114">
        <v>1990</v>
      </c>
      <c r="F1791" s="332">
        <f t="shared" si="535"/>
        <v>29</v>
      </c>
      <c r="G1791" s="48"/>
      <c r="H1791" s="48"/>
      <c r="I1791" s="48"/>
      <c r="J1791" s="48"/>
      <c r="K1791" s="48"/>
      <c r="L1791" s="48"/>
      <c r="M1791" s="48"/>
    </row>
    <row r="1792" spans="1:13" ht="15.75" customHeight="1" x14ac:dyDescent="0.2">
      <c r="A1792" s="525" t="s">
        <v>216</v>
      </c>
      <c r="B1792" s="532" t="s">
        <v>836</v>
      </c>
      <c r="C1792" s="78"/>
      <c r="D1792" s="108"/>
      <c r="E1792" s="114"/>
      <c r="F1792" s="330"/>
      <c r="G1792" s="48"/>
      <c r="H1792" s="48"/>
      <c r="I1792" s="48"/>
      <c r="J1792" s="48"/>
      <c r="K1792" s="48"/>
      <c r="L1792" s="48"/>
      <c r="M1792" s="48"/>
    </row>
    <row r="1793" spans="1:13" ht="15.75" customHeight="1" x14ac:dyDescent="0.25">
      <c r="A1793" s="531"/>
      <c r="B1793" s="540"/>
      <c r="C1793" s="78">
        <v>37</v>
      </c>
      <c r="D1793" s="108">
        <v>76</v>
      </c>
      <c r="E1793" s="114">
        <v>1990</v>
      </c>
      <c r="F1793" s="332">
        <f t="shared" ref="F1793:F1794" si="536">2019-E1793</f>
        <v>29</v>
      </c>
      <c r="G1793" s="48"/>
      <c r="H1793" s="48"/>
      <c r="I1793" s="48"/>
      <c r="J1793" s="48"/>
      <c r="K1793" s="48"/>
      <c r="L1793" s="48"/>
      <c r="M1793" s="48"/>
    </row>
    <row r="1794" spans="1:13" ht="15.75" customHeight="1" x14ac:dyDescent="0.25">
      <c r="A1794" s="526"/>
      <c r="B1794" s="533"/>
      <c r="C1794" s="78">
        <v>37</v>
      </c>
      <c r="D1794" s="108">
        <v>57</v>
      </c>
      <c r="E1794" s="114">
        <v>1990</v>
      </c>
      <c r="F1794" s="332">
        <f t="shared" si="536"/>
        <v>29</v>
      </c>
      <c r="G1794" s="48"/>
      <c r="H1794" s="48"/>
      <c r="I1794" s="48"/>
      <c r="J1794" s="48"/>
      <c r="K1794" s="48"/>
      <c r="L1794" s="48"/>
      <c r="M1794" s="48"/>
    </row>
    <row r="1795" spans="1:13" ht="15.75" customHeight="1" x14ac:dyDescent="0.2">
      <c r="A1795" s="525" t="s">
        <v>213</v>
      </c>
      <c r="B1795" s="532" t="s">
        <v>407</v>
      </c>
      <c r="C1795" s="55"/>
      <c r="D1795" s="108"/>
      <c r="E1795" s="114"/>
      <c r="F1795" s="330"/>
      <c r="G1795" s="48"/>
      <c r="H1795" s="48"/>
      <c r="I1795" s="48"/>
      <c r="J1795" s="48"/>
      <c r="K1795" s="48"/>
      <c r="L1795" s="48"/>
      <c r="M1795" s="48"/>
    </row>
    <row r="1796" spans="1:13" ht="15.75" customHeight="1" x14ac:dyDescent="0.25">
      <c r="A1796" s="531"/>
      <c r="B1796" s="540"/>
      <c r="C1796" s="78">
        <v>66</v>
      </c>
      <c r="D1796" s="108">
        <v>159</v>
      </c>
      <c r="E1796" s="114">
        <v>1990</v>
      </c>
      <c r="F1796" s="332">
        <f t="shared" ref="F1796:F1797" si="537">2019-E1796</f>
        <v>29</v>
      </c>
      <c r="G1796" s="48"/>
      <c r="H1796" s="48"/>
      <c r="I1796" s="48"/>
      <c r="J1796" s="48"/>
      <c r="K1796" s="48"/>
      <c r="L1796" s="48"/>
      <c r="M1796" s="48"/>
    </row>
    <row r="1797" spans="1:13" ht="15.75" customHeight="1" x14ac:dyDescent="0.25">
      <c r="A1797" s="526"/>
      <c r="B1797" s="533"/>
      <c r="C1797" s="78">
        <v>66</v>
      </c>
      <c r="D1797" s="108">
        <v>108</v>
      </c>
      <c r="E1797" s="114">
        <v>1990</v>
      </c>
      <c r="F1797" s="332">
        <f t="shared" si="537"/>
        <v>29</v>
      </c>
      <c r="G1797" s="48"/>
      <c r="H1797" s="48"/>
      <c r="I1797" s="48"/>
      <c r="J1797" s="48"/>
      <c r="K1797" s="48"/>
      <c r="L1797" s="48"/>
      <c r="M1797" s="48"/>
    </row>
    <row r="1798" spans="1:13" ht="15.75" customHeight="1" x14ac:dyDescent="0.2">
      <c r="A1798" s="525" t="s">
        <v>229</v>
      </c>
      <c r="B1798" s="532" t="s">
        <v>419</v>
      </c>
      <c r="C1798" s="55"/>
      <c r="D1798" s="108"/>
      <c r="E1798" s="114"/>
      <c r="F1798" s="330"/>
      <c r="G1798" s="48"/>
      <c r="H1798" s="48"/>
      <c r="I1798" s="48"/>
      <c r="J1798" s="48"/>
      <c r="K1798" s="48"/>
      <c r="L1798" s="48"/>
      <c r="M1798" s="48"/>
    </row>
    <row r="1799" spans="1:13" ht="15.75" customHeight="1" x14ac:dyDescent="0.25">
      <c r="A1799" s="531"/>
      <c r="B1799" s="540"/>
      <c r="C1799" s="78">
        <v>18</v>
      </c>
      <c r="D1799" s="108">
        <v>159</v>
      </c>
      <c r="E1799" s="114">
        <v>1990</v>
      </c>
      <c r="F1799" s="332">
        <f t="shared" ref="F1799:F1800" si="538">2019-E1799</f>
        <v>29</v>
      </c>
      <c r="G1799" s="48"/>
      <c r="H1799" s="48"/>
      <c r="I1799" s="48"/>
      <c r="J1799" s="48"/>
      <c r="K1799" s="48"/>
      <c r="L1799" s="48"/>
      <c r="M1799" s="48"/>
    </row>
    <row r="1800" spans="1:13" ht="15.75" customHeight="1" x14ac:dyDescent="0.25">
      <c r="A1800" s="526"/>
      <c r="B1800" s="533"/>
      <c r="C1800" s="78">
        <v>18</v>
      </c>
      <c r="D1800" s="108">
        <v>108</v>
      </c>
      <c r="E1800" s="114">
        <v>1990</v>
      </c>
      <c r="F1800" s="332">
        <f t="shared" si="538"/>
        <v>29</v>
      </c>
      <c r="G1800" s="48"/>
      <c r="H1800" s="48"/>
      <c r="I1800" s="48"/>
      <c r="J1800" s="48"/>
      <c r="K1800" s="48"/>
      <c r="L1800" s="48"/>
      <c r="M1800" s="48"/>
    </row>
    <row r="1801" spans="1:13" ht="15.75" customHeight="1" x14ac:dyDescent="0.2">
      <c r="A1801" s="525" t="s">
        <v>190</v>
      </c>
      <c r="B1801" s="532" t="s">
        <v>436</v>
      </c>
      <c r="C1801" s="55"/>
      <c r="D1801" s="108"/>
      <c r="E1801" s="114"/>
      <c r="F1801" s="330"/>
      <c r="G1801" s="48"/>
      <c r="H1801" s="48"/>
      <c r="I1801" s="48"/>
      <c r="J1801" s="48"/>
      <c r="K1801" s="48"/>
      <c r="L1801" s="48"/>
      <c r="M1801" s="48"/>
    </row>
    <row r="1802" spans="1:13" ht="15.75" customHeight="1" x14ac:dyDescent="0.25">
      <c r="A1802" s="531"/>
      <c r="B1802" s="540"/>
      <c r="C1802" s="78">
        <v>54</v>
      </c>
      <c r="D1802" s="108">
        <v>108</v>
      </c>
      <c r="E1802" s="114">
        <v>1994</v>
      </c>
      <c r="F1802" s="332">
        <f t="shared" ref="F1802:F1803" si="539">2019-E1802</f>
        <v>25</v>
      </c>
      <c r="G1802" s="48"/>
      <c r="H1802" s="48"/>
      <c r="I1802" s="48"/>
      <c r="J1802" s="48"/>
      <c r="K1802" s="48"/>
      <c r="L1802" s="48"/>
      <c r="M1802" s="48"/>
    </row>
    <row r="1803" spans="1:13" ht="15.75" customHeight="1" x14ac:dyDescent="0.25">
      <c r="A1803" s="526"/>
      <c r="B1803" s="533"/>
      <c r="C1803" s="78">
        <v>54</v>
      </c>
      <c r="D1803" s="108">
        <v>76</v>
      </c>
      <c r="E1803" s="114">
        <v>1994</v>
      </c>
      <c r="F1803" s="332">
        <f t="shared" si="539"/>
        <v>25</v>
      </c>
      <c r="G1803" s="48"/>
      <c r="H1803" s="48"/>
      <c r="I1803" s="48"/>
      <c r="J1803" s="48"/>
      <c r="K1803" s="48"/>
      <c r="L1803" s="48"/>
      <c r="M1803" s="48"/>
    </row>
    <row r="1804" spans="1:13" ht="15.75" customHeight="1" x14ac:dyDescent="0.2">
      <c r="A1804" s="525" t="s">
        <v>436</v>
      </c>
      <c r="B1804" s="532" t="s">
        <v>837</v>
      </c>
      <c r="C1804" s="55"/>
      <c r="D1804" s="108"/>
      <c r="E1804" s="114"/>
      <c r="F1804" s="330"/>
      <c r="G1804" s="48"/>
      <c r="H1804" s="48"/>
      <c r="I1804" s="48"/>
      <c r="J1804" s="48"/>
      <c r="K1804" s="48"/>
      <c r="L1804" s="48"/>
      <c r="M1804" s="48"/>
    </row>
    <row r="1805" spans="1:13" ht="15.75" customHeight="1" x14ac:dyDescent="0.25">
      <c r="A1805" s="531"/>
      <c r="B1805" s="540"/>
      <c r="C1805" s="78">
        <v>53</v>
      </c>
      <c r="D1805" s="108">
        <v>108</v>
      </c>
      <c r="E1805" s="114">
        <v>1998</v>
      </c>
      <c r="F1805" s="332">
        <f t="shared" ref="F1805:F1806" si="540">2019-E1805</f>
        <v>21</v>
      </c>
      <c r="G1805" s="48"/>
      <c r="H1805" s="48"/>
      <c r="I1805" s="48"/>
      <c r="J1805" s="48"/>
      <c r="K1805" s="48"/>
      <c r="L1805" s="48"/>
      <c r="M1805" s="48"/>
    </row>
    <row r="1806" spans="1:13" ht="15.75" customHeight="1" x14ac:dyDescent="0.25">
      <c r="A1806" s="526"/>
      <c r="B1806" s="533"/>
      <c r="C1806" s="78">
        <v>53</v>
      </c>
      <c r="D1806" s="108">
        <v>76</v>
      </c>
      <c r="E1806" s="114">
        <v>1998</v>
      </c>
      <c r="F1806" s="332">
        <f t="shared" si="540"/>
        <v>21</v>
      </c>
      <c r="G1806" s="48"/>
      <c r="H1806" s="48"/>
      <c r="I1806" s="48"/>
      <c r="J1806" s="48"/>
      <c r="K1806" s="48"/>
      <c r="L1806" s="48"/>
      <c r="M1806" s="48"/>
    </row>
    <row r="1807" spans="1:13" ht="15.75" customHeight="1" x14ac:dyDescent="0.2">
      <c r="A1807" s="525" t="s">
        <v>250</v>
      </c>
      <c r="B1807" s="532" t="s">
        <v>838</v>
      </c>
      <c r="C1807" s="55"/>
      <c r="D1807" s="108"/>
      <c r="E1807" s="114"/>
      <c r="F1807" s="330"/>
      <c r="G1807" s="48"/>
      <c r="H1807" s="48"/>
      <c r="I1807" s="48"/>
      <c r="J1807" s="48"/>
      <c r="K1807" s="48"/>
      <c r="L1807" s="48"/>
      <c r="M1807" s="48"/>
    </row>
    <row r="1808" spans="1:13" ht="15.75" customHeight="1" x14ac:dyDescent="0.25">
      <c r="A1808" s="531"/>
      <c r="B1808" s="531"/>
      <c r="C1808" s="53">
        <v>64</v>
      </c>
      <c r="D1808" s="108">
        <v>76</v>
      </c>
      <c r="E1808" s="114">
        <v>2009</v>
      </c>
      <c r="F1808" s="332">
        <f t="shared" ref="F1808:F1809" si="541">2019-E1808</f>
        <v>10</v>
      </c>
      <c r="G1808" s="48"/>
      <c r="H1808" s="48"/>
      <c r="I1808" s="48"/>
      <c r="J1808" s="48"/>
      <c r="K1808" s="48"/>
      <c r="L1808" s="48"/>
      <c r="M1808" s="48"/>
    </row>
    <row r="1809" spans="1:13" ht="15.75" customHeight="1" x14ac:dyDescent="0.25">
      <c r="A1809" s="526"/>
      <c r="B1809" s="533"/>
      <c r="C1809" s="78">
        <v>64</v>
      </c>
      <c r="D1809" s="108">
        <v>57</v>
      </c>
      <c r="E1809" s="114">
        <v>1990</v>
      </c>
      <c r="F1809" s="332">
        <f t="shared" si="541"/>
        <v>29</v>
      </c>
      <c r="G1809" s="48"/>
      <c r="H1809" s="48"/>
      <c r="I1809" s="48"/>
      <c r="J1809" s="48"/>
      <c r="K1809" s="48"/>
      <c r="L1809" s="48"/>
      <c r="M1809" s="48"/>
    </row>
    <row r="1810" spans="1:13" ht="15.75" customHeight="1" x14ac:dyDescent="0.2">
      <c r="A1810" s="525" t="s">
        <v>253</v>
      </c>
      <c r="B1810" s="532" t="s">
        <v>477</v>
      </c>
      <c r="C1810" s="78"/>
      <c r="D1810" s="108"/>
      <c r="E1810" s="114"/>
      <c r="F1810" s="330"/>
      <c r="G1810" s="48"/>
      <c r="H1810" s="48"/>
      <c r="I1810" s="48"/>
      <c r="J1810" s="48"/>
      <c r="K1810" s="48"/>
      <c r="L1810" s="48"/>
      <c r="M1810" s="48"/>
    </row>
    <row r="1811" spans="1:13" ht="15.75" customHeight="1" x14ac:dyDescent="0.25">
      <c r="A1811" s="531"/>
      <c r="B1811" s="540"/>
      <c r="C1811" s="78">
        <v>56</v>
      </c>
      <c r="D1811" s="108">
        <v>108</v>
      </c>
      <c r="E1811" s="114">
        <v>1990</v>
      </c>
      <c r="F1811" s="332">
        <f t="shared" ref="F1811:F1812" si="542">2019-E1811</f>
        <v>29</v>
      </c>
      <c r="G1811" s="48"/>
      <c r="H1811" s="48"/>
      <c r="I1811" s="48"/>
      <c r="J1811" s="48"/>
      <c r="K1811" s="48"/>
      <c r="L1811" s="48"/>
      <c r="M1811" s="48"/>
    </row>
    <row r="1812" spans="1:13" ht="15.75" customHeight="1" x14ac:dyDescent="0.25">
      <c r="A1812" s="526"/>
      <c r="B1812" s="533"/>
      <c r="C1812" s="55">
        <v>56</v>
      </c>
      <c r="D1812" s="108">
        <v>89</v>
      </c>
      <c r="E1812" s="114">
        <v>1990</v>
      </c>
      <c r="F1812" s="332">
        <f t="shared" si="542"/>
        <v>29</v>
      </c>
      <c r="G1812" s="48"/>
      <c r="H1812" s="48"/>
      <c r="I1812" s="48"/>
      <c r="J1812" s="48"/>
      <c r="K1812" s="48"/>
      <c r="L1812" s="48"/>
      <c r="M1812" s="48"/>
    </row>
    <row r="1813" spans="1:13" ht="15.75" customHeight="1" x14ac:dyDescent="0.2">
      <c r="A1813" s="525" t="s">
        <v>213</v>
      </c>
      <c r="B1813" s="532" t="s">
        <v>253</v>
      </c>
      <c r="C1813" s="78"/>
      <c r="D1813" s="108"/>
      <c r="E1813" s="114"/>
      <c r="F1813" s="330"/>
      <c r="G1813" s="48"/>
      <c r="H1813" s="48"/>
      <c r="I1813" s="48"/>
      <c r="J1813" s="48"/>
      <c r="K1813" s="48"/>
      <c r="L1813" s="48"/>
      <c r="M1813" s="48"/>
    </row>
    <row r="1814" spans="1:13" ht="15.75" customHeight="1" x14ac:dyDescent="0.25">
      <c r="A1814" s="531"/>
      <c r="B1814" s="540"/>
      <c r="C1814" s="78">
        <v>4</v>
      </c>
      <c r="D1814" s="108">
        <v>159</v>
      </c>
      <c r="E1814" s="114">
        <v>1990</v>
      </c>
      <c r="F1814" s="332">
        <f t="shared" ref="F1814:F1815" si="543">2019-E1814</f>
        <v>29</v>
      </c>
      <c r="G1814" s="48"/>
      <c r="H1814" s="48"/>
      <c r="I1814" s="48"/>
      <c r="J1814" s="48"/>
      <c r="K1814" s="48"/>
      <c r="L1814" s="48"/>
      <c r="M1814" s="48"/>
    </row>
    <row r="1815" spans="1:13" ht="15.75" customHeight="1" x14ac:dyDescent="0.25">
      <c r="A1815" s="526"/>
      <c r="B1815" s="533"/>
      <c r="C1815" s="78">
        <v>4</v>
      </c>
      <c r="D1815" s="108">
        <v>108</v>
      </c>
      <c r="E1815" s="114">
        <v>1990</v>
      </c>
      <c r="F1815" s="332">
        <f t="shared" si="543"/>
        <v>29</v>
      </c>
      <c r="G1815" s="48"/>
      <c r="H1815" s="48"/>
      <c r="I1815" s="48"/>
      <c r="J1815" s="48"/>
      <c r="K1815" s="48"/>
      <c r="L1815" s="48"/>
      <c r="M1815" s="48"/>
    </row>
    <row r="1816" spans="1:13" ht="15.75" customHeight="1" x14ac:dyDescent="0.2">
      <c r="A1816" s="525" t="s">
        <v>213</v>
      </c>
      <c r="B1816" s="532" t="s">
        <v>298</v>
      </c>
      <c r="C1816" s="78"/>
      <c r="D1816" s="108"/>
      <c r="E1816" s="114"/>
      <c r="F1816" s="330"/>
      <c r="G1816" s="48"/>
      <c r="H1816" s="48"/>
      <c r="I1816" s="48"/>
      <c r="J1816" s="48"/>
      <c r="K1816" s="48"/>
      <c r="L1816" s="48"/>
      <c r="M1816" s="48"/>
    </row>
    <row r="1817" spans="1:13" ht="15.75" customHeight="1" x14ac:dyDescent="0.25">
      <c r="A1817" s="531"/>
      <c r="B1817" s="540"/>
      <c r="C1817" s="55">
        <v>48</v>
      </c>
      <c r="D1817" s="108">
        <v>89</v>
      </c>
      <c r="E1817" s="114">
        <v>1990</v>
      </c>
      <c r="F1817" s="332">
        <f t="shared" ref="F1817:F1818" si="544">2019-E1817</f>
        <v>29</v>
      </c>
      <c r="G1817" s="48"/>
      <c r="H1817" s="48"/>
      <c r="I1817" s="48"/>
      <c r="J1817" s="48"/>
      <c r="K1817" s="48"/>
      <c r="L1817" s="48"/>
      <c r="M1817" s="48"/>
    </row>
    <row r="1818" spans="1:13" ht="15.75" customHeight="1" x14ac:dyDescent="0.25">
      <c r="A1818" s="526"/>
      <c r="B1818" s="533"/>
      <c r="C1818" s="78">
        <v>48</v>
      </c>
      <c r="D1818" s="108">
        <v>57</v>
      </c>
      <c r="E1818" s="114">
        <v>1990</v>
      </c>
      <c r="F1818" s="332">
        <f t="shared" si="544"/>
        <v>29</v>
      </c>
      <c r="G1818" s="48"/>
      <c r="H1818" s="48"/>
      <c r="I1818" s="48"/>
      <c r="J1818" s="48"/>
      <c r="K1818" s="48"/>
      <c r="L1818" s="48"/>
      <c r="M1818" s="48"/>
    </row>
    <row r="1819" spans="1:13" ht="15.75" customHeight="1" x14ac:dyDescent="0.2">
      <c r="A1819" s="525" t="s">
        <v>216</v>
      </c>
      <c r="B1819" s="532" t="s">
        <v>443</v>
      </c>
      <c r="C1819" s="78"/>
      <c r="D1819" s="108"/>
      <c r="E1819" s="114"/>
      <c r="F1819" s="330"/>
      <c r="G1819" s="48"/>
      <c r="H1819" s="48"/>
      <c r="I1819" s="48"/>
      <c r="J1819" s="48"/>
      <c r="K1819" s="48"/>
      <c r="L1819" s="48"/>
      <c r="M1819" s="48"/>
    </row>
    <row r="1820" spans="1:13" ht="15.75" customHeight="1" x14ac:dyDescent="0.25">
      <c r="A1820" s="531"/>
      <c r="B1820" s="540"/>
      <c r="C1820" s="55">
        <v>107</v>
      </c>
      <c r="D1820" s="108">
        <v>133</v>
      </c>
      <c r="E1820" s="114">
        <v>1991</v>
      </c>
      <c r="F1820" s="332">
        <f t="shared" ref="F1820:F1821" si="545">2019-E1820</f>
        <v>28</v>
      </c>
      <c r="G1820" s="48"/>
      <c r="H1820" s="48"/>
      <c r="I1820" s="48"/>
      <c r="J1820" s="48"/>
      <c r="K1820" s="48"/>
      <c r="L1820" s="48"/>
      <c r="M1820" s="48"/>
    </row>
    <row r="1821" spans="1:13" ht="15.75" customHeight="1" x14ac:dyDescent="0.25">
      <c r="A1821" s="526"/>
      <c r="B1821" s="533"/>
      <c r="C1821" s="55">
        <v>107</v>
      </c>
      <c r="D1821" s="108">
        <v>89</v>
      </c>
      <c r="E1821" s="114">
        <v>1991</v>
      </c>
      <c r="F1821" s="332">
        <f t="shared" si="545"/>
        <v>28</v>
      </c>
      <c r="G1821" s="48"/>
      <c r="H1821" s="48"/>
      <c r="I1821" s="48"/>
      <c r="J1821" s="48"/>
      <c r="K1821" s="48"/>
      <c r="L1821" s="48"/>
      <c r="M1821" s="48"/>
    </row>
    <row r="1822" spans="1:13" ht="15.75" customHeight="1" x14ac:dyDescent="0.2">
      <c r="A1822" s="525" t="s">
        <v>839</v>
      </c>
      <c r="B1822" s="532" t="s">
        <v>840</v>
      </c>
      <c r="C1822" s="78"/>
      <c r="D1822" s="108"/>
      <c r="E1822" s="114"/>
      <c r="F1822" s="330"/>
      <c r="G1822" s="48"/>
      <c r="H1822" s="48"/>
      <c r="I1822" s="48"/>
      <c r="J1822" s="48"/>
      <c r="K1822" s="48"/>
      <c r="L1822" s="48"/>
      <c r="M1822" s="48"/>
    </row>
    <row r="1823" spans="1:13" ht="15.75" customHeight="1" x14ac:dyDescent="0.25">
      <c r="A1823" s="531"/>
      <c r="B1823" s="540"/>
      <c r="C1823" s="78">
        <v>40.6</v>
      </c>
      <c r="D1823" s="108">
        <v>32</v>
      </c>
      <c r="E1823" s="114">
        <v>1992</v>
      </c>
      <c r="F1823" s="332">
        <f t="shared" ref="F1823:F1824" si="546">2019-E1823</f>
        <v>27</v>
      </c>
      <c r="G1823" s="48"/>
      <c r="H1823" s="48"/>
      <c r="I1823" s="48"/>
      <c r="J1823" s="48"/>
      <c r="K1823" s="48"/>
      <c r="L1823" s="48"/>
      <c r="M1823" s="48"/>
    </row>
    <row r="1824" spans="1:13" ht="15.75" customHeight="1" x14ac:dyDescent="0.25">
      <c r="A1824" s="526"/>
      <c r="B1824" s="533"/>
      <c r="C1824" s="78">
        <v>40.6</v>
      </c>
      <c r="D1824" s="108">
        <v>25</v>
      </c>
      <c r="E1824" s="114">
        <v>1992</v>
      </c>
      <c r="F1824" s="332">
        <f t="shared" si="546"/>
        <v>27</v>
      </c>
      <c r="G1824" s="48"/>
      <c r="H1824" s="48"/>
      <c r="I1824" s="48"/>
      <c r="J1824" s="48"/>
      <c r="K1824" s="48"/>
      <c r="L1824" s="48"/>
      <c r="M1824" s="48"/>
    </row>
    <row r="1825" spans="1:13" ht="15.75" customHeight="1" x14ac:dyDescent="0.2">
      <c r="A1825" s="534" t="s">
        <v>748</v>
      </c>
      <c r="B1825" s="541" t="s">
        <v>841</v>
      </c>
      <c r="C1825" s="55"/>
      <c r="D1825" s="108"/>
      <c r="E1825" s="114"/>
      <c r="F1825" s="330"/>
      <c r="G1825" s="48"/>
      <c r="H1825" s="48"/>
      <c r="I1825" s="48"/>
      <c r="J1825" s="48"/>
      <c r="K1825" s="48"/>
      <c r="L1825" s="48"/>
      <c r="M1825" s="48"/>
    </row>
    <row r="1826" spans="1:13" x14ac:dyDescent="0.25">
      <c r="A1826" s="536"/>
      <c r="B1826" s="542"/>
      <c r="C1826" s="55">
        <v>18</v>
      </c>
      <c r="D1826" s="108">
        <v>89</v>
      </c>
      <c r="E1826" s="114">
        <v>1992</v>
      </c>
      <c r="F1826" s="332">
        <f t="shared" ref="F1826:F1827" si="547">2019-E1826</f>
        <v>27</v>
      </c>
      <c r="G1826" s="48"/>
      <c r="H1826" s="48"/>
      <c r="I1826" s="48"/>
      <c r="J1826" s="48"/>
      <c r="K1826" s="48"/>
      <c r="L1826" s="48"/>
      <c r="M1826" s="48"/>
    </row>
    <row r="1827" spans="1:13" x14ac:dyDescent="0.25">
      <c r="A1827" s="535"/>
      <c r="B1827" s="543"/>
      <c r="C1827" s="78">
        <v>18</v>
      </c>
      <c r="D1827" s="108">
        <v>40</v>
      </c>
      <c r="E1827" s="114">
        <v>1992</v>
      </c>
      <c r="F1827" s="332">
        <f t="shared" si="547"/>
        <v>27</v>
      </c>
      <c r="G1827" s="48"/>
      <c r="H1827" s="48"/>
      <c r="I1827" s="48"/>
      <c r="J1827" s="48"/>
      <c r="K1827" s="48"/>
      <c r="L1827" s="48"/>
      <c r="M1827" s="48"/>
    </row>
    <row r="1828" spans="1:13" ht="15.75" customHeight="1" x14ac:dyDescent="0.2">
      <c r="A1828" s="534" t="s">
        <v>530</v>
      </c>
      <c r="B1828" s="532" t="s">
        <v>842</v>
      </c>
      <c r="C1828" s="55"/>
      <c r="D1828" s="108"/>
      <c r="E1828" s="115"/>
      <c r="F1828" s="330"/>
      <c r="G1828" s="48"/>
      <c r="H1828" s="48"/>
      <c r="I1828" s="48"/>
      <c r="J1828" s="48"/>
      <c r="K1828" s="48"/>
      <c r="L1828" s="48"/>
      <c r="M1828" s="48"/>
    </row>
    <row r="1829" spans="1:13" ht="15.75" customHeight="1" x14ac:dyDescent="0.25">
      <c r="A1829" s="536"/>
      <c r="B1829" s="540"/>
      <c r="C1829" s="78">
        <v>59</v>
      </c>
      <c r="D1829" s="108">
        <v>57</v>
      </c>
      <c r="E1829" s="115">
        <v>1995</v>
      </c>
      <c r="F1829" s="332">
        <f t="shared" ref="F1829:F1830" si="548">2019-E1829</f>
        <v>24</v>
      </c>
      <c r="G1829" s="48"/>
      <c r="H1829" s="48"/>
      <c r="I1829" s="48"/>
      <c r="J1829" s="48"/>
      <c r="K1829" s="48"/>
      <c r="L1829" s="48"/>
      <c r="M1829" s="48"/>
    </row>
    <row r="1830" spans="1:13" ht="15.75" customHeight="1" x14ac:dyDescent="0.25">
      <c r="A1830" s="535"/>
      <c r="B1830" s="533"/>
      <c r="C1830" s="78">
        <v>59</v>
      </c>
      <c r="D1830" s="108">
        <v>32</v>
      </c>
      <c r="E1830" s="115">
        <v>1995</v>
      </c>
      <c r="F1830" s="332">
        <f t="shared" si="548"/>
        <v>24</v>
      </c>
      <c r="G1830" s="48"/>
      <c r="H1830" s="48"/>
      <c r="I1830" s="48"/>
      <c r="J1830" s="48"/>
      <c r="K1830" s="48"/>
      <c r="L1830" s="48"/>
      <c r="M1830" s="48"/>
    </row>
    <row r="1831" spans="1:13" ht="15.75" customHeight="1" x14ac:dyDescent="0.2">
      <c r="A1831" s="525" t="s">
        <v>530</v>
      </c>
      <c r="B1831" s="532" t="s">
        <v>843</v>
      </c>
      <c r="C1831" s="55"/>
      <c r="D1831" s="108"/>
      <c r="E1831" s="115"/>
      <c r="F1831" s="330"/>
      <c r="G1831" s="48"/>
      <c r="H1831" s="48"/>
      <c r="I1831" s="48"/>
      <c r="J1831" s="48"/>
      <c r="K1831" s="48"/>
      <c r="L1831" s="48"/>
      <c r="M1831" s="48"/>
    </row>
    <row r="1832" spans="1:13" ht="15.75" customHeight="1" x14ac:dyDescent="0.25">
      <c r="A1832" s="531"/>
      <c r="B1832" s="540"/>
      <c r="C1832" s="78">
        <v>12</v>
      </c>
      <c r="D1832" s="108">
        <v>57</v>
      </c>
      <c r="E1832" s="115">
        <v>1995</v>
      </c>
      <c r="F1832" s="332">
        <f t="shared" ref="F1832:F1833" si="549">2019-E1832</f>
        <v>24</v>
      </c>
      <c r="G1832" s="48"/>
      <c r="H1832" s="48"/>
      <c r="I1832" s="48"/>
      <c r="J1832" s="48"/>
      <c r="K1832" s="48"/>
      <c r="L1832" s="48"/>
      <c r="M1832" s="48"/>
    </row>
    <row r="1833" spans="1:13" ht="15.75" customHeight="1" x14ac:dyDescent="0.25">
      <c r="A1833" s="526"/>
      <c r="B1833" s="533"/>
      <c r="C1833" s="78">
        <v>12</v>
      </c>
      <c r="D1833" s="108">
        <v>32</v>
      </c>
      <c r="E1833" s="115">
        <v>1995</v>
      </c>
      <c r="F1833" s="332">
        <f t="shared" si="549"/>
        <v>24</v>
      </c>
      <c r="G1833" s="48"/>
      <c r="H1833" s="48"/>
      <c r="I1833" s="48"/>
      <c r="J1833" s="48"/>
      <c r="K1833" s="48"/>
      <c r="L1833" s="48"/>
      <c r="M1833" s="48"/>
    </row>
    <row r="1834" spans="1:13" ht="15.75" customHeight="1" x14ac:dyDescent="0.2">
      <c r="A1834" s="525" t="s">
        <v>522</v>
      </c>
      <c r="B1834" s="532" t="s">
        <v>181</v>
      </c>
      <c r="C1834" s="55"/>
      <c r="D1834" s="108"/>
      <c r="E1834" s="115"/>
      <c r="F1834" s="330"/>
      <c r="G1834" s="48"/>
      <c r="H1834" s="48"/>
      <c r="I1834" s="48"/>
      <c r="J1834" s="48"/>
      <c r="K1834" s="48"/>
      <c r="L1834" s="48"/>
      <c r="M1834" s="48"/>
    </row>
    <row r="1835" spans="1:13" ht="15.75" customHeight="1" x14ac:dyDescent="0.25">
      <c r="A1835" s="531"/>
      <c r="B1835" s="540"/>
      <c r="C1835" s="55">
        <v>216</v>
      </c>
      <c r="D1835" s="108">
        <v>219</v>
      </c>
      <c r="E1835" s="115">
        <v>1993</v>
      </c>
      <c r="F1835" s="332">
        <f t="shared" ref="F1835:F1836" si="550">2019-E1835</f>
        <v>26</v>
      </c>
      <c r="G1835" s="48"/>
      <c r="H1835" s="48"/>
      <c r="I1835" s="48"/>
      <c r="J1835" s="48"/>
      <c r="K1835" s="48"/>
      <c r="L1835" s="48"/>
      <c r="M1835" s="48"/>
    </row>
    <row r="1836" spans="1:13" ht="15.75" customHeight="1" x14ac:dyDescent="0.25">
      <c r="A1836" s="526"/>
      <c r="B1836" s="533"/>
      <c r="C1836" s="55">
        <v>216</v>
      </c>
      <c r="D1836" s="108">
        <v>133</v>
      </c>
      <c r="E1836" s="115">
        <v>1993</v>
      </c>
      <c r="F1836" s="332">
        <f t="shared" si="550"/>
        <v>26</v>
      </c>
      <c r="G1836" s="48"/>
      <c r="H1836" s="48"/>
      <c r="I1836" s="48"/>
      <c r="J1836" s="48"/>
      <c r="K1836" s="48"/>
      <c r="L1836" s="48"/>
      <c r="M1836" s="48"/>
    </row>
    <row r="1837" spans="1:13" ht="15.75" customHeight="1" x14ac:dyDescent="0.2">
      <c r="A1837" s="525" t="s">
        <v>216</v>
      </c>
      <c r="B1837" s="532" t="s">
        <v>844</v>
      </c>
      <c r="C1837" s="55"/>
      <c r="D1837" s="108"/>
      <c r="E1837" s="115"/>
      <c r="F1837" s="330"/>
      <c r="G1837" s="48"/>
      <c r="H1837" s="48"/>
      <c r="I1837" s="48"/>
      <c r="J1837" s="48"/>
      <c r="K1837" s="48"/>
      <c r="L1837" s="48"/>
      <c r="M1837" s="48"/>
    </row>
    <row r="1838" spans="1:13" ht="15.75" customHeight="1" x14ac:dyDescent="0.25">
      <c r="A1838" s="531"/>
      <c r="B1838" s="540"/>
      <c r="C1838" s="55">
        <v>35</v>
      </c>
      <c r="D1838" s="108">
        <v>219</v>
      </c>
      <c r="E1838" s="115">
        <v>1993</v>
      </c>
      <c r="F1838" s="332">
        <f t="shared" ref="F1838:F1839" si="551">2019-E1838</f>
        <v>26</v>
      </c>
      <c r="G1838" s="48"/>
      <c r="H1838" s="48"/>
      <c r="I1838" s="48"/>
      <c r="J1838" s="48"/>
      <c r="K1838" s="48"/>
      <c r="L1838" s="48"/>
      <c r="M1838" s="48"/>
    </row>
    <row r="1839" spans="1:13" ht="15.75" customHeight="1" x14ac:dyDescent="0.25">
      <c r="A1839" s="526"/>
      <c r="B1839" s="533"/>
      <c r="C1839" s="55">
        <v>35</v>
      </c>
      <c r="D1839" s="108">
        <v>133</v>
      </c>
      <c r="E1839" s="115">
        <v>1993</v>
      </c>
      <c r="F1839" s="332">
        <f t="shared" si="551"/>
        <v>26</v>
      </c>
      <c r="G1839" s="48"/>
      <c r="H1839" s="48"/>
      <c r="I1839" s="48"/>
      <c r="J1839" s="48"/>
      <c r="K1839" s="48"/>
      <c r="L1839" s="48"/>
      <c r="M1839" s="48"/>
    </row>
    <row r="1840" spans="1:13" ht="15.75" customHeight="1" x14ac:dyDescent="0.2">
      <c r="A1840" s="525" t="s">
        <v>845</v>
      </c>
      <c r="B1840" s="532" t="s">
        <v>846</v>
      </c>
      <c r="C1840" s="55"/>
      <c r="D1840" s="108"/>
      <c r="E1840" s="115"/>
      <c r="F1840" s="330"/>
      <c r="G1840" s="48"/>
      <c r="H1840" s="48"/>
      <c r="I1840" s="48"/>
      <c r="J1840" s="48"/>
      <c r="K1840" s="48"/>
      <c r="L1840" s="48"/>
      <c r="M1840" s="48"/>
    </row>
    <row r="1841" spans="1:13" ht="15.75" customHeight="1" x14ac:dyDescent="0.25">
      <c r="A1841" s="531"/>
      <c r="B1841" s="540"/>
      <c r="C1841" s="55">
        <v>82</v>
      </c>
      <c r="D1841" s="108">
        <v>219</v>
      </c>
      <c r="E1841" s="115">
        <v>1993</v>
      </c>
      <c r="F1841" s="332">
        <f t="shared" ref="F1841:F1842" si="552">2019-E1841</f>
        <v>26</v>
      </c>
      <c r="G1841" s="48"/>
      <c r="H1841" s="48"/>
      <c r="I1841" s="48"/>
      <c r="J1841" s="48"/>
      <c r="K1841" s="48"/>
      <c r="L1841" s="48"/>
      <c r="M1841" s="48"/>
    </row>
    <row r="1842" spans="1:13" ht="15.75" customHeight="1" x14ac:dyDescent="0.25">
      <c r="A1842" s="526"/>
      <c r="B1842" s="533"/>
      <c r="C1842" s="55">
        <v>82</v>
      </c>
      <c r="D1842" s="108">
        <v>133</v>
      </c>
      <c r="E1842" s="115">
        <v>1993</v>
      </c>
      <c r="F1842" s="332">
        <f t="shared" si="552"/>
        <v>26</v>
      </c>
      <c r="G1842" s="48"/>
      <c r="H1842" s="48"/>
      <c r="I1842" s="48"/>
      <c r="J1842" s="48"/>
      <c r="K1842" s="48"/>
      <c r="L1842" s="48"/>
      <c r="M1842" s="48"/>
    </row>
    <row r="1843" spans="1:13" ht="15.75" customHeight="1" x14ac:dyDescent="0.2">
      <c r="A1843" s="525" t="s">
        <v>253</v>
      </c>
      <c r="B1843" s="532" t="s">
        <v>847</v>
      </c>
      <c r="C1843" s="55"/>
      <c r="D1843" s="108"/>
      <c r="E1843" s="115"/>
      <c r="F1843" s="330"/>
      <c r="G1843" s="48"/>
      <c r="H1843" s="48"/>
      <c r="I1843" s="48"/>
      <c r="J1843" s="48"/>
      <c r="K1843" s="48"/>
      <c r="L1843" s="48"/>
      <c r="M1843" s="48"/>
    </row>
    <row r="1844" spans="1:13" ht="15.75" customHeight="1" x14ac:dyDescent="0.25">
      <c r="A1844" s="531"/>
      <c r="B1844" s="540"/>
      <c r="C1844" s="78">
        <v>30</v>
      </c>
      <c r="D1844" s="108">
        <v>40</v>
      </c>
      <c r="E1844" s="115">
        <v>1993</v>
      </c>
      <c r="F1844" s="332">
        <f t="shared" ref="F1844:F1845" si="553">2019-E1844</f>
        <v>26</v>
      </c>
      <c r="G1844" s="48"/>
      <c r="H1844" s="48"/>
      <c r="I1844" s="48"/>
      <c r="J1844" s="48"/>
      <c r="K1844" s="48"/>
      <c r="L1844" s="48"/>
      <c r="M1844" s="48"/>
    </row>
    <row r="1845" spans="1:13" ht="15.75" customHeight="1" x14ac:dyDescent="0.25">
      <c r="A1845" s="526"/>
      <c r="B1845" s="533"/>
      <c r="C1845" s="78">
        <v>30</v>
      </c>
      <c r="D1845" s="108">
        <v>25</v>
      </c>
      <c r="E1845" s="115">
        <v>1993</v>
      </c>
      <c r="F1845" s="332">
        <f t="shared" si="553"/>
        <v>26</v>
      </c>
      <c r="G1845" s="48"/>
      <c r="H1845" s="48"/>
      <c r="I1845" s="48"/>
      <c r="J1845" s="48"/>
      <c r="K1845" s="48"/>
      <c r="L1845" s="48"/>
      <c r="M1845" s="48"/>
    </row>
    <row r="1846" spans="1:13" ht="15.75" customHeight="1" x14ac:dyDescent="0.2">
      <c r="A1846" s="525" t="s">
        <v>848</v>
      </c>
      <c r="B1846" s="532" t="s">
        <v>849</v>
      </c>
      <c r="C1846" s="55"/>
      <c r="D1846" s="108"/>
      <c r="E1846" s="115"/>
      <c r="F1846" s="330"/>
      <c r="G1846" s="48"/>
      <c r="H1846" s="48"/>
      <c r="I1846" s="48"/>
      <c r="J1846" s="48"/>
      <c r="K1846" s="48"/>
      <c r="L1846" s="48"/>
      <c r="M1846" s="48"/>
    </row>
    <row r="1847" spans="1:13" ht="15.75" customHeight="1" x14ac:dyDescent="0.25">
      <c r="A1847" s="531"/>
      <c r="B1847" s="540"/>
      <c r="C1847" s="55">
        <v>67</v>
      </c>
      <c r="D1847" s="108">
        <v>219</v>
      </c>
      <c r="E1847" s="115">
        <v>1994</v>
      </c>
      <c r="F1847" s="332">
        <f t="shared" ref="F1847:F1848" si="554">2019-E1847</f>
        <v>25</v>
      </c>
      <c r="G1847" s="48"/>
      <c r="H1847" s="48"/>
      <c r="I1847" s="48"/>
      <c r="J1847" s="48"/>
      <c r="K1847" s="48"/>
      <c r="L1847" s="48"/>
      <c r="M1847" s="48"/>
    </row>
    <row r="1848" spans="1:13" ht="15.75" customHeight="1" x14ac:dyDescent="0.25">
      <c r="A1848" s="526"/>
      <c r="B1848" s="533"/>
      <c r="C1848" s="55">
        <v>67</v>
      </c>
      <c r="D1848" s="108">
        <v>133</v>
      </c>
      <c r="E1848" s="115">
        <v>1994</v>
      </c>
      <c r="F1848" s="332">
        <f t="shared" si="554"/>
        <v>25</v>
      </c>
      <c r="G1848" s="48"/>
      <c r="H1848" s="48"/>
      <c r="I1848" s="48"/>
      <c r="J1848" s="48"/>
      <c r="K1848" s="48"/>
      <c r="L1848" s="48"/>
      <c r="M1848" s="48"/>
    </row>
    <row r="1849" spans="1:13" ht="15.75" customHeight="1" x14ac:dyDescent="0.2">
      <c r="A1849" s="525" t="s">
        <v>850</v>
      </c>
      <c r="B1849" s="532" t="s">
        <v>851</v>
      </c>
      <c r="C1849" s="78"/>
      <c r="D1849" s="108"/>
      <c r="E1849" s="115"/>
      <c r="F1849" s="330"/>
      <c r="G1849" s="48"/>
      <c r="H1849" s="48"/>
      <c r="I1849" s="48"/>
      <c r="J1849" s="48"/>
      <c r="K1849" s="48"/>
      <c r="L1849" s="48"/>
      <c r="M1849" s="48"/>
    </row>
    <row r="1850" spans="1:13" ht="15.75" customHeight="1" x14ac:dyDescent="0.25">
      <c r="A1850" s="531"/>
      <c r="B1850" s="540"/>
      <c r="C1850" s="55">
        <v>55</v>
      </c>
      <c r="D1850" s="108">
        <v>89</v>
      </c>
      <c r="E1850" s="115">
        <v>1994</v>
      </c>
      <c r="F1850" s="332">
        <f t="shared" ref="F1850:F1851" si="555">2019-E1850</f>
        <v>25</v>
      </c>
      <c r="G1850" s="48"/>
      <c r="H1850" s="48"/>
      <c r="I1850" s="48"/>
      <c r="J1850" s="48"/>
      <c r="K1850" s="48"/>
      <c r="L1850" s="48"/>
      <c r="M1850" s="48"/>
    </row>
    <row r="1851" spans="1:13" ht="15.75" customHeight="1" x14ac:dyDescent="0.25">
      <c r="A1851" s="526"/>
      <c r="B1851" s="533"/>
      <c r="C1851" s="78">
        <v>55</v>
      </c>
      <c r="D1851" s="108">
        <v>57</v>
      </c>
      <c r="E1851" s="115">
        <v>1994</v>
      </c>
      <c r="F1851" s="332">
        <f t="shared" si="555"/>
        <v>25</v>
      </c>
      <c r="G1851" s="48"/>
      <c r="H1851" s="48"/>
      <c r="I1851" s="48"/>
      <c r="J1851" s="48"/>
      <c r="K1851" s="48"/>
      <c r="L1851" s="48"/>
      <c r="M1851" s="48"/>
    </row>
    <row r="1852" spans="1:13" ht="15.75" customHeight="1" x14ac:dyDescent="0.2">
      <c r="A1852" s="525" t="s">
        <v>851</v>
      </c>
      <c r="B1852" s="532" t="s">
        <v>852</v>
      </c>
      <c r="C1852" s="78"/>
      <c r="D1852" s="108"/>
      <c r="E1852" s="115"/>
      <c r="F1852" s="330"/>
      <c r="G1852" s="48"/>
      <c r="H1852" s="48"/>
      <c r="I1852" s="48"/>
      <c r="J1852" s="48"/>
      <c r="K1852" s="48"/>
      <c r="L1852" s="48"/>
      <c r="M1852" s="48"/>
    </row>
    <row r="1853" spans="1:13" ht="15.75" customHeight="1" x14ac:dyDescent="0.25">
      <c r="A1853" s="531"/>
      <c r="B1853" s="540"/>
      <c r="C1853" s="55">
        <v>57</v>
      </c>
      <c r="D1853" s="108">
        <v>89</v>
      </c>
      <c r="E1853" s="115">
        <v>1994</v>
      </c>
      <c r="F1853" s="332">
        <f t="shared" ref="F1853:F1854" si="556">2019-E1853</f>
        <v>25</v>
      </c>
      <c r="G1853" s="48"/>
      <c r="H1853" s="48"/>
      <c r="I1853" s="48"/>
      <c r="J1853" s="48"/>
      <c r="K1853" s="48"/>
      <c r="L1853" s="48"/>
      <c r="M1853" s="48"/>
    </row>
    <row r="1854" spans="1:13" ht="15.75" customHeight="1" x14ac:dyDescent="0.25">
      <c r="A1854" s="526"/>
      <c r="B1854" s="533"/>
      <c r="C1854" s="78">
        <v>57</v>
      </c>
      <c r="D1854" s="108">
        <v>57</v>
      </c>
      <c r="E1854" s="115">
        <v>1994</v>
      </c>
      <c r="F1854" s="332">
        <f t="shared" si="556"/>
        <v>25</v>
      </c>
      <c r="G1854" s="48"/>
      <c r="H1854" s="48"/>
      <c r="I1854" s="48"/>
      <c r="J1854" s="48"/>
      <c r="K1854" s="48"/>
      <c r="L1854" s="48"/>
      <c r="M1854" s="48"/>
    </row>
    <row r="1855" spans="1:13" ht="15.75" customHeight="1" x14ac:dyDescent="0.2">
      <c r="A1855" s="525" t="s">
        <v>853</v>
      </c>
      <c r="B1855" s="525" t="s">
        <v>854</v>
      </c>
      <c r="C1855" s="78"/>
      <c r="D1855" s="108"/>
      <c r="E1855" s="115"/>
      <c r="F1855" s="330"/>
      <c r="G1855" s="48"/>
      <c r="H1855" s="48"/>
      <c r="I1855" s="48"/>
      <c r="J1855" s="48"/>
      <c r="K1855" s="48"/>
      <c r="L1855" s="48"/>
      <c r="M1855" s="48"/>
    </row>
    <row r="1856" spans="1:13" ht="15.75" customHeight="1" x14ac:dyDescent="0.25">
      <c r="A1856" s="531"/>
      <c r="B1856" s="531"/>
      <c r="C1856" s="78">
        <v>53</v>
      </c>
      <c r="D1856" s="108">
        <v>89</v>
      </c>
      <c r="E1856" s="115">
        <v>1999</v>
      </c>
      <c r="F1856" s="332">
        <f t="shared" ref="F1856:F1857" si="557">2019-E1856</f>
        <v>20</v>
      </c>
      <c r="G1856" s="48"/>
      <c r="H1856" s="48"/>
      <c r="I1856" s="48"/>
      <c r="J1856" s="48"/>
      <c r="K1856" s="48"/>
      <c r="L1856" s="48"/>
      <c r="M1856" s="48"/>
    </row>
    <row r="1857" spans="1:13" ht="15.75" customHeight="1" x14ac:dyDescent="0.25">
      <c r="A1857" s="526"/>
      <c r="B1857" s="526"/>
      <c r="C1857" s="78">
        <v>53</v>
      </c>
      <c r="D1857" s="108">
        <v>57</v>
      </c>
      <c r="E1857" s="115">
        <v>1999</v>
      </c>
      <c r="F1857" s="332">
        <f t="shared" si="557"/>
        <v>20</v>
      </c>
      <c r="G1857" s="48"/>
      <c r="H1857" s="48"/>
      <c r="I1857" s="48"/>
      <c r="J1857" s="48"/>
      <c r="K1857" s="48"/>
      <c r="L1857" s="48"/>
      <c r="M1857" s="48"/>
    </row>
    <row r="1858" spans="1:13" ht="15.75" customHeight="1" x14ac:dyDescent="0.2">
      <c r="A1858" s="525" t="s">
        <v>853</v>
      </c>
      <c r="B1858" s="532" t="s">
        <v>855</v>
      </c>
      <c r="C1858" s="55"/>
      <c r="D1858" s="108"/>
      <c r="E1858" s="115"/>
      <c r="F1858" s="330"/>
      <c r="G1858" s="48"/>
      <c r="H1858" s="48"/>
      <c r="I1858" s="48"/>
      <c r="J1858" s="48"/>
      <c r="K1858" s="48"/>
      <c r="L1858" s="48"/>
      <c r="M1858" s="48"/>
    </row>
    <row r="1859" spans="1:13" ht="15.75" customHeight="1" x14ac:dyDescent="0.25">
      <c r="A1859" s="531"/>
      <c r="B1859" s="540"/>
      <c r="C1859" s="78">
        <v>10</v>
      </c>
      <c r="D1859" s="108">
        <v>57</v>
      </c>
      <c r="E1859" s="115">
        <v>1994</v>
      </c>
      <c r="F1859" s="332">
        <f t="shared" ref="F1859:F1860" si="558">2019-E1859</f>
        <v>25</v>
      </c>
      <c r="G1859" s="48"/>
      <c r="H1859" s="48"/>
      <c r="I1859" s="48"/>
      <c r="J1859" s="48"/>
      <c r="K1859" s="48"/>
      <c r="L1859" s="48"/>
      <c r="M1859" s="48"/>
    </row>
    <row r="1860" spans="1:13" ht="15.75" customHeight="1" x14ac:dyDescent="0.25">
      <c r="A1860" s="526"/>
      <c r="B1860" s="533"/>
      <c r="C1860" s="78">
        <v>10</v>
      </c>
      <c r="D1860" s="108">
        <v>25</v>
      </c>
      <c r="E1860" s="115">
        <v>1994</v>
      </c>
      <c r="F1860" s="332">
        <f t="shared" si="558"/>
        <v>25</v>
      </c>
      <c r="G1860" s="48"/>
      <c r="H1860" s="48"/>
      <c r="I1860" s="48"/>
      <c r="J1860" s="48"/>
      <c r="K1860" s="48"/>
      <c r="L1860" s="48"/>
      <c r="M1860" s="48"/>
    </row>
    <row r="1861" spans="1:13" ht="15.75" customHeight="1" x14ac:dyDescent="0.2">
      <c r="A1861" s="525" t="s">
        <v>856</v>
      </c>
      <c r="B1861" s="525" t="s">
        <v>857</v>
      </c>
      <c r="C1861" s="78"/>
      <c r="D1861" s="108"/>
      <c r="E1861" s="115"/>
      <c r="F1861" s="330"/>
      <c r="G1861" s="48"/>
      <c r="H1861" s="48"/>
      <c r="I1861" s="48"/>
      <c r="J1861" s="48"/>
      <c r="K1861" s="48"/>
      <c r="L1861" s="48"/>
      <c r="M1861" s="48"/>
    </row>
    <row r="1862" spans="1:13" ht="15.75" customHeight="1" x14ac:dyDescent="0.25">
      <c r="A1862" s="531"/>
      <c r="B1862" s="531"/>
      <c r="C1862" s="78">
        <v>10</v>
      </c>
      <c r="D1862" s="108">
        <v>57</v>
      </c>
      <c r="E1862" s="115">
        <v>2006</v>
      </c>
      <c r="F1862" s="332">
        <f t="shared" ref="F1862:F1863" si="559">2019-E1862</f>
        <v>13</v>
      </c>
      <c r="G1862" s="48"/>
      <c r="H1862" s="48"/>
      <c r="I1862" s="48"/>
      <c r="J1862" s="48"/>
      <c r="K1862" s="48"/>
      <c r="L1862" s="48"/>
      <c r="M1862" s="48"/>
    </row>
    <row r="1863" spans="1:13" ht="15.75" customHeight="1" x14ac:dyDescent="0.25">
      <c r="A1863" s="526"/>
      <c r="B1863" s="526"/>
      <c r="C1863" s="119">
        <v>10</v>
      </c>
      <c r="D1863" s="108">
        <v>25</v>
      </c>
      <c r="E1863" s="115">
        <v>2006</v>
      </c>
      <c r="F1863" s="332">
        <f t="shared" si="559"/>
        <v>13</v>
      </c>
      <c r="G1863" s="48"/>
      <c r="H1863" s="48"/>
      <c r="I1863" s="48"/>
      <c r="J1863" s="48"/>
      <c r="K1863" s="48"/>
      <c r="L1863" s="48"/>
      <c r="M1863" s="48"/>
    </row>
    <row r="1864" spans="1:13" ht="15.75" customHeight="1" x14ac:dyDescent="0.2">
      <c r="A1864" s="525" t="s">
        <v>850</v>
      </c>
      <c r="B1864" s="525" t="s">
        <v>858</v>
      </c>
      <c r="C1864" s="78"/>
      <c r="D1864" s="108"/>
      <c r="E1864" s="115"/>
      <c r="F1864" s="330"/>
      <c r="G1864" s="48"/>
      <c r="H1864" s="48"/>
      <c r="I1864" s="48"/>
      <c r="J1864" s="48"/>
      <c r="K1864" s="48"/>
      <c r="L1864" s="48"/>
      <c r="M1864" s="48"/>
    </row>
    <row r="1865" spans="1:13" ht="15.75" customHeight="1" x14ac:dyDescent="0.25">
      <c r="A1865" s="531"/>
      <c r="B1865" s="531"/>
      <c r="C1865" s="78">
        <v>39</v>
      </c>
      <c r="D1865" s="108">
        <v>219</v>
      </c>
      <c r="E1865" s="115">
        <v>1999</v>
      </c>
      <c r="F1865" s="332">
        <f t="shared" ref="F1865:F1866" si="560">2019-E1865</f>
        <v>20</v>
      </c>
      <c r="G1865" s="48"/>
      <c r="H1865" s="48"/>
      <c r="I1865" s="48"/>
      <c r="J1865" s="48"/>
      <c r="K1865" s="48"/>
      <c r="L1865" s="48"/>
      <c r="M1865" s="48"/>
    </row>
    <row r="1866" spans="1:13" ht="15.75" customHeight="1" x14ac:dyDescent="0.25">
      <c r="A1866" s="526"/>
      <c r="B1866" s="526"/>
      <c r="C1866" s="78">
        <v>39</v>
      </c>
      <c r="D1866" s="108">
        <v>133</v>
      </c>
      <c r="E1866" s="115">
        <v>1999</v>
      </c>
      <c r="F1866" s="332">
        <f t="shared" si="560"/>
        <v>20</v>
      </c>
      <c r="G1866" s="48"/>
      <c r="H1866" s="48"/>
      <c r="I1866" s="48"/>
      <c r="J1866" s="48"/>
      <c r="K1866" s="48"/>
      <c r="L1866" s="48"/>
      <c r="M1866" s="48"/>
    </row>
    <row r="1867" spans="1:13" ht="15.75" customHeight="1" x14ac:dyDescent="0.2">
      <c r="A1867" s="525" t="s">
        <v>859</v>
      </c>
      <c r="B1867" s="525" t="s">
        <v>860</v>
      </c>
      <c r="C1867" s="78"/>
      <c r="D1867" s="108"/>
      <c r="E1867" s="115"/>
      <c r="F1867" s="330"/>
      <c r="G1867" s="48"/>
      <c r="H1867" s="48"/>
      <c r="I1867" s="48"/>
      <c r="J1867" s="48"/>
      <c r="K1867" s="48"/>
      <c r="L1867" s="48"/>
      <c r="M1867" s="48"/>
    </row>
    <row r="1868" spans="1:13" x14ac:dyDescent="0.25">
      <c r="A1868" s="531"/>
      <c r="B1868" s="531"/>
      <c r="C1868" s="78">
        <v>32</v>
      </c>
      <c r="D1868" s="108">
        <v>219</v>
      </c>
      <c r="E1868" s="115">
        <v>1999</v>
      </c>
      <c r="F1868" s="332">
        <f t="shared" ref="F1868:F1869" si="561">2019-E1868</f>
        <v>20</v>
      </c>
      <c r="G1868" s="48"/>
      <c r="H1868" s="48"/>
      <c r="I1868" s="48"/>
      <c r="J1868" s="48"/>
      <c r="K1868" s="48"/>
      <c r="L1868" s="48"/>
      <c r="M1868" s="48"/>
    </row>
    <row r="1869" spans="1:13" x14ac:dyDescent="0.25">
      <c r="A1869" s="526"/>
      <c r="B1869" s="526"/>
      <c r="C1869" s="78">
        <v>32</v>
      </c>
      <c r="D1869" s="108">
        <v>133</v>
      </c>
      <c r="E1869" s="115">
        <v>1999</v>
      </c>
      <c r="F1869" s="332">
        <f t="shared" si="561"/>
        <v>20</v>
      </c>
      <c r="G1869" s="48"/>
      <c r="H1869" s="48"/>
      <c r="I1869" s="48"/>
      <c r="J1869" s="48"/>
      <c r="K1869" s="48"/>
      <c r="L1869" s="48"/>
      <c r="M1869" s="48"/>
    </row>
    <row r="1870" spans="1:13" ht="15.75" customHeight="1" x14ac:dyDescent="0.2">
      <c r="A1870" s="525" t="s">
        <v>861</v>
      </c>
      <c r="B1870" s="525" t="s">
        <v>862</v>
      </c>
      <c r="C1870" s="78"/>
      <c r="D1870" s="108"/>
      <c r="E1870" s="115"/>
      <c r="F1870" s="330"/>
      <c r="G1870" s="48"/>
      <c r="H1870" s="48"/>
      <c r="I1870" s="48"/>
      <c r="J1870" s="48"/>
      <c r="K1870" s="48"/>
      <c r="L1870" s="48"/>
      <c r="M1870" s="48"/>
    </row>
    <row r="1871" spans="1:13" ht="15.75" customHeight="1" x14ac:dyDescent="0.25">
      <c r="A1871" s="531"/>
      <c r="B1871" s="531"/>
      <c r="C1871" s="78">
        <v>27</v>
      </c>
      <c r="D1871" s="108">
        <v>219</v>
      </c>
      <c r="E1871" s="115">
        <v>1999</v>
      </c>
      <c r="F1871" s="332">
        <f t="shared" ref="F1871:F1872" si="562">2019-E1871</f>
        <v>20</v>
      </c>
      <c r="G1871" s="48"/>
      <c r="H1871" s="48"/>
      <c r="I1871" s="48"/>
      <c r="J1871" s="48"/>
      <c r="K1871" s="48"/>
      <c r="L1871" s="48"/>
      <c r="M1871" s="48"/>
    </row>
    <row r="1872" spans="1:13" ht="15.75" customHeight="1" x14ac:dyDescent="0.25">
      <c r="A1872" s="526"/>
      <c r="B1872" s="526"/>
      <c r="C1872" s="78">
        <v>27</v>
      </c>
      <c r="D1872" s="108">
        <v>108</v>
      </c>
      <c r="E1872" s="115">
        <v>1999</v>
      </c>
      <c r="F1872" s="332">
        <f t="shared" si="562"/>
        <v>20</v>
      </c>
      <c r="G1872" s="48"/>
      <c r="H1872" s="48"/>
      <c r="I1872" s="48"/>
      <c r="J1872" s="48"/>
      <c r="K1872" s="48"/>
      <c r="L1872" s="48"/>
      <c r="M1872" s="48"/>
    </row>
    <row r="1873" spans="1:13" ht="15.75" customHeight="1" x14ac:dyDescent="0.2">
      <c r="A1873" s="525" t="s">
        <v>862</v>
      </c>
      <c r="B1873" s="525" t="s">
        <v>863</v>
      </c>
      <c r="C1873" s="78"/>
      <c r="D1873" s="108"/>
      <c r="E1873" s="115"/>
      <c r="F1873" s="330"/>
      <c r="G1873" s="48"/>
      <c r="H1873" s="48"/>
      <c r="I1873" s="48"/>
      <c r="J1873" s="48"/>
      <c r="K1873" s="48"/>
      <c r="L1873" s="48"/>
      <c r="M1873" s="48"/>
    </row>
    <row r="1874" spans="1:13" ht="15.75" customHeight="1" x14ac:dyDescent="0.25">
      <c r="A1874" s="531"/>
      <c r="B1874" s="531"/>
      <c r="C1874" s="78">
        <v>62</v>
      </c>
      <c r="D1874" s="108">
        <v>219</v>
      </c>
      <c r="E1874" s="115">
        <v>1999</v>
      </c>
      <c r="F1874" s="332">
        <f t="shared" ref="F1874:F1875" si="563">2019-E1874</f>
        <v>20</v>
      </c>
      <c r="G1874" s="48"/>
      <c r="H1874" s="48"/>
      <c r="I1874" s="48"/>
      <c r="J1874" s="48"/>
      <c r="K1874" s="48"/>
      <c r="L1874" s="48"/>
      <c r="M1874" s="48"/>
    </row>
    <row r="1875" spans="1:13" ht="15.75" customHeight="1" x14ac:dyDescent="0.25">
      <c r="A1875" s="526"/>
      <c r="B1875" s="526"/>
      <c r="C1875" s="78">
        <v>62</v>
      </c>
      <c r="D1875" s="108">
        <v>133</v>
      </c>
      <c r="E1875" s="115">
        <v>1999</v>
      </c>
      <c r="F1875" s="332">
        <f t="shared" si="563"/>
        <v>20</v>
      </c>
      <c r="G1875" s="48"/>
      <c r="H1875" s="48"/>
      <c r="I1875" s="48"/>
      <c r="J1875" s="48"/>
      <c r="K1875" s="48"/>
      <c r="L1875" s="48"/>
      <c r="M1875" s="48"/>
    </row>
    <row r="1876" spans="1:13" ht="15.75" customHeight="1" x14ac:dyDescent="0.2">
      <c r="A1876" s="525" t="s">
        <v>863</v>
      </c>
      <c r="B1876" s="525" t="s">
        <v>864</v>
      </c>
      <c r="C1876" s="119"/>
      <c r="D1876" s="108"/>
      <c r="E1876" s="115"/>
      <c r="F1876" s="330"/>
      <c r="G1876" s="48"/>
      <c r="H1876" s="48"/>
      <c r="I1876" s="48"/>
      <c r="J1876" s="48"/>
      <c r="K1876" s="48"/>
      <c r="L1876" s="48"/>
      <c r="M1876" s="48"/>
    </row>
    <row r="1877" spans="1:13" ht="15.75" customHeight="1" x14ac:dyDescent="0.25">
      <c r="A1877" s="531"/>
      <c r="B1877" s="531"/>
      <c r="C1877" s="55">
        <v>52</v>
      </c>
      <c r="D1877" s="108">
        <v>76</v>
      </c>
      <c r="E1877" s="115">
        <v>1999</v>
      </c>
      <c r="F1877" s="332">
        <f t="shared" ref="F1877:F1878" si="564">2019-E1877</f>
        <v>20</v>
      </c>
      <c r="G1877" s="48"/>
      <c r="H1877" s="48"/>
      <c r="I1877" s="48"/>
      <c r="J1877" s="48"/>
      <c r="K1877" s="48"/>
      <c r="L1877" s="48"/>
      <c r="M1877" s="48"/>
    </row>
    <row r="1878" spans="1:13" ht="15.75" customHeight="1" x14ac:dyDescent="0.25">
      <c r="A1878" s="526"/>
      <c r="B1878" s="526"/>
      <c r="C1878" s="78">
        <v>52</v>
      </c>
      <c r="D1878" s="108">
        <v>57</v>
      </c>
      <c r="E1878" s="115">
        <v>1999</v>
      </c>
      <c r="F1878" s="332">
        <f t="shared" si="564"/>
        <v>20</v>
      </c>
      <c r="G1878" s="48"/>
      <c r="H1878" s="48"/>
      <c r="I1878" s="48"/>
      <c r="J1878" s="48"/>
      <c r="K1878" s="48"/>
      <c r="L1878" s="48"/>
      <c r="M1878" s="48"/>
    </row>
    <row r="1879" spans="1:13" ht="15.75" customHeight="1" x14ac:dyDescent="0.2">
      <c r="A1879" s="525" t="s">
        <v>863</v>
      </c>
      <c r="B1879" s="525" t="s">
        <v>865</v>
      </c>
      <c r="C1879" s="55"/>
      <c r="D1879" s="108"/>
      <c r="E1879" s="115"/>
      <c r="F1879" s="330"/>
      <c r="G1879" s="48"/>
      <c r="H1879" s="48"/>
      <c r="I1879" s="48"/>
      <c r="J1879" s="48"/>
      <c r="K1879" s="48"/>
      <c r="L1879" s="48"/>
      <c r="M1879" s="48"/>
    </row>
    <row r="1880" spans="1:13" ht="15.75" customHeight="1" x14ac:dyDescent="0.25">
      <c r="A1880" s="531"/>
      <c r="B1880" s="531"/>
      <c r="C1880" s="119">
        <v>10</v>
      </c>
      <c r="D1880" s="108">
        <v>40</v>
      </c>
      <c r="E1880" s="115">
        <v>2001</v>
      </c>
      <c r="F1880" s="332">
        <f t="shared" ref="F1880:F1881" si="565">2019-E1880</f>
        <v>18</v>
      </c>
      <c r="G1880" s="48"/>
      <c r="H1880" s="48"/>
      <c r="I1880" s="48"/>
      <c r="J1880" s="48"/>
      <c r="K1880" s="48"/>
      <c r="L1880" s="48"/>
      <c r="M1880" s="48"/>
    </row>
    <row r="1881" spans="1:13" ht="15.75" customHeight="1" x14ac:dyDescent="0.25">
      <c r="A1881" s="526"/>
      <c r="B1881" s="526"/>
      <c r="C1881" s="119">
        <v>10</v>
      </c>
      <c r="D1881" s="108">
        <v>25</v>
      </c>
      <c r="E1881" s="115">
        <v>2001</v>
      </c>
      <c r="F1881" s="332">
        <f t="shared" si="565"/>
        <v>18</v>
      </c>
      <c r="G1881" s="48"/>
      <c r="H1881" s="48"/>
      <c r="I1881" s="48"/>
      <c r="J1881" s="48"/>
      <c r="K1881" s="48"/>
      <c r="L1881" s="48"/>
      <c r="M1881" s="48"/>
    </row>
    <row r="1882" spans="1:13" ht="15.75" customHeight="1" x14ac:dyDescent="0.2">
      <c r="A1882" s="525" t="s">
        <v>864</v>
      </c>
      <c r="B1882" s="525" t="s">
        <v>866</v>
      </c>
      <c r="C1882" s="78"/>
      <c r="D1882" s="108"/>
      <c r="E1882" s="115"/>
      <c r="F1882" s="330"/>
      <c r="G1882" s="48"/>
      <c r="H1882" s="48"/>
      <c r="I1882" s="48"/>
      <c r="J1882" s="48"/>
      <c r="K1882" s="48"/>
      <c r="L1882" s="48"/>
      <c r="M1882" s="48"/>
    </row>
    <row r="1883" spans="1:13" ht="15.75" customHeight="1" x14ac:dyDescent="0.25">
      <c r="A1883" s="531"/>
      <c r="B1883" s="531"/>
      <c r="C1883" s="78">
        <v>10</v>
      </c>
      <c r="D1883" s="108">
        <v>89</v>
      </c>
      <c r="E1883" s="115">
        <v>2001</v>
      </c>
      <c r="F1883" s="332">
        <f t="shared" ref="F1883:F1884" si="566">2019-E1883</f>
        <v>18</v>
      </c>
      <c r="G1883" s="48"/>
      <c r="H1883" s="48"/>
      <c r="I1883" s="48"/>
      <c r="J1883" s="48"/>
      <c r="K1883" s="48"/>
      <c r="L1883" s="48"/>
      <c r="M1883" s="48"/>
    </row>
    <row r="1884" spans="1:13" ht="15.75" customHeight="1" x14ac:dyDescent="0.25">
      <c r="A1884" s="526"/>
      <c r="B1884" s="526"/>
      <c r="C1884" s="78">
        <v>10</v>
      </c>
      <c r="D1884" s="108">
        <v>57</v>
      </c>
      <c r="E1884" s="115">
        <v>2001</v>
      </c>
      <c r="F1884" s="332">
        <f t="shared" si="566"/>
        <v>18</v>
      </c>
      <c r="G1884" s="48"/>
      <c r="H1884" s="48"/>
      <c r="I1884" s="48"/>
      <c r="J1884" s="48"/>
      <c r="K1884" s="48"/>
      <c r="L1884" s="48"/>
      <c r="M1884" s="48"/>
    </row>
    <row r="1885" spans="1:13" ht="15.75" customHeight="1" x14ac:dyDescent="0.2">
      <c r="A1885" s="525" t="s">
        <v>250</v>
      </c>
      <c r="B1885" s="532" t="s">
        <v>419</v>
      </c>
      <c r="C1885" s="78"/>
      <c r="D1885" s="108"/>
      <c r="E1885" s="115"/>
      <c r="F1885" s="330"/>
      <c r="G1885" s="48"/>
      <c r="H1885" s="48"/>
      <c r="I1885" s="48"/>
      <c r="J1885" s="48"/>
      <c r="K1885" s="48"/>
      <c r="L1885" s="48"/>
      <c r="M1885" s="48"/>
    </row>
    <row r="1886" spans="1:13" ht="15.75" customHeight="1" x14ac:dyDescent="0.25">
      <c r="A1886" s="531"/>
      <c r="B1886" s="540"/>
      <c r="C1886" s="55">
        <v>31</v>
      </c>
      <c r="D1886" s="108">
        <v>89</v>
      </c>
      <c r="E1886" s="115">
        <v>1993</v>
      </c>
      <c r="F1886" s="332">
        <f t="shared" ref="F1886:F1887" si="567">2019-E1886</f>
        <v>26</v>
      </c>
      <c r="G1886" s="48"/>
      <c r="H1886" s="48"/>
      <c r="I1886" s="48"/>
      <c r="J1886" s="48"/>
      <c r="K1886" s="48"/>
      <c r="L1886" s="48"/>
      <c r="M1886" s="48"/>
    </row>
    <row r="1887" spans="1:13" ht="15.75" customHeight="1" x14ac:dyDescent="0.25">
      <c r="A1887" s="526"/>
      <c r="B1887" s="533"/>
      <c r="C1887" s="78">
        <v>31</v>
      </c>
      <c r="D1887" s="108">
        <v>57</v>
      </c>
      <c r="E1887" s="115">
        <v>1993</v>
      </c>
      <c r="F1887" s="332">
        <f t="shared" si="567"/>
        <v>26</v>
      </c>
      <c r="G1887" s="48"/>
      <c r="H1887" s="48"/>
      <c r="I1887" s="48"/>
      <c r="J1887" s="48"/>
      <c r="K1887" s="48"/>
      <c r="L1887" s="48"/>
      <c r="M1887" s="48"/>
    </row>
    <row r="1888" spans="1:13" ht="15.75" customHeight="1" x14ac:dyDescent="0.2">
      <c r="A1888" s="525" t="s">
        <v>867</v>
      </c>
      <c r="B1888" s="532" t="s">
        <v>868</v>
      </c>
      <c r="C1888" s="55"/>
      <c r="D1888" s="108"/>
      <c r="E1888" s="115"/>
      <c r="F1888" s="330"/>
      <c r="G1888" s="48"/>
      <c r="H1888" s="48"/>
      <c r="I1888" s="48"/>
      <c r="J1888" s="48"/>
      <c r="K1888" s="48"/>
      <c r="L1888" s="48"/>
      <c r="M1888" s="48"/>
    </row>
    <row r="1889" spans="1:13" ht="15.75" customHeight="1" x14ac:dyDescent="0.25">
      <c r="A1889" s="531"/>
      <c r="B1889" s="540"/>
      <c r="C1889" s="55">
        <v>91</v>
      </c>
      <c r="D1889" s="108">
        <v>219</v>
      </c>
      <c r="E1889" s="115">
        <v>1993</v>
      </c>
      <c r="F1889" s="332">
        <f t="shared" ref="F1889:F1890" si="568">2019-E1889</f>
        <v>26</v>
      </c>
      <c r="G1889" s="48"/>
      <c r="H1889" s="48"/>
      <c r="I1889" s="48"/>
      <c r="J1889" s="48"/>
      <c r="K1889" s="48"/>
      <c r="L1889" s="48"/>
      <c r="M1889" s="48"/>
    </row>
    <row r="1890" spans="1:13" ht="15.75" customHeight="1" x14ac:dyDescent="0.25">
      <c r="A1890" s="526"/>
      <c r="B1890" s="533"/>
      <c r="C1890" s="55">
        <v>91</v>
      </c>
      <c r="D1890" s="108">
        <v>133</v>
      </c>
      <c r="E1890" s="115">
        <v>1993</v>
      </c>
      <c r="F1890" s="332">
        <f t="shared" si="568"/>
        <v>26</v>
      </c>
      <c r="G1890" s="48"/>
      <c r="H1890" s="48"/>
      <c r="I1890" s="48"/>
      <c r="J1890" s="48"/>
      <c r="K1890" s="48"/>
      <c r="L1890" s="48"/>
      <c r="M1890" s="48"/>
    </row>
    <row r="1891" spans="1:13" ht="15.75" customHeight="1" x14ac:dyDescent="0.2">
      <c r="A1891" s="525" t="s">
        <v>848</v>
      </c>
      <c r="B1891" s="532" t="s">
        <v>869</v>
      </c>
      <c r="C1891" s="78"/>
      <c r="D1891" s="108"/>
      <c r="E1891" s="115"/>
      <c r="F1891" s="330"/>
      <c r="G1891" s="48"/>
      <c r="H1891" s="48"/>
      <c r="I1891" s="48"/>
      <c r="J1891" s="48"/>
      <c r="K1891" s="48"/>
      <c r="L1891" s="48"/>
      <c r="M1891" s="48"/>
    </row>
    <row r="1892" spans="1:13" ht="15.75" customHeight="1" x14ac:dyDescent="0.25">
      <c r="A1892" s="531"/>
      <c r="B1892" s="540"/>
      <c r="C1892" s="78">
        <v>54</v>
      </c>
      <c r="D1892" s="108">
        <v>108</v>
      </c>
      <c r="E1892" s="115">
        <v>1994</v>
      </c>
      <c r="F1892" s="332">
        <f t="shared" ref="F1892:F1893" si="569">2019-E1892</f>
        <v>25</v>
      </c>
      <c r="G1892" s="48"/>
      <c r="H1892" s="48"/>
      <c r="I1892" s="48"/>
      <c r="J1892" s="48"/>
      <c r="K1892" s="48"/>
      <c r="L1892" s="48"/>
      <c r="M1892" s="48"/>
    </row>
    <row r="1893" spans="1:13" ht="15.75" customHeight="1" x14ac:dyDescent="0.25">
      <c r="A1893" s="526"/>
      <c r="B1893" s="533"/>
      <c r="C1893" s="55">
        <v>54</v>
      </c>
      <c r="D1893" s="108">
        <v>89</v>
      </c>
      <c r="E1893" s="115">
        <v>1994</v>
      </c>
      <c r="F1893" s="332">
        <f t="shared" si="569"/>
        <v>25</v>
      </c>
      <c r="G1893" s="48"/>
      <c r="H1893" s="48"/>
      <c r="I1893" s="48"/>
      <c r="J1893" s="48"/>
      <c r="K1893" s="48"/>
      <c r="L1893" s="48"/>
      <c r="M1893" s="48"/>
    </row>
    <row r="1894" spans="1:13" ht="15.75" customHeight="1" x14ac:dyDescent="0.2">
      <c r="A1894" s="525" t="s">
        <v>870</v>
      </c>
      <c r="B1894" s="532" t="s">
        <v>871</v>
      </c>
      <c r="C1894" s="55"/>
      <c r="D1894" s="108"/>
      <c r="E1894" s="115"/>
      <c r="F1894" s="330"/>
      <c r="G1894" s="48"/>
      <c r="H1894" s="48"/>
      <c r="I1894" s="48"/>
      <c r="J1894" s="48"/>
      <c r="K1894" s="48"/>
      <c r="L1894" s="48"/>
      <c r="M1894" s="48"/>
    </row>
    <row r="1895" spans="1:13" ht="15.75" customHeight="1" x14ac:dyDescent="0.25">
      <c r="A1895" s="531"/>
      <c r="B1895" s="540"/>
      <c r="C1895" s="78">
        <v>90</v>
      </c>
      <c r="D1895" s="108">
        <v>108</v>
      </c>
      <c r="E1895" s="115">
        <v>1995</v>
      </c>
      <c r="F1895" s="332">
        <f t="shared" ref="F1895:F1896" si="570">2019-E1895</f>
        <v>24</v>
      </c>
      <c r="G1895" s="48"/>
      <c r="H1895" s="48"/>
      <c r="I1895" s="48"/>
      <c r="J1895" s="48"/>
      <c r="K1895" s="48"/>
      <c r="L1895" s="48"/>
      <c r="M1895" s="48"/>
    </row>
    <row r="1896" spans="1:13" ht="15.75" customHeight="1" x14ac:dyDescent="0.25">
      <c r="A1896" s="526"/>
      <c r="B1896" s="533"/>
      <c r="C1896" s="55">
        <v>90</v>
      </c>
      <c r="D1896" s="108">
        <v>89</v>
      </c>
      <c r="E1896" s="115">
        <v>1995</v>
      </c>
      <c r="F1896" s="332">
        <f t="shared" si="570"/>
        <v>24</v>
      </c>
      <c r="G1896" s="48"/>
      <c r="H1896" s="48"/>
      <c r="I1896" s="48"/>
      <c r="J1896" s="48"/>
      <c r="K1896" s="48"/>
      <c r="L1896" s="48"/>
      <c r="M1896" s="48"/>
    </row>
    <row r="1897" spans="1:13" ht="15.75" customHeight="1" x14ac:dyDescent="0.2">
      <c r="A1897" s="525" t="s">
        <v>871</v>
      </c>
      <c r="B1897" s="532" t="s">
        <v>872</v>
      </c>
      <c r="C1897" s="78"/>
      <c r="D1897" s="108"/>
      <c r="E1897" s="115"/>
      <c r="F1897" s="330"/>
      <c r="G1897" s="48"/>
      <c r="H1897" s="48"/>
      <c r="I1897" s="48"/>
      <c r="J1897" s="48"/>
      <c r="K1897" s="48"/>
      <c r="L1897" s="48"/>
      <c r="M1897" s="48"/>
    </row>
    <row r="1898" spans="1:13" ht="15.75" customHeight="1" x14ac:dyDescent="0.25">
      <c r="A1898" s="531"/>
      <c r="B1898" s="540"/>
      <c r="C1898" s="126">
        <f>2*66</f>
        <v>132</v>
      </c>
      <c r="D1898" s="318">
        <v>89</v>
      </c>
      <c r="E1898" s="115">
        <v>1995</v>
      </c>
      <c r="F1898" s="332">
        <f t="shared" ref="F1898" si="571">2019-E1898</f>
        <v>24</v>
      </c>
      <c r="G1898" s="48"/>
      <c r="H1898" s="48"/>
      <c r="I1898" s="48"/>
      <c r="J1898" s="48"/>
      <c r="K1898" s="48"/>
      <c r="L1898" s="48"/>
      <c r="M1898" s="48"/>
    </row>
    <row r="1899" spans="1:13" ht="15.75" customHeight="1" x14ac:dyDescent="0.2">
      <c r="A1899" s="525" t="s">
        <v>870</v>
      </c>
      <c r="B1899" s="532" t="s">
        <v>873</v>
      </c>
      <c r="C1899" s="55"/>
      <c r="D1899" s="108"/>
      <c r="E1899" s="115"/>
      <c r="F1899" s="330"/>
      <c r="G1899" s="48"/>
      <c r="H1899" s="48"/>
      <c r="I1899" s="48"/>
      <c r="J1899" s="48"/>
      <c r="K1899" s="48"/>
      <c r="L1899" s="48"/>
      <c r="M1899" s="48"/>
    </row>
    <row r="1900" spans="1:13" ht="15.75" customHeight="1" x14ac:dyDescent="0.25">
      <c r="A1900" s="531"/>
      <c r="B1900" s="540"/>
      <c r="C1900" s="78">
        <v>9</v>
      </c>
      <c r="D1900" s="108">
        <v>57</v>
      </c>
      <c r="E1900" s="115">
        <v>1996</v>
      </c>
      <c r="F1900" s="332">
        <f t="shared" ref="F1900:F1901" si="572">2019-E1900</f>
        <v>23</v>
      </c>
      <c r="G1900" s="48"/>
      <c r="H1900" s="48"/>
      <c r="I1900" s="48"/>
      <c r="J1900" s="48"/>
      <c r="K1900" s="48"/>
      <c r="L1900" s="48"/>
      <c r="M1900" s="48"/>
    </row>
    <row r="1901" spans="1:13" ht="15.75" customHeight="1" x14ac:dyDescent="0.25">
      <c r="A1901" s="526"/>
      <c r="B1901" s="533"/>
      <c r="C1901" s="78">
        <v>9</v>
      </c>
      <c r="D1901" s="108">
        <v>32</v>
      </c>
      <c r="E1901" s="115">
        <v>1996</v>
      </c>
      <c r="F1901" s="332">
        <f t="shared" si="572"/>
        <v>23</v>
      </c>
      <c r="G1901" s="48"/>
      <c r="H1901" s="48"/>
      <c r="I1901" s="48"/>
      <c r="J1901" s="48"/>
      <c r="K1901" s="48"/>
      <c r="L1901" s="48"/>
      <c r="M1901" s="48"/>
    </row>
    <row r="1902" spans="1:13" ht="15.75" customHeight="1" x14ac:dyDescent="0.2">
      <c r="A1902" s="525" t="s">
        <v>871</v>
      </c>
      <c r="B1902" s="532" t="s">
        <v>874</v>
      </c>
      <c r="C1902" s="55"/>
      <c r="D1902" s="108"/>
      <c r="E1902" s="115"/>
      <c r="F1902" s="330"/>
      <c r="G1902" s="48"/>
      <c r="H1902" s="48"/>
      <c r="I1902" s="48"/>
      <c r="J1902" s="48"/>
      <c r="K1902" s="48"/>
      <c r="L1902" s="48"/>
      <c r="M1902" s="48"/>
    </row>
    <row r="1903" spans="1:13" ht="15.75" customHeight="1" x14ac:dyDescent="0.25">
      <c r="A1903" s="531"/>
      <c r="B1903" s="540"/>
      <c r="C1903" s="78">
        <v>10</v>
      </c>
      <c r="D1903" s="108">
        <v>57</v>
      </c>
      <c r="E1903" s="115">
        <v>1995</v>
      </c>
      <c r="F1903" s="332">
        <f t="shared" ref="F1903:F1904" si="573">2019-E1903</f>
        <v>24</v>
      </c>
      <c r="G1903" s="48"/>
      <c r="H1903" s="48"/>
      <c r="I1903" s="48"/>
      <c r="J1903" s="48"/>
      <c r="K1903" s="48"/>
      <c r="L1903" s="48"/>
      <c r="M1903" s="48"/>
    </row>
    <row r="1904" spans="1:13" ht="15.75" customHeight="1" x14ac:dyDescent="0.25">
      <c r="A1904" s="526"/>
      <c r="B1904" s="533"/>
      <c r="C1904" s="78">
        <v>10</v>
      </c>
      <c r="D1904" s="108">
        <v>32</v>
      </c>
      <c r="E1904" s="115">
        <v>1995</v>
      </c>
      <c r="F1904" s="332">
        <f t="shared" si="573"/>
        <v>24</v>
      </c>
      <c r="G1904" s="48"/>
      <c r="H1904" s="48"/>
      <c r="I1904" s="48"/>
      <c r="J1904" s="48"/>
      <c r="K1904" s="48"/>
      <c r="L1904" s="48"/>
      <c r="M1904" s="48"/>
    </row>
    <row r="1905" spans="1:13" ht="15.75" customHeight="1" x14ac:dyDescent="0.2">
      <c r="A1905" s="525" t="s">
        <v>872</v>
      </c>
      <c r="B1905" s="532" t="s">
        <v>875</v>
      </c>
      <c r="C1905" s="55"/>
      <c r="D1905" s="108"/>
      <c r="E1905" s="115"/>
      <c r="F1905" s="330"/>
      <c r="G1905" s="48"/>
      <c r="H1905" s="48"/>
      <c r="I1905" s="48"/>
      <c r="J1905" s="48"/>
      <c r="K1905" s="48"/>
      <c r="L1905" s="48"/>
      <c r="M1905" s="48"/>
    </row>
    <row r="1906" spans="1:13" ht="15.75" customHeight="1" x14ac:dyDescent="0.25">
      <c r="A1906" s="531"/>
      <c r="B1906" s="540"/>
      <c r="C1906" s="78">
        <v>9</v>
      </c>
      <c r="D1906" s="108">
        <v>57</v>
      </c>
      <c r="E1906" s="115">
        <v>1996</v>
      </c>
      <c r="F1906" s="332">
        <f t="shared" ref="F1906:F1907" si="574">2019-E1906</f>
        <v>23</v>
      </c>
      <c r="G1906" s="48"/>
      <c r="H1906" s="48"/>
      <c r="I1906" s="48"/>
      <c r="J1906" s="48"/>
      <c r="K1906" s="48"/>
      <c r="L1906" s="48"/>
      <c r="M1906" s="48"/>
    </row>
    <row r="1907" spans="1:13" ht="15.75" customHeight="1" x14ac:dyDescent="0.25">
      <c r="A1907" s="526"/>
      <c r="B1907" s="533"/>
      <c r="C1907" s="78">
        <v>9</v>
      </c>
      <c r="D1907" s="108">
        <v>32</v>
      </c>
      <c r="E1907" s="115">
        <v>1996</v>
      </c>
      <c r="F1907" s="332">
        <f t="shared" si="574"/>
        <v>23</v>
      </c>
      <c r="G1907" s="48"/>
      <c r="H1907" s="48"/>
      <c r="I1907" s="48"/>
      <c r="J1907" s="48"/>
      <c r="K1907" s="48"/>
      <c r="L1907" s="48"/>
      <c r="M1907" s="48"/>
    </row>
    <row r="1908" spans="1:13" ht="15.75" customHeight="1" x14ac:dyDescent="0.2">
      <c r="A1908" s="525" t="s">
        <v>872</v>
      </c>
      <c r="B1908" s="532" t="s">
        <v>876</v>
      </c>
      <c r="C1908" s="55"/>
      <c r="D1908" s="108"/>
      <c r="E1908" s="115"/>
      <c r="F1908" s="330"/>
      <c r="G1908" s="48"/>
      <c r="H1908" s="48"/>
      <c r="I1908" s="48"/>
      <c r="J1908" s="48"/>
      <c r="K1908" s="48"/>
      <c r="L1908" s="48"/>
      <c r="M1908" s="48"/>
    </row>
    <row r="1909" spans="1:13" ht="15.75" customHeight="1" x14ac:dyDescent="0.25">
      <c r="A1909" s="531"/>
      <c r="B1909" s="540"/>
      <c r="C1909" s="53">
        <v>59</v>
      </c>
      <c r="D1909" s="108">
        <v>57</v>
      </c>
      <c r="E1909" s="115">
        <v>1997</v>
      </c>
      <c r="F1909" s="332">
        <f t="shared" ref="F1909:F1910" si="575">2019-E1909</f>
        <v>22</v>
      </c>
      <c r="G1909" s="48"/>
      <c r="H1909" s="48"/>
      <c r="I1909" s="48"/>
      <c r="J1909" s="48"/>
      <c r="K1909" s="48"/>
      <c r="L1909" s="48"/>
      <c r="M1909" s="48"/>
    </row>
    <row r="1910" spans="1:13" ht="15.75" customHeight="1" x14ac:dyDescent="0.25">
      <c r="A1910" s="526"/>
      <c r="B1910" s="533"/>
      <c r="C1910" s="78">
        <v>59</v>
      </c>
      <c r="D1910" s="108">
        <v>32</v>
      </c>
      <c r="E1910" s="115">
        <v>1997</v>
      </c>
      <c r="F1910" s="332">
        <f t="shared" si="575"/>
        <v>22</v>
      </c>
      <c r="G1910" s="48"/>
      <c r="H1910" s="48"/>
      <c r="I1910" s="48"/>
      <c r="J1910" s="48"/>
      <c r="K1910" s="48"/>
      <c r="L1910" s="48"/>
      <c r="M1910" s="48"/>
    </row>
    <row r="1911" spans="1:13" ht="15.75" customHeight="1" x14ac:dyDescent="0.2">
      <c r="A1911" s="525" t="s">
        <v>422</v>
      </c>
      <c r="B1911" s="532" t="s">
        <v>229</v>
      </c>
      <c r="C1911" s="78"/>
      <c r="D1911" s="108"/>
      <c r="E1911" s="115"/>
      <c r="F1911" s="330"/>
      <c r="G1911" s="48"/>
      <c r="H1911" s="48"/>
      <c r="I1911" s="48"/>
      <c r="J1911" s="48"/>
      <c r="K1911" s="48"/>
      <c r="L1911" s="48"/>
      <c r="M1911" s="48"/>
    </row>
    <row r="1912" spans="1:13" ht="15.75" customHeight="1" x14ac:dyDescent="0.25">
      <c r="A1912" s="531"/>
      <c r="B1912" s="540"/>
      <c r="C1912" s="55">
        <v>33</v>
      </c>
      <c r="D1912" s="108">
        <v>89</v>
      </c>
      <c r="E1912" s="115">
        <v>1993</v>
      </c>
      <c r="F1912" s="332">
        <f t="shared" ref="F1912:F1913" si="576">2019-E1912</f>
        <v>26</v>
      </c>
      <c r="G1912" s="48"/>
      <c r="H1912" s="48"/>
      <c r="I1912" s="48"/>
      <c r="J1912" s="48"/>
      <c r="K1912" s="48"/>
      <c r="L1912" s="48"/>
      <c r="M1912" s="48"/>
    </row>
    <row r="1913" spans="1:13" ht="15.75" customHeight="1" x14ac:dyDescent="0.25">
      <c r="A1913" s="526"/>
      <c r="B1913" s="533"/>
      <c r="C1913" s="78">
        <v>33</v>
      </c>
      <c r="D1913" s="108">
        <v>57</v>
      </c>
      <c r="E1913" s="115">
        <v>1993</v>
      </c>
      <c r="F1913" s="332">
        <f t="shared" si="576"/>
        <v>26</v>
      </c>
      <c r="G1913" s="48"/>
      <c r="H1913" s="48"/>
      <c r="I1913" s="48"/>
      <c r="J1913" s="48"/>
      <c r="K1913" s="48"/>
      <c r="L1913" s="48"/>
      <c r="M1913" s="48"/>
    </row>
    <row r="1914" spans="1:13" ht="15.75" customHeight="1" x14ac:dyDescent="0.2">
      <c r="A1914" s="525" t="s">
        <v>385</v>
      </c>
      <c r="B1914" s="532" t="s">
        <v>253</v>
      </c>
      <c r="C1914" s="78"/>
      <c r="D1914" s="108"/>
      <c r="E1914" s="115"/>
      <c r="F1914" s="330"/>
      <c r="G1914" s="48"/>
      <c r="H1914" s="48"/>
      <c r="I1914" s="48"/>
      <c r="J1914" s="48"/>
      <c r="K1914" s="48"/>
      <c r="L1914" s="48"/>
      <c r="M1914" s="48"/>
    </row>
    <row r="1915" spans="1:13" ht="15.75" customHeight="1" x14ac:dyDescent="0.25">
      <c r="A1915" s="531"/>
      <c r="B1915" s="540"/>
      <c r="C1915" s="55">
        <v>28</v>
      </c>
      <c r="D1915" s="108">
        <v>89</v>
      </c>
      <c r="E1915" s="115">
        <v>1993</v>
      </c>
      <c r="F1915" s="332">
        <f t="shared" ref="F1915:F1916" si="577">2019-E1915</f>
        <v>26</v>
      </c>
      <c r="G1915" s="48"/>
      <c r="H1915" s="48"/>
      <c r="I1915" s="48"/>
      <c r="J1915" s="48"/>
      <c r="K1915" s="48"/>
      <c r="L1915" s="48"/>
      <c r="M1915" s="48"/>
    </row>
    <row r="1916" spans="1:13" ht="15.75" customHeight="1" x14ac:dyDescent="0.25">
      <c r="A1916" s="526"/>
      <c r="B1916" s="533"/>
      <c r="C1916" s="78">
        <v>28</v>
      </c>
      <c r="D1916" s="108">
        <v>57</v>
      </c>
      <c r="E1916" s="115">
        <v>1993</v>
      </c>
      <c r="F1916" s="332">
        <f t="shared" si="577"/>
        <v>26</v>
      </c>
      <c r="G1916" s="48"/>
      <c r="H1916" s="48"/>
      <c r="I1916" s="48"/>
      <c r="J1916" s="48"/>
      <c r="K1916" s="48"/>
      <c r="L1916" s="48"/>
      <c r="M1916" s="48"/>
    </row>
    <row r="1917" spans="1:13" ht="15.75" customHeight="1" x14ac:dyDescent="0.2">
      <c r="A1917" s="525" t="s">
        <v>834</v>
      </c>
      <c r="B1917" s="532" t="s">
        <v>443</v>
      </c>
      <c r="C1917" s="55"/>
      <c r="D1917" s="108"/>
      <c r="E1917" s="115"/>
      <c r="F1917" s="330"/>
      <c r="G1917" s="48"/>
      <c r="H1917" s="48"/>
      <c r="I1917" s="48"/>
      <c r="J1917" s="48"/>
      <c r="K1917" s="48"/>
      <c r="L1917" s="48"/>
      <c r="M1917" s="48"/>
    </row>
    <row r="1918" spans="1:13" ht="15.75" customHeight="1" x14ac:dyDescent="0.25">
      <c r="A1918" s="531"/>
      <c r="B1918" s="540"/>
      <c r="C1918" s="78">
        <v>55</v>
      </c>
      <c r="D1918" s="108">
        <v>108</v>
      </c>
      <c r="E1918" s="115">
        <v>1994</v>
      </c>
      <c r="F1918" s="332">
        <f t="shared" ref="F1918:F1919" si="578">2019-E1918</f>
        <v>25</v>
      </c>
      <c r="G1918" s="48"/>
      <c r="H1918" s="48"/>
      <c r="I1918" s="48"/>
      <c r="J1918" s="48"/>
      <c r="K1918" s="48"/>
      <c r="L1918" s="48"/>
      <c r="M1918" s="48"/>
    </row>
    <row r="1919" spans="1:13" ht="15.75" customHeight="1" x14ac:dyDescent="0.25">
      <c r="A1919" s="526"/>
      <c r="B1919" s="533"/>
      <c r="C1919" s="78">
        <v>55</v>
      </c>
      <c r="D1919" s="108">
        <v>76</v>
      </c>
      <c r="E1919" s="115">
        <v>1994</v>
      </c>
      <c r="F1919" s="332">
        <f t="shared" si="578"/>
        <v>25</v>
      </c>
      <c r="G1919" s="48"/>
      <c r="H1919" s="48"/>
      <c r="I1919" s="48"/>
      <c r="J1919" s="48"/>
      <c r="K1919" s="48"/>
      <c r="L1919" s="48"/>
      <c r="M1919" s="48"/>
    </row>
    <row r="1920" spans="1:13" ht="15.75" customHeight="1" x14ac:dyDescent="0.2">
      <c r="A1920" s="525" t="s">
        <v>315</v>
      </c>
      <c r="B1920" s="532" t="s">
        <v>877</v>
      </c>
      <c r="C1920" s="78"/>
      <c r="D1920" s="108"/>
      <c r="E1920" s="115"/>
      <c r="F1920" s="330"/>
      <c r="G1920" s="48"/>
      <c r="H1920" s="48"/>
      <c r="I1920" s="48"/>
      <c r="J1920" s="48"/>
      <c r="K1920" s="48"/>
      <c r="L1920" s="48"/>
      <c r="M1920" s="48"/>
    </row>
    <row r="1921" spans="1:13" ht="15.75" customHeight="1" x14ac:dyDescent="0.25">
      <c r="A1921" s="531"/>
      <c r="B1921" s="540"/>
      <c r="C1921" s="78">
        <v>10</v>
      </c>
      <c r="D1921" s="108">
        <v>57</v>
      </c>
      <c r="E1921" s="115">
        <v>1994</v>
      </c>
      <c r="F1921" s="332">
        <f t="shared" ref="F1921:F1922" si="579">2019-E1921</f>
        <v>25</v>
      </c>
      <c r="G1921" s="48"/>
      <c r="H1921" s="48"/>
      <c r="I1921" s="48"/>
      <c r="J1921" s="48"/>
      <c r="K1921" s="48"/>
      <c r="L1921" s="48"/>
      <c r="M1921" s="48"/>
    </row>
    <row r="1922" spans="1:13" ht="15.75" customHeight="1" x14ac:dyDescent="0.25">
      <c r="A1922" s="526"/>
      <c r="B1922" s="533"/>
      <c r="C1922" s="78">
        <v>10</v>
      </c>
      <c r="D1922" s="108">
        <v>25</v>
      </c>
      <c r="E1922" s="115">
        <v>1994</v>
      </c>
      <c r="F1922" s="332">
        <f t="shared" si="579"/>
        <v>25</v>
      </c>
      <c r="G1922" s="48"/>
      <c r="H1922" s="48"/>
      <c r="I1922" s="48"/>
      <c r="J1922" s="48"/>
      <c r="K1922" s="48"/>
      <c r="L1922" s="48"/>
      <c r="M1922" s="48"/>
    </row>
    <row r="1923" spans="1:13" ht="15.75" customHeight="1" x14ac:dyDescent="0.2">
      <c r="A1923" s="525" t="s">
        <v>271</v>
      </c>
      <c r="B1923" s="532" t="s">
        <v>878</v>
      </c>
      <c r="C1923" s="55"/>
      <c r="D1923" s="108"/>
      <c r="E1923" s="115"/>
      <c r="F1923" s="330"/>
      <c r="G1923" s="48"/>
      <c r="H1923" s="48"/>
      <c r="I1923" s="48"/>
      <c r="J1923" s="48"/>
      <c r="K1923" s="48"/>
      <c r="L1923" s="48"/>
      <c r="M1923" s="48"/>
    </row>
    <row r="1924" spans="1:13" ht="15.75" customHeight="1" x14ac:dyDescent="0.25">
      <c r="A1924" s="531"/>
      <c r="B1924" s="540"/>
      <c r="C1924" s="78">
        <v>9</v>
      </c>
      <c r="D1924" s="108">
        <v>32</v>
      </c>
      <c r="E1924" s="115">
        <v>1993</v>
      </c>
      <c r="F1924" s="332">
        <f t="shared" ref="F1924:F1925" si="580">2019-E1924</f>
        <v>26</v>
      </c>
      <c r="G1924" s="48"/>
      <c r="H1924" s="48"/>
      <c r="I1924" s="48"/>
      <c r="J1924" s="48"/>
      <c r="K1924" s="48"/>
      <c r="L1924" s="48"/>
      <c r="M1924" s="48"/>
    </row>
    <row r="1925" spans="1:13" ht="15.75" customHeight="1" x14ac:dyDescent="0.25">
      <c r="A1925" s="526"/>
      <c r="B1925" s="533"/>
      <c r="C1925" s="78">
        <v>9</v>
      </c>
      <c r="D1925" s="108">
        <v>25</v>
      </c>
      <c r="E1925" s="115">
        <v>1993</v>
      </c>
      <c r="F1925" s="332">
        <f t="shared" si="580"/>
        <v>26</v>
      </c>
      <c r="G1925" s="48"/>
      <c r="H1925" s="48"/>
      <c r="I1925" s="48"/>
      <c r="J1925" s="48"/>
      <c r="K1925" s="48"/>
      <c r="L1925" s="48"/>
      <c r="M1925" s="48"/>
    </row>
    <row r="1926" spans="1:13" ht="15.75" customHeight="1" x14ac:dyDescent="0.2">
      <c r="A1926" s="525" t="s">
        <v>271</v>
      </c>
      <c r="B1926" s="532" t="s">
        <v>879</v>
      </c>
      <c r="C1926" s="55"/>
      <c r="D1926" s="108"/>
      <c r="E1926" s="115"/>
      <c r="F1926" s="330"/>
      <c r="G1926" s="48"/>
      <c r="H1926" s="48"/>
      <c r="I1926" s="48"/>
      <c r="J1926" s="48"/>
      <c r="K1926" s="48"/>
      <c r="L1926" s="48"/>
      <c r="M1926" s="48"/>
    </row>
    <row r="1927" spans="1:13" ht="15.75" customHeight="1" x14ac:dyDescent="0.25">
      <c r="A1927" s="531"/>
      <c r="B1927" s="540"/>
      <c r="C1927" s="78">
        <v>59</v>
      </c>
      <c r="D1927" s="108">
        <v>32</v>
      </c>
      <c r="E1927" s="115">
        <v>1993</v>
      </c>
      <c r="F1927" s="332">
        <f t="shared" ref="F1927:F1928" si="581">2019-E1927</f>
        <v>26</v>
      </c>
      <c r="G1927" s="48"/>
      <c r="H1927" s="48"/>
      <c r="I1927" s="48"/>
      <c r="J1927" s="48"/>
      <c r="K1927" s="48"/>
      <c r="L1927" s="48"/>
      <c r="M1927" s="48"/>
    </row>
    <row r="1928" spans="1:13" ht="15.75" customHeight="1" x14ac:dyDescent="0.25">
      <c r="A1928" s="526"/>
      <c r="B1928" s="533"/>
      <c r="C1928" s="78">
        <v>59</v>
      </c>
      <c r="D1928" s="108">
        <v>25</v>
      </c>
      <c r="E1928" s="115">
        <v>1993</v>
      </c>
      <c r="F1928" s="332">
        <f t="shared" si="581"/>
        <v>26</v>
      </c>
      <c r="G1928" s="48"/>
      <c r="H1928" s="48"/>
      <c r="I1928" s="48"/>
      <c r="J1928" s="48"/>
      <c r="K1928" s="48"/>
      <c r="L1928" s="48"/>
      <c r="M1928" s="48"/>
    </row>
    <row r="1929" spans="1:13" ht="15.75" customHeight="1" x14ac:dyDescent="0.2">
      <c r="A1929" s="525" t="s">
        <v>213</v>
      </c>
      <c r="B1929" s="532" t="s">
        <v>880</v>
      </c>
      <c r="C1929" s="55"/>
      <c r="D1929" s="108"/>
      <c r="E1929" s="115"/>
      <c r="F1929" s="330"/>
      <c r="G1929" s="48"/>
      <c r="H1929" s="48"/>
      <c r="I1929" s="48"/>
      <c r="J1929" s="48"/>
      <c r="K1929" s="48"/>
      <c r="L1929" s="48"/>
      <c r="M1929" s="48"/>
    </row>
    <row r="1930" spans="1:13" ht="15.75" customHeight="1" x14ac:dyDescent="0.25">
      <c r="A1930" s="531"/>
      <c r="B1930" s="540"/>
      <c r="C1930" s="55">
        <v>48</v>
      </c>
      <c r="D1930" s="108">
        <v>219</v>
      </c>
      <c r="E1930" s="115">
        <v>1993</v>
      </c>
      <c r="F1930" s="332">
        <f t="shared" ref="F1930:F1931" si="582">2019-E1930</f>
        <v>26</v>
      </c>
      <c r="G1930" s="48"/>
      <c r="H1930" s="48"/>
      <c r="I1930" s="48"/>
      <c r="J1930" s="48"/>
      <c r="K1930" s="48"/>
      <c r="L1930" s="48"/>
      <c r="M1930" s="48"/>
    </row>
    <row r="1931" spans="1:13" ht="15.75" customHeight="1" x14ac:dyDescent="0.25">
      <c r="A1931" s="526"/>
      <c r="B1931" s="533"/>
      <c r="C1931" s="78">
        <v>48</v>
      </c>
      <c r="D1931" s="108">
        <v>159</v>
      </c>
      <c r="E1931" s="115">
        <v>1993</v>
      </c>
      <c r="F1931" s="332">
        <f t="shared" si="582"/>
        <v>26</v>
      </c>
      <c r="G1931" s="48"/>
      <c r="H1931" s="48"/>
      <c r="I1931" s="48"/>
      <c r="J1931" s="48"/>
      <c r="K1931" s="48"/>
      <c r="L1931" s="48"/>
      <c r="M1931" s="48"/>
    </row>
    <row r="1932" spans="1:13" ht="15.75" customHeight="1" x14ac:dyDescent="0.2">
      <c r="A1932" s="525" t="s">
        <v>771</v>
      </c>
      <c r="B1932" s="532" t="s">
        <v>881</v>
      </c>
      <c r="C1932" s="55"/>
      <c r="D1932" s="108"/>
      <c r="E1932" s="115"/>
      <c r="F1932" s="330"/>
      <c r="G1932" s="48"/>
      <c r="H1932" s="48"/>
      <c r="I1932" s="48"/>
      <c r="J1932" s="48"/>
      <c r="K1932" s="48"/>
      <c r="L1932" s="48"/>
      <c r="M1932" s="48"/>
    </row>
    <row r="1933" spans="1:13" ht="15.75" customHeight="1" x14ac:dyDescent="0.25">
      <c r="A1933" s="531"/>
      <c r="B1933" s="540"/>
      <c r="C1933" s="55">
        <v>26</v>
      </c>
      <c r="D1933" s="108">
        <v>89</v>
      </c>
      <c r="E1933" s="115">
        <v>1994</v>
      </c>
      <c r="F1933" s="332">
        <f t="shared" ref="F1933:F1934" si="583">2019-E1933</f>
        <v>25</v>
      </c>
      <c r="G1933" s="48"/>
      <c r="H1933" s="48"/>
      <c r="I1933" s="48"/>
      <c r="J1933" s="48"/>
      <c r="K1933" s="48"/>
      <c r="L1933" s="48"/>
      <c r="M1933" s="48"/>
    </row>
    <row r="1934" spans="1:13" ht="15.75" customHeight="1" x14ac:dyDescent="0.25">
      <c r="A1934" s="526"/>
      <c r="B1934" s="533"/>
      <c r="C1934" s="78">
        <v>26</v>
      </c>
      <c r="D1934" s="108">
        <v>57</v>
      </c>
      <c r="E1934" s="115">
        <v>1994</v>
      </c>
      <c r="F1934" s="332">
        <f t="shared" si="583"/>
        <v>25</v>
      </c>
      <c r="G1934" s="48"/>
      <c r="H1934" s="48"/>
      <c r="I1934" s="48"/>
      <c r="J1934" s="48"/>
      <c r="K1934" s="48"/>
      <c r="L1934" s="48"/>
      <c r="M1934" s="48"/>
    </row>
    <row r="1935" spans="1:13" ht="15.75" customHeight="1" x14ac:dyDescent="0.2">
      <c r="A1935" s="525" t="s">
        <v>762</v>
      </c>
      <c r="B1935" s="532" t="s">
        <v>882</v>
      </c>
      <c r="C1935" s="55"/>
      <c r="D1935" s="108"/>
      <c r="E1935" s="115"/>
      <c r="F1935" s="330"/>
      <c r="G1935" s="48"/>
      <c r="H1935" s="48"/>
      <c r="I1935" s="48"/>
      <c r="J1935" s="48"/>
      <c r="K1935" s="48"/>
      <c r="L1935" s="48"/>
      <c r="M1935" s="48"/>
    </row>
    <row r="1936" spans="1:13" ht="15.75" customHeight="1" x14ac:dyDescent="0.25">
      <c r="A1936" s="531"/>
      <c r="B1936" s="540"/>
      <c r="C1936" s="78">
        <v>18</v>
      </c>
      <c r="D1936" s="108">
        <v>40</v>
      </c>
      <c r="E1936" s="115">
        <v>1993</v>
      </c>
      <c r="F1936" s="332">
        <f t="shared" ref="F1936:F1937" si="584">2019-E1936</f>
        <v>26</v>
      </c>
      <c r="G1936" s="48"/>
      <c r="H1936" s="48"/>
      <c r="I1936" s="48"/>
      <c r="J1936" s="48"/>
      <c r="K1936" s="48"/>
      <c r="L1936" s="48"/>
      <c r="M1936" s="48"/>
    </row>
    <row r="1937" spans="1:13" ht="15.75" customHeight="1" x14ac:dyDescent="0.25">
      <c r="A1937" s="526"/>
      <c r="B1937" s="533"/>
      <c r="C1937" s="78">
        <v>18</v>
      </c>
      <c r="D1937" s="108">
        <v>32</v>
      </c>
      <c r="E1937" s="115">
        <v>1993</v>
      </c>
      <c r="F1937" s="332">
        <f t="shared" si="584"/>
        <v>26</v>
      </c>
      <c r="G1937" s="48"/>
      <c r="H1937" s="48"/>
      <c r="I1937" s="48"/>
      <c r="J1937" s="48"/>
      <c r="K1937" s="48"/>
      <c r="L1937" s="48"/>
      <c r="M1937" s="48"/>
    </row>
    <row r="1938" spans="1:13" ht="15.75" customHeight="1" x14ac:dyDescent="0.2">
      <c r="A1938" s="525" t="s">
        <v>772</v>
      </c>
      <c r="B1938" s="532" t="s">
        <v>883</v>
      </c>
      <c r="C1938" s="55"/>
      <c r="D1938" s="108"/>
      <c r="E1938" s="115"/>
      <c r="F1938" s="330"/>
      <c r="G1938" s="48"/>
      <c r="H1938" s="48"/>
      <c r="I1938" s="48"/>
      <c r="J1938" s="48"/>
      <c r="K1938" s="48"/>
      <c r="L1938" s="48"/>
      <c r="M1938" s="48"/>
    </row>
    <row r="1939" spans="1:13" ht="15.75" customHeight="1" x14ac:dyDescent="0.25">
      <c r="A1939" s="531"/>
      <c r="B1939" s="540"/>
      <c r="C1939" s="78">
        <v>10</v>
      </c>
      <c r="D1939" s="108">
        <v>57</v>
      </c>
      <c r="E1939" s="115">
        <v>1994</v>
      </c>
      <c r="F1939" s="332">
        <f t="shared" ref="F1939:F1940" si="585">2019-E1939</f>
        <v>25</v>
      </c>
      <c r="G1939" s="48"/>
      <c r="H1939" s="48"/>
      <c r="I1939" s="48"/>
      <c r="J1939" s="48"/>
      <c r="K1939" s="48"/>
      <c r="L1939" s="48"/>
      <c r="M1939" s="48"/>
    </row>
    <row r="1940" spans="1:13" ht="15.75" customHeight="1" x14ac:dyDescent="0.25">
      <c r="A1940" s="526"/>
      <c r="B1940" s="533"/>
      <c r="C1940" s="78">
        <v>10</v>
      </c>
      <c r="D1940" s="108">
        <v>32</v>
      </c>
      <c r="E1940" s="115">
        <v>1994</v>
      </c>
      <c r="F1940" s="332">
        <f t="shared" si="585"/>
        <v>25</v>
      </c>
      <c r="G1940" s="48"/>
      <c r="H1940" s="48"/>
      <c r="I1940" s="48"/>
      <c r="J1940" s="48"/>
      <c r="K1940" s="48"/>
      <c r="L1940" s="48"/>
      <c r="M1940" s="48"/>
    </row>
    <row r="1941" spans="1:13" ht="15.75" customHeight="1" x14ac:dyDescent="0.2">
      <c r="A1941" s="525" t="s">
        <v>791</v>
      </c>
      <c r="B1941" s="532" t="s">
        <v>884</v>
      </c>
      <c r="C1941" s="55"/>
      <c r="D1941" s="108"/>
      <c r="E1941" s="115"/>
      <c r="F1941" s="330"/>
      <c r="G1941" s="48"/>
      <c r="H1941" s="48"/>
      <c r="I1941" s="48"/>
      <c r="J1941" s="48"/>
      <c r="K1941" s="48"/>
      <c r="L1941" s="48"/>
      <c r="M1941" s="48"/>
    </row>
    <row r="1942" spans="1:13" ht="15.75" customHeight="1" x14ac:dyDescent="0.25">
      <c r="A1942" s="531"/>
      <c r="B1942" s="540"/>
      <c r="C1942" s="55">
        <v>49</v>
      </c>
      <c r="D1942" s="108">
        <v>89</v>
      </c>
      <c r="E1942" s="115">
        <v>1994</v>
      </c>
      <c r="F1942" s="332">
        <f t="shared" ref="F1942:F1943" si="586">2019-E1942</f>
        <v>25</v>
      </c>
      <c r="G1942" s="48"/>
      <c r="H1942" s="48"/>
      <c r="I1942" s="48"/>
      <c r="J1942" s="48"/>
      <c r="K1942" s="48"/>
      <c r="L1942" s="48"/>
      <c r="M1942" s="48"/>
    </row>
    <row r="1943" spans="1:13" ht="15.75" customHeight="1" x14ac:dyDescent="0.25">
      <c r="A1943" s="526"/>
      <c r="B1943" s="533"/>
      <c r="C1943" s="78">
        <v>49</v>
      </c>
      <c r="D1943" s="108">
        <v>57</v>
      </c>
      <c r="E1943" s="115">
        <v>1994</v>
      </c>
      <c r="F1943" s="332">
        <f t="shared" si="586"/>
        <v>25</v>
      </c>
      <c r="G1943" s="48"/>
      <c r="H1943" s="48"/>
      <c r="I1943" s="48"/>
      <c r="J1943" s="48"/>
      <c r="K1943" s="48"/>
      <c r="L1943" s="48"/>
      <c r="M1943" s="48"/>
    </row>
    <row r="1944" spans="1:13" ht="15.75" customHeight="1" x14ac:dyDescent="0.2">
      <c r="A1944" s="525" t="s">
        <v>791</v>
      </c>
      <c r="B1944" s="532" t="s">
        <v>885</v>
      </c>
      <c r="C1944" s="55"/>
      <c r="D1944" s="108"/>
      <c r="E1944" s="115"/>
      <c r="F1944" s="330"/>
      <c r="G1944" s="48"/>
      <c r="H1944" s="48"/>
      <c r="I1944" s="48"/>
      <c r="J1944" s="48"/>
      <c r="K1944" s="48"/>
      <c r="L1944" s="48"/>
      <c r="M1944" s="48"/>
    </row>
    <row r="1945" spans="1:13" ht="15.75" customHeight="1" x14ac:dyDescent="0.25">
      <c r="A1945" s="531"/>
      <c r="B1945" s="540"/>
      <c r="C1945" s="78">
        <v>10</v>
      </c>
      <c r="D1945" s="108">
        <v>57</v>
      </c>
      <c r="E1945" s="115">
        <v>1994</v>
      </c>
      <c r="F1945" s="332">
        <f t="shared" ref="F1945:F1946" si="587">2019-E1945</f>
        <v>25</v>
      </c>
      <c r="G1945" s="48"/>
      <c r="H1945" s="48"/>
      <c r="I1945" s="48"/>
      <c r="J1945" s="48"/>
      <c r="K1945" s="48"/>
      <c r="L1945" s="48"/>
      <c r="M1945" s="48"/>
    </row>
    <row r="1946" spans="1:13" ht="15.75" customHeight="1" x14ac:dyDescent="0.25">
      <c r="A1946" s="526"/>
      <c r="B1946" s="533"/>
      <c r="C1946" s="78">
        <v>10</v>
      </c>
      <c r="D1946" s="108">
        <v>32</v>
      </c>
      <c r="E1946" s="115">
        <v>1994</v>
      </c>
      <c r="F1946" s="332">
        <f t="shared" si="587"/>
        <v>25</v>
      </c>
      <c r="G1946" s="48"/>
      <c r="H1946" s="48"/>
      <c r="I1946" s="48"/>
      <c r="J1946" s="48"/>
      <c r="K1946" s="48"/>
      <c r="L1946" s="48"/>
      <c r="M1946" s="48"/>
    </row>
    <row r="1947" spans="1:13" ht="15.75" customHeight="1" x14ac:dyDescent="0.2">
      <c r="A1947" s="525" t="s">
        <v>250</v>
      </c>
      <c r="B1947" s="532" t="s">
        <v>886</v>
      </c>
      <c r="C1947" s="55"/>
      <c r="D1947" s="108"/>
      <c r="E1947" s="115"/>
      <c r="F1947" s="330"/>
      <c r="G1947" s="48"/>
      <c r="H1947" s="48"/>
      <c r="I1947" s="48"/>
      <c r="J1947" s="48"/>
      <c r="K1947" s="48"/>
      <c r="L1947" s="48"/>
      <c r="M1947" s="48"/>
    </row>
    <row r="1948" spans="1:13" ht="15.75" customHeight="1" x14ac:dyDescent="0.25">
      <c r="A1948" s="531"/>
      <c r="B1948" s="540"/>
      <c r="C1948" s="78">
        <v>10</v>
      </c>
      <c r="D1948" s="108">
        <v>32</v>
      </c>
      <c r="E1948" s="115">
        <v>1993</v>
      </c>
      <c r="F1948" s="332">
        <f t="shared" ref="F1948:F1949" si="588">2019-E1948</f>
        <v>26</v>
      </c>
      <c r="G1948" s="48"/>
      <c r="H1948" s="48"/>
      <c r="I1948" s="48"/>
      <c r="J1948" s="48"/>
      <c r="K1948" s="48"/>
      <c r="L1948" s="48"/>
      <c r="M1948" s="48"/>
    </row>
    <row r="1949" spans="1:13" ht="15.75" customHeight="1" x14ac:dyDescent="0.25">
      <c r="A1949" s="526"/>
      <c r="B1949" s="533"/>
      <c r="C1949" s="78">
        <v>10</v>
      </c>
      <c r="D1949" s="108">
        <v>25</v>
      </c>
      <c r="E1949" s="115">
        <v>1993</v>
      </c>
      <c r="F1949" s="332">
        <f t="shared" si="588"/>
        <v>26</v>
      </c>
      <c r="G1949" s="48"/>
      <c r="H1949" s="48"/>
      <c r="I1949" s="48"/>
      <c r="J1949" s="48"/>
      <c r="K1949" s="48"/>
      <c r="L1949" s="48"/>
      <c r="M1949" s="48"/>
    </row>
    <row r="1950" spans="1:13" ht="15.75" customHeight="1" x14ac:dyDescent="0.2">
      <c r="A1950" s="525" t="s">
        <v>178</v>
      </c>
      <c r="B1950" s="532" t="s">
        <v>206</v>
      </c>
      <c r="C1950" s="55"/>
      <c r="D1950" s="108"/>
      <c r="E1950" s="115"/>
      <c r="F1950" s="330"/>
      <c r="G1950" s="48"/>
      <c r="H1950" s="48"/>
      <c r="I1950" s="48"/>
      <c r="J1950" s="48"/>
      <c r="K1950" s="48"/>
      <c r="L1950" s="48"/>
      <c r="M1950" s="48"/>
    </row>
    <row r="1951" spans="1:13" ht="15.75" customHeight="1" x14ac:dyDescent="0.25">
      <c r="A1951" s="531"/>
      <c r="B1951" s="540"/>
      <c r="C1951" s="55">
        <v>112</v>
      </c>
      <c r="D1951" s="108">
        <v>219</v>
      </c>
      <c r="E1951" s="115">
        <v>1993</v>
      </c>
      <c r="F1951" s="332">
        <f t="shared" ref="F1951:F1952" si="589">2019-E1951</f>
        <v>26</v>
      </c>
      <c r="G1951" s="48"/>
      <c r="H1951" s="48"/>
      <c r="I1951" s="48"/>
      <c r="J1951" s="48"/>
      <c r="K1951" s="48"/>
      <c r="L1951" s="48"/>
      <c r="M1951" s="48"/>
    </row>
    <row r="1952" spans="1:13" ht="15.75" customHeight="1" x14ac:dyDescent="0.25">
      <c r="A1952" s="526"/>
      <c r="B1952" s="533"/>
      <c r="C1952" s="55">
        <v>112</v>
      </c>
      <c r="D1952" s="108">
        <v>133</v>
      </c>
      <c r="E1952" s="115">
        <v>1993</v>
      </c>
      <c r="F1952" s="332">
        <f t="shared" si="589"/>
        <v>26</v>
      </c>
      <c r="G1952" s="48"/>
      <c r="H1952" s="48"/>
      <c r="I1952" s="48"/>
      <c r="J1952" s="48"/>
      <c r="K1952" s="48"/>
      <c r="L1952" s="48"/>
      <c r="M1952" s="48"/>
    </row>
    <row r="1953" spans="1:37" ht="15.75" customHeight="1" x14ac:dyDescent="0.2">
      <c r="A1953" s="525" t="s">
        <v>887</v>
      </c>
      <c r="B1953" s="532" t="s">
        <v>888</v>
      </c>
      <c r="C1953" s="55"/>
      <c r="D1953" s="108"/>
      <c r="E1953" s="115"/>
      <c r="F1953" s="330"/>
      <c r="G1953" s="48"/>
      <c r="H1953" s="48"/>
      <c r="I1953" s="48"/>
      <c r="J1953" s="48"/>
      <c r="K1953" s="48"/>
      <c r="L1953" s="48"/>
      <c r="M1953" s="48"/>
    </row>
    <row r="1954" spans="1:37" ht="15.75" customHeight="1" x14ac:dyDescent="0.25">
      <c r="A1954" s="531"/>
      <c r="B1954" s="540"/>
      <c r="C1954" s="55">
        <v>108</v>
      </c>
      <c r="D1954" s="108">
        <v>219</v>
      </c>
      <c r="E1954" s="115">
        <v>1995</v>
      </c>
      <c r="F1954" s="332">
        <f t="shared" ref="F1954:F1955" si="590">2019-E1954</f>
        <v>24</v>
      </c>
      <c r="G1954" s="48"/>
      <c r="H1954" s="48"/>
      <c r="I1954" s="48"/>
      <c r="J1954" s="48"/>
      <c r="K1954" s="48"/>
      <c r="L1954" s="48"/>
      <c r="M1954" s="48"/>
    </row>
    <row r="1955" spans="1:37" ht="15.75" customHeight="1" x14ac:dyDescent="0.25">
      <c r="A1955" s="526"/>
      <c r="B1955" s="533"/>
      <c r="C1955" s="55">
        <v>108</v>
      </c>
      <c r="D1955" s="108">
        <v>133</v>
      </c>
      <c r="E1955" s="115">
        <v>1995</v>
      </c>
      <c r="F1955" s="332">
        <f t="shared" si="590"/>
        <v>24</v>
      </c>
      <c r="G1955" s="48"/>
      <c r="H1955" s="48"/>
      <c r="I1955" s="48"/>
      <c r="J1955" s="48"/>
      <c r="K1955" s="48"/>
      <c r="L1955" s="48"/>
      <c r="M1955" s="48"/>
    </row>
    <row r="1956" spans="1:37" ht="15.75" customHeight="1" x14ac:dyDescent="0.2">
      <c r="A1956" s="525" t="s">
        <v>887</v>
      </c>
      <c r="B1956" s="532" t="s">
        <v>455</v>
      </c>
      <c r="C1956" s="55"/>
      <c r="D1956" s="108"/>
      <c r="E1956" s="115"/>
      <c r="F1956" s="330"/>
      <c r="G1956" s="48"/>
      <c r="H1956" s="48"/>
      <c r="I1956" s="48"/>
      <c r="J1956" s="48"/>
      <c r="K1956" s="48"/>
      <c r="L1956" s="48"/>
      <c r="M1956" s="48"/>
    </row>
    <row r="1957" spans="1:37" ht="15.75" customHeight="1" x14ac:dyDescent="0.25">
      <c r="A1957" s="531"/>
      <c r="B1957" s="540"/>
      <c r="C1957" s="55">
        <v>40</v>
      </c>
      <c r="D1957" s="108">
        <v>133</v>
      </c>
      <c r="E1957" s="115">
        <v>1994</v>
      </c>
      <c r="F1957" s="332">
        <f t="shared" ref="F1957:F1958" si="591">2019-E1957</f>
        <v>25</v>
      </c>
      <c r="G1957" s="48"/>
      <c r="H1957" s="48"/>
      <c r="I1957" s="48"/>
      <c r="J1957" s="48"/>
      <c r="K1957" s="48"/>
      <c r="L1957" s="48"/>
      <c r="M1957" s="48"/>
    </row>
    <row r="1958" spans="1:37" ht="15.75" customHeight="1" x14ac:dyDescent="0.25">
      <c r="A1958" s="526"/>
      <c r="B1958" s="533"/>
      <c r="C1958" s="55">
        <v>40</v>
      </c>
      <c r="D1958" s="108">
        <v>89</v>
      </c>
      <c r="E1958" s="115">
        <v>1994</v>
      </c>
      <c r="F1958" s="332">
        <f t="shared" si="591"/>
        <v>25</v>
      </c>
      <c r="G1958" s="48"/>
      <c r="H1958" s="48"/>
      <c r="I1958" s="48"/>
      <c r="J1958" s="48"/>
      <c r="K1958" s="48"/>
      <c r="L1958" s="48"/>
      <c r="M1958" s="48"/>
    </row>
    <row r="1959" spans="1:37" s="93" customFormat="1" ht="15.75" customHeight="1" x14ac:dyDescent="0.2">
      <c r="A1959" s="525" t="s">
        <v>867</v>
      </c>
      <c r="B1959" s="532" t="s">
        <v>828</v>
      </c>
      <c r="C1959" s="55"/>
      <c r="D1959" s="108"/>
      <c r="E1959" s="115"/>
      <c r="F1959" s="330"/>
      <c r="G1959" s="103"/>
      <c r="H1959" s="103"/>
      <c r="I1959" s="103"/>
      <c r="J1959" s="103"/>
      <c r="K1959" s="103"/>
      <c r="L1959" s="103"/>
      <c r="M1959" s="103"/>
      <c r="N1959" s="103"/>
      <c r="O1959" s="103"/>
      <c r="P1959" s="103"/>
      <c r="Q1959" s="103"/>
      <c r="R1959" s="103"/>
      <c r="S1959" s="103"/>
      <c r="T1959" s="103"/>
      <c r="U1959" s="103"/>
      <c r="V1959" s="103"/>
      <c r="W1959" s="103"/>
      <c r="X1959" s="103"/>
      <c r="Y1959" s="103"/>
      <c r="Z1959" s="103"/>
      <c r="AA1959" s="103"/>
      <c r="AB1959" s="103"/>
      <c r="AC1959" s="103"/>
      <c r="AD1959" s="103"/>
      <c r="AE1959" s="103"/>
      <c r="AF1959" s="103"/>
      <c r="AG1959" s="103"/>
      <c r="AH1959" s="103"/>
      <c r="AI1959" s="103"/>
      <c r="AJ1959" s="103"/>
      <c r="AK1959" s="103"/>
    </row>
    <row r="1960" spans="1:37" s="93" customFormat="1" ht="15.75" customHeight="1" x14ac:dyDescent="0.25">
      <c r="A1960" s="531"/>
      <c r="B1960" s="540"/>
      <c r="C1960" s="78">
        <v>54</v>
      </c>
      <c r="D1960" s="108">
        <v>108</v>
      </c>
      <c r="E1960" s="115">
        <v>1993</v>
      </c>
      <c r="F1960" s="332">
        <f t="shared" ref="F1960:F1961" si="592">2019-E1960</f>
        <v>26</v>
      </c>
      <c r="G1960" s="103"/>
      <c r="H1960" s="103"/>
      <c r="I1960" s="103"/>
      <c r="J1960" s="103"/>
      <c r="K1960" s="103"/>
      <c r="L1960" s="103"/>
      <c r="M1960" s="103"/>
      <c r="N1960" s="103"/>
      <c r="O1960" s="103"/>
      <c r="P1960" s="103"/>
      <c r="Q1960" s="103"/>
      <c r="R1960" s="103"/>
      <c r="S1960" s="103"/>
      <c r="T1960" s="103"/>
      <c r="U1960" s="103"/>
      <c r="V1960" s="103"/>
      <c r="W1960" s="103"/>
      <c r="X1960" s="103"/>
      <c r="Y1960" s="103"/>
      <c r="Z1960" s="103"/>
      <c r="AA1960" s="103"/>
      <c r="AB1960" s="103"/>
      <c r="AC1960" s="103"/>
      <c r="AD1960" s="103"/>
      <c r="AE1960" s="103"/>
      <c r="AF1960" s="103"/>
      <c r="AG1960" s="103"/>
      <c r="AH1960" s="103"/>
      <c r="AI1960" s="103"/>
      <c r="AJ1960" s="103"/>
      <c r="AK1960" s="103"/>
    </row>
    <row r="1961" spans="1:37" s="93" customFormat="1" ht="15.75" customHeight="1" x14ac:dyDescent="0.25">
      <c r="A1961" s="526"/>
      <c r="B1961" s="533"/>
      <c r="C1961" s="78">
        <v>54</v>
      </c>
      <c r="D1961" s="108">
        <v>76</v>
      </c>
      <c r="E1961" s="115">
        <v>1993</v>
      </c>
      <c r="F1961" s="332">
        <f t="shared" si="592"/>
        <v>26</v>
      </c>
      <c r="G1961" s="95"/>
      <c r="H1961" s="95"/>
      <c r="I1961" s="95"/>
      <c r="J1961" s="95"/>
      <c r="K1961" s="95"/>
      <c r="L1961" s="95"/>
      <c r="M1961" s="95"/>
      <c r="N1961" s="95"/>
      <c r="O1961" s="95"/>
      <c r="P1961" s="95"/>
      <c r="Q1961" s="95"/>
      <c r="R1961" s="95"/>
      <c r="S1961" s="95"/>
      <c r="T1961" s="95"/>
      <c r="U1961" s="95"/>
      <c r="V1961" s="95"/>
      <c r="W1961" s="95"/>
      <c r="X1961" s="95"/>
      <c r="Y1961" s="95"/>
      <c r="Z1961" s="95"/>
      <c r="AA1961" s="95"/>
      <c r="AB1961" s="95"/>
      <c r="AC1961" s="95"/>
      <c r="AD1961" s="95"/>
      <c r="AE1961" s="95"/>
      <c r="AF1961" s="95"/>
      <c r="AG1961" s="95"/>
      <c r="AH1961" s="95"/>
      <c r="AI1961" s="95"/>
      <c r="AJ1961" s="95"/>
      <c r="AK1961" s="95"/>
    </row>
    <row r="1962" spans="1:37" ht="15.75" customHeight="1" x14ac:dyDescent="0.2">
      <c r="A1962" s="525" t="s">
        <v>727</v>
      </c>
      <c r="B1962" s="532" t="s">
        <v>889</v>
      </c>
      <c r="C1962" s="78"/>
      <c r="D1962" s="108"/>
      <c r="E1962" s="115"/>
      <c r="F1962" s="99"/>
      <c r="G1962" s="95"/>
      <c r="H1962" s="95"/>
      <c r="I1962" s="95"/>
      <c r="J1962" s="95"/>
      <c r="K1962" s="95"/>
      <c r="L1962" s="95"/>
      <c r="M1962" s="95"/>
      <c r="N1962" s="95"/>
      <c r="O1962" s="95"/>
      <c r="P1962" s="95"/>
      <c r="Q1962" s="95"/>
      <c r="R1962" s="95"/>
      <c r="S1962" s="95"/>
      <c r="T1962" s="95"/>
      <c r="U1962" s="95"/>
      <c r="V1962" s="95"/>
      <c r="W1962" s="95"/>
      <c r="X1962" s="95"/>
      <c r="Y1962" s="95"/>
      <c r="Z1962" s="95"/>
      <c r="AA1962" s="95"/>
      <c r="AB1962" s="95"/>
      <c r="AC1962" s="95"/>
      <c r="AD1962" s="95"/>
      <c r="AE1962" s="95"/>
      <c r="AF1962" s="95"/>
      <c r="AG1962" s="95"/>
      <c r="AH1962" s="95"/>
      <c r="AI1962" s="95"/>
      <c r="AJ1962" s="95"/>
      <c r="AK1962" s="95"/>
    </row>
    <row r="1963" spans="1:37" ht="15.75" customHeight="1" x14ac:dyDescent="0.25">
      <c r="A1963" s="531"/>
      <c r="B1963" s="540"/>
      <c r="C1963" s="55">
        <v>30</v>
      </c>
      <c r="D1963" s="108">
        <v>89</v>
      </c>
      <c r="E1963" s="115">
        <v>1994</v>
      </c>
      <c r="F1963" s="332">
        <f t="shared" ref="F1963:F1964" si="593">2019-E1963</f>
        <v>25</v>
      </c>
      <c r="G1963" s="48"/>
      <c r="H1963" s="48"/>
      <c r="I1963" s="48"/>
      <c r="J1963" s="48"/>
      <c r="K1963" s="48"/>
      <c r="L1963" s="48"/>
      <c r="M1963" s="48"/>
    </row>
    <row r="1964" spans="1:37" ht="15.75" customHeight="1" x14ac:dyDescent="0.25">
      <c r="A1964" s="526"/>
      <c r="B1964" s="533"/>
      <c r="C1964" s="78">
        <v>30</v>
      </c>
      <c r="D1964" s="108">
        <v>57</v>
      </c>
      <c r="E1964" s="115">
        <v>1994</v>
      </c>
      <c r="F1964" s="332">
        <f t="shared" si="593"/>
        <v>25</v>
      </c>
      <c r="G1964" s="48"/>
      <c r="H1964" s="48"/>
      <c r="I1964" s="48"/>
      <c r="J1964" s="48"/>
      <c r="K1964" s="48"/>
      <c r="L1964" s="48"/>
      <c r="M1964" s="48"/>
    </row>
    <row r="1965" spans="1:37" ht="15.75" customHeight="1" x14ac:dyDescent="0.2">
      <c r="A1965" s="525" t="s">
        <v>276</v>
      </c>
      <c r="B1965" s="532" t="s">
        <v>261</v>
      </c>
      <c r="C1965" s="53"/>
      <c r="D1965" s="108"/>
      <c r="E1965" s="115"/>
      <c r="F1965" s="330"/>
      <c r="G1965" s="48"/>
      <c r="H1965" s="48"/>
      <c r="I1965" s="48"/>
      <c r="J1965" s="48"/>
      <c r="K1965" s="48"/>
      <c r="L1965" s="48"/>
      <c r="M1965" s="48"/>
    </row>
    <row r="1966" spans="1:37" ht="15.75" customHeight="1" x14ac:dyDescent="0.25">
      <c r="A1966" s="531"/>
      <c r="B1966" s="540"/>
      <c r="C1966" s="55">
        <v>10</v>
      </c>
      <c r="D1966" s="108">
        <v>219</v>
      </c>
      <c r="E1966" s="115">
        <v>1993</v>
      </c>
      <c r="F1966" s="332">
        <f t="shared" ref="F1966:F1967" si="594">2019-E1966</f>
        <v>26</v>
      </c>
      <c r="G1966" s="48"/>
      <c r="H1966" s="48"/>
      <c r="I1966" s="48"/>
      <c r="J1966" s="48"/>
      <c r="K1966" s="48"/>
      <c r="L1966" s="48"/>
      <c r="M1966" s="48"/>
    </row>
    <row r="1967" spans="1:37" ht="15.75" customHeight="1" x14ac:dyDescent="0.25">
      <c r="A1967" s="526"/>
      <c r="B1967" s="533"/>
      <c r="C1967" s="55">
        <v>10</v>
      </c>
      <c r="D1967" s="108">
        <v>133</v>
      </c>
      <c r="E1967" s="115">
        <v>1993</v>
      </c>
      <c r="F1967" s="332">
        <f t="shared" si="594"/>
        <v>26</v>
      </c>
      <c r="G1967" s="48"/>
      <c r="H1967" s="48"/>
      <c r="I1967" s="48"/>
      <c r="J1967" s="48"/>
      <c r="K1967" s="48"/>
      <c r="L1967" s="48"/>
      <c r="M1967" s="48"/>
    </row>
    <row r="1968" spans="1:37" ht="15.75" customHeight="1" x14ac:dyDescent="0.2">
      <c r="A1968" s="525" t="s">
        <v>727</v>
      </c>
      <c r="B1968" s="532" t="s">
        <v>890</v>
      </c>
      <c r="C1968" s="55"/>
      <c r="D1968" s="108"/>
      <c r="E1968" s="115"/>
      <c r="F1968" s="330"/>
      <c r="G1968" s="48"/>
      <c r="H1968" s="48"/>
      <c r="I1968" s="48"/>
      <c r="J1968" s="48"/>
      <c r="K1968" s="48"/>
      <c r="L1968" s="48"/>
      <c r="M1968" s="48"/>
    </row>
    <row r="1969" spans="1:13" ht="15.75" customHeight="1" x14ac:dyDescent="0.25">
      <c r="A1969" s="531"/>
      <c r="B1969" s="540"/>
      <c r="C1969" s="78">
        <v>11</v>
      </c>
      <c r="D1969" s="108">
        <v>40</v>
      </c>
      <c r="E1969" s="115">
        <v>1994</v>
      </c>
      <c r="F1969" s="332">
        <f t="shared" ref="F1969:F1970" si="595">2019-E1969</f>
        <v>25</v>
      </c>
      <c r="G1969" s="48"/>
      <c r="H1969" s="48"/>
      <c r="I1969" s="48"/>
      <c r="J1969" s="48"/>
      <c r="K1969" s="48"/>
      <c r="L1969" s="48"/>
      <c r="M1969" s="48"/>
    </row>
    <row r="1970" spans="1:13" ht="15.75" customHeight="1" x14ac:dyDescent="0.25">
      <c r="A1970" s="526"/>
      <c r="B1970" s="533"/>
      <c r="C1970" s="78">
        <v>11</v>
      </c>
      <c r="D1970" s="108">
        <v>25</v>
      </c>
      <c r="E1970" s="115">
        <v>1994</v>
      </c>
      <c r="F1970" s="332">
        <f t="shared" si="595"/>
        <v>25</v>
      </c>
      <c r="G1970" s="48"/>
      <c r="H1970" s="48"/>
      <c r="I1970" s="48"/>
      <c r="J1970" s="48"/>
      <c r="K1970" s="48"/>
      <c r="L1970" s="48"/>
      <c r="M1970" s="48"/>
    </row>
    <row r="1971" spans="1:13" ht="15.75" customHeight="1" x14ac:dyDescent="0.2">
      <c r="A1971" s="525" t="s">
        <v>513</v>
      </c>
      <c r="B1971" s="532" t="s">
        <v>891</v>
      </c>
      <c r="C1971" s="55"/>
      <c r="D1971" s="108"/>
      <c r="E1971" s="115"/>
      <c r="F1971" s="330"/>
      <c r="G1971" s="48"/>
      <c r="H1971" s="48"/>
      <c r="I1971" s="48"/>
      <c r="J1971" s="48"/>
      <c r="K1971" s="48"/>
      <c r="L1971" s="48"/>
      <c r="M1971" s="48"/>
    </row>
    <row r="1972" spans="1:13" ht="15.75" customHeight="1" x14ac:dyDescent="0.25">
      <c r="A1972" s="531"/>
      <c r="B1972" s="540"/>
      <c r="C1972" s="78">
        <v>76</v>
      </c>
      <c r="D1972" s="108">
        <v>108</v>
      </c>
      <c r="E1972" s="115">
        <v>1993</v>
      </c>
      <c r="F1972" s="332">
        <f t="shared" ref="F1972:F1973" si="596">2019-E1972</f>
        <v>26</v>
      </c>
      <c r="G1972" s="48"/>
      <c r="H1972" s="48"/>
      <c r="I1972" s="48"/>
      <c r="J1972" s="48"/>
      <c r="K1972" s="48"/>
      <c r="L1972" s="48"/>
      <c r="M1972" s="48"/>
    </row>
    <row r="1973" spans="1:13" ht="15.75" customHeight="1" x14ac:dyDescent="0.25">
      <c r="A1973" s="526"/>
      <c r="B1973" s="533"/>
      <c r="C1973" s="78">
        <v>76</v>
      </c>
      <c r="D1973" s="108">
        <v>76</v>
      </c>
      <c r="E1973" s="115">
        <v>1993</v>
      </c>
      <c r="F1973" s="332">
        <f t="shared" si="596"/>
        <v>26</v>
      </c>
      <c r="G1973" s="48"/>
      <c r="H1973" s="48"/>
      <c r="I1973" s="48"/>
      <c r="J1973" s="48"/>
      <c r="K1973" s="48"/>
      <c r="L1973" s="48"/>
      <c r="M1973" s="48"/>
    </row>
    <row r="1974" spans="1:13" ht="15.75" customHeight="1" x14ac:dyDescent="0.2">
      <c r="A1974" s="525" t="s">
        <v>552</v>
      </c>
      <c r="B1974" s="532" t="s">
        <v>892</v>
      </c>
      <c r="C1974" s="55"/>
      <c r="D1974" s="108"/>
      <c r="E1974" s="115"/>
      <c r="F1974" s="330"/>
      <c r="G1974" s="48"/>
      <c r="H1974" s="48"/>
      <c r="I1974" s="48"/>
      <c r="J1974" s="48"/>
      <c r="K1974" s="48"/>
      <c r="L1974" s="48"/>
      <c r="M1974" s="48"/>
    </row>
    <row r="1975" spans="1:13" ht="15.75" customHeight="1" x14ac:dyDescent="0.25">
      <c r="A1975" s="531"/>
      <c r="B1975" s="540"/>
      <c r="C1975" s="55">
        <v>68</v>
      </c>
      <c r="D1975" s="108">
        <v>89</v>
      </c>
      <c r="E1975" s="115">
        <v>1993</v>
      </c>
      <c r="F1975" s="332">
        <f t="shared" ref="F1975:F1976" si="597">2019-E1975</f>
        <v>26</v>
      </c>
      <c r="G1975" s="48"/>
      <c r="H1975" s="48"/>
      <c r="I1975" s="48"/>
      <c r="J1975" s="48"/>
      <c r="K1975" s="48"/>
      <c r="L1975" s="48"/>
      <c r="M1975" s="48"/>
    </row>
    <row r="1976" spans="1:13" ht="15.75" customHeight="1" x14ac:dyDescent="0.25">
      <c r="A1976" s="526"/>
      <c r="B1976" s="533"/>
      <c r="C1976" s="78">
        <v>68</v>
      </c>
      <c r="D1976" s="108">
        <v>57</v>
      </c>
      <c r="E1976" s="115">
        <v>1993</v>
      </c>
      <c r="F1976" s="332">
        <f t="shared" si="597"/>
        <v>26</v>
      </c>
      <c r="G1976" s="48"/>
      <c r="H1976" s="48"/>
      <c r="I1976" s="48"/>
      <c r="J1976" s="48"/>
      <c r="K1976" s="48"/>
      <c r="L1976" s="48"/>
      <c r="M1976" s="48"/>
    </row>
    <row r="1977" spans="1:13" ht="15.75" customHeight="1" x14ac:dyDescent="0.2">
      <c r="A1977" s="525" t="s">
        <v>552</v>
      </c>
      <c r="B1977" s="532" t="s">
        <v>893</v>
      </c>
      <c r="C1977" s="55"/>
      <c r="D1977" s="108"/>
      <c r="E1977" s="115"/>
      <c r="F1977" s="330"/>
      <c r="G1977" s="48"/>
      <c r="H1977" s="48"/>
      <c r="I1977" s="48"/>
      <c r="J1977" s="48"/>
      <c r="K1977" s="48"/>
      <c r="L1977" s="48"/>
      <c r="M1977" s="48"/>
    </row>
    <row r="1978" spans="1:13" ht="15.75" customHeight="1" x14ac:dyDescent="0.25">
      <c r="A1978" s="531"/>
      <c r="B1978" s="540"/>
      <c r="C1978" s="78">
        <v>11</v>
      </c>
      <c r="D1978" s="108">
        <v>57</v>
      </c>
      <c r="E1978" s="115">
        <v>1994</v>
      </c>
      <c r="F1978" s="332">
        <f t="shared" ref="F1978:F1979" si="598">2019-E1978</f>
        <v>25</v>
      </c>
      <c r="G1978" s="48"/>
      <c r="H1978" s="48"/>
      <c r="I1978" s="48"/>
      <c r="J1978" s="48"/>
      <c r="K1978" s="48"/>
      <c r="L1978" s="48"/>
      <c r="M1978" s="48"/>
    </row>
    <row r="1979" spans="1:13" ht="15.75" customHeight="1" x14ac:dyDescent="0.25">
      <c r="A1979" s="526"/>
      <c r="B1979" s="533"/>
      <c r="C1979" s="78">
        <v>11</v>
      </c>
      <c r="D1979" s="108">
        <v>40</v>
      </c>
      <c r="E1979" s="115">
        <v>1994</v>
      </c>
      <c r="F1979" s="332">
        <f t="shared" si="598"/>
        <v>25</v>
      </c>
      <c r="G1979" s="48"/>
      <c r="H1979" s="48"/>
      <c r="I1979" s="48"/>
      <c r="J1979" s="48"/>
      <c r="K1979" s="48"/>
      <c r="L1979" s="48"/>
      <c r="M1979" s="48"/>
    </row>
    <row r="1980" spans="1:13" ht="15.75" customHeight="1" x14ac:dyDescent="0.2">
      <c r="A1980" s="525" t="s">
        <v>745</v>
      </c>
      <c r="B1980" s="532" t="s">
        <v>894</v>
      </c>
      <c r="C1980" s="78"/>
      <c r="D1980" s="108"/>
      <c r="E1980" s="115"/>
      <c r="F1980" s="330"/>
      <c r="G1980" s="48"/>
      <c r="H1980" s="48"/>
      <c r="I1980" s="48"/>
      <c r="J1980" s="48"/>
      <c r="K1980" s="48"/>
      <c r="L1980" s="48"/>
      <c r="M1980" s="48"/>
    </row>
    <row r="1981" spans="1:13" ht="15.75" customHeight="1" x14ac:dyDescent="0.25">
      <c r="A1981" s="531"/>
      <c r="B1981" s="540"/>
      <c r="C1981" s="78">
        <v>75</v>
      </c>
      <c r="D1981" s="108">
        <v>76</v>
      </c>
      <c r="E1981" s="115">
        <v>1995</v>
      </c>
      <c r="F1981" s="332">
        <f t="shared" ref="F1981:F1982" si="599">2019-E1981</f>
        <v>24</v>
      </c>
      <c r="G1981" s="48"/>
      <c r="H1981" s="48"/>
      <c r="I1981" s="48"/>
      <c r="J1981" s="48"/>
      <c r="K1981" s="48"/>
      <c r="L1981" s="48"/>
      <c r="M1981" s="48"/>
    </row>
    <row r="1982" spans="1:13" ht="15.75" customHeight="1" x14ac:dyDescent="0.25">
      <c r="A1982" s="526"/>
      <c r="B1982" s="533"/>
      <c r="C1982" s="78">
        <v>75</v>
      </c>
      <c r="D1982" s="108">
        <v>40</v>
      </c>
      <c r="E1982" s="115">
        <v>1995</v>
      </c>
      <c r="F1982" s="332">
        <f t="shared" si="599"/>
        <v>24</v>
      </c>
      <c r="G1982" s="48"/>
      <c r="H1982" s="48"/>
      <c r="I1982" s="48"/>
      <c r="J1982" s="48"/>
      <c r="K1982" s="48"/>
      <c r="L1982" s="48"/>
      <c r="M1982" s="48"/>
    </row>
    <row r="1983" spans="1:13" ht="15.75" customHeight="1" x14ac:dyDescent="0.2">
      <c r="A1983" s="525" t="s">
        <v>365</v>
      </c>
      <c r="B1983" s="532" t="s">
        <v>895</v>
      </c>
      <c r="C1983" s="55"/>
      <c r="D1983" s="108"/>
      <c r="E1983" s="115"/>
      <c r="F1983" s="330"/>
      <c r="G1983" s="48"/>
      <c r="H1983" s="48"/>
      <c r="I1983" s="48"/>
      <c r="J1983" s="48"/>
      <c r="K1983" s="48"/>
      <c r="L1983" s="48"/>
      <c r="M1983" s="48"/>
    </row>
    <row r="1984" spans="1:13" ht="15.75" customHeight="1" x14ac:dyDescent="0.25">
      <c r="A1984" s="531"/>
      <c r="B1984" s="540"/>
      <c r="C1984" s="78">
        <v>59</v>
      </c>
      <c r="D1984" s="108">
        <v>57</v>
      </c>
      <c r="E1984" s="115">
        <v>1994</v>
      </c>
      <c r="F1984" s="332">
        <f t="shared" ref="F1984:F1985" si="600">2019-E1984</f>
        <v>25</v>
      </c>
      <c r="G1984" s="48"/>
      <c r="H1984" s="48"/>
      <c r="I1984" s="48"/>
      <c r="J1984" s="48"/>
      <c r="K1984" s="48"/>
      <c r="L1984" s="48"/>
      <c r="M1984" s="48"/>
    </row>
    <row r="1985" spans="1:13" ht="15.75" customHeight="1" x14ac:dyDescent="0.25">
      <c r="A1985" s="526"/>
      <c r="B1985" s="533"/>
      <c r="C1985" s="78">
        <v>59</v>
      </c>
      <c r="D1985" s="108">
        <v>32</v>
      </c>
      <c r="E1985" s="115">
        <v>1994</v>
      </c>
      <c r="F1985" s="332">
        <f t="shared" si="600"/>
        <v>25</v>
      </c>
      <c r="G1985" s="48"/>
      <c r="H1985" s="48"/>
      <c r="I1985" s="48"/>
      <c r="J1985" s="48"/>
      <c r="K1985" s="48"/>
      <c r="L1985" s="48"/>
      <c r="M1985" s="48"/>
    </row>
    <row r="1986" spans="1:13" ht="15.75" customHeight="1" x14ac:dyDescent="0.2">
      <c r="A1986" s="525" t="s">
        <v>195</v>
      </c>
      <c r="B1986" s="532" t="s">
        <v>896</v>
      </c>
      <c r="C1986" s="55"/>
      <c r="D1986" s="108"/>
      <c r="E1986" s="115"/>
      <c r="F1986" s="330"/>
      <c r="G1986" s="48"/>
      <c r="H1986" s="48"/>
      <c r="I1986" s="48"/>
      <c r="J1986" s="48"/>
      <c r="K1986" s="48"/>
      <c r="L1986" s="48"/>
      <c r="M1986" s="48"/>
    </row>
    <row r="1987" spans="1:13" ht="15.75" customHeight="1" x14ac:dyDescent="0.25">
      <c r="A1987" s="531"/>
      <c r="B1987" s="540"/>
      <c r="C1987" s="78">
        <v>10</v>
      </c>
      <c r="D1987" s="108">
        <v>40</v>
      </c>
      <c r="E1987" s="115">
        <v>1994</v>
      </c>
      <c r="F1987" s="332">
        <f t="shared" ref="F1987:F1988" si="601">2019-E1987</f>
        <v>25</v>
      </c>
      <c r="G1987" s="48"/>
      <c r="H1987" s="48"/>
      <c r="I1987" s="48"/>
      <c r="J1987" s="48"/>
      <c r="K1987" s="48"/>
      <c r="L1987" s="48"/>
      <c r="M1987" s="48"/>
    </row>
    <row r="1988" spans="1:13" ht="15.75" customHeight="1" x14ac:dyDescent="0.25">
      <c r="A1988" s="526"/>
      <c r="B1988" s="533"/>
      <c r="C1988" s="78">
        <v>10</v>
      </c>
      <c r="D1988" s="108">
        <v>25</v>
      </c>
      <c r="E1988" s="115">
        <v>1994</v>
      </c>
      <c r="F1988" s="332">
        <f t="shared" si="601"/>
        <v>25</v>
      </c>
      <c r="G1988" s="48"/>
      <c r="H1988" s="48"/>
      <c r="I1988" s="48"/>
      <c r="J1988" s="48"/>
      <c r="K1988" s="48"/>
      <c r="L1988" s="48"/>
      <c r="M1988" s="48"/>
    </row>
    <row r="1989" spans="1:13" ht="15.75" customHeight="1" x14ac:dyDescent="0.2">
      <c r="A1989" s="525" t="s">
        <v>365</v>
      </c>
      <c r="B1989" s="532" t="s">
        <v>897</v>
      </c>
      <c r="C1989" s="55"/>
      <c r="D1989" s="108"/>
      <c r="E1989" s="115"/>
      <c r="F1989" s="330"/>
      <c r="G1989" s="48"/>
      <c r="H1989" s="48"/>
      <c r="I1989" s="48"/>
      <c r="J1989" s="48"/>
      <c r="K1989" s="48"/>
      <c r="L1989" s="48"/>
      <c r="M1989" s="48"/>
    </row>
    <row r="1990" spans="1:13" ht="15.75" customHeight="1" x14ac:dyDescent="0.25">
      <c r="A1990" s="531"/>
      <c r="B1990" s="540"/>
      <c r="C1990" s="78">
        <v>11</v>
      </c>
      <c r="D1990" s="108">
        <v>57</v>
      </c>
      <c r="E1990" s="115">
        <v>1994</v>
      </c>
      <c r="F1990" s="332">
        <f t="shared" ref="F1990:F1991" si="602">2019-E1990</f>
        <v>25</v>
      </c>
      <c r="G1990" s="48"/>
      <c r="H1990" s="48"/>
      <c r="I1990" s="48"/>
      <c r="J1990" s="48"/>
      <c r="K1990" s="48"/>
      <c r="L1990" s="48"/>
      <c r="M1990" s="48"/>
    </row>
    <row r="1991" spans="1:13" ht="15.75" customHeight="1" x14ac:dyDescent="0.25">
      <c r="A1991" s="526"/>
      <c r="B1991" s="533"/>
      <c r="C1991" s="78">
        <v>11</v>
      </c>
      <c r="D1991" s="108">
        <v>32</v>
      </c>
      <c r="E1991" s="115">
        <v>1994</v>
      </c>
      <c r="F1991" s="332">
        <f t="shared" si="602"/>
        <v>25</v>
      </c>
      <c r="G1991" s="48"/>
      <c r="H1991" s="48"/>
      <c r="I1991" s="48"/>
      <c r="J1991" s="48"/>
      <c r="K1991" s="48"/>
      <c r="L1991" s="48"/>
      <c r="M1991" s="48"/>
    </row>
    <row r="1992" spans="1:13" ht="15.75" customHeight="1" x14ac:dyDescent="0.2">
      <c r="A1992" s="525" t="s">
        <v>745</v>
      </c>
      <c r="B1992" s="532" t="s">
        <v>898</v>
      </c>
      <c r="C1992" s="55"/>
      <c r="D1992" s="108"/>
      <c r="E1992" s="115"/>
      <c r="F1992" s="330"/>
      <c r="G1992" s="48"/>
      <c r="H1992" s="48"/>
      <c r="I1992" s="48"/>
      <c r="J1992" s="48"/>
      <c r="K1992" s="48"/>
      <c r="L1992" s="48"/>
      <c r="M1992" s="48"/>
    </row>
    <row r="1993" spans="1:13" ht="15.75" customHeight="1" x14ac:dyDescent="0.25">
      <c r="A1993" s="531"/>
      <c r="B1993" s="540"/>
      <c r="C1993" s="78">
        <v>9.6</v>
      </c>
      <c r="D1993" s="108">
        <v>57</v>
      </c>
      <c r="E1993" s="115">
        <v>1994</v>
      </c>
      <c r="F1993" s="332">
        <f t="shared" ref="F1993:F1994" si="603">2019-E1993</f>
        <v>25</v>
      </c>
      <c r="G1993" s="48"/>
      <c r="H1993" s="48"/>
      <c r="I1993" s="48"/>
      <c r="J1993" s="48"/>
      <c r="K1993" s="48"/>
      <c r="L1993" s="48"/>
      <c r="M1993" s="48"/>
    </row>
    <row r="1994" spans="1:13" ht="15.75" customHeight="1" x14ac:dyDescent="0.25">
      <c r="A1994" s="526"/>
      <c r="B1994" s="533"/>
      <c r="C1994" s="78">
        <v>9.6</v>
      </c>
      <c r="D1994" s="108">
        <v>40</v>
      </c>
      <c r="E1994" s="115">
        <v>1994</v>
      </c>
      <c r="F1994" s="332">
        <f t="shared" si="603"/>
        <v>25</v>
      </c>
      <c r="G1994" s="48"/>
      <c r="H1994" s="48"/>
      <c r="I1994" s="48"/>
      <c r="J1994" s="48"/>
      <c r="K1994" s="48"/>
      <c r="L1994" s="48"/>
      <c r="M1994" s="48"/>
    </row>
    <row r="1995" spans="1:13" ht="15.75" customHeight="1" x14ac:dyDescent="0.2">
      <c r="A1995" s="525" t="s">
        <v>805</v>
      </c>
      <c r="B1995" s="532" t="s">
        <v>722</v>
      </c>
      <c r="C1995" s="78"/>
      <c r="D1995" s="108"/>
      <c r="E1995" s="115"/>
      <c r="F1995" s="330"/>
      <c r="G1995" s="48"/>
      <c r="H1995" s="48"/>
      <c r="I1995" s="48"/>
      <c r="J1995" s="48"/>
      <c r="K1995" s="48"/>
      <c r="L1995" s="48"/>
      <c r="M1995" s="48"/>
    </row>
    <row r="1996" spans="1:13" ht="15.75" customHeight="1" x14ac:dyDescent="0.25">
      <c r="A1996" s="531"/>
      <c r="B1996" s="540"/>
      <c r="C1996" s="55">
        <v>49</v>
      </c>
      <c r="D1996" s="108">
        <v>89</v>
      </c>
      <c r="E1996" s="115">
        <v>1994</v>
      </c>
      <c r="F1996" s="332">
        <f t="shared" ref="F1996:F1997" si="604">2019-E1996</f>
        <v>25</v>
      </c>
      <c r="G1996" s="48"/>
      <c r="H1996" s="48"/>
      <c r="I1996" s="48"/>
      <c r="J1996" s="48"/>
      <c r="K1996" s="48"/>
      <c r="L1996" s="48"/>
      <c r="M1996" s="48"/>
    </row>
    <row r="1997" spans="1:13" ht="15.75" customHeight="1" x14ac:dyDescent="0.25">
      <c r="A1997" s="526"/>
      <c r="B1997" s="533"/>
      <c r="C1997" s="78">
        <v>49</v>
      </c>
      <c r="D1997" s="108">
        <v>57</v>
      </c>
      <c r="E1997" s="115">
        <v>1994</v>
      </c>
      <c r="F1997" s="332">
        <f t="shared" si="604"/>
        <v>25</v>
      </c>
      <c r="G1997" s="48"/>
      <c r="H1997" s="48"/>
      <c r="I1997" s="48"/>
      <c r="J1997" s="48"/>
      <c r="K1997" s="48"/>
      <c r="L1997" s="48"/>
      <c r="M1997" s="48"/>
    </row>
    <row r="1998" spans="1:13" ht="15.75" customHeight="1" x14ac:dyDescent="0.2">
      <c r="A1998" s="525" t="s">
        <v>216</v>
      </c>
      <c r="B1998" s="532" t="s">
        <v>712</v>
      </c>
      <c r="C1998" s="55"/>
      <c r="D1998" s="108"/>
      <c r="E1998" s="115"/>
      <c r="F1998" s="330"/>
      <c r="G1998" s="48"/>
      <c r="H1998" s="48"/>
      <c r="I1998" s="48"/>
      <c r="J1998" s="48"/>
      <c r="K1998" s="48"/>
      <c r="L1998" s="48"/>
      <c r="M1998" s="48"/>
    </row>
    <row r="1999" spans="1:13" ht="15.75" customHeight="1" x14ac:dyDescent="0.25">
      <c r="A1999" s="531"/>
      <c r="B1999" s="540"/>
      <c r="C1999" s="55">
        <v>64</v>
      </c>
      <c r="D1999" s="108">
        <v>219</v>
      </c>
      <c r="E1999" s="115">
        <v>1993</v>
      </c>
      <c r="F1999" s="332">
        <f t="shared" ref="F1999:F2000" si="605">2019-E1999</f>
        <v>26</v>
      </c>
      <c r="G1999" s="48"/>
      <c r="H1999" s="48"/>
      <c r="I1999" s="48"/>
      <c r="J1999" s="48"/>
      <c r="K1999" s="48"/>
      <c r="L1999" s="48"/>
      <c r="M1999" s="48"/>
    </row>
    <row r="2000" spans="1:13" ht="15.75" customHeight="1" x14ac:dyDescent="0.25">
      <c r="A2000" s="526"/>
      <c r="B2000" s="533"/>
      <c r="C2000" s="55">
        <v>64</v>
      </c>
      <c r="D2000" s="108">
        <v>133</v>
      </c>
      <c r="E2000" s="115">
        <v>1993</v>
      </c>
      <c r="F2000" s="332">
        <f t="shared" si="605"/>
        <v>26</v>
      </c>
      <c r="G2000" s="48"/>
      <c r="H2000" s="48"/>
      <c r="I2000" s="48"/>
      <c r="J2000" s="48"/>
      <c r="K2000" s="48"/>
      <c r="L2000" s="48"/>
      <c r="M2000" s="48"/>
    </row>
    <row r="2001" spans="1:13" ht="15.75" customHeight="1" x14ac:dyDescent="0.2">
      <c r="A2001" s="525" t="s">
        <v>195</v>
      </c>
      <c r="B2001" s="532" t="s">
        <v>899</v>
      </c>
      <c r="C2001" s="78"/>
      <c r="D2001" s="108"/>
      <c r="E2001" s="115"/>
      <c r="F2001" s="330"/>
      <c r="G2001" s="48"/>
      <c r="H2001" s="48"/>
      <c r="I2001" s="48"/>
      <c r="J2001" s="48"/>
      <c r="K2001" s="48"/>
      <c r="L2001" s="48"/>
      <c r="M2001" s="48"/>
    </row>
    <row r="2002" spans="1:13" ht="15.75" customHeight="1" x14ac:dyDescent="0.25">
      <c r="A2002" s="531"/>
      <c r="B2002" s="540"/>
      <c r="C2002" s="78">
        <v>47</v>
      </c>
      <c r="D2002" s="108">
        <v>40</v>
      </c>
      <c r="E2002" s="115">
        <v>1994</v>
      </c>
      <c r="F2002" s="332">
        <f t="shared" ref="F2002:F2003" si="606">2019-E2002</f>
        <v>25</v>
      </c>
      <c r="G2002" s="48"/>
      <c r="H2002" s="48"/>
      <c r="I2002" s="48"/>
      <c r="J2002" s="48"/>
      <c r="K2002" s="48"/>
      <c r="L2002" s="48"/>
      <c r="M2002" s="48"/>
    </row>
    <row r="2003" spans="1:13" ht="15.75" customHeight="1" x14ac:dyDescent="0.25">
      <c r="A2003" s="526"/>
      <c r="B2003" s="533"/>
      <c r="C2003" s="78">
        <v>47</v>
      </c>
      <c r="D2003" s="108">
        <v>25</v>
      </c>
      <c r="E2003" s="115">
        <v>1994</v>
      </c>
      <c r="F2003" s="332">
        <f t="shared" si="606"/>
        <v>25</v>
      </c>
      <c r="G2003" s="48"/>
      <c r="H2003" s="48"/>
      <c r="I2003" s="48"/>
      <c r="J2003" s="48"/>
      <c r="K2003" s="48"/>
      <c r="L2003" s="48"/>
      <c r="M2003" s="48"/>
    </row>
    <row r="2004" spans="1:13" ht="15.75" customHeight="1" x14ac:dyDescent="0.2">
      <c r="A2004" s="534" t="s">
        <v>852</v>
      </c>
      <c r="B2004" s="534" t="s">
        <v>900</v>
      </c>
      <c r="C2004" s="119"/>
      <c r="D2004" s="108"/>
      <c r="E2004" s="115"/>
      <c r="F2004" s="330"/>
      <c r="G2004" s="48"/>
      <c r="H2004" s="48"/>
      <c r="I2004" s="48"/>
      <c r="J2004" s="48"/>
      <c r="K2004" s="48"/>
      <c r="L2004" s="48"/>
      <c r="M2004" s="48"/>
    </row>
    <row r="2005" spans="1:13" ht="15.75" customHeight="1" x14ac:dyDescent="0.25">
      <c r="A2005" s="536"/>
      <c r="B2005" s="536"/>
      <c r="C2005" s="55">
        <v>67</v>
      </c>
      <c r="D2005" s="108">
        <v>76</v>
      </c>
      <c r="E2005" s="115">
        <v>2008</v>
      </c>
      <c r="F2005" s="332">
        <f t="shared" ref="F2005:F2006" si="607">2019-E2005</f>
        <v>11</v>
      </c>
      <c r="G2005" s="48"/>
      <c r="H2005" s="48"/>
      <c r="I2005" s="48"/>
      <c r="J2005" s="48"/>
      <c r="K2005" s="48"/>
      <c r="L2005" s="48"/>
      <c r="M2005" s="48"/>
    </row>
    <row r="2006" spans="1:13" ht="15.75" customHeight="1" x14ac:dyDescent="0.25">
      <c r="A2006" s="535"/>
      <c r="B2006" s="535"/>
      <c r="C2006" s="78">
        <v>67</v>
      </c>
      <c r="D2006" s="108">
        <v>40</v>
      </c>
      <c r="E2006" s="115">
        <v>2008</v>
      </c>
      <c r="F2006" s="332">
        <f t="shared" si="607"/>
        <v>11</v>
      </c>
      <c r="G2006" s="48"/>
      <c r="H2006" s="48"/>
      <c r="I2006" s="48"/>
      <c r="J2006" s="48"/>
      <c r="K2006" s="48"/>
      <c r="L2006" s="48"/>
      <c r="M2006" s="48"/>
    </row>
    <row r="2007" spans="1:13" ht="15.75" customHeight="1" x14ac:dyDescent="0.2">
      <c r="A2007" s="525" t="s">
        <v>256</v>
      </c>
      <c r="B2007" s="532" t="s">
        <v>385</v>
      </c>
      <c r="C2007" s="53"/>
      <c r="D2007" s="108"/>
      <c r="E2007" s="114"/>
      <c r="F2007" s="330"/>
      <c r="G2007" s="48"/>
      <c r="H2007" s="48"/>
      <c r="I2007" s="48"/>
      <c r="J2007" s="48"/>
      <c r="K2007" s="48"/>
      <c r="L2007" s="48"/>
      <c r="M2007" s="48"/>
    </row>
    <row r="2008" spans="1:13" ht="15.75" customHeight="1" x14ac:dyDescent="0.25">
      <c r="A2008" s="531"/>
      <c r="B2008" s="540"/>
      <c r="C2008" s="55">
        <v>62</v>
      </c>
      <c r="D2008" s="108">
        <v>133</v>
      </c>
      <c r="E2008" s="114">
        <v>1991</v>
      </c>
      <c r="F2008" s="332">
        <f t="shared" ref="F2008:F2009" si="608">2019-E2008</f>
        <v>28</v>
      </c>
      <c r="G2008" s="48"/>
      <c r="H2008" s="48"/>
      <c r="I2008" s="48"/>
      <c r="J2008" s="48"/>
      <c r="K2008" s="48"/>
      <c r="L2008" s="48"/>
      <c r="M2008" s="48"/>
    </row>
    <row r="2009" spans="1:13" ht="15.75" customHeight="1" x14ac:dyDescent="0.25">
      <c r="A2009" s="526"/>
      <c r="B2009" s="533"/>
      <c r="C2009" s="55">
        <v>62</v>
      </c>
      <c r="D2009" s="108">
        <v>89</v>
      </c>
      <c r="E2009" s="114">
        <v>1991</v>
      </c>
      <c r="F2009" s="332">
        <f t="shared" si="608"/>
        <v>28</v>
      </c>
      <c r="G2009" s="48"/>
      <c r="H2009" s="48"/>
      <c r="I2009" s="48"/>
      <c r="J2009" s="48"/>
      <c r="K2009" s="48"/>
      <c r="L2009" s="48"/>
      <c r="M2009" s="48"/>
    </row>
    <row r="2010" spans="1:13" ht="15.75" customHeight="1" x14ac:dyDescent="0.2">
      <c r="A2010" s="525" t="s">
        <v>385</v>
      </c>
      <c r="B2010" s="532" t="s">
        <v>422</v>
      </c>
      <c r="C2010" s="55"/>
      <c r="D2010" s="108"/>
      <c r="E2010" s="114"/>
      <c r="F2010" s="330"/>
      <c r="G2010" s="48"/>
      <c r="H2010" s="48"/>
      <c r="I2010" s="48"/>
      <c r="J2010" s="48"/>
      <c r="K2010" s="48"/>
      <c r="L2010" s="48"/>
      <c r="M2010" s="48"/>
    </row>
    <row r="2011" spans="1:13" ht="15.75" customHeight="1" x14ac:dyDescent="0.25">
      <c r="A2011" s="531"/>
      <c r="B2011" s="540"/>
      <c r="C2011" s="78">
        <v>64.400000000000006</v>
      </c>
      <c r="D2011" s="108">
        <v>108</v>
      </c>
      <c r="E2011" s="114">
        <v>1992</v>
      </c>
      <c r="F2011" s="332">
        <f t="shared" ref="F2011:F2012" si="609">2019-E2011</f>
        <v>27</v>
      </c>
      <c r="G2011" s="48"/>
      <c r="H2011" s="48"/>
      <c r="I2011" s="48"/>
      <c r="J2011" s="48"/>
      <c r="K2011" s="48"/>
      <c r="L2011" s="48"/>
      <c r="M2011" s="48"/>
    </row>
    <row r="2012" spans="1:13" ht="15.75" customHeight="1" x14ac:dyDescent="0.25">
      <c r="A2012" s="526"/>
      <c r="B2012" s="533"/>
      <c r="C2012" s="78">
        <v>64.400000000000006</v>
      </c>
      <c r="D2012" s="108">
        <v>76</v>
      </c>
      <c r="E2012" s="114">
        <v>1992</v>
      </c>
      <c r="F2012" s="332">
        <f t="shared" si="609"/>
        <v>27</v>
      </c>
      <c r="G2012" s="48"/>
      <c r="H2012" s="48"/>
      <c r="I2012" s="48"/>
      <c r="J2012" s="48"/>
      <c r="K2012" s="48"/>
      <c r="L2012" s="48"/>
      <c r="M2012" s="48"/>
    </row>
    <row r="2013" spans="1:13" ht="15.75" customHeight="1" x14ac:dyDescent="0.2">
      <c r="A2013" s="525" t="s">
        <v>422</v>
      </c>
      <c r="B2013" s="532" t="s">
        <v>901</v>
      </c>
      <c r="C2013" s="55"/>
      <c r="D2013" s="108"/>
      <c r="E2013" s="114"/>
      <c r="F2013" s="330"/>
      <c r="G2013" s="48"/>
      <c r="H2013" s="48"/>
      <c r="I2013" s="48"/>
      <c r="J2013" s="48"/>
      <c r="K2013" s="48"/>
      <c r="L2013" s="48"/>
      <c r="M2013" s="48"/>
    </row>
    <row r="2014" spans="1:13" ht="15.75" customHeight="1" x14ac:dyDescent="0.25">
      <c r="A2014" s="531"/>
      <c r="B2014" s="540"/>
      <c r="C2014" s="78">
        <v>196</v>
      </c>
      <c r="D2014" s="108">
        <v>76</v>
      </c>
      <c r="E2014" s="114">
        <v>1993</v>
      </c>
      <c r="F2014" s="332">
        <f t="shared" ref="F2014:F2015" si="610">2019-E2014</f>
        <v>26</v>
      </c>
      <c r="G2014" s="48"/>
      <c r="H2014" s="48"/>
      <c r="I2014" s="48"/>
      <c r="J2014" s="48"/>
      <c r="K2014" s="48"/>
      <c r="L2014" s="48"/>
      <c r="M2014" s="48"/>
    </row>
    <row r="2015" spans="1:13" ht="15.75" customHeight="1" x14ac:dyDescent="0.25">
      <c r="A2015" s="526"/>
      <c r="B2015" s="533"/>
      <c r="C2015" s="78">
        <v>196</v>
      </c>
      <c r="D2015" s="108">
        <v>40</v>
      </c>
      <c r="E2015" s="114">
        <v>1993</v>
      </c>
      <c r="F2015" s="332">
        <f t="shared" si="610"/>
        <v>26</v>
      </c>
      <c r="G2015" s="48"/>
      <c r="H2015" s="48"/>
      <c r="I2015" s="48"/>
      <c r="J2015" s="48"/>
      <c r="K2015" s="48"/>
      <c r="L2015" s="48"/>
      <c r="M2015" s="48"/>
    </row>
    <row r="2016" spans="1:13" ht="15.75" customHeight="1" x14ac:dyDescent="0.2">
      <c r="A2016" s="525" t="s">
        <v>422</v>
      </c>
      <c r="B2016" s="532" t="s">
        <v>250</v>
      </c>
      <c r="C2016" s="78"/>
      <c r="D2016" s="108"/>
      <c r="E2016" s="114"/>
      <c r="F2016" s="330"/>
      <c r="G2016" s="48"/>
      <c r="H2016" s="48"/>
      <c r="I2016" s="48"/>
      <c r="J2016" s="48"/>
      <c r="K2016" s="48"/>
      <c r="L2016" s="48"/>
      <c r="M2016" s="48"/>
    </row>
    <row r="2017" spans="1:13" ht="15.75" customHeight="1" x14ac:dyDescent="0.25">
      <c r="A2017" s="531"/>
      <c r="B2017" s="540"/>
      <c r="C2017" s="55">
        <v>60</v>
      </c>
      <c r="D2017" s="108">
        <v>89</v>
      </c>
      <c r="E2017" s="114">
        <v>1992</v>
      </c>
      <c r="F2017" s="332">
        <f t="shared" ref="F2017:F2018" si="611">2019-E2017</f>
        <v>27</v>
      </c>
      <c r="G2017" s="48"/>
      <c r="H2017" s="48"/>
      <c r="I2017" s="48"/>
      <c r="J2017" s="48"/>
      <c r="K2017" s="48"/>
      <c r="L2017" s="48"/>
      <c r="M2017" s="48"/>
    </row>
    <row r="2018" spans="1:13" ht="15.75" customHeight="1" x14ac:dyDescent="0.25">
      <c r="A2018" s="526"/>
      <c r="B2018" s="533"/>
      <c r="C2018" s="78">
        <v>60</v>
      </c>
      <c r="D2018" s="108">
        <v>76</v>
      </c>
      <c r="E2018" s="114">
        <v>1992</v>
      </c>
      <c r="F2018" s="332">
        <f t="shared" si="611"/>
        <v>27</v>
      </c>
      <c r="G2018" s="48"/>
      <c r="H2018" s="48"/>
      <c r="I2018" s="48"/>
      <c r="J2018" s="48"/>
      <c r="K2018" s="48"/>
      <c r="L2018" s="48"/>
      <c r="M2018" s="48"/>
    </row>
    <row r="2019" spans="1:13" ht="15.75" customHeight="1" x14ac:dyDescent="0.2">
      <c r="A2019" s="525" t="s">
        <v>250</v>
      </c>
      <c r="B2019" s="532" t="s">
        <v>902</v>
      </c>
      <c r="C2019" s="78"/>
      <c r="D2019" s="108"/>
      <c r="E2019" s="114"/>
      <c r="F2019" s="330"/>
      <c r="G2019" s="48"/>
      <c r="H2019" s="48"/>
      <c r="I2019" s="48"/>
      <c r="J2019" s="48"/>
      <c r="K2019" s="48"/>
      <c r="L2019" s="48"/>
      <c r="M2019" s="48"/>
    </row>
    <row r="2020" spans="1:13" ht="15.75" customHeight="1" x14ac:dyDescent="0.25">
      <c r="A2020" s="531"/>
      <c r="B2020" s="540"/>
      <c r="C2020" s="55">
        <v>30</v>
      </c>
      <c r="D2020" s="108">
        <v>89</v>
      </c>
      <c r="E2020" s="114">
        <v>1994</v>
      </c>
      <c r="F2020" s="332">
        <f t="shared" ref="F2020:F2021" si="612">2019-E2020</f>
        <v>25</v>
      </c>
      <c r="G2020" s="48"/>
      <c r="H2020" s="48"/>
      <c r="I2020" s="48"/>
      <c r="J2020" s="48"/>
      <c r="K2020" s="48"/>
      <c r="L2020" s="48"/>
      <c r="M2020" s="48"/>
    </row>
    <row r="2021" spans="1:13" ht="15.75" customHeight="1" x14ac:dyDescent="0.25">
      <c r="A2021" s="526"/>
      <c r="B2021" s="533"/>
      <c r="C2021" s="78">
        <v>30</v>
      </c>
      <c r="D2021" s="108">
        <v>57</v>
      </c>
      <c r="E2021" s="114">
        <v>1994</v>
      </c>
      <c r="F2021" s="332">
        <f t="shared" si="612"/>
        <v>25</v>
      </c>
      <c r="G2021" s="48"/>
      <c r="H2021" s="48"/>
      <c r="I2021" s="48"/>
      <c r="J2021" s="48"/>
      <c r="K2021" s="48"/>
      <c r="L2021" s="48"/>
      <c r="M2021" s="48"/>
    </row>
    <row r="2022" spans="1:13" ht="15.75" customHeight="1" x14ac:dyDescent="0.2">
      <c r="A2022" s="525" t="s">
        <v>748</v>
      </c>
      <c r="B2022" s="532" t="s">
        <v>903</v>
      </c>
      <c r="C2022" s="55"/>
      <c r="D2022" s="108"/>
      <c r="E2022" s="114"/>
      <c r="F2022" s="330"/>
      <c r="G2022" s="48"/>
      <c r="H2022" s="48"/>
      <c r="I2022" s="48"/>
      <c r="J2022" s="48"/>
      <c r="K2022" s="48"/>
      <c r="L2022" s="48"/>
      <c r="M2022" s="48"/>
    </row>
    <row r="2023" spans="1:13" ht="15.75" customHeight="1" x14ac:dyDescent="0.25">
      <c r="A2023" s="531"/>
      <c r="B2023" s="540"/>
      <c r="C2023" s="78">
        <v>141</v>
      </c>
      <c r="D2023" s="108">
        <v>76</v>
      </c>
      <c r="E2023" s="114">
        <v>1992</v>
      </c>
      <c r="F2023" s="332">
        <f t="shared" ref="F2023:F2024" si="613">2019-E2023</f>
        <v>27</v>
      </c>
      <c r="G2023" s="48"/>
      <c r="H2023" s="48"/>
      <c r="I2023" s="48"/>
      <c r="J2023" s="48"/>
      <c r="K2023" s="48"/>
      <c r="L2023" s="48"/>
      <c r="M2023" s="48"/>
    </row>
    <row r="2024" spans="1:13" ht="15.75" customHeight="1" x14ac:dyDescent="0.25">
      <c r="A2024" s="526"/>
      <c r="B2024" s="533"/>
      <c r="C2024" s="78">
        <v>141</v>
      </c>
      <c r="D2024" s="108">
        <v>40</v>
      </c>
      <c r="E2024" s="114">
        <v>1992</v>
      </c>
      <c r="F2024" s="332">
        <f t="shared" si="613"/>
        <v>27</v>
      </c>
      <c r="G2024" s="48"/>
      <c r="H2024" s="48"/>
      <c r="I2024" s="48"/>
      <c r="J2024" s="48"/>
      <c r="K2024" s="48"/>
      <c r="L2024" s="48"/>
      <c r="M2024" s="48"/>
    </row>
    <row r="2025" spans="1:13" ht="15.75" customHeight="1" x14ac:dyDescent="0.2">
      <c r="A2025" s="525" t="s">
        <v>250</v>
      </c>
      <c r="B2025" s="532" t="s">
        <v>904</v>
      </c>
      <c r="C2025" s="78"/>
      <c r="D2025" s="108"/>
      <c r="E2025" s="114"/>
      <c r="F2025" s="330"/>
      <c r="G2025" s="48"/>
      <c r="H2025" s="48"/>
      <c r="I2025" s="48"/>
      <c r="J2025" s="48"/>
      <c r="K2025" s="48"/>
      <c r="L2025" s="48"/>
      <c r="M2025" s="48"/>
    </row>
    <row r="2026" spans="1:13" ht="15.75" customHeight="1" x14ac:dyDescent="0.25">
      <c r="A2026" s="531"/>
      <c r="B2026" s="540"/>
      <c r="C2026" s="55">
        <v>162</v>
      </c>
      <c r="D2026" s="108">
        <v>89</v>
      </c>
      <c r="E2026" s="114">
        <v>1992</v>
      </c>
      <c r="F2026" s="332">
        <f t="shared" ref="F2026:F2027" si="614">2019-E2026</f>
        <v>27</v>
      </c>
      <c r="G2026" s="48"/>
      <c r="H2026" s="48"/>
      <c r="I2026" s="48"/>
      <c r="J2026" s="48"/>
      <c r="K2026" s="48"/>
      <c r="L2026" s="48"/>
      <c r="M2026" s="48"/>
    </row>
    <row r="2027" spans="1:13" ht="15.75" customHeight="1" x14ac:dyDescent="0.25">
      <c r="A2027" s="526"/>
      <c r="B2027" s="533"/>
      <c r="C2027" s="78">
        <v>162</v>
      </c>
      <c r="D2027" s="108">
        <v>57</v>
      </c>
      <c r="E2027" s="114">
        <v>1992</v>
      </c>
      <c r="F2027" s="332">
        <f t="shared" si="614"/>
        <v>27</v>
      </c>
      <c r="G2027" s="48"/>
      <c r="H2027" s="48"/>
      <c r="I2027" s="48"/>
      <c r="J2027" s="48"/>
      <c r="K2027" s="48"/>
      <c r="L2027" s="48"/>
      <c r="M2027" s="48"/>
    </row>
    <row r="2028" spans="1:13" ht="15.75" customHeight="1" x14ac:dyDescent="0.2">
      <c r="A2028" s="525" t="s">
        <v>867</v>
      </c>
      <c r="B2028" s="525" t="s">
        <v>905</v>
      </c>
      <c r="C2028" s="119"/>
      <c r="D2028" s="108"/>
      <c r="E2028" s="114"/>
      <c r="F2028" s="330"/>
      <c r="G2028" s="48"/>
      <c r="H2028" s="48"/>
      <c r="I2028" s="48"/>
      <c r="J2028" s="48"/>
      <c r="K2028" s="48"/>
      <c r="L2028" s="48"/>
      <c r="M2028" s="48"/>
    </row>
    <row r="2029" spans="1:13" ht="15.75" customHeight="1" x14ac:dyDescent="0.25">
      <c r="A2029" s="531"/>
      <c r="B2029" s="531"/>
      <c r="C2029" s="119">
        <v>17</v>
      </c>
      <c r="D2029" s="108">
        <v>57</v>
      </c>
      <c r="E2029" s="114">
        <v>1988</v>
      </c>
      <c r="F2029" s="332">
        <f t="shared" ref="F2029:F2030" si="615">2019-E2029</f>
        <v>31</v>
      </c>
      <c r="G2029" s="48"/>
      <c r="H2029" s="48"/>
      <c r="I2029" s="48"/>
      <c r="J2029" s="48"/>
      <c r="K2029" s="48"/>
      <c r="L2029" s="48"/>
      <c r="M2029" s="48"/>
    </row>
    <row r="2030" spans="1:13" ht="15.75" customHeight="1" x14ac:dyDescent="0.25">
      <c r="A2030" s="526"/>
      <c r="B2030" s="526"/>
      <c r="C2030" s="119">
        <v>17</v>
      </c>
      <c r="D2030" s="108">
        <v>40</v>
      </c>
      <c r="E2030" s="114">
        <v>1988</v>
      </c>
      <c r="F2030" s="332">
        <f t="shared" si="615"/>
        <v>31</v>
      </c>
      <c r="G2030" s="48"/>
      <c r="H2030" s="48"/>
      <c r="I2030" s="48"/>
      <c r="J2030" s="48"/>
      <c r="K2030" s="48"/>
      <c r="L2030" s="48"/>
      <c r="M2030" s="48"/>
    </row>
    <row r="2031" spans="1:13" ht="15.75" customHeight="1" x14ac:dyDescent="0.2">
      <c r="A2031" s="525" t="s">
        <v>436</v>
      </c>
      <c r="B2031" s="525" t="s">
        <v>906</v>
      </c>
      <c r="C2031" s="119"/>
      <c r="D2031" s="108"/>
      <c r="E2031" s="114"/>
      <c r="F2031" s="330"/>
      <c r="G2031" s="48"/>
      <c r="H2031" s="48"/>
      <c r="I2031" s="48"/>
      <c r="J2031" s="48"/>
      <c r="K2031" s="48"/>
      <c r="L2031" s="48"/>
      <c r="M2031" s="48"/>
    </row>
    <row r="2032" spans="1:13" ht="15.75" customHeight="1" x14ac:dyDescent="0.25">
      <c r="A2032" s="531"/>
      <c r="B2032" s="531"/>
      <c r="C2032" s="119">
        <v>17</v>
      </c>
      <c r="D2032" s="108">
        <v>89</v>
      </c>
      <c r="E2032" s="114">
        <v>1988</v>
      </c>
      <c r="F2032" s="332">
        <f t="shared" ref="F2032:F2033" si="616">2019-E2032</f>
        <v>31</v>
      </c>
      <c r="G2032" s="48"/>
      <c r="H2032" s="48"/>
      <c r="I2032" s="48"/>
      <c r="J2032" s="48"/>
      <c r="K2032" s="48"/>
      <c r="L2032" s="48"/>
      <c r="M2032" s="48"/>
    </row>
    <row r="2033" spans="1:13" ht="15.75" customHeight="1" x14ac:dyDescent="0.25">
      <c r="A2033" s="526"/>
      <c r="B2033" s="526"/>
      <c r="C2033" s="119">
        <v>17</v>
      </c>
      <c r="D2033" s="108">
        <v>76</v>
      </c>
      <c r="E2033" s="114">
        <v>1988</v>
      </c>
      <c r="F2033" s="332">
        <f t="shared" si="616"/>
        <v>31</v>
      </c>
      <c r="G2033" s="48"/>
      <c r="H2033" s="48"/>
      <c r="I2033" s="48"/>
      <c r="J2033" s="48"/>
      <c r="K2033" s="48"/>
      <c r="L2033" s="48"/>
      <c r="M2033" s="48"/>
    </row>
    <row r="2034" spans="1:13" ht="15.75" customHeight="1" x14ac:dyDescent="0.2">
      <c r="A2034" s="525" t="s">
        <v>436</v>
      </c>
      <c r="B2034" s="525" t="s">
        <v>712</v>
      </c>
      <c r="C2034" s="53"/>
      <c r="D2034" s="108"/>
      <c r="E2034" s="114"/>
      <c r="F2034" s="330"/>
      <c r="G2034" s="48"/>
      <c r="H2034" s="48"/>
      <c r="I2034" s="48"/>
      <c r="J2034" s="48"/>
      <c r="K2034" s="48"/>
      <c r="L2034" s="48"/>
      <c r="M2034" s="48"/>
    </row>
    <row r="2035" spans="1:13" ht="15.75" customHeight="1" x14ac:dyDescent="0.25">
      <c r="A2035" s="531"/>
      <c r="B2035" s="531"/>
      <c r="C2035" s="53">
        <v>52</v>
      </c>
      <c r="D2035" s="108">
        <v>108</v>
      </c>
      <c r="E2035" s="114">
        <v>1988</v>
      </c>
      <c r="F2035" s="332">
        <f t="shared" ref="F2035:F2036" si="617">2019-E2035</f>
        <v>31</v>
      </c>
      <c r="G2035" s="48"/>
      <c r="H2035" s="48"/>
      <c r="I2035" s="48"/>
      <c r="J2035" s="48"/>
      <c r="K2035" s="48"/>
      <c r="L2035" s="48"/>
      <c r="M2035" s="48"/>
    </row>
    <row r="2036" spans="1:13" ht="15.75" customHeight="1" x14ac:dyDescent="0.25">
      <c r="A2036" s="526"/>
      <c r="B2036" s="526"/>
      <c r="C2036" s="119">
        <v>52</v>
      </c>
      <c r="D2036" s="108">
        <v>76</v>
      </c>
      <c r="E2036" s="114">
        <v>1988</v>
      </c>
      <c r="F2036" s="332">
        <f t="shared" si="617"/>
        <v>31</v>
      </c>
      <c r="G2036" s="48"/>
      <c r="H2036" s="48"/>
      <c r="I2036" s="48"/>
      <c r="J2036" s="48"/>
      <c r="K2036" s="48"/>
      <c r="L2036" s="48"/>
      <c r="M2036" s="48"/>
    </row>
    <row r="2037" spans="1:13" ht="15.75" customHeight="1" x14ac:dyDescent="0.2">
      <c r="A2037" s="525" t="s">
        <v>513</v>
      </c>
      <c r="B2037" s="525" t="s">
        <v>907</v>
      </c>
      <c r="C2037" s="119"/>
      <c r="D2037" s="108"/>
      <c r="E2037" s="114"/>
      <c r="F2037" s="330"/>
      <c r="G2037" s="48"/>
      <c r="H2037" s="48"/>
      <c r="I2037" s="48"/>
      <c r="J2037" s="48"/>
      <c r="K2037" s="48"/>
      <c r="L2037" s="48"/>
      <c r="M2037" s="48"/>
    </row>
    <row r="2038" spans="1:13" ht="15.75" customHeight="1" x14ac:dyDescent="0.25">
      <c r="A2038" s="531"/>
      <c r="B2038" s="531"/>
      <c r="C2038" s="119">
        <v>12</v>
      </c>
      <c r="D2038" s="108">
        <v>76</v>
      </c>
      <c r="E2038" s="114">
        <v>1988</v>
      </c>
      <c r="F2038" s="332">
        <f t="shared" ref="F2038:F2039" si="618">2019-E2038</f>
        <v>31</v>
      </c>
      <c r="G2038" s="48"/>
      <c r="H2038" s="48"/>
      <c r="I2038" s="48"/>
      <c r="J2038" s="48"/>
      <c r="K2038" s="48"/>
      <c r="L2038" s="48"/>
      <c r="M2038" s="48"/>
    </row>
    <row r="2039" spans="1:13" ht="15.75" customHeight="1" x14ac:dyDescent="0.25">
      <c r="A2039" s="526"/>
      <c r="B2039" s="526"/>
      <c r="C2039" s="119">
        <v>12</v>
      </c>
      <c r="D2039" s="108">
        <v>40</v>
      </c>
      <c r="E2039" s="114">
        <v>1988</v>
      </c>
      <c r="F2039" s="332">
        <f t="shared" si="618"/>
        <v>31</v>
      </c>
      <c r="G2039" s="48"/>
      <c r="H2039" s="48"/>
      <c r="I2039" s="48"/>
      <c r="J2039" s="48"/>
      <c r="K2039" s="48"/>
      <c r="L2039" s="48"/>
      <c r="M2039" s="48"/>
    </row>
    <row r="2040" spans="1:13" ht="15.75" customHeight="1" x14ac:dyDescent="0.2">
      <c r="A2040" s="525" t="s">
        <v>867</v>
      </c>
      <c r="B2040" s="525" t="s">
        <v>908</v>
      </c>
      <c r="C2040" s="53"/>
      <c r="D2040" s="108"/>
      <c r="E2040" s="114"/>
      <c r="F2040" s="330"/>
      <c r="G2040" s="48"/>
      <c r="H2040" s="48"/>
      <c r="I2040" s="48"/>
      <c r="J2040" s="48"/>
      <c r="K2040" s="48"/>
      <c r="L2040" s="48"/>
      <c r="M2040" s="48"/>
    </row>
    <row r="2041" spans="1:13" ht="15.75" customHeight="1" x14ac:dyDescent="0.25">
      <c r="A2041" s="531"/>
      <c r="B2041" s="531"/>
      <c r="C2041" s="53">
        <v>22</v>
      </c>
      <c r="D2041" s="108">
        <v>108</v>
      </c>
      <c r="E2041" s="114">
        <v>1988</v>
      </c>
      <c r="F2041" s="332">
        <f t="shared" ref="F2041:F2042" si="619">2019-E2041</f>
        <v>31</v>
      </c>
      <c r="G2041" s="48"/>
      <c r="H2041" s="48"/>
      <c r="I2041" s="48"/>
      <c r="J2041" s="48"/>
      <c r="K2041" s="48"/>
      <c r="L2041" s="48"/>
      <c r="M2041" s="48"/>
    </row>
    <row r="2042" spans="1:13" ht="15.75" customHeight="1" x14ac:dyDescent="0.25">
      <c r="A2042" s="526"/>
      <c r="B2042" s="526"/>
      <c r="C2042" s="119">
        <v>22</v>
      </c>
      <c r="D2042" s="108">
        <v>76</v>
      </c>
      <c r="E2042" s="114">
        <v>1988</v>
      </c>
      <c r="F2042" s="332">
        <f t="shared" si="619"/>
        <v>31</v>
      </c>
      <c r="G2042" s="48"/>
      <c r="H2042" s="48"/>
      <c r="I2042" s="48"/>
      <c r="J2042" s="48"/>
      <c r="K2042" s="48"/>
      <c r="L2042" s="48"/>
      <c r="M2042" s="48"/>
    </row>
    <row r="2043" spans="1:13" ht="15.75" customHeight="1" x14ac:dyDescent="0.2">
      <c r="A2043" s="534" t="s">
        <v>909</v>
      </c>
      <c r="B2043" s="532" t="s">
        <v>910</v>
      </c>
      <c r="C2043" s="55"/>
      <c r="D2043" s="108"/>
      <c r="E2043" s="114"/>
      <c r="F2043" s="330"/>
      <c r="G2043" s="48"/>
      <c r="H2043" s="48"/>
      <c r="I2043" s="48"/>
      <c r="J2043" s="48"/>
      <c r="K2043" s="48"/>
      <c r="L2043" s="48"/>
      <c r="M2043" s="48"/>
    </row>
    <row r="2044" spans="1:13" x14ac:dyDescent="0.25">
      <c r="A2044" s="536"/>
      <c r="B2044" s="540"/>
      <c r="C2044" s="55">
        <v>148</v>
      </c>
      <c r="D2044" s="108">
        <v>89</v>
      </c>
      <c r="E2044" s="114">
        <v>1991</v>
      </c>
      <c r="F2044" s="332">
        <f t="shared" ref="F2044:F2045" si="620">2019-E2044</f>
        <v>28</v>
      </c>
      <c r="G2044" s="48"/>
      <c r="H2044" s="48"/>
      <c r="I2044" s="48"/>
      <c r="J2044" s="48"/>
      <c r="K2044" s="48"/>
      <c r="L2044" s="48"/>
      <c r="M2044" s="48"/>
    </row>
    <row r="2045" spans="1:13" x14ac:dyDescent="0.25">
      <c r="A2045" s="535"/>
      <c r="B2045" s="533"/>
      <c r="C2045" s="78">
        <v>148</v>
      </c>
      <c r="D2045" s="108">
        <v>57</v>
      </c>
      <c r="E2045" s="114">
        <v>1991</v>
      </c>
      <c r="F2045" s="332">
        <f t="shared" si="620"/>
        <v>28</v>
      </c>
      <c r="G2045" s="48"/>
      <c r="H2045" s="48"/>
      <c r="I2045" s="48"/>
      <c r="J2045" s="48"/>
      <c r="K2045" s="48"/>
      <c r="L2045" s="48"/>
      <c r="M2045" s="48"/>
    </row>
    <row r="2046" spans="1:13" ht="15.75" customHeight="1" x14ac:dyDescent="0.2">
      <c r="A2046" s="525" t="s">
        <v>391</v>
      </c>
      <c r="B2046" s="532" t="s">
        <v>422</v>
      </c>
      <c r="C2046" s="55"/>
      <c r="D2046" s="108"/>
      <c r="E2046" s="114"/>
      <c r="F2046" s="330"/>
      <c r="G2046" s="48"/>
      <c r="H2046" s="48"/>
      <c r="I2046" s="48"/>
      <c r="J2046" s="48"/>
      <c r="K2046" s="48"/>
      <c r="L2046" s="48"/>
      <c r="M2046" s="48"/>
    </row>
    <row r="2047" spans="1:13" ht="15.75" customHeight="1" x14ac:dyDescent="0.25">
      <c r="A2047" s="531"/>
      <c r="B2047" s="540"/>
      <c r="C2047" s="78">
        <v>50</v>
      </c>
      <c r="D2047" s="108">
        <v>108</v>
      </c>
      <c r="E2047" s="114">
        <v>1996</v>
      </c>
      <c r="F2047" s="332">
        <f t="shared" ref="F2047:F2048" si="621">2019-E2047</f>
        <v>23</v>
      </c>
      <c r="G2047" s="48"/>
      <c r="H2047" s="48"/>
      <c r="I2047" s="48"/>
      <c r="J2047" s="48"/>
      <c r="K2047" s="48"/>
      <c r="L2047" s="48"/>
      <c r="M2047" s="48"/>
    </row>
    <row r="2048" spans="1:13" ht="15.75" customHeight="1" x14ac:dyDescent="0.25">
      <c r="A2048" s="526"/>
      <c r="B2048" s="533"/>
      <c r="C2048" s="78">
        <v>50</v>
      </c>
      <c r="D2048" s="108">
        <v>76</v>
      </c>
      <c r="E2048" s="114">
        <v>1996</v>
      </c>
      <c r="F2048" s="332">
        <f t="shared" si="621"/>
        <v>23</v>
      </c>
      <c r="G2048" s="48"/>
      <c r="H2048" s="48"/>
      <c r="I2048" s="48"/>
      <c r="J2048" s="48"/>
      <c r="K2048" s="48"/>
      <c r="L2048" s="48"/>
      <c r="M2048" s="48"/>
    </row>
    <row r="2049" spans="1:13" ht="15.75" customHeight="1" x14ac:dyDescent="0.2">
      <c r="A2049" s="525" t="s">
        <v>256</v>
      </c>
      <c r="B2049" s="532" t="s">
        <v>385</v>
      </c>
      <c r="C2049" s="55"/>
      <c r="D2049" s="108"/>
      <c r="E2049" s="114"/>
      <c r="F2049" s="330"/>
      <c r="G2049" s="48"/>
      <c r="H2049" s="48"/>
      <c r="I2049" s="48"/>
      <c r="J2049" s="48"/>
      <c r="K2049" s="48"/>
      <c r="L2049" s="48"/>
      <c r="M2049" s="48"/>
    </row>
    <row r="2050" spans="1:13" ht="15.75" customHeight="1" x14ac:dyDescent="0.25">
      <c r="A2050" s="531"/>
      <c r="B2050" s="540"/>
      <c r="C2050" s="55">
        <v>5</v>
      </c>
      <c r="D2050" s="108">
        <v>133</v>
      </c>
      <c r="E2050" s="114">
        <v>1996</v>
      </c>
      <c r="F2050" s="332">
        <f t="shared" ref="F2050:F2051" si="622">2019-E2050</f>
        <v>23</v>
      </c>
      <c r="G2050" s="48"/>
      <c r="H2050" s="48"/>
      <c r="I2050" s="48"/>
      <c r="J2050" s="48"/>
      <c r="K2050" s="48"/>
      <c r="L2050" s="48"/>
      <c r="M2050" s="48"/>
    </row>
    <row r="2051" spans="1:13" ht="15.75" customHeight="1" x14ac:dyDescent="0.25">
      <c r="A2051" s="526"/>
      <c r="B2051" s="533"/>
      <c r="C2051" s="55">
        <v>5</v>
      </c>
      <c r="D2051" s="108">
        <v>89</v>
      </c>
      <c r="E2051" s="114">
        <v>1996</v>
      </c>
      <c r="F2051" s="332">
        <f t="shared" si="622"/>
        <v>23</v>
      </c>
      <c r="G2051" s="48"/>
      <c r="H2051" s="48"/>
      <c r="I2051" s="48"/>
      <c r="J2051" s="48"/>
      <c r="K2051" s="48"/>
      <c r="L2051" s="48"/>
      <c r="M2051" s="48"/>
    </row>
    <row r="2052" spans="1:13" ht="15.75" customHeight="1" x14ac:dyDescent="0.2">
      <c r="A2052" s="525" t="s">
        <v>612</v>
      </c>
      <c r="B2052" s="532" t="s">
        <v>911</v>
      </c>
      <c r="C2052" s="78"/>
      <c r="D2052" s="108"/>
      <c r="E2052" s="114"/>
      <c r="F2052" s="330"/>
      <c r="G2052" s="48"/>
      <c r="H2052" s="48"/>
      <c r="I2052" s="48"/>
      <c r="J2052" s="48"/>
      <c r="K2052" s="48"/>
      <c r="L2052" s="48"/>
      <c r="M2052" s="48"/>
    </row>
    <row r="2053" spans="1:13" ht="15.75" customHeight="1" x14ac:dyDescent="0.25">
      <c r="A2053" s="531"/>
      <c r="B2053" s="540"/>
      <c r="C2053" s="78">
        <v>16.899999999999999</v>
      </c>
      <c r="D2053" s="108">
        <v>108</v>
      </c>
      <c r="E2053" s="114">
        <v>1996</v>
      </c>
      <c r="F2053" s="332">
        <f t="shared" ref="F2053:F2054" si="623">2019-E2053</f>
        <v>23</v>
      </c>
      <c r="G2053" s="48"/>
      <c r="H2053" s="48"/>
      <c r="I2053" s="48"/>
      <c r="J2053" s="48"/>
      <c r="K2053" s="48"/>
      <c r="L2053" s="48"/>
      <c r="M2053" s="48"/>
    </row>
    <row r="2054" spans="1:13" x14ac:dyDescent="0.25">
      <c r="A2054" s="526"/>
      <c r="B2054" s="533"/>
      <c r="C2054" s="78">
        <v>16.899999999999999</v>
      </c>
      <c r="D2054" s="108">
        <v>57</v>
      </c>
      <c r="E2054" s="114">
        <v>1996</v>
      </c>
      <c r="F2054" s="332">
        <f t="shared" si="623"/>
        <v>23</v>
      </c>
      <c r="G2054" s="48"/>
      <c r="H2054" s="48"/>
      <c r="I2054" s="48"/>
      <c r="J2054" s="48"/>
      <c r="K2054" s="48"/>
      <c r="L2054" s="48"/>
      <c r="M2054" s="48"/>
    </row>
    <row r="2055" spans="1:13" s="95" customFormat="1" ht="31.5" customHeight="1" x14ac:dyDescent="0.2">
      <c r="A2055" s="94" t="s">
        <v>391</v>
      </c>
      <c r="B2055" s="94" t="s">
        <v>912</v>
      </c>
      <c r="C2055" s="53"/>
      <c r="D2055" s="108"/>
      <c r="E2055" s="114"/>
      <c r="F2055" s="330"/>
    </row>
    <row r="2056" spans="1:13" s="95" customFormat="1" ht="31.5" customHeight="1" x14ac:dyDescent="0.25">
      <c r="A2056" s="525" t="s">
        <v>913</v>
      </c>
      <c r="B2056" s="525" t="s">
        <v>912</v>
      </c>
      <c r="C2056" s="119">
        <v>61.7</v>
      </c>
      <c r="D2056" s="108">
        <v>89</v>
      </c>
      <c r="E2056" s="114">
        <v>1988</v>
      </c>
      <c r="F2056" s="332">
        <f t="shared" ref="F2056:F2059" si="624">2019-E2056</f>
        <v>31</v>
      </c>
    </row>
    <row r="2057" spans="1:13" s="95" customFormat="1" x14ac:dyDescent="0.25">
      <c r="A2057" s="531"/>
      <c r="B2057" s="531"/>
      <c r="C2057" s="119">
        <v>61.7</v>
      </c>
      <c r="D2057" s="108">
        <v>57</v>
      </c>
      <c r="E2057" s="114">
        <v>1988</v>
      </c>
      <c r="F2057" s="332">
        <f t="shared" si="624"/>
        <v>31</v>
      </c>
    </row>
    <row r="2058" spans="1:13" ht="31.5" customHeight="1" x14ac:dyDescent="0.25">
      <c r="A2058" s="525" t="s">
        <v>193</v>
      </c>
      <c r="B2058" s="525" t="s">
        <v>913</v>
      </c>
      <c r="C2058" s="119">
        <v>7</v>
      </c>
      <c r="D2058" s="108">
        <v>159</v>
      </c>
      <c r="E2058" s="114">
        <v>1986</v>
      </c>
      <c r="F2058" s="332">
        <f t="shared" si="624"/>
        <v>33</v>
      </c>
      <c r="G2058" s="48"/>
      <c r="H2058" s="48"/>
      <c r="I2058" s="48"/>
      <c r="J2058" s="48"/>
      <c r="K2058" s="48"/>
      <c r="L2058" s="48"/>
      <c r="M2058" s="48"/>
    </row>
    <row r="2059" spans="1:13" x14ac:dyDescent="0.25">
      <c r="A2059" s="531"/>
      <c r="B2059" s="531"/>
      <c r="C2059" s="53">
        <v>7</v>
      </c>
      <c r="D2059" s="108">
        <v>108</v>
      </c>
      <c r="E2059" s="114">
        <v>1986</v>
      </c>
      <c r="F2059" s="332">
        <f t="shared" si="624"/>
        <v>33</v>
      </c>
      <c r="G2059" s="48"/>
      <c r="H2059" s="48"/>
      <c r="I2059" s="48"/>
      <c r="J2059" s="48"/>
      <c r="K2059" s="48"/>
      <c r="L2059" s="48"/>
      <c r="M2059" s="48"/>
    </row>
    <row r="2060" spans="1:13" ht="31.5" customHeight="1" x14ac:dyDescent="0.2">
      <c r="A2060" s="96" t="s">
        <v>193</v>
      </c>
      <c r="B2060" s="96" t="s">
        <v>391</v>
      </c>
      <c r="C2060" s="119"/>
      <c r="D2060" s="108"/>
      <c r="E2060" s="114"/>
      <c r="F2060" s="330"/>
      <c r="G2060" s="48"/>
      <c r="H2060" s="48"/>
      <c r="I2060" s="48"/>
      <c r="J2060" s="48"/>
      <c r="K2060" s="48"/>
      <c r="L2060" s="48"/>
      <c r="M2060" s="48"/>
    </row>
    <row r="2061" spans="1:13" ht="31.5" customHeight="1" x14ac:dyDescent="0.2">
      <c r="A2061" s="96" t="s">
        <v>913</v>
      </c>
      <c r="B2061" s="323" t="s">
        <v>914</v>
      </c>
      <c r="C2061" s="78"/>
      <c r="D2061" s="108"/>
      <c r="E2061" s="114"/>
      <c r="F2061" s="330"/>
      <c r="G2061" s="48"/>
      <c r="H2061" s="48"/>
      <c r="I2061" s="48"/>
      <c r="J2061" s="48"/>
      <c r="K2061" s="48"/>
      <c r="L2061" s="48"/>
      <c r="M2061" s="48"/>
    </row>
    <row r="2062" spans="1:13" ht="31.5" customHeight="1" x14ac:dyDescent="0.25">
      <c r="A2062" s="96" t="s">
        <v>913</v>
      </c>
      <c r="B2062" s="323" t="s">
        <v>914</v>
      </c>
      <c r="C2062" s="55">
        <f>2*121</f>
        <v>242</v>
      </c>
      <c r="D2062" s="318">
        <v>89</v>
      </c>
      <c r="E2062" s="114">
        <v>1989</v>
      </c>
      <c r="F2062" s="332">
        <f t="shared" ref="F2062" si="625">2019-E2062</f>
        <v>30</v>
      </c>
      <c r="G2062" s="48"/>
      <c r="H2062" s="48"/>
      <c r="I2062" s="48"/>
      <c r="J2062" s="48"/>
      <c r="K2062" s="48"/>
      <c r="L2062" s="48"/>
      <c r="M2062" s="48"/>
    </row>
    <row r="2063" spans="1:13" ht="31.5" customHeight="1" x14ac:dyDescent="0.2">
      <c r="A2063" s="96" t="s">
        <v>915</v>
      </c>
      <c r="B2063" s="96" t="s">
        <v>916</v>
      </c>
      <c r="C2063" s="119"/>
      <c r="D2063" s="108"/>
      <c r="E2063" s="114"/>
      <c r="F2063" s="330"/>
      <c r="G2063" s="48"/>
      <c r="H2063" s="48"/>
      <c r="I2063" s="48"/>
      <c r="J2063" s="48"/>
      <c r="K2063" s="48"/>
      <c r="L2063" s="48"/>
      <c r="M2063" s="48"/>
    </row>
    <row r="2064" spans="1:13" ht="31.5" customHeight="1" x14ac:dyDescent="0.25">
      <c r="A2064" s="534" t="s">
        <v>498</v>
      </c>
      <c r="B2064" s="525" t="s">
        <v>917</v>
      </c>
      <c r="C2064" s="53">
        <v>68</v>
      </c>
      <c r="D2064" s="108">
        <v>108</v>
      </c>
      <c r="E2064" s="114">
        <v>1986</v>
      </c>
      <c r="F2064" s="332">
        <f t="shared" ref="F2064:F2065" si="626">2019-E2064</f>
        <v>33</v>
      </c>
      <c r="G2064" s="48"/>
      <c r="H2064" s="48"/>
      <c r="I2064" s="48"/>
      <c r="J2064" s="48"/>
      <c r="K2064" s="48"/>
      <c r="L2064" s="48"/>
      <c r="M2064" s="48"/>
    </row>
    <row r="2065" spans="1:13" x14ac:dyDescent="0.25">
      <c r="A2065" s="536"/>
      <c r="B2065" s="531"/>
      <c r="C2065" s="119">
        <v>68</v>
      </c>
      <c r="D2065" s="108">
        <v>89</v>
      </c>
      <c r="E2065" s="114">
        <v>1986</v>
      </c>
      <c r="F2065" s="332">
        <f t="shared" si="626"/>
        <v>33</v>
      </c>
      <c r="G2065" s="48"/>
      <c r="H2065" s="48"/>
      <c r="I2065" s="48"/>
      <c r="J2065" s="48"/>
      <c r="K2065" s="48"/>
      <c r="L2065" s="48"/>
      <c r="M2065" s="48"/>
    </row>
    <row r="2066" spans="1:13" x14ac:dyDescent="0.2">
      <c r="A2066" s="97" t="s">
        <v>256</v>
      </c>
      <c r="B2066" s="91" t="s">
        <v>391</v>
      </c>
      <c r="C2066" s="52"/>
      <c r="D2066" s="49"/>
      <c r="E2066" s="116"/>
      <c r="F2066" s="330"/>
      <c r="G2066" s="48"/>
      <c r="H2066" s="48"/>
      <c r="I2066" s="48"/>
      <c r="J2066" s="48"/>
      <c r="K2066" s="48"/>
      <c r="L2066" s="48"/>
      <c r="M2066" s="48"/>
    </row>
    <row r="2067" spans="1:13" x14ac:dyDescent="0.25">
      <c r="A2067" s="525" t="s">
        <v>193</v>
      </c>
      <c r="B2067" s="525" t="s">
        <v>337</v>
      </c>
      <c r="C2067" s="121">
        <v>18</v>
      </c>
      <c r="D2067" s="49">
        <v>159</v>
      </c>
      <c r="E2067" s="116">
        <v>1985</v>
      </c>
      <c r="F2067" s="332">
        <f t="shared" ref="F2067:F2068" si="627">2019-E2067</f>
        <v>34</v>
      </c>
      <c r="G2067" s="48"/>
      <c r="H2067" s="48"/>
      <c r="I2067" s="48"/>
      <c r="J2067" s="48"/>
      <c r="K2067" s="48"/>
      <c r="L2067" s="48"/>
      <c r="M2067" s="48"/>
    </row>
    <row r="2068" spans="1:13" x14ac:dyDescent="0.25">
      <c r="A2068" s="526"/>
      <c r="B2068" s="526"/>
      <c r="C2068" s="52">
        <v>18</v>
      </c>
      <c r="D2068" s="49">
        <v>108</v>
      </c>
      <c r="E2068" s="116">
        <v>1985</v>
      </c>
      <c r="F2068" s="332">
        <f t="shared" si="627"/>
        <v>34</v>
      </c>
      <c r="G2068" s="48"/>
      <c r="H2068" s="48"/>
      <c r="I2068" s="48"/>
      <c r="J2068" s="48"/>
      <c r="K2068" s="48"/>
      <c r="L2068" s="48"/>
      <c r="M2068" s="48"/>
    </row>
    <row r="2069" spans="1:13" x14ac:dyDescent="0.2">
      <c r="A2069" s="91" t="s">
        <v>498</v>
      </c>
      <c r="B2069" s="91" t="s">
        <v>918</v>
      </c>
      <c r="C2069" s="121"/>
      <c r="D2069" s="49"/>
      <c r="E2069" s="116"/>
      <c r="F2069" s="330"/>
      <c r="G2069" s="48"/>
      <c r="H2069" s="48"/>
      <c r="I2069" s="48"/>
      <c r="J2069" s="48"/>
      <c r="K2069" s="48"/>
      <c r="L2069" s="48"/>
      <c r="M2069" s="48"/>
    </row>
    <row r="2070" spans="1:13" x14ac:dyDescent="0.25">
      <c r="A2070" s="525" t="s">
        <v>385</v>
      </c>
      <c r="B2070" s="525" t="s">
        <v>919</v>
      </c>
      <c r="C2070" s="52">
        <v>75</v>
      </c>
      <c r="D2070" s="49">
        <v>133</v>
      </c>
      <c r="E2070" s="116">
        <v>2014</v>
      </c>
      <c r="F2070" s="332">
        <f t="shared" ref="F2070:F2071" si="628">2019-E2070</f>
        <v>5</v>
      </c>
      <c r="G2070" s="48"/>
      <c r="H2070" s="48"/>
      <c r="I2070" s="48"/>
      <c r="J2070" s="48"/>
      <c r="K2070" s="48"/>
      <c r="L2070" s="48"/>
      <c r="M2070" s="48"/>
    </row>
    <row r="2071" spans="1:13" x14ac:dyDescent="0.25">
      <c r="A2071" s="526"/>
      <c r="B2071" s="526"/>
      <c r="C2071" s="52">
        <v>75</v>
      </c>
      <c r="D2071" s="49">
        <v>89</v>
      </c>
      <c r="E2071" s="116">
        <v>2014</v>
      </c>
      <c r="F2071" s="332">
        <f t="shared" si="628"/>
        <v>5</v>
      </c>
      <c r="G2071" s="48"/>
      <c r="H2071" s="48"/>
      <c r="I2071" s="48"/>
      <c r="J2071" s="48"/>
      <c r="K2071" s="48"/>
      <c r="L2071" s="48"/>
      <c r="M2071" s="48"/>
    </row>
    <row r="2072" spans="1:13" x14ac:dyDescent="0.2">
      <c r="A2072" s="91" t="s">
        <v>422</v>
      </c>
      <c r="B2072" s="91" t="s">
        <v>250</v>
      </c>
      <c r="C2072" s="121"/>
      <c r="D2072" s="49"/>
      <c r="E2072" s="116"/>
      <c r="F2072" s="330"/>
      <c r="G2072" s="48"/>
      <c r="H2072" s="48"/>
      <c r="I2072" s="48"/>
      <c r="J2072" s="48"/>
      <c r="K2072" s="48"/>
      <c r="L2072" s="48"/>
      <c r="M2072" s="48"/>
    </row>
    <row r="2073" spans="1:13" x14ac:dyDescent="0.25">
      <c r="A2073" s="525" t="s">
        <v>612</v>
      </c>
      <c r="B2073" s="525" t="s">
        <v>221</v>
      </c>
      <c r="C2073" s="52">
        <v>105</v>
      </c>
      <c r="D2073" s="49">
        <v>133</v>
      </c>
      <c r="E2073" s="116">
        <v>1985</v>
      </c>
      <c r="F2073" s="332">
        <f t="shared" ref="F2073:F2074" si="629">2019-E2073</f>
        <v>34</v>
      </c>
      <c r="G2073" s="48"/>
      <c r="H2073" s="48"/>
      <c r="I2073" s="48"/>
      <c r="J2073" s="48"/>
      <c r="K2073" s="48"/>
      <c r="L2073" s="48"/>
      <c r="M2073" s="48"/>
    </row>
    <row r="2074" spans="1:13" x14ac:dyDescent="0.25">
      <c r="A2074" s="526"/>
      <c r="B2074" s="526"/>
      <c r="C2074" s="121">
        <v>105</v>
      </c>
      <c r="D2074" s="49">
        <v>89</v>
      </c>
      <c r="E2074" s="116">
        <v>1985</v>
      </c>
      <c r="F2074" s="332">
        <f t="shared" si="629"/>
        <v>34</v>
      </c>
      <c r="G2074" s="48"/>
      <c r="H2074" s="48"/>
      <c r="I2074" s="48"/>
      <c r="J2074" s="48"/>
      <c r="K2074" s="48"/>
      <c r="L2074" s="48"/>
      <c r="M2074" s="48"/>
    </row>
    <row r="2075" spans="1:13" ht="15" customHeight="1" x14ac:dyDescent="0.2">
      <c r="A2075" s="91" t="s">
        <v>920</v>
      </c>
      <c r="B2075" s="91" t="s">
        <v>186</v>
      </c>
      <c r="C2075" s="121"/>
      <c r="D2075" s="49"/>
      <c r="E2075" s="116"/>
      <c r="F2075" s="330"/>
      <c r="G2075" s="48"/>
      <c r="H2075" s="48"/>
      <c r="I2075" s="48"/>
      <c r="J2075" s="48"/>
      <c r="K2075" s="48"/>
      <c r="L2075" s="48"/>
      <c r="M2075" s="48"/>
    </row>
    <row r="2076" spans="1:13" x14ac:dyDescent="0.25">
      <c r="A2076" s="525" t="s">
        <v>920</v>
      </c>
      <c r="B2076" s="525" t="s">
        <v>376</v>
      </c>
      <c r="C2076" s="52">
        <v>96</v>
      </c>
      <c r="D2076" s="49">
        <v>133</v>
      </c>
      <c r="E2076" s="116">
        <v>1986</v>
      </c>
      <c r="F2076" s="332">
        <f t="shared" ref="F2076:F2077" si="630">2019-E2076</f>
        <v>33</v>
      </c>
      <c r="G2076" s="48"/>
      <c r="H2076" s="48"/>
      <c r="I2076" s="48"/>
      <c r="J2076" s="48"/>
      <c r="K2076" s="48"/>
      <c r="L2076" s="48"/>
      <c r="M2076" s="48"/>
    </row>
    <row r="2077" spans="1:13" x14ac:dyDescent="0.25">
      <c r="A2077" s="526"/>
      <c r="B2077" s="526"/>
      <c r="C2077" s="121">
        <v>96</v>
      </c>
      <c r="D2077" s="49">
        <v>89</v>
      </c>
      <c r="E2077" s="116">
        <v>1986</v>
      </c>
      <c r="F2077" s="332">
        <f t="shared" si="630"/>
        <v>33</v>
      </c>
      <c r="G2077" s="48"/>
      <c r="H2077" s="48"/>
      <c r="I2077" s="48"/>
      <c r="J2077" s="48"/>
      <c r="K2077" s="48"/>
      <c r="L2077" s="48"/>
      <c r="M2077" s="48"/>
    </row>
    <row r="2078" spans="1:13" x14ac:dyDescent="0.2">
      <c r="A2078" s="91" t="s">
        <v>748</v>
      </c>
      <c r="B2078" s="91" t="s">
        <v>921</v>
      </c>
      <c r="C2078" s="121"/>
      <c r="D2078" s="49"/>
      <c r="E2078" s="116"/>
      <c r="F2078" s="330"/>
      <c r="G2078" s="48"/>
      <c r="H2078" s="48"/>
      <c r="I2078" s="48"/>
      <c r="J2078" s="48"/>
      <c r="K2078" s="48"/>
      <c r="L2078" s="48"/>
      <c r="M2078" s="48"/>
    </row>
    <row r="2079" spans="1:13" x14ac:dyDescent="0.25">
      <c r="A2079" s="91" t="s">
        <v>748</v>
      </c>
      <c r="B2079" s="91" t="s">
        <v>921</v>
      </c>
      <c r="C2079" s="52">
        <v>246</v>
      </c>
      <c r="D2079" s="49">
        <v>133</v>
      </c>
      <c r="E2079" s="116">
        <v>1988</v>
      </c>
      <c r="F2079" s="332">
        <f t="shared" ref="F2079:F2080" si="631">2019-E2079</f>
        <v>31</v>
      </c>
      <c r="G2079" s="48"/>
      <c r="H2079" s="48"/>
      <c r="I2079" s="48"/>
      <c r="J2079" s="48"/>
      <c r="K2079" s="48"/>
      <c r="L2079" s="48"/>
      <c r="M2079" s="48"/>
    </row>
    <row r="2080" spans="1:13" x14ac:dyDescent="0.25">
      <c r="A2080" s="91" t="s">
        <v>748</v>
      </c>
      <c r="B2080" s="91" t="s">
        <v>921</v>
      </c>
      <c r="C2080" s="121">
        <v>246</v>
      </c>
      <c r="D2080" s="49">
        <v>89</v>
      </c>
      <c r="E2080" s="116">
        <v>1988</v>
      </c>
      <c r="F2080" s="332">
        <f t="shared" si="631"/>
        <v>31</v>
      </c>
      <c r="G2080" s="48"/>
      <c r="H2080" s="48"/>
      <c r="I2080" s="48"/>
      <c r="J2080" s="48"/>
      <c r="K2080" s="48"/>
      <c r="L2080" s="48"/>
      <c r="M2080" s="48"/>
    </row>
    <row r="2081" spans="1:13" x14ac:dyDescent="0.2">
      <c r="A2081" s="91" t="s">
        <v>748</v>
      </c>
      <c r="B2081" s="91" t="s">
        <v>922</v>
      </c>
      <c r="C2081" s="121"/>
      <c r="D2081" s="49"/>
      <c r="E2081" s="116"/>
      <c r="F2081" s="330"/>
      <c r="G2081" s="48"/>
      <c r="H2081" s="48"/>
      <c r="I2081" s="48"/>
      <c r="J2081" s="48"/>
      <c r="K2081" s="48"/>
      <c r="L2081" s="48"/>
      <c r="M2081" s="48"/>
    </row>
    <row r="2082" spans="1:13" ht="31.5" customHeight="1" x14ac:dyDescent="0.25">
      <c r="A2082" s="525" t="s">
        <v>614</v>
      </c>
      <c r="B2082" s="525" t="s">
        <v>923</v>
      </c>
      <c r="C2082" s="121">
        <v>80</v>
      </c>
      <c r="D2082" s="49">
        <v>89</v>
      </c>
      <c r="E2082" s="116">
        <v>1986</v>
      </c>
      <c r="F2082" s="332">
        <f t="shared" ref="F2082:F2083" si="632">2019-E2082</f>
        <v>33</v>
      </c>
      <c r="G2082" s="48"/>
      <c r="H2082" s="48"/>
      <c r="I2082" s="48"/>
      <c r="J2082" s="48"/>
      <c r="K2082" s="48"/>
      <c r="L2082" s="48"/>
      <c r="M2082" s="48"/>
    </row>
    <row r="2083" spans="1:13" x14ac:dyDescent="0.25">
      <c r="A2083" s="526"/>
      <c r="B2083" s="526"/>
      <c r="C2083" s="121">
        <v>80</v>
      </c>
      <c r="D2083" s="49">
        <v>57</v>
      </c>
      <c r="E2083" s="116">
        <v>1986</v>
      </c>
      <c r="F2083" s="332">
        <f t="shared" si="632"/>
        <v>33</v>
      </c>
      <c r="G2083" s="48"/>
      <c r="H2083" s="48"/>
      <c r="I2083" s="48"/>
      <c r="J2083" s="48"/>
      <c r="K2083" s="48"/>
      <c r="L2083" s="48"/>
      <c r="M2083" s="48"/>
    </row>
    <row r="2084" spans="1:13" x14ac:dyDescent="0.2">
      <c r="A2084" s="91" t="s">
        <v>498</v>
      </c>
      <c r="B2084" s="91" t="s">
        <v>924</v>
      </c>
      <c r="C2084" s="119"/>
      <c r="D2084" s="108"/>
      <c r="E2084" s="116"/>
      <c r="F2084" s="330"/>
      <c r="G2084" s="48"/>
      <c r="H2084" s="48"/>
      <c r="I2084" s="48"/>
      <c r="J2084" s="48"/>
      <c r="K2084" s="48"/>
      <c r="L2084" s="48"/>
      <c r="M2084" s="48"/>
    </row>
    <row r="2085" spans="1:13" ht="31.5" customHeight="1" x14ac:dyDescent="0.25">
      <c r="A2085" s="525" t="s">
        <v>391</v>
      </c>
      <c r="B2085" s="525" t="s">
        <v>925</v>
      </c>
      <c r="C2085" s="119">
        <v>28</v>
      </c>
      <c r="D2085" s="108">
        <v>89</v>
      </c>
      <c r="E2085" s="116">
        <v>1986</v>
      </c>
      <c r="F2085" s="332">
        <f t="shared" ref="F2085:F2086" si="633">2019-E2085</f>
        <v>33</v>
      </c>
      <c r="G2085" s="48"/>
      <c r="H2085" s="48"/>
      <c r="I2085" s="48"/>
      <c r="J2085" s="48"/>
      <c r="K2085" s="48"/>
      <c r="L2085" s="48"/>
      <c r="M2085" s="48"/>
    </row>
    <row r="2086" spans="1:13" x14ac:dyDescent="0.25">
      <c r="A2086" s="526"/>
      <c r="B2086" s="526"/>
      <c r="C2086" s="119">
        <v>28</v>
      </c>
      <c r="D2086" s="108">
        <v>57</v>
      </c>
      <c r="E2086" s="116">
        <v>1986</v>
      </c>
      <c r="F2086" s="332">
        <f t="shared" si="633"/>
        <v>33</v>
      </c>
      <c r="G2086" s="48"/>
      <c r="H2086" s="48"/>
      <c r="I2086" s="48"/>
      <c r="J2086" s="48"/>
      <c r="K2086" s="48"/>
      <c r="L2086" s="48"/>
      <c r="M2086" s="48"/>
    </row>
    <row r="2087" spans="1:13" ht="31.5" customHeight="1" x14ac:dyDescent="0.2">
      <c r="A2087" s="525" t="s">
        <v>926</v>
      </c>
      <c r="B2087" s="532" t="s">
        <v>927</v>
      </c>
      <c r="C2087" s="55"/>
      <c r="D2087" s="108"/>
      <c r="E2087" s="116"/>
      <c r="F2087" s="330"/>
      <c r="G2087" s="48"/>
      <c r="H2087" s="48"/>
      <c r="I2087" s="48"/>
      <c r="J2087" s="48"/>
      <c r="K2087" s="48"/>
      <c r="L2087" s="48"/>
      <c r="M2087" s="48"/>
    </row>
    <row r="2088" spans="1:13" x14ac:dyDescent="0.25">
      <c r="A2088" s="531"/>
      <c r="B2088" s="540"/>
      <c r="C2088" s="55">
        <v>49</v>
      </c>
      <c r="D2088" s="108">
        <v>89</v>
      </c>
      <c r="E2088" s="116">
        <v>1989</v>
      </c>
      <c r="F2088" s="332">
        <f t="shared" ref="F2088:F2089" si="634">2019-E2088</f>
        <v>30</v>
      </c>
      <c r="G2088" s="48"/>
      <c r="H2088" s="48"/>
      <c r="I2088" s="48"/>
      <c r="J2088" s="48"/>
      <c r="K2088" s="48"/>
      <c r="L2088" s="48"/>
      <c r="M2088" s="48"/>
    </row>
    <row r="2089" spans="1:13" x14ac:dyDescent="0.25">
      <c r="A2089" s="526"/>
      <c r="B2089" s="533"/>
      <c r="C2089" s="78">
        <v>49</v>
      </c>
      <c r="D2089" s="108">
        <v>57</v>
      </c>
      <c r="E2089" s="116">
        <v>1989</v>
      </c>
      <c r="F2089" s="332">
        <f t="shared" si="634"/>
        <v>30</v>
      </c>
      <c r="G2089" s="48"/>
      <c r="H2089" s="48"/>
      <c r="I2089" s="48"/>
      <c r="J2089" s="48"/>
      <c r="K2089" s="48"/>
      <c r="L2089" s="48"/>
      <c r="M2089" s="48"/>
    </row>
    <row r="2090" spans="1:13" ht="31.5" customHeight="1" x14ac:dyDescent="0.2">
      <c r="A2090" s="525" t="s">
        <v>846</v>
      </c>
      <c r="B2090" s="532" t="s">
        <v>928</v>
      </c>
      <c r="C2090" s="55"/>
      <c r="D2090" s="108"/>
      <c r="E2090" s="116"/>
      <c r="F2090" s="330"/>
      <c r="G2090" s="48"/>
      <c r="H2090" s="48"/>
      <c r="I2090" s="48"/>
      <c r="J2090" s="48"/>
      <c r="K2090" s="48"/>
      <c r="L2090" s="48"/>
      <c r="M2090" s="48"/>
    </row>
    <row r="2091" spans="1:13" x14ac:dyDescent="0.25">
      <c r="A2091" s="531"/>
      <c r="B2091" s="540"/>
      <c r="C2091" s="55">
        <v>102</v>
      </c>
      <c r="D2091" s="108">
        <v>89</v>
      </c>
      <c r="E2091" s="116">
        <v>1996</v>
      </c>
      <c r="F2091" s="332">
        <f t="shared" ref="F2091:F2092" si="635">2019-E2091</f>
        <v>23</v>
      </c>
      <c r="G2091" s="48"/>
      <c r="H2091" s="48"/>
      <c r="I2091" s="48"/>
      <c r="J2091" s="48"/>
      <c r="K2091" s="48"/>
      <c r="L2091" s="48"/>
      <c r="M2091" s="48"/>
    </row>
    <row r="2092" spans="1:13" x14ac:dyDescent="0.25">
      <c r="A2092" s="526"/>
      <c r="B2092" s="533"/>
      <c r="C2092" s="78">
        <v>102</v>
      </c>
      <c r="D2092" s="108">
        <v>57</v>
      </c>
      <c r="E2092" s="116">
        <v>1996</v>
      </c>
      <c r="F2092" s="332">
        <f t="shared" si="635"/>
        <v>23</v>
      </c>
      <c r="G2092" s="48"/>
      <c r="H2092" s="48"/>
      <c r="I2092" s="48"/>
      <c r="J2092" s="48"/>
      <c r="K2092" s="48"/>
      <c r="L2092" s="48"/>
      <c r="M2092" s="48"/>
    </row>
    <row r="2093" spans="1:13" s="95" customFormat="1" ht="31.5" customHeight="1" x14ac:dyDescent="0.2">
      <c r="A2093" s="525" t="s">
        <v>920</v>
      </c>
      <c r="B2093" s="525" t="s">
        <v>922</v>
      </c>
      <c r="C2093" s="119"/>
      <c r="D2093" s="108"/>
      <c r="E2093" s="116"/>
      <c r="F2093" s="330"/>
    </row>
    <row r="2094" spans="1:13" s="95" customFormat="1" x14ac:dyDescent="0.25">
      <c r="A2094" s="531"/>
      <c r="B2094" s="531"/>
      <c r="C2094" s="119">
        <v>115</v>
      </c>
      <c r="D2094" s="108">
        <v>57</v>
      </c>
      <c r="E2094" s="116">
        <v>1986</v>
      </c>
      <c r="F2094" s="332">
        <f t="shared" ref="F2094:F2095" si="636">2019-E2094</f>
        <v>33</v>
      </c>
    </row>
    <row r="2095" spans="1:13" s="95" customFormat="1" x14ac:dyDescent="0.25">
      <c r="A2095" s="526"/>
      <c r="B2095" s="526"/>
      <c r="C2095" s="119">
        <v>115</v>
      </c>
      <c r="D2095" s="108">
        <v>40</v>
      </c>
      <c r="E2095" s="116">
        <v>1986</v>
      </c>
      <c r="F2095" s="332">
        <f t="shared" si="636"/>
        <v>33</v>
      </c>
    </row>
    <row r="2096" spans="1:13" ht="31.5" customHeight="1" x14ac:dyDescent="0.2">
      <c r="A2096" s="525" t="s">
        <v>921</v>
      </c>
      <c r="B2096" s="532" t="s">
        <v>929</v>
      </c>
      <c r="C2096" s="78"/>
      <c r="D2096" s="108"/>
      <c r="E2096" s="116"/>
      <c r="F2096" s="99"/>
      <c r="G2096" s="48"/>
      <c r="H2096" s="48"/>
      <c r="I2096" s="48"/>
      <c r="J2096" s="48"/>
      <c r="K2096" s="48"/>
      <c r="L2096" s="48"/>
      <c r="M2096" s="48"/>
    </row>
    <row r="2097" spans="1:13" x14ac:dyDescent="0.25">
      <c r="A2097" s="531"/>
      <c r="B2097" s="540"/>
      <c r="C2097" s="78">
        <v>105</v>
      </c>
      <c r="D2097" s="108">
        <v>108</v>
      </c>
      <c r="E2097" s="116">
        <v>1995</v>
      </c>
      <c r="F2097" s="332">
        <f t="shared" ref="F2097:F2098" si="637">2019-E2097</f>
        <v>24</v>
      </c>
      <c r="G2097" s="48"/>
      <c r="H2097" s="48"/>
      <c r="I2097" s="48"/>
      <c r="J2097" s="48"/>
      <c r="K2097" s="48"/>
      <c r="L2097" s="48"/>
      <c r="M2097" s="48"/>
    </row>
    <row r="2098" spans="1:13" x14ac:dyDescent="0.25">
      <c r="A2098" s="526"/>
      <c r="B2098" s="533"/>
      <c r="C2098" s="78">
        <v>105</v>
      </c>
      <c r="D2098" s="108">
        <v>76</v>
      </c>
      <c r="E2098" s="116">
        <v>1995</v>
      </c>
      <c r="F2098" s="332">
        <f t="shared" si="637"/>
        <v>24</v>
      </c>
      <c r="G2098" s="48"/>
      <c r="H2098" s="48"/>
      <c r="I2098" s="48"/>
      <c r="J2098" s="48"/>
      <c r="K2098" s="48"/>
      <c r="L2098" s="48"/>
      <c r="M2098" s="48"/>
    </row>
    <row r="2099" spans="1:13" ht="31.5" customHeight="1" x14ac:dyDescent="0.2">
      <c r="A2099" s="525" t="s">
        <v>472</v>
      </c>
      <c r="B2099" s="532" t="s">
        <v>930</v>
      </c>
      <c r="C2099" s="78"/>
      <c r="D2099" s="108"/>
      <c r="E2099" s="116"/>
      <c r="F2099" s="330"/>
      <c r="G2099" s="48"/>
      <c r="H2099" s="48"/>
      <c r="I2099" s="48"/>
      <c r="J2099" s="48"/>
      <c r="K2099" s="48"/>
      <c r="L2099" s="48"/>
      <c r="M2099" s="48"/>
    </row>
    <row r="2100" spans="1:13" x14ac:dyDescent="0.25">
      <c r="A2100" s="526"/>
      <c r="B2100" s="533"/>
      <c r="C2100" s="78">
        <f>2*75</f>
        <v>150</v>
      </c>
      <c r="D2100" s="110">
        <v>76</v>
      </c>
      <c r="E2100" s="116">
        <v>1989</v>
      </c>
      <c r="F2100" s="332">
        <f t="shared" ref="F2100" si="638">2019-E2100</f>
        <v>30</v>
      </c>
      <c r="G2100" s="48"/>
      <c r="H2100" s="48"/>
      <c r="I2100" s="48"/>
      <c r="J2100" s="48"/>
      <c r="K2100" s="48"/>
      <c r="L2100" s="48"/>
      <c r="M2100" s="48"/>
    </row>
    <row r="2101" spans="1:13" x14ac:dyDescent="0.2">
      <c r="A2101" s="525" t="s">
        <v>385</v>
      </c>
      <c r="B2101" s="525" t="s">
        <v>472</v>
      </c>
      <c r="C2101" s="53"/>
      <c r="D2101" s="108"/>
      <c r="E2101" s="116"/>
      <c r="F2101" s="330"/>
      <c r="G2101" s="48"/>
      <c r="H2101" s="48"/>
      <c r="I2101" s="48"/>
      <c r="J2101" s="48"/>
      <c r="K2101" s="48"/>
      <c r="L2101" s="48"/>
      <c r="M2101" s="48"/>
    </row>
    <row r="2102" spans="1:13" x14ac:dyDescent="0.25">
      <c r="A2102" s="526"/>
      <c r="B2102" s="526"/>
      <c r="C2102" s="119">
        <f>2*220</f>
        <v>440</v>
      </c>
      <c r="D2102" s="110">
        <v>76</v>
      </c>
      <c r="E2102" s="116">
        <v>1987</v>
      </c>
      <c r="F2102" s="332">
        <f t="shared" ref="F2102" si="639">2019-E2102</f>
        <v>32</v>
      </c>
      <c r="G2102" s="48"/>
      <c r="H2102" s="48"/>
      <c r="I2102" s="48"/>
      <c r="J2102" s="48"/>
      <c r="K2102" s="48"/>
      <c r="L2102" s="48"/>
      <c r="M2102" s="48"/>
    </row>
    <row r="2103" spans="1:13" ht="31.5" customHeight="1" x14ac:dyDescent="0.2">
      <c r="A2103" s="534" t="s">
        <v>931</v>
      </c>
      <c r="B2103" s="532" t="s">
        <v>932</v>
      </c>
      <c r="C2103" s="119"/>
      <c r="D2103" s="108"/>
      <c r="E2103" s="116"/>
      <c r="F2103" s="330"/>
      <c r="G2103" s="48"/>
      <c r="H2103" s="48"/>
      <c r="I2103" s="48"/>
      <c r="J2103" s="48"/>
      <c r="K2103" s="48"/>
      <c r="L2103" s="48"/>
      <c r="M2103" s="48"/>
    </row>
    <row r="2104" spans="1:13" x14ac:dyDescent="0.25">
      <c r="A2104" s="536"/>
      <c r="B2104" s="540"/>
      <c r="C2104" s="119">
        <v>165</v>
      </c>
      <c r="D2104" s="108">
        <v>89</v>
      </c>
      <c r="E2104" s="116">
        <v>1989</v>
      </c>
      <c r="F2104" s="332">
        <f t="shared" ref="F2104:F2105" si="640">2019-E2104</f>
        <v>30</v>
      </c>
      <c r="G2104" s="48"/>
      <c r="H2104" s="48"/>
      <c r="I2104" s="48"/>
      <c r="J2104" s="48"/>
      <c r="K2104" s="48"/>
      <c r="L2104" s="48"/>
      <c r="M2104" s="48"/>
    </row>
    <row r="2105" spans="1:13" x14ac:dyDescent="0.25">
      <c r="A2105" s="535"/>
      <c r="B2105" s="533"/>
      <c r="C2105" s="78">
        <v>165</v>
      </c>
      <c r="D2105" s="108">
        <v>57</v>
      </c>
      <c r="E2105" s="116">
        <v>1989</v>
      </c>
      <c r="F2105" s="332">
        <f t="shared" si="640"/>
        <v>30</v>
      </c>
      <c r="G2105" s="48"/>
      <c r="H2105" s="48"/>
      <c r="I2105" s="48"/>
      <c r="J2105" s="48"/>
      <c r="K2105" s="48"/>
      <c r="L2105" s="48"/>
      <c r="M2105" s="48"/>
    </row>
    <row r="2106" spans="1:13" ht="31.5" customHeight="1" x14ac:dyDescent="0.2">
      <c r="A2106" s="534" t="s">
        <v>213</v>
      </c>
      <c r="B2106" s="532" t="s">
        <v>933</v>
      </c>
      <c r="C2106" s="78"/>
      <c r="D2106" s="108"/>
      <c r="E2106" s="114"/>
      <c r="F2106" s="330"/>
      <c r="G2106" s="48"/>
      <c r="H2106" s="48"/>
      <c r="I2106" s="48"/>
      <c r="J2106" s="48"/>
      <c r="K2106" s="48"/>
      <c r="L2106" s="48"/>
      <c r="M2106" s="48"/>
    </row>
    <row r="2107" spans="1:13" x14ac:dyDescent="0.25">
      <c r="A2107" s="536"/>
      <c r="B2107" s="540"/>
      <c r="C2107" s="78">
        <v>40</v>
      </c>
      <c r="D2107" s="108">
        <v>108</v>
      </c>
      <c r="E2107" s="114">
        <v>1993</v>
      </c>
      <c r="F2107" s="332">
        <f t="shared" ref="F2107:F2108" si="641">2019-E2107</f>
        <v>26</v>
      </c>
      <c r="G2107" s="48"/>
      <c r="H2107" s="48"/>
      <c r="I2107" s="48"/>
      <c r="J2107" s="48"/>
      <c r="K2107" s="48"/>
      <c r="L2107" s="48"/>
      <c r="M2107" s="48"/>
    </row>
    <row r="2108" spans="1:13" x14ac:dyDescent="0.25">
      <c r="A2108" s="535"/>
      <c r="B2108" s="533"/>
      <c r="C2108" s="53">
        <v>40</v>
      </c>
      <c r="D2108" s="108">
        <v>89</v>
      </c>
      <c r="E2108" s="114">
        <v>1993</v>
      </c>
      <c r="F2108" s="332">
        <f t="shared" si="641"/>
        <v>26</v>
      </c>
      <c r="G2108" s="48"/>
      <c r="H2108" s="48"/>
      <c r="I2108" s="48"/>
      <c r="J2108" s="48"/>
      <c r="K2108" s="48"/>
      <c r="L2108" s="48"/>
      <c r="M2108" s="48"/>
    </row>
    <row r="2109" spans="1:13" ht="31.5" customHeight="1" x14ac:dyDescent="0.2">
      <c r="A2109" s="525" t="s">
        <v>256</v>
      </c>
      <c r="B2109" s="532" t="s">
        <v>676</v>
      </c>
      <c r="C2109" s="78"/>
      <c r="D2109" s="108"/>
      <c r="E2109" s="114"/>
      <c r="F2109" s="330"/>
      <c r="G2109" s="48"/>
      <c r="H2109" s="48"/>
      <c r="I2109" s="48"/>
      <c r="J2109" s="48"/>
      <c r="K2109" s="48"/>
      <c r="L2109" s="48"/>
      <c r="M2109" s="48"/>
    </row>
    <row r="2110" spans="1:13" x14ac:dyDescent="0.25">
      <c r="A2110" s="531"/>
      <c r="B2110" s="540"/>
      <c r="C2110" s="57">
        <v>6.4</v>
      </c>
      <c r="D2110" s="108">
        <v>108</v>
      </c>
      <c r="E2110" s="114">
        <v>1992</v>
      </c>
      <c r="F2110" s="332">
        <f t="shared" ref="F2110:F2111" si="642">2019-E2110</f>
        <v>27</v>
      </c>
      <c r="G2110" s="48"/>
      <c r="H2110" s="48"/>
      <c r="I2110" s="48"/>
      <c r="J2110" s="48"/>
      <c r="K2110" s="48"/>
      <c r="L2110" s="48"/>
      <c r="M2110" s="48"/>
    </row>
    <row r="2111" spans="1:13" x14ac:dyDescent="0.25">
      <c r="A2111" s="526"/>
      <c r="B2111" s="533"/>
      <c r="C2111" s="52">
        <v>6.4</v>
      </c>
      <c r="D2111" s="108">
        <v>89</v>
      </c>
      <c r="E2111" s="114">
        <v>1992</v>
      </c>
      <c r="F2111" s="332">
        <f t="shared" si="642"/>
        <v>27</v>
      </c>
      <c r="G2111" s="48"/>
      <c r="H2111" s="48"/>
      <c r="I2111" s="48"/>
      <c r="J2111" s="48"/>
      <c r="K2111" s="48"/>
      <c r="L2111" s="48"/>
      <c r="M2111" s="48"/>
    </row>
    <row r="2112" spans="1:13" ht="31.5" customHeight="1" x14ac:dyDescent="0.2">
      <c r="A2112" s="534" t="s">
        <v>934</v>
      </c>
      <c r="B2112" s="525" t="s">
        <v>935</v>
      </c>
      <c r="C2112" s="121"/>
      <c r="D2112" s="49"/>
      <c r="E2112" s="114"/>
      <c r="F2112" s="330"/>
      <c r="G2112" s="48"/>
      <c r="H2112" s="48"/>
      <c r="I2112" s="48"/>
      <c r="J2112" s="48"/>
      <c r="K2112" s="48"/>
      <c r="L2112" s="48"/>
      <c r="M2112" s="48"/>
    </row>
    <row r="2113" spans="1:13" x14ac:dyDescent="0.25">
      <c r="A2113" s="535"/>
      <c r="B2113" s="526"/>
      <c r="C2113" s="121">
        <v>44</v>
      </c>
      <c r="D2113" s="49">
        <v>76</v>
      </c>
      <c r="E2113" s="114">
        <v>1974</v>
      </c>
      <c r="F2113" s="332">
        <f t="shared" ref="F2113" si="643">2019-E2113</f>
        <v>45</v>
      </c>
      <c r="G2113" s="48"/>
      <c r="H2113" s="48"/>
      <c r="I2113" s="48"/>
      <c r="J2113" s="48"/>
      <c r="K2113" s="48"/>
      <c r="L2113" s="48"/>
      <c r="M2113" s="48"/>
    </row>
    <row r="2114" spans="1:13" ht="31.5" customHeight="1" x14ac:dyDescent="0.2">
      <c r="A2114" s="525" t="s">
        <v>936</v>
      </c>
      <c r="B2114" s="525" t="s">
        <v>937</v>
      </c>
      <c r="C2114" s="121"/>
      <c r="D2114" s="49"/>
      <c r="E2114" s="114"/>
      <c r="F2114" s="330"/>
      <c r="G2114" s="48"/>
      <c r="H2114" s="48"/>
      <c r="I2114" s="48"/>
      <c r="J2114" s="48"/>
      <c r="K2114" s="48"/>
      <c r="L2114" s="48"/>
      <c r="M2114" s="48"/>
    </row>
    <row r="2115" spans="1:13" x14ac:dyDescent="0.25">
      <c r="A2115" s="526"/>
      <c r="B2115" s="526"/>
      <c r="C2115" s="121">
        <v>46</v>
      </c>
      <c r="D2115" s="49">
        <v>76</v>
      </c>
      <c r="E2115" s="114">
        <v>1974</v>
      </c>
      <c r="F2115" s="332">
        <f t="shared" ref="F2115" si="644">2019-E2115</f>
        <v>45</v>
      </c>
      <c r="G2115" s="48"/>
      <c r="H2115" s="48"/>
      <c r="I2115" s="48"/>
      <c r="J2115" s="48"/>
      <c r="K2115" s="48"/>
      <c r="L2115" s="48"/>
      <c r="M2115" s="48"/>
    </row>
    <row r="2116" spans="1:13" s="92" customFormat="1" ht="31.5" customHeight="1" x14ac:dyDescent="0.2">
      <c r="A2116" s="525" t="s">
        <v>178</v>
      </c>
      <c r="B2116" s="525" t="s">
        <v>938</v>
      </c>
      <c r="C2116" s="52"/>
      <c r="D2116" s="49"/>
      <c r="E2116" s="114"/>
      <c r="F2116" s="330"/>
    </row>
    <row r="2117" spans="1:13" s="92" customFormat="1" x14ac:dyDescent="0.2">
      <c r="A2117" s="531"/>
      <c r="B2117" s="531"/>
      <c r="C2117" s="121"/>
      <c r="D2117" s="49"/>
      <c r="E2117" s="114"/>
      <c r="F2117" s="331"/>
    </row>
    <row r="2118" spans="1:13" s="92" customFormat="1" x14ac:dyDescent="0.25">
      <c r="A2118" s="526"/>
      <c r="B2118" s="526"/>
      <c r="C2118" s="121">
        <v>70</v>
      </c>
      <c r="D2118" s="49">
        <v>76</v>
      </c>
      <c r="E2118" s="114">
        <v>1974</v>
      </c>
      <c r="F2118" s="332">
        <f t="shared" ref="F2118" si="645">2019-E2118</f>
        <v>45</v>
      </c>
    </row>
    <row r="2119" spans="1:13" x14ac:dyDescent="0.2">
      <c r="A2119" s="525" t="s">
        <v>193</v>
      </c>
      <c r="B2119" s="525" t="s">
        <v>213</v>
      </c>
      <c r="C2119" s="52"/>
      <c r="D2119" s="49"/>
      <c r="E2119" s="114"/>
      <c r="F2119" s="331"/>
      <c r="G2119" s="48"/>
      <c r="H2119" s="48"/>
      <c r="I2119" s="48"/>
      <c r="J2119" s="48"/>
      <c r="K2119" s="48"/>
      <c r="L2119" s="48"/>
      <c r="M2119" s="48"/>
    </row>
    <row r="2120" spans="1:13" x14ac:dyDescent="0.25">
      <c r="A2120" s="531"/>
      <c r="B2120" s="531"/>
      <c r="C2120" s="121">
        <v>10</v>
      </c>
      <c r="D2120" s="49">
        <v>89</v>
      </c>
      <c r="E2120" s="114">
        <v>1970</v>
      </c>
      <c r="F2120" s="332">
        <f t="shared" ref="F2120:F2121" si="646">2019-E2120</f>
        <v>49</v>
      </c>
      <c r="G2120" s="48"/>
      <c r="H2120" s="48"/>
      <c r="I2120" s="48"/>
      <c r="J2120" s="48"/>
      <c r="K2120" s="48"/>
      <c r="L2120" s="48"/>
      <c r="M2120" s="48"/>
    </row>
    <row r="2121" spans="1:13" x14ac:dyDescent="0.25">
      <c r="A2121" s="526"/>
      <c r="B2121" s="526"/>
      <c r="C2121" s="121">
        <v>10</v>
      </c>
      <c r="D2121" s="49">
        <v>57</v>
      </c>
      <c r="E2121" s="114">
        <v>1970</v>
      </c>
      <c r="F2121" s="332">
        <f t="shared" si="646"/>
        <v>49</v>
      </c>
      <c r="G2121" s="48"/>
      <c r="H2121" s="48"/>
      <c r="I2121" s="48"/>
      <c r="J2121" s="48"/>
      <c r="K2121" s="48"/>
      <c r="L2121" s="48"/>
      <c r="M2121" s="48"/>
    </row>
    <row r="2122" spans="1:13" ht="31.5" customHeight="1" x14ac:dyDescent="0.2">
      <c r="A2122" s="525" t="s">
        <v>407</v>
      </c>
      <c r="B2122" s="525" t="s">
        <v>939</v>
      </c>
      <c r="C2122" s="52"/>
      <c r="D2122" s="49"/>
      <c r="E2122" s="114"/>
      <c r="F2122" s="330"/>
      <c r="G2122" s="48"/>
      <c r="H2122" s="48"/>
      <c r="I2122" s="48"/>
      <c r="J2122" s="48"/>
      <c r="K2122" s="48"/>
      <c r="L2122" s="48"/>
      <c r="M2122" s="48"/>
    </row>
    <row r="2123" spans="1:13" x14ac:dyDescent="0.25">
      <c r="A2123" s="531"/>
      <c r="B2123" s="531"/>
      <c r="C2123" s="121">
        <v>7</v>
      </c>
      <c r="D2123" s="49">
        <v>89</v>
      </c>
      <c r="E2123" s="114">
        <v>1974</v>
      </c>
      <c r="F2123" s="332">
        <f t="shared" ref="F2123:F2124" si="647">2019-E2123</f>
        <v>45</v>
      </c>
      <c r="G2123" s="48"/>
      <c r="H2123" s="48"/>
      <c r="I2123" s="48"/>
      <c r="J2123" s="48"/>
      <c r="K2123" s="48"/>
      <c r="L2123" s="48"/>
      <c r="M2123" s="48"/>
    </row>
    <row r="2124" spans="1:13" x14ac:dyDescent="0.25">
      <c r="A2124" s="526"/>
      <c r="B2124" s="526"/>
      <c r="C2124" s="121">
        <v>7</v>
      </c>
      <c r="D2124" s="49">
        <v>57</v>
      </c>
      <c r="E2124" s="114">
        <v>1974</v>
      </c>
      <c r="F2124" s="332">
        <f t="shared" si="647"/>
        <v>45</v>
      </c>
      <c r="G2124" s="48"/>
      <c r="H2124" s="48"/>
      <c r="I2124" s="48"/>
      <c r="J2124" s="48"/>
      <c r="K2124" s="48"/>
      <c r="L2124" s="48"/>
      <c r="M2124" s="48"/>
    </row>
    <row r="2125" spans="1:13" ht="31.5" customHeight="1" x14ac:dyDescent="0.2">
      <c r="A2125" s="525" t="s">
        <v>940</v>
      </c>
      <c r="B2125" s="525" t="s">
        <v>941</v>
      </c>
      <c r="C2125" s="121"/>
      <c r="D2125" s="49"/>
      <c r="E2125" s="114"/>
      <c r="F2125" s="330"/>
      <c r="G2125" s="48"/>
      <c r="H2125" s="48"/>
      <c r="I2125" s="48"/>
      <c r="J2125" s="48"/>
      <c r="K2125" s="48"/>
      <c r="L2125" s="48"/>
      <c r="M2125" s="48"/>
    </row>
    <row r="2126" spans="1:13" x14ac:dyDescent="0.25">
      <c r="A2126" s="531"/>
      <c r="B2126" s="531"/>
      <c r="C2126" s="121">
        <v>87</v>
      </c>
      <c r="D2126" s="49">
        <v>89</v>
      </c>
      <c r="E2126" s="114">
        <v>1974</v>
      </c>
      <c r="F2126" s="332">
        <f t="shared" ref="F2126:F2127" si="648">2019-E2126</f>
        <v>45</v>
      </c>
      <c r="G2126" s="48"/>
      <c r="H2126" s="48"/>
      <c r="I2126" s="48"/>
      <c r="J2126" s="48"/>
      <c r="K2126" s="48"/>
      <c r="L2126" s="48"/>
      <c r="M2126" s="48"/>
    </row>
    <row r="2127" spans="1:13" x14ac:dyDescent="0.25">
      <c r="A2127" s="526"/>
      <c r="B2127" s="526"/>
      <c r="C2127" s="121">
        <v>87</v>
      </c>
      <c r="D2127" s="49">
        <v>57</v>
      </c>
      <c r="E2127" s="114">
        <v>1974</v>
      </c>
      <c r="F2127" s="332">
        <f t="shared" si="648"/>
        <v>45</v>
      </c>
      <c r="G2127" s="48"/>
      <c r="H2127" s="48"/>
      <c r="I2127" s="48"/>
      <c r="J2127" s="48"/>
      <c r="K2127" s="48"/>
      <c r="L2127" s="48"/>
      <c r="M2127" s="48"/>
    </row>
    <row r="2128" spans="1:13" ht="31.5" customHeight="1" x14ac:dyDescent="0.2">
      <c r="A2128" s="525" t="s">
        <v>942</v>
      </c>
      <c r="B2128" s="525" t="s">
        <v>931</v>
      </c>
      <c r="C2128" s="121"/>
      <c r="D2128" s="49"/>
      <c r="E2128" s="114"/>
      <c r="F2128" s="330"/>
      <c r="G2128" s="48"/>
      <c r="H2128" s="48"/>
      <c r="I2128" s="48"/>
      <c r="J2128" s="48"/>
      <c r="K2128" s="48"/>
      <c r="L2128" s="48"/>
      <c r="M2128" s="48"/>
    </row>
    <row r="2129" spans="1:13" x14ac:dyDescent="0.25">
      <c r="A2129" s="531"/>
      <c r="B2129" s="531"/>
      <c r="C2129" s="121">
        <v>78</v>
      </c>
      <c r="D2129" s="49">
        <v>89</v>
      </c>
      <c r="E2129" s="114">
        <v>1974</v>
      </c>
      <c r="F2129" s="332">
        <f t="shared" ref="F2129:F2130" si="649">2019-E2129</f>
        <v>45</v>
      </c>
      <c r="G2129" s="48"/>
      <c r="H2129" s="48"/>
      <c r="I2129" s="48"/>
      <c r="J2129" s="48"/>
      <c r="K2129" s="48"/>
      <c r="L2129" s="48"/>
      <c r="M2129" s="48"/>
    </row>
    <row r="2130" spans="1:13" x14ac:dyDescent="0.25">
      <c r="A2130" s="526"/>
      <c r="B2130" s="526"/>
      <c r="C2130" s="121">
        <v>78</v>
      </c>
      <c r="D2130" s="49">
        <v>57</v>
      </c>
      <c r="E2130" s="114">
        <v>1974</v>
      </c>
      <c r="F2130" s="332">
        <f t="shared" si="649"/>
        <v>45</v>
      </c>
      <c r="G2130" s="48"/>
      <c r="H2130" s="48"/>
      <c r="I2130" s="48"/>
      <c r="J2130" s="48"/>
      <c r="K2130" s="48"/>
      <c r="L2130" s="48"/>
      <c r="M2130" s="48"/>
    </row>
    <row r="2131" spans="1:13" x14ac:dyDescent="0.2">
      <c r="A2131" s="525" t="s">
        <v>197</v>
      </c>
      <c r="B2131" s="525" t="s">
        <v>943</v>
      </c>
      <c r="C2131" s="121"/>
      <c r="D2131" s="49"/>
      <c r="E2131" s="114"/>
      <c r="F2131" s="330"/>
      <c r="G2131" s="48"/>
      <c r="H2131" s="48"/>
      <c r="I2131" s="48"/>
      <c r="J2131" s="48"/>
      <c r="K2131" s="48"/>
      <c r="L2131" s="48"/>
      <c r="M2131" s="48"/>
    </row>
    <row r="2132" spans="1:13" x14ac:dyDescent="0.25">
      <c r="A2132" s="526"/>
      <c r="B2132" s="526"/>
      <c r="C2132" s="121">
        <v>20</v>
      </c>
      <c r="D2132" s="49">
        <v>89</v>
      </c>
      <c r="E2132" s="114">
        <v>1974</v>
      </c>
      <c r="F2132" s="332">
        <f t="shared" ref="F2132" si="650">2019-E2132</f>
        <v>45</v>
      </c>
      <c r="G2132" s="48"/>
      <c r="H2132" s="48"/>
      <c r="I2132" s="48"/>
      <c r="J2132" s="48"/>
      <c r="K2132" s="48"/>
      <c r="L2132" s="48"/>
      <c r="M2132" s="48"/>
    </row>
    <row r="2133" spans="1:13" ht="31.5" customHeight="1" x14ac:dyDescent="0.2">
      <c r="A2133" s="525" t="s">
        <v>944</v>
      </c>
      <c r="B2133" s="525" t="s">
        <v>945</v>
      </c>
      <c r="C2133" s="121"/>
      <c r="D2133" s="49"/>
      <c r="E2133" s="114"/>
      <c r="F2133" s="330"/>
      <c r="G2133" s="48"/>
      <c r="H2133" s="48"/>
      <c r="I2133" s="48"/>
      <c r="J2133" s="48"/>
      <c r="K2133" s="48"/>
      <c r="L2133" s="48"/>
      <c r="M2133" s="48"/>
    </row>
    <row r="2134" spans="1:13" x14ac:dyDescent="0.25">
      <c r="A2134" s="526"/>
      <c r="B2134" s="526"/>
      <c r="C2134" s="121">
        <v>160</v>
      </c>
      <c r="D2134" s="111">
        <v>57</v>
      </c>
      <c r="E2134" s="114">
        <v>1974</v>
      </c>
      <c r="F2134" s="332">
        <f t="shared" ref="F2134" si="651">2019-E2134</f>
        <v>45</v>
      </c>
      <c r="G2134" s="48"/>
      <c r="H2134" s="48"/>
      <c r="I2134" s="48"/>
      <c r="J2134" s="48"/>
      <c r="K2134" s="48"/>
      <c r="L2134" s="48"/>
      <c r="M2134" s="48"/>
    </row>
    <row r="2135" spans="1:13" ht="31.5" customHeight="1" x14ac:dyDescent="0.2">
      <c r="A2135" s="525" t="s">
        <v>180</v>
      </c>
      <c r="B2135" s="525" t="s">
        <v>407</v>
      </c>
      <c r="C2135" s="121"/>
      <c r="D2135" s="49"/>
      <c r="E2135" s="114"/>
      <c r="F2135" s="330"/>
      <c r="G2135" s="48"/>
      <c r="H2135" s="48"/>
      <c r="I2135" s="48"/>
      <c r="J2135" s="48"/>
      <c r="K2135" s="48"/>
      <c r="L2135" s="48"/>
      <c r="M2135" s="48"/>
    </row>
    <row r="2136" spans="1:13" x14ac:dyDescent="0.25">
      <c r="A2136" s="531"/>
      <c r="B2136" s="531"/>
      <c r="C2136" s="121">
        <v>40</v>
      </c>
      <c r="D2136" s="49">
        <v>89</v>
      </c>
      <c r="E2136" s="114">
        <v>1970</v>
      </c>
      <c r="F2136" s="332">
        <f t="shared" ref="F2136:F2137" si="652">2019-E2136</f>
        <v>49</v>
      </c>
      <c r="G2136" s="48"/>
      <c r="H2136" s="48"/>
      <c r="I2136" s="48"/>
      <c r="J2136" s="48"/>
      <c r="K2136" s="48"/>
      <c r="L2136" s="48"/>
      <c r="M2136" s="48"/>
    </row>
    <row r="2137" spans="1:13" x14ac:dyDescent="0.25">
      <c r="A2137" s="526"/>
      <c r="B2137" s="526"/>
      <c r="C2137" s="121">
        <v>40</v>
      </c>
      <c r="D2137" s="49">
        <v>57</v>
      </c>
      <c r="E2137" s="114">
        <v>1970</v>
      </c>
      <c r="F2137" s="332">
        <f t="shared" si="652"/>
        <v>49</v>
      </c>
      <c r="G2137" s="48"/>
      <c r="H2137" s="48"/>
      <c r="I2137" s="48"/>
      <c r="J2137" s="48"/>
      <c r="K2137" s="48"/>
      <c r="L2137" s="48"/>
      <c r="M2137" s="48"/>
    </row>
    <row r="2138" spans="1:13" ht="31.5" customHeight="1" x14ac:dyDescent="0.2">
      <c r="A2138" s="525" t="s">
        <v>253</v>
      </c>
      <c r="B2138" s="525" t="s">
        <v>946</v>
      </c>
      <c r="C2138" s="121"/>
      <c r="D2138" s="49"/>
      <c r="E2138" s="114"/>
      <c r="F2138" s="330"/>
      <c r="G2138" s="48"/>
      <c r="H2138" s="48"/>
      <c r="I2138" s="48"/>
      <c r="J2138" s="48"/>
      <c r="K2138" s="48"/>
      <c r="L2138" s="48"/>
      <c r="M2138" s="48"/>
    </row>
    <row r="2139" spans="1:13" x14ac:dyDescent="0.25">
      <c r="A2139" s="531"/>
      <c r="B2139" s="531"/>
      <c r="C2139" s="121">
        <v>7</v>
      </c>
      <c r="D2139" s="49">
        <v>89</v>
      </c>
      <c r="E2139" s="114">
        <v>1974</v>
      </c>
      <c r="F2139" s="332">
        <f t="shared" ref="F2139:F2140" si="653">2019-E2139</f>
        <v>45</v>
      </c>
      <c r="G2139" s="48"/>
      <c r="H2139" s="48"/>
      <c r="I2139" s="48"/>
      <c r="J2139" s="48"/>
      <c r="K2139" s="48"/>
      <c r="L2139" s="48"/>
      <c r="M2139" s="48"/>
    </row>
    <row r="2140" spans="1:13" x14ac:dyDescent="0.25">
      <c r="A2140" s="526"/>
      <c r="B2140" s="526"/>
      <c r="C2140" s="121">
        <v>7</v>
      </c>
      <c r="D2140" s="49">
        <v>57</v>
      </c>
      <c r="E2140" s="114">
        <v>1974</v>
      </c>
      <c r="F2140" s="332">
        <f t="shared" si="653"/>
        <v>45</v>
      </c>
      <c r="G2140" s="48"/>
      <c r="H2140" s="48"/>
      <c r="I2140" s="48"/>
      <c r="J2140" s="48"/>
      <c r="K2140" s="48"/>
      <c r="L2140" s="48"/>
      <c r="M2140" s="48"/>
    </row>
    <row r="2141" spans="1:13" ht="31.5" customHeight="1" x14ac:dyDescent="0.2">
      <c r="A2141" s="525" t="s">
        <v>947</v>
      </c>
      <c r="B2141" s="525" t="s">
        <v>948</v>
      </c>
      <c r="C2141" s="52"/>
      <c r="D2141" s="49"/>
      <c r="E2141" s="114"/>
      <c r="F2141" s="330"/>
      <c r="G2141" s="48"/>
      <c r="H2141" s="48"/>
      <c r="I2141" s="48"/>
      <c r="J2141" s="48"/>
      <c r="K2141" s="48"/>
      <c r="L2141" s="48"/>
      <c r="M2141" s="48"/>
    </row>
    <row r="2142" spans="1:13" x14ac:dyDescent="0.25">
      <c r="A2142" s="526"/>
      <c r="B2142" s="526"/>
      <c r="C2142" s="121">
        <v>104</v>
      </c>
      <c r="D2142" s="49">
        <v>89</v>
      </c>
      <c r="E2142" s="114">
        <v>1974</v>
      </c>
      <c r="F2142" s="332">
        <f t="shared" ref="F2142" si="654">2019-E2142</f>
        <v>45</v>
      </c>
      <c r="G2142" s="48"/>
      <c r="H2142" s="48"/>
      <c r="I2142" s="48"/>
      <c r="J2142" s="48"/>
      <c r="K2142" s="48"/>
      <c r="L2142" s="48"/>
      <c r="M2142" s="48"/>
    </row>
    <row r="2143" spans="1:13" ht="31.5" customHeight="1" x14ac:dyDescent="0.2">
      <c r="A2143" s="525" t="s">
        <v>949</v>
      </c>
      <c r="B2143" s="525" t="s">
        <v>950</v>
      </c>
      <c r="C2143" s="52"/>
      <c r="D2143" s="49"/>
      <c r="E2143" s="114"/>
      <c r="F2143" s="330"/>
      <c r="G2143" s="48"/>
      <c r="H2143" s="48"/>
      <c r="I2143" s="48"/>
      <c r="J2143" s="48"/>
      <c r="K2143" s="48"/>
      <c r="L2143" s="48"/>
      <c r="M2143" s="48"/>
    </row>
    <row r="2144" spans="1:13" x14ac:dyDescent="0.25">
      <c r="A2144" s="526"/>
      <c r="B2144" s="526"/>
      <c r="C2144" s="121">
        <v>140</v>
      </c>
      <c r="D2144" s="49">
        <v>89</v>
      </c>
      <c r="E2144" s="114">
        <v>1974</v>
      </c>
      <c r="F2144" s="332">
        <f t="shared" ref="F2144" si="655">2019-E2144</f>
        <v>45</v>
      </c>
      <c r="G2144" s="48"/>
      <c r="H2144" s="48"/>
      <c r="I2144" s="48"/>
      <c r="J2144" s="48"/>
      <c r="K2144" s="48"/>
      <c r="L2144" s="48"/>
      <c r="M2144" s="48"/>
    </row>
    <row r="2145" spans="1:13" x14ac:dyDescent="0.2">
      <c r="A2145" s="525" t="s">
        <v>253</v>
      </c>
      <c r="B2145" s="525" t="s">
        <v>951</v>
      </c>
      <c r="C2145" s="121"/>
      <c r="D2145" s="49"/>
      <c r="E2145" s="114"/>
      <c r="F2145" s="330"/>
      <c r="G2145" s="48"/>
      <c r="H2145" s="48"/>
      <c r="I2145" s="48"/>
      <c r="J2145" s="48"/>
      <c r="K2145" s="48"/>
      <c r="L2145" s="48"/>
      <c r="M2145" s="48"/>
    </row>
    <row r="2146" spans="1:13" x14ac:dyDescent="0.25">
      <c r="A2146" s="526"/>
      <c r="B2146" s="526"/>
      <c r="C2146" s="121">
        <v>40</v>
      </c>
      <c r="D2146" s="49">
        <v>89</v>
      </c>
      <c r="E2146" s="114">
        <v>1974</v>
      </c>
      <c r="F2146" s="332">
        <f t="shared" ref="F2146" si="656">2019-E2146</f>
        <v>45</v>
      </c>
      <c r="G2146" s="48"/>
      <c r="H2146" s="48"/>
      <c r="I2146" s="48"/>
      <c r="J2146" s="48"/>
      <c r="K2146" s="48"/>
      <c r="L2146" s="48"/>
      <c r="M2146" s="48"/>
    </row>
    <row r="2147" spans="1:13" ht="31.5" customHeight="1" x14ac:dyDescent="0.2">
      <c r="A2147" s="525" t="s">
        <v>952</v>
      </c>
      <c r="B2147" s="525" t="s">
        <v>953</v>
      </c>
      <c r="C2147" s="52"/>
      <c r="D2147" s="49"/>
      <c r="E2147" s="114"/>
      <c r="F2147" s="330"/>
      <c r="G2147" s="48"/>
      <c r="H2147" s="48"/>
      <c r="I2147" s="48"/>
      <c r="J2147" s="48"/>
      <c r="K2147" s="48"/>
      <c r="L2147" s="48"/>
      <c r="M2147" s="48"/>
    </row>
    <row r="2148" spans="1:13" ht="31.5" customHeight="1" x14ac:dyDescent="0.25">
      <c r="A2148" s="531"/>
      <c r="B2148" s="531"/>
      <c r="C2148" s="121">
        <v>27</v>
      </c>
      <c r="D2148" s="49">
        <v>89</v>
      </c>
      <c r="E2148" s="114">
        <v>1974</v>
      </c>
      <c r="F2148" s="332">
        <f t="shared" ref="F2148:F2149" si="657">2019-E2148</f>
        <v>45</v>
      </c>
      <c r="G2148" s="48"/>
      <c r="H2148" s="48"/>
      <c r="I2148" s="48"/>
      <c r="J2148" s="48"/>
      <c r="K2148" s="48"/>
      <c r="L2148" s="48"/>
      <c r="M2148" s="48"/>
    </row>
    <row r="2149" spans="1:13" x14ac:dyDescent="0.25">
      <c r="A2149" s="526"/>
      <c r="B2149" s="526"/>
      <c r="C2149" s="121">
        <v>27</v>
      </c>
      <c r="D2149" s="49">
        <v>57</v>
      </c>
      <c r="E2149" s="114">
        <v>1974</v>
      </c>
      <c r="F2149" s="332">
        <f t="shared" si="657"/>
        <v>45</v>
      </c>
      <c r="G2149" s="48"/>
      <c r="H2149" s="48"/>
      <c r="I2149" s="48"/>
      <c r="J2149" s="48"/>
      <c r="K2149" s="48"/>
      <c r="L2149" s="48"/>
      <c r="M2149" s="48"/>
    </row>
    <row r="2150" spans="1:13" ht="31.5" customHeight="1" x14ac:dyDescent="0.2">
      <c r="A2150" s="525" t="s">
        <v>954</v>
      </c>
      <c r="B2150" s="525" t="s">
        <v>955</v>
      </c>
      <c r="C2150" s="121"/>
      <c r="D2150" s="49"/>
      <c r="E2150" s="114"/>
      <c r="F2150" s="330"/>
      <c r="G2150" s="48"/>
      <c r="H2150" s="48"/>
      <c r="I2150" s="48"/>
      <c r="J2150" s="48"/>
      <c r="K2150" s="48"/>
      <c r="L2150" s="48"/>
      <c r="M2150" s="48"/>
    </row>
    <row r="2151" spans="1:13" x14ac:dyDescent="0.25">
      <c r="A2151" s="526"/>
      <c r="B2151" s="526"/>
      <c r="C2151" s="121">
        <v>160</v>
      </c>
      <c r="D2151" s="49">
        <v>89</v>
      </c>
      <c r="E2151" s="114">
        <v>1974</v>
      </c>
      <c r="F2151" s="332">
        <f t="shared" ref="F2151" si="658">2019-E2151</f>
        <v>45</v>
      </c>
      <c r="G2151" s="48"/>
      <c r="H2151" s="48"/>
      <c r="I2151" s="48"/>
      <c r="J2151" s="48"/>
      <c r="K2151" s="48"/>
      <c r="L2151" s="48"/>
      <c r="M2151" s="48"/>
    </row>
    <row r="2152" spans="1:13" ht="31.5" customHeight="1" x14ac:dyDescent="0.2">
      <c r="A2152" s="525" t="s">
        <v>956</v>
      </c>
      <c r="B2152" s="525" t="s">
        <v>957</v>
      </c>
      <c r="C2152" s="52"/>
      <c r="D2152" s="49"/>
      <c r="E2152" s="114"/>
      <c r="F2152" s="330"/>
      <c r="G2152" s="48"/>
      <c r="H2152" s="48"/>
      <c r="I2152" s="48"/>
      <c r="J2152" s="48"/>
      <c r="K2152" s="48"/>
      <c r="L2152" s="48"/>
      <c r="M2152" s="48"/>
    </row>
    <row r="2153" spans="1:13" x14ac:dyDescent="0.25">
      <c r="A2153" s="531"/>
      <c r="B2153" s="531"/>
      <c r="C2153" s="121">
        <v>119</v>
      </c>
      <c r="D2153" s="49">
        <v>89</v>
      </c>
      <c r="E2153" s="114">
        <v>1974</v>
      </c>
      <c r="F2153" s="332">
        <f t="shared" ref="F2153:F2154" si="659">2019-E2153</f>
        <v>45</v>
      </c>
      <c r="G2153" s="48"/>
      <c r="H2153" s="48"/>
      <c r="I2153" s="48"/>
      <c r="J2153" s="48"/>
      <c r="K2153" s="48"/>
      <c r="L2153" s="48"/>
      <c r="M2153" s="48"/>
    </row>
    <row r="2154" spans="1:13" x14ac:dyDescent="0.25">
      <c r="A2154" s="526"/>
      <c r="B2154" s="526"/>
      <c r="C2154" s="121">
        <v>119</v>
      </c>
      <c r="D2154" s="49">
        <v>57</v>
      </c>
      <c r="E2154" s="114">
        <v>1974</v>
      </c>
      <c r="F2154" s="332">
        <f t="shared" si="659"/>
        <v>45</v>
      </c>
      <c r="G2154" s="48"/>
      <c r="H2154" s="48"/>
      <c r="I2154" s="48"/>
      <c r="J2154" s="48"/>
      <c r="K2154" s="48"/>
      <c r="L2154" s="48"/>
      <c r="M2154" s="48"/>
    </row>
    <row r="2155" spans="1:13" ht="31.5" customHeight="1" x14ac:dyDescent="0.2">
      <c r="A2155" s="525" t="s">
        <v>217</v>
      </c>
      <c r="B2155" s="525" t="s">
        <v>360</v>
      </c>
      <c r="C2155" s="121"/>
      <c r="D2155" s="49"/>
      <c r="E2155" s="114"/>
      <c r="F2155" s="330"/>
      <c r="G2155" s="48"/>
      <c r="H2155" s="48"/>
      <c r="I2155" s="48"/>
      <c r="J2155" s="48"/>
      <c r="K2155" s="48"/>
      <c r="L2155" s="48"/>
      <c r="M2155" s="48"/>
    </row>
    <row r="2156" spans="1:13" x14ac:dyDescent="0.25">
      <c r="A2156" s="531"/>
      <c r="B2156" s="531"/>
      <c r="C2156" s="121">
        <v>84</v>
      </c>
      <c r="D2156" s="49">
        <v>89</v>
      </c>
      <c r="E2156" s="114">
        <v>1974</v>
      </c>
      <c r="F2156" s="332">
        <f t="shared" ref="F2156:F2157" si="660">2019-E2156</f>
        <v>45</v>
      </c>
      <c r="G2156" s="48"/>
      <c r="H2156" s="48"/>
      <c r="I2156" s="48"/>
      <c r="J2156" s="48"/>
      <c r="K2156" s="48"/>
      <c r="L2156" s="48"/>
      <c r="M2156" s="48"/>
    </row>
    <row r="2157" spans="1:13" x14ac:dyDescent="0.25">
      <c r="A2157" s="526"/>
      <c r="B2157" s="526"/>
      <c r="C2157" s="121">
        <v>84</v>
      </c>
      <c r="D2157" s="49">
        <v>57</v>
      </c>
      <c r="E2157" s="114">
        <v>1974</v>
      </c>
      <c r="F2157" s="332">
        <f t="shared" si="660"/>
        <v>45</v>
      </c>
      <c r="G2157" s="48"/>
      <c r="H2157" s="48"/>
      <c r="I2157" s="48"/>
      <c r="J2157" s="48"/>
      <c r="K2157" s="48"/>
      <c r="L2157" s="48"/>
      <c r="M2157" s="48"/>
    </row>
    <row r="2158" spans="1:13" ht="31.5" customHeight="1" x14ac:dyDescent="0.2">
      <c r="A2158" s="525" t="s">
        <v>213</v>
      </c>
      <c r="B2158" s="525" t="s">
        <v>958</v>
      </c>
      <c r="C2158" s="52"/>
      <c r="D2158" s="49"/>
      <c r="E2158" s="114"/>
      <c r="F2158" s="330"/>
      <c r="G2158" s="48"/>
      <c r="H2158" s="48"/>
      <c r="I2158" s="48"/>
      <c r="J2158" s="48"/>
      <c r="K2158" s="48"/>
      <c r="L2158" s="48"/>
      <c r="M2158" s="48"/>
    </row>
    <row r="2159" spans="1:13" x14ac:dyDescent="0.25">
      <c r="A2159" s="531"/>
      <c r="B2159" s="531"/>
      <c r="C2159" s="121">
        <v>105</v>
      </c>
      <c r="D2159" s="49">
        <v>89</v>
      </c>
      <c r="E2159" s="114">
        <v>1974</v>
      </c>
      <c r="F2159" s="332">
        <f t="shared" ref="F2159:F2160" si="661">2019-E2159</f>
        <v>45</v>
      </c>
      <c r="G2159" s="48"/>
      <c r="H2159" s="48"/>
      <c r="I2159" s="48"/>
      <c r="J2159" s="48"/>
      <c r="K2159" s="48"/>
      <c r="L2159" s="48"/>
      <c r="M2159" s="48"/>
    </row>
    <row r="2160" spans="1:13" x14ac:dyDescent="0.25">
      <c r="A2160" s="526"/>
      <c r="B2160" s="526"/>
      <c r="C2160" s="121">
        <v>105</v>
      </c>
      <c r="D2160" s="49">
        <v>57</v>
      </c>
      <c r="E2160" s="114">
        <v>1974</v>
      </c>
      <c r="F2160" s="332">
        <f t="shared" si="661"/>
        <v>45</v>
      </c>
      <c r="G2160" s="48"/>
      <c r="H2160" s="48"/>
      <c r="I2160" s="48"/>
      <c r="J2160" s="48"/>
      <c r="K2160" s="48"/>
      <c r="L2160" s="48"/>
      <c r="M2160" s="48"/>
    </row>
    <row r="2161" spans="1:13" ht="31.5" customHeight="1" x14ac:dyDescent="0.2">
      <c r="A2161" s="525" t="s">
        <v>959</v>
      </c>
      <c r="B2161" s="525" t="s">
        <v>960</v>
      </c>
      <c r="C2161" s="52"/>
      <c r="D2161" s="49"/>
      <c r="E2161" s="114"/>
      <c r="F2161" s="330"/>
      <c r="G2161" s="48"/>
      <c r="H2161" s="48"/>
      <c r="I2161" s="48"/>
      <c r="J2161" s="48"/>
      <c r="K2161" s="48"/>
      <c r="L2161" s="48"/>
      <c r="M2161" s="48"/>
    </row>
    <row r="2162" spans="1:13" ht="31.5" customHeight="1" x14ac:dyDescent="0.25">
      <c r="A2162" s="531"/>
      <c r="B2162" s="531"/>
      <c r="C2162" s="121">
        <v>75</v>
      </c>
      <c r="D2162" s="49">
        <v>89</v>
      </c>
      <c r="E2162" s="114">
        <v>1974</v>
      </c>
      <c r="F2162" s="332">
        <f t="shared" ref="F2162:F2163" si="662">2019-E2162</f>
        <v>45</v>
      </c>
      <c r="G2162" s="48"/>
      <c r="H2162" s="48"/>
      <c r="I2162" s="48"/>
      <c r="J2162" s="48"/>
      <c r="K2162" s="48"/>
      <c r="L2162" s="48"/>
      <c r="M2162" s="48"/>
    </row>
    <row r="2163" spans="1:13" x14ac:dyDescent="0.25">
      <c r="A2163" s="526"/>
      <c r="B2163" s="526"/>
      <c r="C2163" s="121">
        <v>75</v>
      </c>
      <c r="D2163" s="49">
        <v>57</v>
      </c>
      <c r="E2163" s="114">
        <v>1974</v>
      </c>
      <c r="F2163" s="332">
        <f t="shared" si="662"/>
        <v>45</v>
      </c>
      <c r="G2163" s="48"/>
      <c r="H2163" s="48"/>
      <c r="I2163" s="48"/>
      <c r="J2163" s="48"/>
      <c r="K2163" s="48"/>
      <c r="L2163" s="48"/>
      <c r="M2163" s="48"/>
    </row>
    <row r="2164" spans="1:13" ht="31.5" customHeight="1" x14ac:dyDescent="0.2">
      <c r="A2164" s="525" t="s">
        <v>961</v>
      </c>
      <c r="B2164" s="525" t="s">
        <v>962</v>
      </c>
      <c r="C2164" s="52"/>
      <c r="D2164" s="49"/>
      <c r="E2164" s="114"/>
      <c r="F2164" s="330"/>
      <c r="G2164" s="48"/>
      <c r="H2164" s="48"/>
      <c r="I2164" s="48"/>
      <c r="J2164" s="48"/>
      <c r="K2164" s="48"/>
      <c r="L2164" s="48"/>
      <c r="M2164" s="48"/>
    </row>
    <row r="2165" spans="1:13" ht="31.5" customHeight="1" x14ac:dyDescent="0.25">
      <c r="A2165" s="531"/>
      <c r="B2165" s="531"/>
      <c r="C2165" s="121">
        <v>80</v>
      </c>
      <c r="D2165" s="49">
        <v>89</v>
      </c>
      <c r="E2165" s="114">
        <v>1974</v>
      </c>
      <c r="F2165" s="332">
        <f t="shared" ref="F2165:F2166" si="663">2019-E2165</f>
        <v>45</v>
      </c>
      <c r="G2165" s="48"/>
      <c r="H2165" s="48"/>
      <c r="I2165" s="48"/>
      <c r="J2165" s="48"/>
      <c r="K2165" s="48"/>
      <c r="L2165" s="48"/>
      <c r="M2165" s="48"/>
    </row>
    <row r="2166" spans="1:13" x14ac:dyDescent="0.25">
      <c r="A2166" s="526"/>
      <c r="B2166" s="526"/>
      <c r="C2166" s="121">
        <v>80</v>
      </c>
      <c r="D2166" s="49">
        <v>57</v>
      </c>
      <c r="E2166" s="114">
        <v>1974</v>
      </c>
      <c r="F2166" s="332">
        <f t="shared" si="663"/>
        <v>45</v>
      </c>
      <c r="G2166" s="48"/>
      <c r="H2166" s="48"/>
      <c r="I2166" s="48"/>
      <c r="J2166" s="48"/>
      <c r="K2166" s="48"/>
      <c r="L2166" s="48"/>
      <c r="M2166" s="48"/>
    </row>
    <row r="2167" spans="1:13" ht="31.5" customHeight="1" x14ac:dyDescent="0.2">
      <c r="A2167" s="525" t="s">
        <v>190</v>
      </c>
      <c r="B2167" s="525" t="s">
        <v>963</v>
      </c>
      <c r="C2167" s="57"/>
      <c r="D2167" s="49"/>
      <c r="E2167" s="114"/>
      <c r="F2167" s="330"/>
      <c r="G2167" s="48"/>
      <c r="H2167" s="48"/>
      <c r="I2167" s="48"/>
      <c r="J2167" s="48"/>
      <c r="K2167" s="48"/>
      <c r="L2167" s="48"/>
      <c r="M2167" s="48"/>
    </row>
    <row r="2168" spans="1:13" x14ac:dyDescent="0.25">
      <c r="A2168" s="526"/>
      <c r="B2168" s="526"/>
      <c r="C2168" s="121">
        <v>140</v>
      </c>
      <c r="D2168" s="111">
        <v>57</v>
      </c>
      <c r="E2168" s="114">
        <v>1974</v>
      </c>
      <c r="F2168" s="332">
        <f t="shared" ref="F2168" si="664">2019-E2168</f>
        <v>45</v>
      </c>
      <c r="G2168" s="48"/>
      <c r="H2168" s="48"/>
      <c r="I2168" s="48"/>
      <c r="J2168" s="48"/>
      <c r="K2168" s="48"/>
      <c r="L2168" s="48"/>
      <c r="M2168" s="48"/>
    </row>
    <row r="2169" spans="1:13" ht="31.5" customHeight="1" x14ac:dyDescent="0.2">
      <c r="A2169" s="525" t="s">
        <v>190</v>
      </c>
      <c r="B2169" s="525" t="s">
        <v>964</v>
      </c>
      <c r="C2169" s="121"/>
      <c r="D2169" s="49"/>
      <c r="E2169" s="114"/>
      <c r="F2169" s="330"/>
      <c r="G2169" s="48"/>
      <c r="H2169" s="48"/>
      <c r="I2169" s="48"/>
      <c r="J2169" s="48"/>
      <c r="K2169" s="48"/>
      <c r="L2169" s="48"/>
      <c r="M2169" s="48"/>
    </row>
    <row r="2170" spans="1:13" ht="31.5" customHeight="1" x14ac:dyDescent="0.25">
      <c r="A2170" s="531"/>
      <c r="B2170" s="531"/>
      <c r="C2170" s="121">
        <v>15</v>
      </c>
      <c r="D2170" s="49">
        <v>89</v>
      </c>
      <c r="E2170" s="114">
        <v>1974</v>
      </c>
      <c r="F2170" s="332">
        <f t="shared" ref="F2170:F2171" si="665">2019-E2170</f>
        <v>45</v>
      </c>
      <c r="G2170" s="48"/>
      <c r="H2170" s="48"/>
      <c r="I2170" s="48"/>
      <c r="J2170" s="48"/>
      <c r="K2170" s="48"/>
      <c r="L2170" s="48"/>
      <c r="M2170" s="48"/>
    </row>
    <row r="2171" spans="1:13" x14ac:dyDescent="0.25">
      <c r="A2171" s="526"/>
      <c r="B2171" s="526"/>
      <c r="C2171" s="121">
        <v>15</v>
      </c>
      <c r="D2171" s="49">
        <v>57</v>
      </c>
      <c r="E2171" s="114">
        <v>1974</v>
      </c>
      <c r="F2171" s="332">
        <f t="shared" si="665"/>
        <v>45</v>
      </c>
      <c r="G2171" s="48"/>
      <c r="H2171" s="48"/>
      <c r="I2171" s="48"/>
      <c r="J2171" s="48"/>
      <c r="K2171" s="48"/>
      <c r="L2171" s="48"/>
      <c r="M2171" s="48"/>
    </row>
    <row r="2172" spans="1:13" ht="31.5" customHeight="1" x14ac:dyDescent="0.2">
      <c r="A2172" s="525" t="s">
        <v>195</v>
      </c>
      <c r="B2172" s="525" t="s">
        <v>965</v>
      </c>
      <c r="C2172" s="52"/>
      <c r="D2172" s="49"/>
      <c r="E2172" s="114"/>
      <c r="F2172" s="330"/>
      <c r="G2172" s="48"/>
      <c r="H2172" s="48"/>
      <c r="I2172" s="48"/>
      <c r="J2172" s="48"/>
      <c r="K2172" s="48"/>
      <c r="L2172" s="48"/>
      <c r="M2172" s="48"/>
    </row>
    <row r="2173" spans="1:13" x14ac:dyDescent="0.25">
      <c r="A2173" s="531"/>
      <c r="B2173" s="531"/>
      <c r="C2173" s="121">
        <v>48</v>
      </c>
      <c r="D2173" s="49">
        <v>89</v>
      </c>
      <c r="E2173" s="114">
        <v>1974</v>
      </c>
      <c r="F2173" s="332">
        <f t="shared" ref="F2173:F2174" si="666">2019-E2173</f>
        <v>45</v>
      </c>
      <c r="G2173" s="48"/>
      <c r="H2173" s="48"/>
      <c r="I2173" s="48"/>
      <c r="J2173" s="48"/>
      <c r="K2173" s="48"/>
      <c r="L2173" s="48"/>
      <c r="M2173" s="48"/>
    </row>
    <row r="2174" spans="1:13" x14ac:dyDescent="0.25">
      <c r="A2174" s="526"/>
      <c r="B2174" s="526"/>
      <c r="C2174" s="121">
        <v>48</v>
      </c>
      <c r="D2174" s="49">
        <v>57</v>
      </c>
      <c r="E2174" s="114">
        <v>1974</v>
      </c>
      <c r="F2174" s="332">
        <f t="shared" si="666"/>
        <v>45</v>
      </c>
      <c r="G2174" s="48"/>
      <c r="H2174" s="48"/>
      <c r="I2174" s="48"/>
      <c r="J2174" s="48"/>
      <c r="K2174" s="48"/>
      <c r="L2174" s="48"/>
      <c r="M2174" s="48"/>
    </row>
    <row r="2175" spans="1:13" ht="31.5" customHeight="1" x14ac:dyDescent="0.2">
      <c r="A2175" s="525" t="s">
        <v>195</v>
      </c>
      <c r="B2175" s="525" t="s">
        <v>966</v>
      </c>
      <c r="C2175" s="121"/>
      <c r="D2175" s="49"/>
      <c r="E2175" s="114"/>
      <c r="F2175" s="330"/>
      <c r="G2175" s="48"/>
      <c r="H2175" s="48"/>
      <c r="I2175" s="48"/>
      <c r="J2175" s="48"/>
      <c r="K2175" s="48"/>
      <c r="L2175" s="48"/>
      <c r="M2175" s="48"/>
    </row>
    <row r="2176" spans="1:13" x14ac:dyDescent="0.25">
      <c r="A2176" s="526"/>
      <c r="B2176" s="526"/>
      <c r="C2176" s="121">
        <v>104.6</v>
      </c>
      <c r="D2176" s="49">
        <v>57</v>
      </c>
      <c r="E2176" s="114">
        <v>1974</v>
      </c>
      <c r="F2176" s="332">
        <f t="shared" ref="F2176" si="667">2019-E2176</f>
        <v>45</v>
      </c>
      <c r="G2176" s="48"/>
      <c r="H2176" s="48"/>
      <c r="I2176" s="48"/>
      <c r="J2176" s="48"/>
      <c r="K2176" s="48"/>
      <c r="L2176" s="48"/>
      <c r="M2176" s="48"/>
    </row>
    <row r="2177" spans="1:13" ht="31.5" customHeight="1" x14ac:dyDescent="0.2">
      <c r="A2177" s="525" t="s">
        <v>967</v>
      </c>
      <c r="B2177" s="525" t="s">
        <v>968</v>
      </c>
      <c r="C2177" s="121"/>
      <c r="D2177" s="49"/>
      <c r="E2177" s="114"/>
      <c r="F2177" s="330"/>
      <c r="G2177" s="48"/>
      <c r="H2177" s="48"/>
      <c r="I2177" s="48"/>
      <c r="J2177" s="48"/>
      <c r="K2177" s="48"/>
      <c r="L2177" s="48"/>
      <c r="M2177" s="48"/>
    </row>
    <row r="2178" spans="1:13" x14ac:dyDescent="0.25">
      <c r="A2178" s="526"/>
      <c r="B2178" s="526"/>
      <c r="C2178" s="121">
        <v>8</v>
      </c>
      <c r="D2178" s="49">
        <v>57</v>
      </c>
      <c r="E2178" s="114">
        <v>1974</v>
      </c>
      <c r="F2178" s="332">
        <f t="shared" ref="F2178" si="668">2019-E2178</f>
        <v>45</v>
      </c>
      <c r="G2178" s="48"/>
      <c r="H2178" s="48"/>
      <c r="I2178" s="48"/>
      <c r="J2178" s="48"/>
      <c r="K2178" s="48"/>
      <c r="L2178" s="48"/>
      <c r="M2178" s="48"/>
    </row>
    <row r="2179" spans="1:13" ht="31.5" customHeight="1" x14ac:dyDescent="0.2">
      <c r="A2179" s="525" t="s">
        <v>195</v>
      </c>
      <c r="B2179" s="525" t="s">
        <v>969</v>
      </c>
      <c r="C2179" s="121"/>
      <c r="D2179" s="49"/>
      <c r="E2179" s="114"/>
      <c r="F2179" s="330"/>
      <c r="G2179" s="48"/>
      <c r="H2179" s="48"/>
      <c r="I2179" s="48"/>
      <c r="J2179" s="48"/>
      <c r="K2179" s="48"/>
      <c r="L2179" s="48"/>
      <c r="M2179" s="48"/>
    </row>
    <row r="2180" spans="1:13" ht="31.5" customHeight="1" x14ac:dyDescent="0.25">
      <c r="A2180" s="531"/>
      <c r="B2180" s="531"/>
      <c r="C2180" s="121">
        <v>15</v>
      </c>
      <c r="D2180" s="49">
        <v>89</v>
      </c>
      <c r="E2180" s="114">
        <v>1974</v>
      </c>
      <c r="F2180" s="332">
        <f t="shared" ref="F2180:F2181" si="669">2019-E2180</f>
        <v>45</v>
      </c>
      <c r="G2180" s="48"/>
      <c r="H2180" s="48"/>
      <c r="I2180" s="48"/>
      <c r="J2180" s="48"/>
      <c r="K2180" s="48"/>
      <c r="L2180" s="48"/>
      <c r="M2180" s="48"/>
    </row>
    <row r="2181" spans="1:13" x14ac:dyDescent="0.25">
      <c r="A2181" s="526"/>
      <c r="B2181" s="526"/>
      <c r="C2181" s="121">
        <v>15</v>
      </c>
      <c r="D2181" s="49">
        <v>40</v>
      </c>
      <c r="E2181" s="114">
        <v>1974</v>
      </c>
      <c r="F2181" s="332">
        <f t="shared" si="669"/>
        <v>45</v>
      </c>
      <c r="G2181" s="48"/>
      <c r="H2181" s="48"/>
      <c r="I2181" s="48"/>
      <c r="J2181" s="48"/>
      <c r="K2181" s="48"/>
      <c r="L2181" s="48"/>
      <c r="M2181" s="48"/>
    </row>
    <row r="2182" spans="1:13" ht="31.5" customHeight="1" x14ac:dyDescent="0.2">
      <c r="A2182" s="525" t="s">
        <v>287</v>
      </c>
      <c r="B2182" s="525" t="s">
        <v>298</v>
      </c>
      <c r="C2182" s="121"/>
      <c r="D2182" s="49"/>
      <c r="E2182" s="114"/>
      <c r="F2182" s="330"/>
      <c r="G2182" s="48"/>
      <c r="H2182" s="48"/>
      <c r="I2182" s="48"/>
      <c r="J2182" s="48"/>
      <c r="K2182" s="48"/>
      <c r="L2182" s="48"/>
      <c r="M2182" s="48"/>
    </row>
    <row r="2183" spans="1:13" x14ac:dyDescent="0.25">
      <c r="A2183" s="531"/>
      <c r="B2183" s="531"/>
      <c r="C2183" s="121">
        <v>65</v>
      </c>
      <c r="D2183" s="49">
        <v>89</v>
      </c>
      <c r="E2183" s="114">
        <v>1974</v>
      </c>
      <c r="F2183" s="332">
        <f t="shared" ref="F2183:F2184" si="670">2019-E2183</f>
        <v>45</v>
      </c>
      <c r="G2183" s="48"/>
      <c r="H2183" s="48"/>
      <c r="I2183" s="48"/>
      <c r="J2183" s="48"/>
      <c r="K2183" s="48"/>
      <c r="L2183" s="48"/>
      <c r="M2183" s="48"/>
    </row>
    <row r="2184" spans="1:13" x14ac:dyDescent="0.25">
      <c r="A2184" s="526"/>
      <c r="B2184" s="526"/>
      <c r="C2184" s="121">
        <v>65</v>
      </c>
      <c r="D2184" s="49">
        <v>57</v>
      </c>
      <c r="E2184" s="114">
        <v>1974</v>
      </c>
      <c r="F2184" s="332">
        <f t="shared" si="670"/>
        <v>45</v>
      </c>
      <c r="G2184" s="48"/>
      <c r="H2184" s="48"/>
      <c r="I2184" s="48"/>
      <c r="J2184" s="48"/>
      <c r="K2184" s="48"/>
      <c r="L2184" s="48"/>
      <c r="M2184" s="48"/>
    </row>
    <row r="2185" spans="1:13" ht="31.5" customHeight="1" x14ac:dyDescent="0.2">
      <c r="A2185" s="525" t="s">
        <v>287</v>
      </c>
      <c r="B2185" s="525" t="s">
        <v>970</v>
      </c>
      <c r="C2185" s="121"/>
      <c r="D2185" s="49"/>
      <c r="E2185" s="114"/>
      <c r="F2185" s="330"/>
      <c r="G2185" s="48"/>
      <c r="H2185" s="48"/>
      <c r="I2185" s="48"/>
      <c r="J2185" s="48"/>
      <c r="K2185" s="48"/>
      <c r="L2185" s="48"/>
      <c r="M2185" s="48"/>
    </row>
    <row r="2186" spans="1:13" x14ac:dyDescent="0.25">
      <c r="A2186" s="526"/>
      <c r="B2186" s="526"/>
      <c r="C2186" s="121">
        <f>2*36</f>
        <v>72</v>
      </c>
      <c r="D2186" s="49">
        <v>57</v>
      </c>
      <c r="E2186" s="114">
        <v>1976</v>
      </c>
      <c r="F2186" s="332">
        <f t="shared" ref="F2186" si="671">2019-E2186</f>
        <v>43</v>
      </c>
      <c r="G2186" s="48"/>
      <c r="H2186" s="48"/>
      <c r="I2186" s="48"/>
      <c r="J2186" s="48"/>
      <c r="K2186" s="48"/>
      <c r="L2186" s="48"/>
      <c r="M2186" s="48"/>
    </row>
    <row r="2187" spans="1:13" ht="31.5" customHeight="1" x14ac:dyDescent="0.2">
      <c r="A2187" s="525" t="s">
        <v>200</v>
      </c>
      <c r="B2187" s="525" t="s">
        <v>477</v>
      </c>
      <c r="C2187" s="121"/>
      <c r="D2187" s="49"/>
      <c r="E2187" s="114"/>
      <c r="F2187" s="330"/>
      <c r="G2187" s="48"/>
      <c r="H2187" s="48"/>
      <c r="I2187" s="48"/>
      <c r="J2187" s="48"/>
      <c r="K2187" s="48"/>
      <c r="L2187" s="48"/>
      <c r="M2187" s="48"/>
    </row>
    <row r="2188" spans="1:13" x14ac:dyDescent="0.25">
      <c r="A2188" s="531"/>
      <c r="B2188" s="531"/>
      <c r="C2188" s="121">
        <v>40</v>
      </c>
      <c r="D2188" s="49">
        <v>89</v>
      </c>
      <c r="E2188" s="114">
        <v>1976</v>
      </c>
      <c r="F2188" s="332">
        <f t="shared" ref="F2188:F2189" si="672">2019-E2188</f>
        <v>43</v>
      </c>
      <c r="G2188" s="48"/>
      <c r="H2188" s="48"/>
      <c r="I2188" s="48"/>
      <c r="J2188" s="48"/>
      <c r="K2188" s="48"/>
      <c r="L2188" s="48"/>
      <c r="M2188" s="48"/>
    </row>
    <row r="2189" spans="1:13" x14ac:dyDescent="0.25">
      <c r="A2189" s="526"/>
      <c r="B2189" s="526"/>
      <c r="C2189" s="121">
        <v>40</v>
      </c>
      <c r="D2189" s="49">
        <v>57</v>
      </c>
      <c r="E2189" s="114">
        <v>1976</v>
      </c>
      <c r="F2189" s="332">
        <f t="shared" si="672"/>
        <v>43</v>
      </c>
      <c r="G2189" s="48"/>
      <c r="H2189" s="48"/>
      <c r="I2189" s="48"/>
      <c r="J2189" s="48"/>
      <c r="K2189" s="48"/>
      <c r="L2189" s="48"/>
      <c r="M2189" s="48"/>
    </row>
    <row r="2190" spans="1:13" x14ac:dyDescent="0.2">
      <c r="A2190" s="525" t="s">
        <v>200</v>
      </c>
      <c r="B2190" s="525" t="s">
        <v>971</v>
      </c>
      <c r="C2190" s="121"/>
      <c r="D2190" s="49"/>
      <c r="E2190" s="114"/>
      <c r="F2190" s="330"/>
      <c r="G2190" s="48"/>
      <c r="H2190" s="48"/>
      <c r="I2190" s="48"/>
      <c r="J2190" s="48"/>
      <c r="K2190" s="48"/>
      <c r="L2190" s="48"/>
      <c r="M2190" s="48"/>
    </row>
    <row r="2191" spans="1:13" x14ac:dyDescent="0.25">
      <c r="A2191" s="526"/>
      <c r="B2191" s="526"/>
      <c r="C2191" s="121">
        <v>80</v>
      </c>
      <c r="D2191" s="49">
        <v>57</v>
      </c>
      <c r="E2191" s="114">
        <v>1976</v>
      </c>
      <c r="F2191" s="332">
        <f t="shared" ref="F2191" si="673">2019-E2191</f>
        <v>43</v>
      </c>
      <c r="G2191" s="48"/>
      <c r="H2191" s="48"/>
      <c r="I2191" s="48"/>
      <c r="J2191" s="48"/>
      <c r="K2191" s="48"/>
      <c r="L2191" s="48"/>
      <c r="M2191" s="48"/>
    </row>
    <row r="2192" spans="1:13" ht="31.5" customHeight="1" x14ac:dyDescent="0.2">
      <c r="A2192" s="525" t="s">
        <v>205</v>
      </c>
      <c r="B2192" s="525" t="s">
        <v>972</v>
      </c>
      <c r="C2192" s="121"/>
      <c r="D2192" s="49"/>
      <c r="E2192" s="114"/>
      <c r="F2192" s="330"/>
      <c r="G2192" s="48"/>
      <c r="H2192" s="48"/>
      <c r="I2192" s="48"/>
      <c r="J2192" s="48"/>
      <c r="K2192" s="48"/>
      <c r="L2192" s="48"/>
      <c r="M2192" s="48"/>
    </row>
    <row r="2193" spans="1:13" x14ac:dyDescent="0.25">
      <c r="A2193" s="531"/>
      <c r="B2193" s="531"/>
      <c r="C2193" s="121">
        <v>65</v>
      </c>
      <c r="D2193" s="49">
        <v>89</v>
      </c>
      <c r="E2193" s="114">
        <v>1976</v>
      </c>
      <c r="F2193" s="332">
        <f t="shared" ref="F2193:F2194" si="674">2019-E2193</f>
        <v>43</v>
      </c>
      <c r="G2193" s="48"/>
      <c r="H2193" s="48"/>
      <c r="I2193" s="48"/>
      <c r="J2193" s="48"/>
      <c r="K2193" s="48"/>
      <c r="L2193" s="48"/>
      <c r="M2193" s="48"/>
    </row>
    <row r="2194" spans="1:13" x14ac:dyDescent="0.25">
      <c r="A2194" s="526"/>
      <c r="B2194" s="526"/>
      <c r="C2194" s="121">
        <v>65</v>
      </c>
      <c r="D2194" s="49">
        <v>57</v>
      </c>
      <c r="E2194" s="114">
        <v>1976</v>
      </c>
      <c r="F2194" s="332">
        <f t="shared" si="674"/>
        <v>43</v>
      </c>
      <c r="G2194" s="48"/>
      <c r="H2194" s="48"/>
      <c r="I2194" s="48"/>
      <c r="J2194" s="48"/>
      <c r="K2194" s="48"/>
      <c r="L2194" s="48"/>
      <c r="M2194" s="48"/>
    </row>
    <row r="2195" spans="1:13" ht="31.5" customHeight="1" x14ac:dyDescent="0.2">
      <c r="A2195" s="534" t="s">
        <v>205</v>
      </c>
      <c r="B2195" s="525" t="s">
        <v>973</v>
      </c>
      <c r="C2195" s="121"/>
      <c r="D2195" s="49"/>
      <c r="E2195" s="114"/>
      <c r="F2195" s="330"/>
      <c r="G2195" s="48"/>
      <c r="H2195" s="48"/>
      <c r="I2195" s="48"/>
      <c r="J2195" s="48"/>
      <c r="K2195" s="48"/>
      <c r="L2195" s="48"/>
      <c r="M2195" s="48"/>
    </row>
    <row r="2196" spans="1:13" x14ac:dyDescent="0.25">
      <c r="A2196" s="536"/>
      <c r="B2196" s="531"/>
      <c r="C2196" s="121">
        <v>30</v>
      </c>
      <c r="D2196" s="49">
        <v>57</v>
      </c>
      <c r="E2196" s="114">
        <v>1976</v>
      </c>
      <c r="F2196" s="332">
        <f t="shared" ref="F2196:F2197" si="675">2019-E2196</f>
        <v>43</v>
      </c>
      <c r="G2196" s="48"/>
      <c r="H2196" s="48"/>
      <c r="I2196" s="48"/>
      <c r="J2196" s="48"/>
      <c r="K2196" s="48"/>
      <c r="L2196" s="48"/>
      <c r="M2196" s="48"/>
    </row>
    <row r="2197" spans="1:13" ht="22.5" customHeight="1" x14ac:dyDescent="0.25">
      <c r="A2197" s="535"/>
      <c r="B2197" s="526"/>
      <c r="C2197" s="121">
        <v>30</v>
      </c>
      <c r="D2197" s="49">
        <v>40</v>
      </c>
      <c r="E2197" s="114">
        <v>1976</v>
      </c>
      <c r="F2197" s="332">
        <f t="shared" si="675"/>
        <v>43</v>
      </c>
      <c r="G2197" s="48"/>
      <c r="H2197" s="48"/>
      <c r="I2197" s="48"/>
      <c r="J2197" s="48"/>
      <c r="K2197" s="48"/>
      <c r="L2197" s="48"/>
      <c r="M2197" s="48"/>
    </row>
    <row r="2198" spans="1:13" ht="31.5" customHeight="1" x14ac:dyDescent="0.2">
      <c r="A2198" s="534" t="s">
        <v>974</v>
      </c>
      <c r="B2198" s="525" t="s">
        <v>975</v>
      </c>
      <c r="C2198" s="121"/>
      <c r="D2198" s="49"/>
      <c r="E2198" s="114"/>
      <c r="F2198" s="330"/>
      <c r="G2198" s="48"/>
      <c r="H2198" s="48"/>
      <c r="I2198" s="48"/>
      <c r="J2198" s="48"/>
      <c r="K2198" s="48"/>
      <c r="L2198" s="48"/>
      <c r="M2198" s="48"/>
    </row>
    <row r="2199" spans="1:13" x14ac:dyDescent="0.25">
      <c r="A2199" s="536"/>
      <c r="B2199" s="531"/>
      <c r="C2199" s="121">
        <v>54</v>
      </c>
      <c r="D2199" s="49">
        <v>89</v>
      </c>
      <c r="E2199" s="114">
        <v>1977</v>
      </c>
      <c r="F2199" s="332">
        <f t="shared" ref="F2199:F2200" si="676">2019-E2199</f>
        <v>42</v>
      </c>
      <c r="G2199" s="48"/>
      <c r="H2199" s="48"/>
      <c r="I2199" s="48"/>
      <c r="J2199" s="48"/>
      <c r="K2199" s="48"/>
      <c r="L2199" s="48"/>
      <c r="M2199" s="48"/>
    </row>
    <row r="2200" spans="1:13" x14ac:dyDescent="0.25">
      <c r="A2200" s="535"/>
      <c r="B2200" s="526"/>
      <c r="C2200" s="121">
        <v>54</v>
      </c>
      <c r="D2200" s="49">
        <v>40</v>
      </c>
      <c r="E2200" s="114">
        <v>1977</v>
      </c>
      <c r="F2200" s="332">
        <f t="shared" si="676"/>
        <v>42</v>
      </c>
      <c r="G2200" s="48"/>
      <c r="H2200" s="48"/>
      <c r="I2200" s="48"/>
      <c r="J2200" s="48"/>
      <c r="K2200" s="48"/>
      <c r="L2200" s="48"/>
      <c r="M2200" s="48"/>
    </row>
    <row r="2201" spans="1:13" x14ac:dyDescent="0.2">
      <c r="A2201" s="525" t="s">
        <v>976</v>
      </c>
      <c r="B2201" s="525" t="s">
        <v>977</v>
      </c>
      <c r="C2201" s="121"/>
      <c r="D2201" s="49"/>
      <c r="E2201" s="114"/>
      <c r="F2201" s="330"/>
      <c r="G2201" s="48"/>
      <c r="H2201" s="48"/>
      <c r="I2201" s="48"/>
      <c r="J2201" s="48"/>
      <c r="K2201" s="48"/>
      <c r="L2201" s="48"/>
      <c r="M2201" s="48"/>
    </row>
    <row r="2202" spans="1:13" x14ac:dyDescent="0.25">
      <c r="A2202" s="531"/>
      <c r="B2202" s="531"/>
      <c r="C2202" s="52">
        <v>264.10000000000002</v>
      </c>
      <c r="D2202" s="49">
        <v>108</v>
      </c>
      <c r="E2202" s="114">
        <v>1976</v>
      </c>
      <c r="F2202" s="332">
        <f t="shared" ref="F2202:F2203" si="677">2019-E2202</f>
        <v>43</v>
      </c>
      <c r="G2202" s="48"/>
      <c r="H2202" s="48"/>
      <c r="I2202" s="48"/>
      <c r="J2202" s="48"/>
      <c r="K2202" s="48"/>
      <c r="L2202" s="48"/>
      <c r="M2202" s="48"/>
    </row>
    <row r="2203" spans="1:13" x14ac:dyDescent="0.25">
      <c r="A2203" s="526"/>
      <c r="B2203" s="526"/>
      <c r="C2203" s="121">
        <v>264.10000000000002</v>
      </c>
      <c r="D2203" s="49">
        <v>57</v>
      </c>
      <c r="E2203" s="114">
        <v>1976</v>
      </c>
      <c r="F2203" s="332">
        <f t="shared" si="677"/>
        <v>43</v>
      </c>
      <c r="G2203" s="48"/>
      <c r="H2203" s="48"/>
      <c r="I2203" s="48"/>
      <c r="J2203" s="48"/>
      <c r="K2203" s="48"/>
      <c r="L2203" s="48"/>
      <c r="M2203" s="48"/>
    </row>
    <row r="2204" spans="1:13" ht="31.5" customHeight="1" x14ac:dyDescent="0.2">
      <c r="A2204" s="525" t="s">
        <v>978</v>
      </c>
      <c r="B2204" s="525" t="s">
        <v>979</v>
      </c>
      <c r="C2204" s="121"/>
      <c r="D2204" s="49"/>
      <c r="E2204" s="114"/>
      <c r="F2204" s="330"/>
      <c r="G2204" s="48"/>
      <c r="H2204" s="48"/>
      <c r="I2204" s="48"/>
      <c r="J2204" s="48"/>
      <c r="K2204" s="48"/>
      <c r="L2204" s="48"/>
      <c r="M2204" s="48"/>
    </row>
    <row r="2205" spans="1:13" x14ac:dyDescent="0.25">
      <c r="A2205" s="531"/>
      <c r="B2205" s="531"/>
      <c r="C2205" s="121">
        <v>82</v>
      </c>
      <c r="D2205" s="49">
        <v>89</v>
      </c>
      <c r="E2205" s="114">
        <v>1976</v>
      </c>
      <c r="F2205" s="332">
        <f t="shared" ref="F2205:F2206" si="678">2019-E2205</f>
        <v>43</v>
      </c>
      <c r="G2205" s="48"/>
      <c r="H2205" s="48"/>
      <c r="I2205" s="48"/>
      <c r="J2205" s="48"/>
      <c r="K2205" s="48"/>
      <c r="L2205" s="48"/>
      <c r="M2205" s="48"/>
    </row>
    <row r="2206" spans="1:13" x14ac:dyDescent="0.25">
      <c r="A2206" s="526"/>
      <c r="B2206" s="526"/>
      <c r="C2206" s="121">
        <v>82</v>
      </c>
      <c r="D2206" s="49">
        <v>40</v>
      </c>
      <c r="E2206" s="114">
        <v>1976</v>
      </c>
      <c r="F2206" s="332">
        <f t="shared" si="678"/>
        <v>43</v>
      </c>
      <c r="G2206" s="48"/>
      <c r="H2206" s="48"/>
      <c r="I2206" s="48"/>
      <c r="J2206" s="48"/>
      <c r="K2206" s="48"/>
      <c r="L2206" s="48"/>
      <c r="M2206" s="48"/>
    </row>
    <row r="2207" spans="1:13" ht="31.5" customHeight="1" x14ac:dyDescent="0.2">
      <c r="A2207" s="525" t="s">
        <v>980</v>
      </c>
      <c r="B2207" s="525" t="s">
        <v>981</v>
      </c>
      <c r="C2207" s="121"/>
      <c r="D2207" s="49"/>
      <c r="E2207" s="114"/>
      <c r="F2207" s="330"/>
      <c r="G2207" s="48"/>
      <c r="H2207" s="48"/>
      <c r="I2207" s="48"/>
      <c r="J2207" s="48"/>
      <c r="K2207" s="48"/>
      <c r="L2207" s="48"/>
      <c r="M2207" s="48"/>
    </row>
    <row r="2208" spans="1:13" x14ac:dyDescent="0.25">
      <c r="A2208" s="531"/>
      <c r="B2208" s="531"/>
      <c r="C2208" s="121">
        <v>14</v>
      </c>
      <c r="D2208" s="49">
        <v>89</v>
      </c>
      <c r="E2208" s="114">
        <v>1977</v>
      </c>
      <c r="F2208" s="332">
        <f t="shared" ref="F2208:F2209" si="679">2019-E2208</f>
        <v>42</v>
      </c>
      <c r="G2208" s="48"/>
      <c r="H2208" s="48"/>
      <c r="I2208" s="48"/>
      <c r="J2208" s="48"/>
      <c r="K2208" s="48"/>
      <c r="L2208" s="48"/>
      <c r="M2208" s="48"/>
    </row>
    <row r="2209" spans="1:13" x14ac:dyDescent="0.25">
      <c r="A2209" s="526"/>
      <c r="B2209" s="526"/>
      <c r="C2209" s="121">
        <v>14</v>
      </c>
      <c r="D2209" s="49">
        <v>40</v>
      </c>
      <c r="E2209" s="114">
        <v>1977</v>
      </c>
      <c r="F2209" s="332">
        <f t="shared" si="679"/>
        <v>42</v>
      </c>
      <c r="G2209" s="48"/>
      <c r="H2209" s="48"/>
      <c r="I2209" s="48"/>
      <c r="J2209" s="48"/>
      <c r="K2209" s="48"/>
      <c r="L2209" s="48"/>
      <c r="M2209" s="48"/>
    </row>
    <row r="2210" spans="1:13" ht="31.5" customHeight="1" x14ac:dyDescent="0.2">
      <c r="A2210" s="525" t="s">
        <v>250</v>
      </c>
      <c r="B2210" s="525" t="s">
        <v>982</v>
      </c>
      <c r="C2210" s="121"/>
      <c r="D2210" s="49"/>
      <c r="E2210" s="114"/>
      <c r="F2210" s="330"/>
      <c r="G2210" s="48"/>
      <c r="H2210" s="48"/>
      <c r="I2210" s="48"/>
      <c r="J2210" s="48"/>
      <c r="K2210" s="48"/>
      <c r="L2210" s="48"/>
      <c r="M2210" s="48"/>
    </row>
    <row r="2211" spans="1:13" x14ac:dyDescent="0.25">
      <c r="A2211" s="531"/>
      <c r="B2211" s="531"/>
      <c r="C2211" s="52">
        <v>4</v>
      </c>
      <c r="D2211" s="49">
        <v>108</v>
      </c>
      <c r="E2211" s="114">
        <v>1976</v>
      </c>
      <c r="F2211" s="332">
        <f t="shared" ref="F2211:F2212" si="680">2019-E2211</f>
        <v>43</v>
      </c>
      <c r="G2211" s="48"/>
      <c r="H2211" s="48"/>
      <c r="I2211" s="48"/>
      <c r="J2211" s="48"/>
      <c r="K2211" s="48"/>
      <c r="L2211" s="48"/>
      <c r="M2211" s="48"/>
    </row>
    <row r="2212" spans="1:13" x14ac:dyDescent="0.25">
      <c r="A2212" s="526"/>
      <c r="B2212" s="526"/>
      <c r="C2212" s="121">
        <v>4</v>
      </c>
      <c r="D2212" s="49">
        <v>57</v>
      </c>
      <c r="E2212" s="114">
        <v>1976</v>
      </c>
      <c r="F2212" s="332">
        <f t="shared" si="680"/>
        <v>43</v>
      </c>
      <c r="G2212" s="48"/>
      <c r="H2212" s="48"/>
      <c r="I2212" s="48"/>
      <c r="J2212" s="48"/>
      <c r="K2212" s="48"/>
      <c r="L2212" s="48"/>
      <c r="M2212" s="48"/>
    </row>
    <row r="2213" spans="1:13" ht="31.5" customHeight="1" x14ac:dyDescent="0.2">
      <c r="A2213" s="534" t="s">
        <v>250</v>
      </c>
      <c r="B2213" s="525" t="s">
        <v>983</v>
      </c>
      <c r="C2213" s="52"/>
      <c r="D2213" s="49"/>
      <c r="E2213" s="114"/>
      <c r="F2213" s="330"/>
      <c r="G2213" s="48"/>
      <c r="H2213" s="48"/>
      <c r="I2213" s="48"/>
      <c r="J2213" s="48"/>
      <c r="K2213" s="48"/>
      <c r="L2213" s="48"/>
      <c r="M2213" s="48"/>
    </row>
    <row r="2214" spans="1:13" x14ac:dyDescent="0.25">
      <c r="A2214" s="536"/>
      <c r="B2214" s="531"/>
      <c r="C2214" s="52">
        <v>64</v>
      </c>
      <c r="D2214" s="49">
        <v>108</v>
      </c>
      <c r="E2214" s="114">
        <v>1977</v>
      </c>
      <c r="F2214" s="332">
        <f t="shared" ref="F2214:F2215" si="681">2019-E2214</f>
        <v>42</v>
      </c>
      <c r="G2214" s="48"/>
      <c r="H2214" s="48"/>
      <c r="I2214" s="48"/>
      <c r="J2214" s="48"/>
      <c r="K2214" s="48"/>
      <c r="L2214" s="48"/>
      <c r="M2214" s="48"/>
    </row>
    <row r="2215" spans="1:13" x14ac:dyDescent="0.25">
      <c r="A2215" s="535"/>
      <c r="B2215" s="526"/>
      <c r="C2215" s="121">
        <v>64</v>
      </c>
      <c r="D2215" s="49">
        <v>57</v>
      </c>
      <c r="E2215" s="114">
        <v>1977</v>
      </c>
      <c r="F2215" s="332">
        <f t="shared" si="681"/>
        <v>42</v>
      </c>
      <c r="G2215" s="48"/>
      <c r="H2215" s="48"/>
      <c r="I2215" s="48"/>
      <c r="J2215" s="48"/>
      <c r="K2215" s="48"/>
      <c r="L2215" s="48"/>
      <c r="M2215" s="48"/>
    </row>
    <row r="2216" spans="1:13" x14ac:dyDescent="0.2">
      <c r="A2216" s="525" t="s">
        <v>229</v>
      </c>
      <c r="B2216" s="525" t="s">
        <v>984</v>
      </c>
      <c r="C2216" s="121"/>
      <c r="D2216" s="49"/>
      <c r="E2216" s="114"/>
      <c r="F2216" s="330"/>
      <c r="G2216" s="48"/>
      <c r="H2216" s="48"/>
      <c r="I2216" s="48"/>
      <c r="J2216" s="48"/>
      <c r="K2216" s="48"/>
      <c r="L2216" s="48"/>
      <c r="M2216" s="48"/>
    </row>
    <row r="2217" spans="1:13" x14ac:dyDescent="0.25">
      <c r="A2217" s="531"/>
      <c r="B2217" s="531"/>
      <c r="C2217" s="121">
        <f>2*30</f>
        <v>60</v>
      </c>
      <c r="D2217" s="49">
        <v>57</v>
      </c>
      <c r="E2217" s="114">
        <v>1970</v>
      </c>
      <c r="F2217" s="332">
        <f t="shared" ref="F2217" si="682">2019-E2217</f>
        <v>49</v>
      </c>
      <c r="G2217" s="48"/>
      <c r="H2217" s="48"/>
      <c r="I2217" s="48"/>
      <c r="J2217" s="48"/>
      <c r="K2217" s="48"/>
      <c r="L2217" s="48"/>
      <c r="M2217" s="48"/>
    </row>
    <row r="2218" spans="1:13" ht="31.5" customHeight="1" x14ac:dyDescent="0.2">
      <c r="A2218" s="525" t="s">
        <v>407</v>
      </c>
      <c r="B2218" s="525" t="s">
        <v>985</v>
      </c>
      <c r="C2218" s="52"/>
      <c r="D2218" s="49"/>
      <c r="E2218" s="114"/>
      <c r="F2218" s="330"/>
      <c r="G2218" s="48"/>
      <c r="H2218" s="48"/>
      <c r="I2218" s="48"/>
      <c r="J2218" s="48"/>
      <c r="K2218" s="48"/>
      <c r="L2218" s="48"/>
      <c r="M2218" s="48"/>
    </row>
    <row r="2219" spans="1:13" x14ac:dyDescent="0.25">
      <c r="A2219" s="531"/>
      <c r="B2219" s="531"/>
      <c r="C2219" s="52">
        <f>2*30</f>
        <v>60</v>
      </c>
      <c r="D2219" s="49">
        <v>108</v>
      </c>
      <c r="E2219" s="114">
        <v>1970</v>
      </c>
      <c r="F2219" s="332">
        <f t="shared" ref="F2219" si="683">2019-E2219</f>
        <v>49</v>
      </c>
      <c r="G2219" s="48"/>
      <c r="H2219" s="48"/>
      <c r="I2219" s="48"/>
      <c r="J2219" s="48"/>
      <c r="K2219" s="48"/>
      <c r="L2219" s="48"/>
      <c r="M2219" s="48"/>
    </row>
    <row r="2220" spans="1:13" ht="31.5" customHeight="1" x14ac:dyDescent="0.2">
      <c r="A2220" s="525" t="s">
        <v>986</v>
      </c>
      <c r="B2220" s="525" t="s">
        <v>987</v>
      </c>
      <c r="C2220" s="52"/>
      <c r="D2220" s="49"/>
      <c r="E2220" s="114"/>
      <c r="F2220" s="330"/>
      <c r="G2220" s="48"/>
      <c r="H2220" s="48"/>
      <c r="I2220" s="48"/>
      <c r="J2220" s="48"/>
      <c r="K2220" s="48"/>
      <c r="L2220" s="48"/>
      <c r="M2220" s="48"/>
    </row>
    <row r="2221" spans="1:13" x14ac:dyDescent="0.25">
      <c r="A2221" s="531"/>
      <c r="B2221" s="531"/>
      <c r="C2221" s="52">
        <f>2*30</f>
        <v>60</v>
      </c>
      <c r="D2221" s="49">
        <v>108</v>
      </c>
      <c r="E2221" s="114">
        <v>1970</v>
      </c>
      <c r="F2221" s="332">
        <f t="shared" ref="F2221" si="684">2019-E2221</f>
        <v>49</v>
      </c>
      <c r="G2221" s="48"/>
      <c r="H2221" s="48"/>
      <c r="I2221" s="48"/>
      <c r="J2221" s="48"/>
      <c r="K2221" s="48"/>
      <c r="L2221" s="48"/>
      <c r="M2221" s="48"/>
    </row>
    <row r="2222" spans="1:13" x14ac:dyDescent="0.2">
      <c r="A2222" s="525" t="s">
        <v>271</v>
      </c>
      <c r="B2222" s="525" t="s">
        <v>178</v>
      </c>
      <c r="C2222" s="121"/>
      <c r="D2222" s="49"/>
      <c r="E2222" s="114"/>
      <c r="F2222" s="330"/>
      <c r="G2222" s="48"/>
      <c r="H2222" s="48"/>
      <c r="I2222" s="48"/>
      <c r="J2222" s="48"/>
      <c r="K2222" s="48"/>
      <c r="L2222" s="48"/>
      <c r="M2222" s="48"/>
    </row>
    <row r="2223" spans="1:13" x14ac:dyDescent="0.25">
      <c r="A2223" s="531"/>
      <c r="B2223" s="531"/>
      <c r="C2223" s="124">
        <f>2*40</f>
        <v>80</v>
      </c>
      <c r="D2223" s="49">
        <v>76</v>
      </c>
      <c r="E2223" s="114">
        <v>1970</v>
      </c>
      <c r="F2223" s="332">
        <f t="shared" ref="F2223" si="685">2019-E2223</f>
        <v>49</v>
      </c>
      <c r="G2223" s="48"/>
      <c r="H2223" s="48"/>
      <c r="I2223" s="48"/>
      <c r="J2223" s="48"/>
      <c r="K2223" s="48"/>
      <c r="L2223" s="48"/>
      <c r="M2223" s="48"/>
    </row>
    <row r="2224" spans="1:13" ht="31.5" customHeight="1" x14ac:dyDescent="0.2">
      <c r="A2224" s="525" t="s">
        <v>271</v>
      </c>
      <c r="B2224" s="525" t="s">
        <v>988</v>
      </c>
      <c r="C2224" s="121"/>
      <c r="D2224" s="49"/>
      <c r="E2224" s="114"/>
      <c r="F2224" s="330"/>
      <c r="G2224" s="48"/>
      <c r="H2224" s="48"/>
      <c r="I2224" s="48"/>
      <c r="J2224" s="48"/>
      <c r="K2224" s="48"/>
      <c r="L2224" s="48"/>
      <c r="M2224" s="48"/>
    </row>
    <row r="2225" spans="1:13" x14ac:dyDescent="0.25">
      <c r="A2225" s="531"/>
      <c r="B2225" s="531"/>
      <c r="C2225" s="124">
        <f>2*5</f>
        <v>10</v>
      </c>
      <c r="D2225" s="49">
        <v>57</v>
      </c>
      <c r="E2225" s="114">
        <v>1970</v>
      </c>
      <c r="F2225" s="332">
        <f t="shared" ref="F2225" si="686">2019-E2225</f>
        <v>49</v>
      </c>
      <c r="G2225" s="48"/>
      <c r="H2225" s="48"/>
      <c r="I2225" s="48"/>
      <c r="J2225" s="48"/>
      <c r="K2225" s="48"/>
      <c r="L2225" s="48"/>
      <c r="M2225" s="48"/>
    </row>
    <row r="2226" spans="1:13" ht="31.5" customHeight="1" x14ac:dyDescent="0.2">
      <c r="A2226" s="525" t="s">
        <v>989</v>
      </c>
      <c r="B2226" s="525" t="s">
        <v>990</v>
      </c>
      <c r="C2226" s="121"/>
      <c r="D2226" s="49"/>
      <c r="E2226" s="114"/>
      <c r="F2226" s="330"/>
      <c r="G2226" s="48"/>
      <c r="H2226" s="48"/>
      <c r="I2226" s="48"/>
      <c r="J2226" s="48"/>
      <c r="K2226" s="48"/>
      <c r="L2226" s="48"/>
      <c r="M2226" s="48"/>
    </row>
    <row r="2227" spans="1:13" x14ac:dyDescent="0.25">
      <c r="A2227" s="531"/>
      <c r="B2227" s="531"/>
      <c r="C2227" s="121">
        <v>11</v>
      </c>
      <c r="D2227" s="49">
        <v>76</v>
      </c>
      <c r="E2227" s="114">
        <v>1970</v>
      </c>
      <c r="F2227" s="332">
        <f t="shared" ref="F2227:F2228" si="687">2019-E2227</f>
        <v>49</v>
      </c>
      <c r="G2227" s="48"/>
      <c r="H2227" s="48"/>
      <c r="I2227" s="48"/>
      <c r="J2227" s="48"/>
      <c r="K2227" s="48"/>
      <c r="L2227" s="48"/>
      <c r="M2227" s="48"/>
    </row>
    <row r="2228" spans="1:13" x14ac:dyDescent="0.25">
      <c r="A2228" s="526"/>
      <c r="B2228" s="526"/>
      <c r="C2228" s="121">
        <v>11</v>
      </c>
      <c r="D2228" s="49">
        <v>40</v>
      </c>
      <c r="E2228" s="114">
        <v>1970</v>
      </c>
      <c r="F2228" s="332">
        <f t="shared" si="687"/>
        <v>49</v>
      </c>
      <c r="G2228" s="48"/>
      <c r="H2228" s="48"/>
      <c r="I2228" s="48"/>
      <c r="J2228" s="48"/>
      <c r="K2228" s="48"/>
      <c r="L2228" s="48"/>
      <c r="M2228" s="48"/>
    </row>
    <row r="2229" spans="1:13" x14ac:dyDescent="0.2">
      <c r="A2229" s="525" t="s">
        <v>991</v>
      </c>
      <c r="B2229" s="525" t="s">
        <v>325</v>
      </c>
      <c r="C2229" s="52"/>
      <c r="D2229" s="49"/>
      <c r="E2229" s="114"/>
      <c r="F2229" s="330"/>
      <c r="G2229" s="48"/>
      <c r="H2229" s="48"/>
      <c r="I2229" s="48"/>
      <c r="J2229" s="48"/>
      <c r="K2229" s="48"/>
      <c r="L2229" s="48"/>
      <c r="M2229" s="48"/>
    </row>
    <row r="2230" spans="1:13" x14ac:dyDescent="0.25">
      <c r="A2230" s="531"/>
      <c r="B2230" s="531"/>
      <c r="C2230" s="124">
        <f>2*57</f>
        <v>114</v>
      </c>
      <c r="D2230" s="49">
        <v>76</v>
      </c>
      <c r="E2230" s="114">
        <v>1970</v>
      </c>
      <c r="F2230" s="332">
        <f t="shared" ref="F2230" si="688">2019-E2230</f>
        <v>49</v>
      </c>
      <c r="G2230" s="48"/>
      <c r="H2230" s="48"/>
      <c r="I2230" s="48"/>
      <c r="J2230" s="48"/>
      <c r="K2230" s="48"/>
      <c r="L2230" s="48"/>
      <c r="M2230" s="48"/>
    </row>
    <row r="2231" spans="1:13" x14ac:dyDescent="0.2">
      <c r="A2231" s="525" t="s">
        <v>178</v>
      </c>
      <c r="B2231" s="525" t="s">
        <v>972</v>
      </c>
      <c r="C2231" s="121"/>
      <c r="D2231" s="49"/>
      <c r="E2231" s="114"/>
      <c r="F2231" s="330"/>
      <c r="G2231" s="48"/>
      <c r="H2231" s="48"/>
      <c r="I2231" s="48"/>
      <c r="J2231" s="48"/>
      <c r="K2231" s="48"/>
      <c r="L2231" s="48"/>
      <c r="M2231" s="48"/>
    </row>
    <row r="2232" spans="1:13" x14ac:dyDescent="0.25">
      <c r="A2232" s="531"/>
      <c r="B2232" s="531"/>
      <c r="C2232" s="52">
        <v>46</v>
      </c>
      <c r="D2232" s="49">
        <v>133</v>
      </c>
      <c r="E2232" s="114">
        <v>1970</v>
      </c>
      <c r="F2232" s="332">
        <f t="shared" ref="F2232:F2233" si="689">2019-E2232</f>
        <v>49</v>
      </c>
      <c r="G2232" s="48"/>
      <c r="H2232" s="48"/>
      <c r="I2232" s="48"/>
      <c r="J2232" s="48"/>
      <c r="K2232" s="48"/>
      <c r="L2232" s="48"/>
      <c r="M2232" s="48"/>
    </row>
    <row r="2233" spans="1:13" x14ac:dyDescent="0.25">
      <c r="A2233" s="526"/>
      <c r="B2233" s="526"/>
      <c r="C2233" s="121">
        <v>46</v>
      </c>
      <c r="D2233" s="49">
        <v>76</v>
      </c>
      <c r="E2233" s="114">
        <v>1970</v>
      </c>
      <c r="F2233" s="332">
        <f t="shared" si="689"/>
        <v>49</v>
      </c>
      <c r="G2233" s="48"/>
      <c r="H2233" s="48"/>
      <c r="I2233" s="48"/>
      <c r="J2233" s="48"/>
      <c r="K2233" s="48"/>
      <c r="L2233" s="48"/>
      <c r="M2233" s="48"/>
    </row>
    <row r="2234" spans="1:13" x14ac:dyDescent="0.2">
      <c r="A2234" s="525" t="s">
        <v>271</v>
      </c>
      <c r="B2234" s="525" t="s">
        <v>992</v>
      </c>
      <c r="C2234" s="121"/>
      <c r="D2234" s="49"/>
      <c r="E2234" s="114"/>
      <c r="F2234" s="330"/>
      <c r="G2234" s="48"/>
      <c r="H2234" s="48"/>
      <c r="I2234" s="48"/>
      <c r="J2234" s="48"/>
      <c r="K2234" s="48"/>
      <c r="L2234" s="48"/>
      <c r="M2234" s="48"/>
    </row>
    <row r="2235" spans="1:13" x14ac:dyDescent="0.25">
      <c r="A2235" s="531"/>
      <c r="B2235" s="531"/>
      <c r="C2235" s="124">
        <f>2*68</f>
        <v>136</v>
      </c>
      <c r="D2235" s="49">
        <v>57</v>
      </c>
      <c r="E2235" s="114">
        <v>1970</v>
      </c>
      <c r="F2235" s="332">
        <f t="shared" ref="F2235" si="690">2019-E2235</f>
        <v>49</v>
      </c>
      <c r="G2235" s="48"/>
      <c r="H2235" s="48"/>
      <c r="I2235" s="48"/>
      <c r="J2235" s="48"/>
      <c r="K2235" s="48"/>
      <c r="L2235" s="48"/>
      <c r="M2235" s="48"/>
    </row>
    <row r="2236" spans="1:13" ht="31.5" customHeight="1" x14ac:dyDescent="0.2">
      <c r="A2236" s="525" t="s">
        <v>205</v>
      </c>
      <c r="B2236" s="525" t="s">
        <v>993</v>
      </c>
      <c r="C2236" s="52"/>
      <c r="D2236" s="49"/>
      <c r="E2236" s="114"/>
      <c r="F2236" s="330"/>
      <c r="G2236" s="48"/>
      <c r="H2236" s="48"/>
      <c r="I2236" s="48"/>
      <c r="J2236" s="48"/>
      <c r="K2236" s="48"/>
      <c r="L2236" s="48"/>
      <c r="M2236" s="48"/>
    </row>
    <row r="2237" spans="1:13" x14ac:dyDescent="0.25">
      <c r="A2237" s="531"/>
      <c r="B2237" s="531"/>
      <c r="C2237" s="124">
        <f>2*22</f>
        <v>44</v>
      </c>
      <c r="D2237" s="49">
        <v>76</v>
      </c>
      <c r="E2237" s="114">
        <v>1970</v>
      </c>
      <c r="F2237" s="332">
        <f t="shared" ref="F2237" si="691">2019-E2237</f>
        <v>49</v>
      </c>
      <c r="G2237" s="48"/>
      <c r="H2237" s="48"/>
      <c r="I2237" s="48"/>
      <c r="J2237" s="48"/>
      <c r="K2237" s="48"/>
      <c r="L2237" s="48"/>
      <c r="M2237" s="48"/>
    </row>
    <row r="2238" spans="1:13" x14ac:dyDescent="0.2">
      <c r="A2238" s="525" t="s">
        <v>271</v>
      </c>
      <c r="B2238" s="525" t="s">
        <v>994</v>
      </c>
      <c r="C2238" s="121"/>
      <c r="D2238" s="49"/>
      <c r="E2238" s="114"/>
      <c r="F2238" s="330"/>
      <c r="G2238" s="48"/>
      <c r="H2238" s="48"/>
      <c r="I2238" s="48"/>
      <c r="J2238" s="48"/>
      <c r="K2238" s="48"/>
      <c r="L2238" s="48"/>
      <c r="M2238" s="48"/>
    </row>
    <row r="2239" spans="1:13" x14ac:dyDescent="0.25">
      <c r="A2239" s="531"/>
      <c r="B2239" s="531"/>
      <c r="C2239" s="121">
        <v>10</v>
      </c>
      <c r="D2239" s="49">
        <v>57</v>
      </c>
      <c r="E2239" s="114">
        <v>1970</v>
      </c>
      <c r="F2239" s="332">
        <f t="shared" ref="F2239:F2240" si="692">2019-E2239</f>
        <v>49</v>
      </c>
      <c r="G2239" s="48"/>
      <c r="H2239" s="48"/>
      <c r="I2239" s="48"/>
      <c r="J2239" s="48"/>
      <c r="K2239" s="48"/>
      <c r="L2239" s="48"/>
      <c r="M2239" s="48"/>
    </row>
    <row r="2240" spans="1:13" x14ac:dyDescent="0.25">
      <c r="A2240" s="526"/>
      <c r="B2240" s="526"/>
      <c r="C2240" s="121">
        <v>10</v>
      </c>
      <c r="D2240" s="49">
        <v>40</v>
      </c>
      <c r="E2240" s="114">
        <v>1970</v>
      </c>
      <c r="F2240" s="332">
        <f t="shared" si="692"/>
        <v>49</v>
      </c>
      <c r="G2240" s="48"/>
      <c r="H2240" s="48"/>
      <c r="I2240" s="48"/>
      <c r="J2240" s="48"/>
      <c r="K2240" s="48"/>
      <c r="L2240" s="48"/>
      <c r="M2240" s="48"/>
    </row>
    <row r="2241" spans="1:13" x14ac:dyDescent="0.2">
      <c r="A2241" s="525" t="s">
        <v>422</v>
      </c>
      <c r="B2241" s="525" t="s">
        <v>995</v>
      </c>
      <c r="C2241" s="121"/>
      <c r="D2241" s="49"/>
      <c r="E2241" s="114"/>
      <c r="F2241" s="330"/>
      <c r="G2241" s="48"/>
      <c r="H2241" s="48"/>
      <c r="I2241" s="48"/>
      <c r="J2241" s="48"/>
      <c r="K2241" s="48"/>
      <c r="L2241" s="48"/>
      <c r="M2241" s="48"/>
    </row>
    <row r="2242" spans="1:13" x14ac:dyDescent="0.25">
      <c r="A2242" s="531"/>
      <c r="B2242" s="531"/>
      <c r="C2242" s="121">
        <v>25</v>
      </c>
      <c r="D2242" s="49">
        <v>57</v>
      </c>
      <c r="E2242" s="114">
        <v>1969</v>
      </c>
      <c r="F2242" s="332">
        <f t="shared" ref="F2242:F2243" si="693">2019-E2242</f>
        <v>50</v>
      </c>
      <c r="G2242" s="48"/>
      <c r="H2242" s="48"/>
      <c r="I2242" s="48"/>
      <c r="J2242" s="48"/>
      <c r="K2242" s="48"/>
      <c r="L2242" s="48"/>
      <c r="M2242" s="48"/>
    </row>
    <row r="2243" spans="1:13" x14ac:dyDescent="0.25">
      <c r="A2243" s="526"/>
      <c r="B2243" s="526"/>
      <c r="C2243" s="52">
        <v>25</v>
      </c>
      <c r="D2243" s="49">
        <v>32</v>
      </c>
      <c r="E2243" s="114">
        <v>1969</v>
      </c>
      <c r="F2243" s="332">
        <f t="shared" si="693"/>
        <v>50</v>
      </c>
      <c r="G2243" s="48"/>
      <c r="H2243" s="48"/>
      <c r="I2243" s="48"/>
      <c r="J2243" s="48"/>
      <c r="K2243" s="48"/>
      <c r="L2243" s="48"/>
      <c r="M2243" s="48"/>
    </row>
    <row r="2244" spans="1:13" ht="31.5" customHeight="1" x14ac:dyDescent="0.2">
      <c r="A2244" s="525" t="s">
        <v>422</v>
      </c>
      <c r="B2244" s="525" t="s">
        <v>996</v>
      </c>
      <c r="C2244" s="52"/>
      <c r="D2244" s="49"/>
      <c r="E2244" s="114"/>
      <c r="F2244" s="330"/>
      <c r="G2244" s="48"/>
      <c r="H2244" s="48"/>
      <c r="I2244" s="48"/>
      <c r="J2244" s="48"/>
      <c r="K2244" s="48"/>
      <c r="L2244" s="48"/>
      <c r="M2244" s="48"/>
    </row>
    <row r="2245" spans="1:13" x14ac:dyDescent="0.25">
      <c r="A2245" s="531"/>
      <c r="B2245" s="531"/>
      <c r="C2245" s="125">
        <f>2*75</f>
        <v>150</v>
      </c>
      <c r="D2245" s="49">
        <v>108</v>
      </c>
      <c r="E2245" s="114">
        <v>1969</v>
      </c>
      <c r="F2245" s="332">
        <f t="shared" ref="F2245" si="694">2019-E2245</f>
        <v>50</v>
      </c>
      <c r="G2245" s="48"/>
      <c r="H2245" s="48"/>
      <c r="I2245" s="48"/>
      <c r="J2245" s="48"/>
      <c r="K2245" s="48"/>
      <c r="L2245" s="48"/>
      <c r="M2245" s="48"/>
    </row>
    <row r="2246" spans="1:13" ht="31.5" customHeight="1" x14ac:dyDescent="0.2">
      <c r="A2246" s="525" t="s">
        <v>997</v>
      </c>
      <c r="B2246" s="525" t="s">
        <v>998</v>
      </c>
      <c r="C2246" s="52"/>
      <c r="D2246" s="49"/>
      <c r="E2246" s="114"/>
      <c r="F2246" s="330"/>
      <c r="G2246" s="48"/>
      <c r="H2246" s="48"/>
      <c r="I2246" s="48"/>
      <c r="J2246" s="48"/>
      <c r="K2246" s="48"/>
      <c r="L2246" s="48"/>
      <c r="M2246" s="48"/>
    </row>
    <row r="2247" spans="1:13" x14ac:dyDescent="0.25">
      <c r="A2247" s="531"/>
      <c r="B2247" s="531"/>
      <c r="C2247" s="125">
        <f>2*75</f>
        <v>150</v>
      </c>
      <c r="D2247" s="49">
        <v>108</v>
      </c>
      <c r="E2247" s="114">
        <v>1970</v>
      </c>
      <c r="F2247" s="332">
        <f t="shared" ref="F2247" si="695">2019-E2247</f>
        <v>49</v>
      </c>
      <c r="G2247" s="48"/>
      <c r="H2247" s="48"/>
      <c r="I2247" s="48"/>
      <c r="J2247" s="48"/>
      <c r="K2247" s="48"/>
      <c r="L2247" s="48"/>
      <c r="M2247" s="48"/>
    </row>
    <row r="2248" spans="1:13" x14ac:dyDescent="0.2">
      <c r="A2248" s="525" t="s">
        <v>213</v>
      </c>
      <c r="B2248" s="525" t="s">
        <v>255</v>
      </c>
      <c r="C2248" s="52"/>
      <c r="D2248" s="49"/>
      <c r="E2248" s="114"/>
      <c r="F2248" s="330"/>
      <c r="G2248" s="48"/>
      <c r="H2248" s="48"/>
      <c r="I2248" s="48"/>
      <c r="J2248" s="48"/>
      <c r="K2248" s="48"/>
      <c r="L2248" s="48"/>
      <c r="M2248" s="48"/>
    </row>
    <row r="2249" spans="1:13" x14ac:dyDescent="0.25">
      <c r="A2249" s="531"/>
      <c r="B2249" s="531"/>
      <c r="C2249" s="52">
        <v>65</v>
      </c>
      <c r="D2249" s="49">
        <v>133</v>
      </c>
      <c r="E2249" s="114">
        <v>1969</v>
      </c>
      <c r="F2249" s="332">
        <f t="shared" ref="F2249:F2250" si="696">2019-E2249</f>
        <v>50</v>
      </c>
      <c r="G2249" s="48"/>
      <c r="H2249" s="48"/>
      <c r="I2249" s="48"/>
      <c r="J2249" s="48"/>
      <c r="K2249" s="48"/>
      <c r="L2249" s="48"/>
      <c r="M2249" s="48"/>
    </row>
    <row r="2250" spans="1:13" x14ac:dyDescent="0.25">
      <c r="A2250" s="526"/>
      <c r="B2250" s="526"/>
      <c r="C2250" s="121">
        <v>65</v>
      </c>
      <c r="D2250" s="49">
        <v>57</v>
      </c>
      <c r="E2250" s="114">
        <v>1969</v>
      </c>
      <c r="F2250" s="332">
        <f t="shared" si="696"/>
        <v>50</v>
      </c>
      <c r="G2250" s="48"/>
      <c r="H2250" s="48"/>
      <c r="I2250" s="48"/>
      <c r="J2250" s="48"/>
      <c r="K2250" s="48"/>
      <c r="L2250" s="48"/>
      <c r="M2250" s="48"/>
    </row>
    <row r="2251" spans="1:13" ht="31.5" customHeight="1" x14ac:dyDescent="0.2">
      <c r="A2251" s="525" t="s">
        <v>472</v>
      </c>
      <c r="B2251" s="525" t="s">
        <v>999</v>
      </c>
      <c r="C2251" s="121"/>
      <c r="D2251" s="49"/>
      <c r="E2251" s="114"/>
      <c r="F2251" s="330"/>
      <c r="G2251" s="48"/>
      <c r="H2251" s="48"/>
      <c r="I2251" s="48"/>
      <c r="J2251" s="48"/>
      <c r="K2251" s="48"/>
      <c r="L2251" s="48"/>
      <c r="M2251" s="48"/>
    </row>
    <row r="2252" spans="1:13" x14ac:dyDescent="0.25">
      <c r="A2252" s="531"/>
      <c r="B2252" s="531"/>
      <c r="C2252" s="121">
        <v>27</v>
      </c>
      <c r="D2252" s="49">
        <v>76</v>
      </c>
      <c r="E2252" s="114">
        <v>1971</v>
      </c>
      <c r="F2252" s="332">
        <f t="shared" ref="F2252:F2253" si="697">2019-E2252</f>
        <v>48</v>
      </c>
      <c r="G2252" s="48"/>
      <c r="H2252" s="48"/>
      <c r="I2252" s="48"/>
      <c r="J2252" s="48"/>
      <c r="K2252" s="48"/>
      <c r="L2252" s="48"/>
      <c r="M2252" s="48"/>
    </row>
    <row r="2253" spans="1:13" x14ac:dyDescent="0.25">
      <c r="A2253" s="526"/>
      <c r="B2253" s="526"/>
      <c r="C2253" s="121">
        <v>27</v>
      </c>
      <c r="D2253" s="49">
        <v>40</v>
      </c>
      <c r="E2253" s="114">
        <v>1971</v>
      </c>
      <c r="F2253" s="332">
        <f t="shared" si="697"/>
        <v>48</v>
      </c>
      <c r="G2253" s="48"/>
      <c r="H2253" s="48"/>
      <c r="I2253" s="48"/>
      <c r="J2253" s="48"/>
      <c r="K2253" s="48"/>
      <c r="L2253" s="48"/>
      <c r="M2253" s="48"/>
    </row>
    <row r="2254" spans="1:13" x14ac:dyDescent="0.2">
      <c r="A2254" s="525" t="s">
        <v>1000</v>
      </c>
      <c r="B2254" s="525" t="s">
        <v>216</v>
      </c>
      <c r="C2254" s="121"/>
      <c r="D2254" s="49"/>
      <c r="E2254" s="114"/>
      <c r="F2254" s="330"/>
      <c r="G2254" s="48"/>
      <c r="H2254" s="48"/>
      <c r="I2254" s="48"/>
      <c r="J2254" s="48"/>
      <c r="K2254" s="48"/>
      <c r="L2254" s="48"/>
      <c r="M2254" s="48"/>
    </row>
    <row r="2255" spans="1:13" x14ac:dyDescent="0.25">
      <c r="A2255" s="531"/>
      <c r="B2255" s="531"/>
      <c r="C2255" s="52">
        <v>53</v>
      </c>
      <c r="D2255" s="49">
        <v>108</v>
      </c>
      <c r="E2255" s="114">
        <v>1971</v>
      </c>
      <c r="F2255" s="332">
        <f t="shared" ref="F2255:F2256" si="698">2019-E2255</f>
        <v>48</v>
      </c>
      <c r="G2255" s="48"/>
      <c r="H2255" s="48"/>
      <c r="I2255" s="48"/>
      <c r="J2255" s="48"/>
      <c r="K2255" s="48"/>
      <c r="L2255" s="48"/>
      <c r="M2255" s="48"/>
    </row>
    <row r="2256" spans="1:13" x14ac:dyDescent="0.25">
      <c r="A2256" s="526"/>
      <c r="B2256" s="526"/>
      <c r="C2256" s="121">
        <v>53</v>
      </c>
      <c r="D2256" s="49">
        <v>57</v>
      </c>
      <c r="E2256" s="114">
        <v>1971</v>
      </c>
      <c r="F2256" s="332">
        <f t="shared" si="698"/>
        <v>48</v>
      </c>
      <c r="G2256" s="48"/>
      <c r="H2256" s="48"/>
      <c r="I2256" s="48"/>
      <c r="J2256" s="48"/>
      <c r="K2256" s="48"/>
      <c r="L2256" s="48"/>
      <c r="M2256" s="48"/>
    </row>
    <row r="2257" spans="1:13" x14ac:dyDescent="0.2">
      <c r="A2257" s="525" t="s">
        <v>1000</v>
      </c>
      <c r="B2257" s="525" t="s">
        <v>1001</v>
      </c>
      <c r="C2257" s="121"/>
      <c r="D2257" s="49"/>
      <c r="E2257" s="114"/>
      <c r="F2257" s="330"/>
      <c r="G2257" s="48"/>
      <c r="H2257" s="48"/>
      <c r="I2257" s="48"/>
      <c r="J2257" s="48"/>
      <c r="K2257" s="48"/>
      <c r="L2257" s="48"/>
      <c r="M2257" s="48"/>
    </row>
    <row r="2258" spans="1:13" x14ac:dyDescent="0.25">
      <c r="A2258" s="531"/>
      <c r="B2258" s="531"/>
      <c r="C2258" s="121">
        <v>26</v>
      </c>
      <c r="D2258" s="49">
        <v>76</v>
      </c>
      <c r="E2258" s="114">
        <v>1971</v>
      </c>
      <c r="F2258" s="332">
        <f t="shared" ref="F2258:F2259" si="699">2019-E2258</f>
        <v>48</v>
      </c>
      <c r="G2258" s="48"/>
      <c r="H2258" s="48"/>
      <c r="I2258" s="48"/>
      <c r="J2258" s="48"/>
      <c r="K2258" s="48"/>
      <c r="L2258" s="48"/>
      <c r="M2258" s="48"/>
    </row>
    <row r="2259" spans="1:13" x14ac:dyDescent="0.25">
      <c r="A2259" s="526"/>
      <c r="B2259" s="526"/>
      <c r="C2259" s="121">
        <v>26</v>
      </c>
      <c r="D2259" s="49">
        <v>40</v>
      </c>
      <c r="E2259" s="114">
        <v>1971</v>
      </c>
      <c r="F2259" s="332">
        <f t="shared" si="699"/>
        <v>48</v>
      </c>
      <c r="G2259" s="48"/>
      <c r="H2259" s="48"/>
      <c r="I2259" s="48"/>
      <c r="J2259" s="48"/>
      <c r="K2259" s="48"/>
      <c r="L2259" s="48"/>
      <c r="M2259" s="48"/>
    </row>
    <row r="2260" spans="1:13" ht="31.5" customHeight="1" x14ac:dyDescent="0.2">
      <c r="A2260" s="525" t="s">
        <v>472</v>
      </c>
      <c r="B2260" s="525" t="s">
        <v>1002</v>
      </c>
      <c r="C2260" s="121"/>
      <c r="D2260" s="49"/>
      <c r="E2260" s="114"/>
      <c r="F2260" s="330"/>
      <c r="G2260" s="48"/>
      <c r="H2260" s="48"/>
      <c r="I2260" s="48"/>
      <c r="J2260" s="48"/>
      <c r="K2260" s="48"/>
      <c r="L2260" s="48"/>
      <c r="M2260" s="48"/>
    </row>
    <row r="2261" spans="1:13" x14ac:dyDescent="0.25">
      <c r="A2261" s="531"/>
      <c r="B2261" s="531"/>
      <c r="C2261" s="121">
        <v>30</v>
      </c>
      <c r="D2261" s="49">
        <v>57</v>
      </c>
      <c r="E2261" s="114">
        <v>1971</v>
      </c>
      <c r="F2261" s="332">
        <f t="shared" ref="F2261:F2262" si="700">2019-E2261</f>
        <v>48</v>
      </c>
      <c r="G2261" s="48"/>
      <c r="H2261" s="48"/>
      <c r="I2261" s="48"/>
      <c r="J2261" s="48"/>
      <c r="K2261" s="48"/>
      <c r="L2261" s="48"/>
      <c r="M2261" s="48"/>
    </row>
    <row r="2262" spans="1:13" x14ac:dyDescent="0.25">
      <c r="A2262" s="526"/>
      <c r="B2262" s="526"/>
      <c r="C2262" s="121">
        <v>30</v>
      </c>
      <c r="D2262" s="49">
        <v>40</v>
      </c>
      <c r="E2262" s="114">
        <v>1971</v>
      </c>
      <c r="F2262" s="332">
        <f t="shared" si="700"/>
        <v>48</v>
      </c>
      <c r="G2262" s="48"/>
      <c r="H2262" s="48"/>
      <c r="I2262" s="48"/>
      <c r="J2262" s="48"/>
      <c r="K2262" s="48"/>
      <c r="L2262" s="48"/>
      <c r="M2262" s="48"/>
    </row>
    <row r="2263" spans="1:13" ht="31.5" customHeight="1" x14ac:dyDescent="0.2">
      <c r="A2263" s="525" t="s">
        <v>1003</v>
      </c>
      <c r="B2263" s="525" t="s">
        <v>1004</v>
      </c>
      <c r="C2263" s="52"/>
      <c r="D2263" s="49"/>
      <c r="E2263" s="114"/>
      <c r="F2263" s="330"/>
      <c r="G2263" s="48"/>
      <c r="H2263" s="48"/>
      <c r="I2263" s="48"/>
      <c r="J2263" s="48"/>
      <c r="K2263" s="48"/>
      <c r="L2263" s="48"/>
      <c r="M2263" s="48"/>
    </row>
    <row r="2264" spans="1:13" x14ac:dyDescent="0.25">
      <c r="A2264" s="531"/>
      <c r="B2264" s="531"/>
      <c r="C2264" s="52">
        <v>30</v>
      </c>
      <c r="D2264" s="49">
        <v>32</v>
      </c>
      <c r="E2264" s="114">
        <v>1970</v>
      </c>
      <c r="F2264" s="332">
        <f t="shared" ref="F2264:F2265" si="701">2019-E2264</f>
        <v>49</v>
      </c>
      <c r="G2264" s="48"/>
      <c r="H2264" s="48"/>
      <c r="I2264" s="48"/>
      <c r="J2264" s="48"/>
      <c r="K2264" s="48"/>
      <c r="L2264" s="48"/>
      <c r="M2264" s="48"/>
    </row>
    <row r="2265" spans="1:13" x14ac:dyDescent="0.25">
      <c r="A2265" s="526"/>
      <c r="B2265" s="526"/>
      <c r="C2265" s="52">
        <v>30</v>
      </c>
      <c r="D2265" s="49">
        <v>25</v>
      </c>
      <c r="E2265" s="114">
        <v>1970</v>
      </c>
      <c r="F2265" s="332">
        <f t="shared" si="701"/>
        <v>49</v>
      </c>
      <c r="G2265" s="48"/>
      <c r="H2265" s="48"/>
      <c r="I2265" s="48"/>
      <c r="J2265" s="48"/>
      <c r="K2265" s="48"/>
      <c r="L2265" s="48"/>
      <c r="M2265" s="48"/>
    </row>
    <row r="2266" spans="1:13" ht="31.5" customHeight="1" x14ac:dyDescent="0.2">
      <c r="A2266" s="525" t="s">
        <v>256</v>
      </c>
      <c r="B2266" s="525" t="s">
        <v>1005</v>
      </c>
      <c r="C2266" s="121"/>
      <c r="D2266" s="49"/>
      <c r="E2266" s="114"/>
      <c r="F2266" s="330"/>
      <c r="G2266" s="48"/>
      <c r="H2266" s="48"/>
      <c r="I2266" s="48"/>
      <c r="J2266" s="48"/>
      <c r="K2266" s="48"/>
      <c r="L2266" s="48"/>
      <c r="M2266" s="48"/>
    </row>
    <row r="2267" spans="1:13" x14ac:dyDescent="0.25">
      <c r="A2267" s="531"/>
      <c r="B2267" s="531"/>
      <c r="C2267" s="121">
        <v>25</v>
      </c>
      <c r="D2267" s="49">
        <v>76</v>
      </c>
      <c r="E2267" s="114">
        <v>1969</v>
      </c>
      <c r="F2267" s="332">
        <f t="shared" ref="F2267:F2268" si="702">2019-E2267</f>
        <v>50</v>
      </c>
      <c r="G2267" s="48"/>
      <c r="H2267" s="48"/>
      <c r="I2267" s="48"/>
      <c r="J2267" s="48"/>
      <c r="K2267" s="48"/>
      <c r="L2267" s="48"/>
      <c r="M2267" s="48"/>
    </row>
    <row r="2268" spans="1:13" x14ac:dyDescent="0.25">
      <c r="A2268" s="526"/>
      <c r="B2268" s="526"/>
      <c r="C2268" s="121">
        <v>25</v>
      </c>
      <c r="D2268" s="49">
        <v>40</v>
      </c>
      <c r="E2268" s="114">
        <v>1969</v>
      </c>
      <c r="F2268" s="332">
        <f t="shared" si="702"/>
        <v>50</v>
      </c>
      <c r="G2268" s="48"/>
      <c r="H2268" s="48"/>
      <c r="I2268" s="48"/>
      <c r="J2268" s="48"/>
      <c r="K2268" s="48"/>
      <c r="L2268" s="48"/>
      <c r="M2268" s="48"/>
    </row>
    <row r="2269" spans="1:13" ht="31.5" customHeight="1" x14ac:dyDescent="0.2">
      <c r="A2269" s="525" t="s">
        <v>197</v>
      </c>
      <c r="B2269" s="525" t="s">
        <v>1006</v>
      </c>
      <c r="C2269" s="121"/>
      <c r="D2269" s="49"/>
      <c r="E2269" s="114"/>
      <c r="F2269" s="330"/>
      <c r="G2269" s="48"/>
      <c r="H2269" s="48"/>
      <c r="I2269" s="48"/>
      <c r="J2269" s="48"/>
      <c r="K2269" s="48"/>
      <c r="L2269" s="48"/>
      <c r="M2269" s="48"/>
    </row>
    <row r="2270" spans="1:13" x14ac:dyDescent="0.25">
      <c r="A2270" s="531"/>
      <c r="B2270" s="531"/>
      <c r="C2270" s="124">
        <f>2*88.1</f>
        <v>176.2</v>
      </c>
      <c r="D2270" s="49">
        <v>57</v>
      </c>
      <c r="E2270" s="114">
        <v>1970</v>
      </c>
      <c r="F2270" s="332">
        <f t="shared" ref="F2270" si="703">2019-E2270</f>
        <v>49</v>
      </c>
      <c r="G2270" s="48"/>
      <c r="H2270" s="48"/>
      <c r="I2270" s="48"/>
      <c r="J2270" s="48"/>
      <c r="K2270" s="48"/>
      <c r="L2270" s="48"/>
      <c r="M2270" s="48"/>
    </row>
    <row r="2271" spans="1:13" x14ac:dyDescent="0.2">
      <c r="A2271" s="534" t="s">
        <v>193</v>
      </c>
      <c r="B2271" s="534" t="s">
        <v>246</v>
      </c>
      <c r="C2271" s="52"/>
      <c r="D2271" s="49"/>
      <c r="E2271" s="114"/>
      <c r="F2271" s="330"/>
      <c r="G2271" s="48"/>
      <c r="H2271" s="48"/>
      <c r="I2271" s="48"/>
      <c r="J2271" s="48"/>
      <c r="K2271" s="48"/>
      <c r="L2271" s="48"/>
      <c r="M2271" s="48"/>
    </row>
    <row r="2272" spans="1:13" x14ac:dyDescent="0.25">
      <c r="A2272" s="536"/>
      <c r="B2272" s="536"/>
      <c r="C2272" s="125">
        <f>2*47</f>
        <v>94</v>
      </c>
      <c r="D2272" s="49">
        <v>108</v>
      </c>
      <c r="E2272" s="114">
        <v>1969</v>
      </c>
      <c r="F2272" s="332">
        <f t="shared" ref="F2272" si="704">2019-E2272</f>
        <v>50</v>
      </c>
      <c r="G2272" s="48"/>
      <c r="H2272" s="48"/>
      <c r="I2272" s="48"/>
      <c r="J2272" s="48"/>
      <c r="K2272" s="48"/>
      <c r="L2272" s="48"/>
      <c r="M2272" s="48"/>
    </row>
    <row r="2273" spans="1:13" ht="15.75" customHeight="1" x14ac:dyDescent="0.2">
      <c r="A2273" s="525" t="s">
        <v>1007</v>
      </c>
      <c r="B2273" s="525" t="s">
        <v>391</v>
      </c>
      <c r="C2273" s="121"/>
      <c r="D2273" s="49"/>
      <c r="E2273" s="49"/>
      <c r="F2273" s="330"/>
      <c r="G2273" s="48"/>
      <c r="H2273" s="48"/>
      <c r="I2273" s="48"/>
      <c r="J2273" s="48"/>
      <c r="K2273" s="48"/>
      <c r="L2273" s="48"/>
      <c r="M2273" s="48"/>
    </row>
    <row r="2274" spans="1:13" ht="15.75" customHeight="1" x14ac:dyDescent="0.25">
      <c r="A2274" s="531"/>
      <c r="B2274" s="531"/>
      <c r="C2274" s="57">
        <v>48</v>
      </c>
      <c r="D2274" s="49">
        <v>89</v>
      </c>
      <c r="E2274" s="49">
        <v>2005</v>
      </c>
      <c r="F2274" s="332">
        <f t="shared" ref="F2274:F2275" si="705">2019-E2274</f>
        <v>14</v>
      </c>
      <c r="G2274" s="48"/>
      <c r="H2274" s="48"/>
      <c r="I2274" s="48"/>
      <c r="J2274" s="48"/>
      <c r="K2274" s="48"/>
      <c r="L2274" s="48"/>
      <c r="M2274" s="48"/>
    </row>
    <row r="2275" spans="1:13" ht="15.75" customHeight="1" x14ac:dyDescent="0.25">
      <c r="A2275" s="526"/>
      <c r="B2275" s="526"/>
      <c r="C2275" s="57">
        <v>48</v>
      </c>
      <c r="D2275" s="49">
        <v>57</v>
      </c>
      <c r="E2275" s="49">
        <v>2005</v>
      </c>
      <c r="F2275" s="332">
        <f t="shared" si="705"/>
        <v>14</v>
      </c>
      <c r="G2275" s="48"/>
      <c r="H2275" s="48"/>
      <c r="I2275" s="48"/>
      <c r="J2275" s="48"/>
      <c r="K2275" s="48"/>
      <c r="L2275" s="48"/>
      <c r="M2275" s="48"/>
    </row>
    <row r="2276" spans="1:13" ht="15.75" customHeight="1" x14ac:dyDescent="0.2">
      <c r="A2276" s="525" t="s">
        <v>1008</v>
      </c>
      <c r="B2276" s="525" t="s">
        <v>1009</v>
      </c>
      <c r="C2276" s="121"/>
      <c r="D2276" s="49"/>
      <c r="E2276" s="49"/>
      <c r="F2276" s="330"/>
      <c r="G2276" s="48"/>
      <c r="H2276" s="48"/>
      <c r="I2276" s="48"/>
      <c r="J2276" s="48"/>
      <c r="K2276" s="48"/>
      <c r="L2276" s="48"/>
      <c r="M2276" s="48"/>
    </row>
    <row r="2277" spans="1:13" ht="15.75" customHeight="1" x14ac:dyDescent="0.25">
      <c r="A2277" s="531"/>
      <c r="B2277" s="531"/>
      <c r="C2277" s="57">
        <v>78</v>
      </c>
      <c r="D2277" s="49">
        <v>89</v>
      </c>
      <c r="E2277" s="49">
        <v>2005</v>
      </c>
      <c r="F2277" s="332">
        <f t="shared" ref="F2277:F2278" si="706">2019-E2277</f>
        <v>14</v>
      </c>
      <c r="G2277" s="48"/>
      <c r="H2277" s="48"/>
      <c r="I2277" s="48"/>
      <c r="J2277" s="48"/>
      <c r="K2277" s="48"/>
      <c r="L2277" s="48"/>
      <c r="M2277" s="48"/>
    </row>
    <row r="2278" spans="1:13" ht="15.75" customHeight="1" x14ac:dyDescent="0.25">
      <c r="A2278" s="526"/>
      <c r="B2278" s="526"/>
      <c r="C2278" s="57">
        <v>78</v>
      </c>
      <c r="D2278" s="49">
        <v>57</v>
      </c>
      <c r="E2278" s="49">
        <v>2005</v>
      </c>
      <c r="F2278" s="332">
        <f t="shared" si="706"/>
        <v>14</v>
      </c>
      <c r="G2278" s="48"/>
      <c r="H2278" s="48"/>
      <c r="I2278" s="48"/>
      <c r="J2278" s="48"/>
      <c r="K2278" s="48"/>
      <c r="L2278" s="48"/>
      <c r="M2278" s="48"/>
    </row>
    <row r="2279" spans="1:13" ht="15.75" customHeight="1" x14ac:dyDescent="0.2">
      <c r="A2279" s="525" t="s">
        <v>498</v>
      </c>
      <c r="B2279" s="525" t="s">
        <v>1010</v>
      </c>
      <c r="C2279" s="121"/>
      <c r="D2279" s="49"/>
      <c r="E2279" s="49"/>
      <c r="F2279" s="330"/>
      <c r="G2279" s="48"/>
      <c r="H2279" s="48"/>
      <c r="I2279" s="48"/>
      <c r="J2279" s="48"/>
      <c r="K2279" s="48"/>
      <c r="L2279" s="48"/>
      <c r="M2279" s="48"/>
    </row>
    <row r="2280" spans="1:13" ht="15.75" customHeight="1" x14ac:dyDescent="0.25">
      <c r="A2280" s="531"/>
      <c r="B2280" s="531"/>
      <c r="C2280" s="57">
        <v>129</v>
      </c>
      <c r="D2280" s="49">
        <v>89</v>
      </c>
      <c r="E2280" s="49">
        <v>2005</v>
      </c>
      <c r="F2280" s="332">
        <f t="shared" ref="F2280:F2281" si="707">2019-E2280</f>
        <v>14</v>
      </c>
      <c r="G2280" s="48"/>
      <c r="H2280" s="48"/>
      <c r="I2280" s="48"/>
      <c r="J2280" s="48"/>
      <c r="K2280" s="48"/>
      <c r="L2280" s="48"/>
      <c r="M2280" s="48"/>
    </row>
    <row r="2281" spans="1:13" ht="15.75" customHeight="1" x14ac:dyDescent="0.25">
      <c r="A2281" s="526"/>
      <c r="B2281" s="526"/>
      <c r="C2281" s="57">
        <v>129</v>
      </c>
      <c r="D2281" s="49">
        <v>57</v>
      </c>
      <c r="E2281" s="49">
        <v>2005</v>
      </c>
      <c r="F2281" s="332">
        <f t="shared" si="707"/>
        <v>14</v>
      </c>
      <c r="G2281" s="48"/>
      <c r="H2281" s="48"/>
      <c r="I2281" s="48"/>
      <c r="J2281" s="48"/>
      <c r="K2281" s="48"/>
      <c r="L2281" s="48"/>
      <c r="M2281" s="48"/>
    </row>
    <row r="2282" spans="1:13" ht="15.75" customHeight="1" x14ac:dyDescent="0.2">
      <c r="A2282" s="534" t="s">
        <v>498</v>
      </c>
      <c r="B2282" s="525" t="s">
        <v>1011</v>
      </c>
      <c r="C2282" s="52"/>
      <c r="D2282" s="49"/>
      <c r="E2282" s="49"/>
      <c r="F2282" s="330"/>
      <c r="G2282" s="48"/>
      <c r="H2282" s="48"/>
      <c r="I2282" s="48"/>
      <c r="J2282" s="48"/>
      <c r="K2282" s="48"/>
      <c r="L2282" s="48"/>
      <c r="M2282" s="48"/>
    </row>
    <row r="2283" spans="1:13" ht="15.75" customHeight="1" x14ac:dyDescent="0.25">
      <c r="A2283" s="536"/>
      <c r="B2283" s="531"/>
      <c r="C2283" s="52">
        <v>48.7</v>
      </c>
      <c r="D2283" s="49">
        <v>89</v>
      </c>
      <c r="E2283" s="49">
        <v>2010</v>
      </c>
      <c r="F2283" s="332">
        <f t="shared" ref="F2283:F2284" si="708">2019-E2283</f>
        <v>9</v>
      </c>
      <c r="G2283" s="48"/>
      <c r="H2283" s="48"/>
      <c r="I2283" s="48"/>
      <c r="J2283" s="48"/>
      <c r="K2283" s="48"/>
      <c r="L2283" s="48"/>
      <c r="M2283" s="48"/>
    </row>
    <row r="2284" spans="1:13" ht="15.75" customHeight="1" x14ac:dyDescent="0.25">
      <c r="A2284" s="535"/>
      <c r="B2284" s="526"/>
      <c r="C2284" s="52">
        <v>48.7</v>
      </c>
      <c r="D2284" s="49">
        <v>57</v>
      </c>
      <c r="E2284" s="49">
        <v>2010</v>
      </c>
      <c r="F2284" s="332">
        <f t="shared" si="708"/>
        <v>9</v>
      </c>
      <c r="G2284" s="48"/>
      <c r="H2284" s="48"/>
      <c r="I2284" s="48"/>
      <c r="J2284" s="48"/>
      <c r="K2284" s="48"/>
      <c r="L2284" s="48"/>
      <c r="M2284" s="48"/>
    </row>
    <row r="2285" spans="1:13" x14ac:dyDescent="0.2">
      <c r="A2285" s="525" t="s">
        <v>1012</v>
      </c>
      <c r="B2285" s="525" t="s">
        <v>1013</v>
      </c>
      <c r="C2285" s="52"/>
      <c r="D2285" s="49"/>
      <c r="E2285" s="114"/>
      <c r="F2285" s="330"/>
    </row>
    <row r="2286" spans="1:13" x14ac:dyDescent="0.25">
      <c r="A2286" s="531"/>
      <c r="B2286" s="531"/>
      <c r="C2286" s="121">
        <v>60</v>
      </c>
      <c r="D2286" s="49">
        <v>76</v>
      </c>
      <c r="E2286" s="114">
        <v>1982</v>
      </c>
      <c r="F2286" s="332">
        <f t="shared" ref="F2286:F2287" si="709">2019-E2286</f>
        <v>37</v>
      </c>
      <c r="G2286" s="48"/>
      <c r="H2286" s="48"/>
      <c r="I2286" s="48"/>
      <c r="J2286" s="48"/>
      <c r="K2286" s="48"/>
      <c r="L2286" s="48"/>
      <c r="M2286" s="48"/>
    </row>
    <row r="2287" spans="1:13" x14ac:dyDescent="0.25">
      <c r="A2287" s="526"/>
      <c r="B2287" s="526"/>
      <c r="C2287" s="121">
        <v>60</v>
      </c>
      <c r="D2287" s="49">
        <v>57</v>
      </c>
      <c r="E2287" s="114">
        <v>1982</v>
      </c>
      <c r="F2287" s="332">
        <f t="shared" si="709"/>
        <v>37</v>
      </c>
      <c r="G2287" s="48"/>
      <c r="H2287" s="48"/>
      <c r="I2287" s="48"/>
      <c r="J2287" s="48"/>
      <c r="K2287" s="48"/>
      <c r="L2287" s="48"/>
      <c r="M2287" s="48"/>
    </row>
    <row r="2288" spans="1:13" x14ac:dyDescent="0.2">
      <c r="A2288" s="525" t="s">
        <v>1014</v>
      </c>
      <c r="B2288" s="525" t="s">
        <v>1015</v>
      </c>
      <c r="C2288" s="121"/>
      <c r="D2288" s="49"/>
      <c r="E2288" s="114"/>
      <c r="F2288" s="330"/>
      <c r="G2288" s="48"/>
      <c r="H2288" s="48"/>
      <c r="I2288" s="48"/>
      <c r="J2288" s="48"/>
      <c r="K2288" s="48"/>
      <c r="L2288" s="48"/>
      <c r="M2288" s="48"/>
    </row>
    <row r="2289" spans="1:13" x14ac:dyDescent="0.25">
      <c r="A2289" s="531"/>
      <c r="B2289" s="531"/>
      <c r="C2289" s="121">
        <v>90</v>
      </c>
      <c r="D2289" s="49">
        <v>57</v>
      </c>
      <c r="E2289" s="114">
        <v>1982</v>
      </c>
      <c r="F2289" s="332">
        <f t="shared" ref="F2289:F2290" si="710">2019-E2289</f>
        <v>37</v>
      </c>
      <c r="G2289" s="48"/>
      <c r="H2289" s="48"/>
      <c r="I2289" s="48"/>
      <c r="J2289" s="48"/>
      <c r="K2289" s="48"/>
      <c r="L2289" s="48"/>
      <c r="M2289" s="48"/>
    </row>
    <row r="2290" spans="1:13" x14ac:dyDescent="0.25">
      <c r="A2290" s="526"/>
      <c r="B2290" s="526"/>
      <c r="C2290" s="52">
        <v>90</v>
      </c>
      <c r="D2290" s="49">
        <v>32</v>
      </c>
      <c r="E2290" s="114">
        <v>1982</v>
      </c>
      <c r="F2290" s="332">
        <f t="shared" si="710"/>
        <v>37</v>
      </c>
      <c r="G2290" s="48"/>
      <c r="H2290" s="48"/>
      <c r="I2290" s="48"/>
      <c r="J2290" s="48"/>
      <c r="K2290" s="48"/>
      <c r="L2290" s="48"/>
      <c r="M2290" s="48"/>
    </row>
    <row r="2291" spans="1:13" x14ac:dyDescent="0.2">
      <c r="A2291" s="525" t="s">
        <v>1016</v>
      </c>
      <c r="B2291" s="525" t="s">
        <v>1017</v>
      </c>
      <c r="C2291" s="121"/>
      <c r="D2291" s="49"/>
      <c r="E2291" s="114"/>
      <c r="F2291" s="330"/>
      <c r="G2291" s="48"/>
      <c r="H2291" s="48"/>
      <c r="I2291" s="48"/>
      <c r="J2291" s="48"/>
      <c r="K2291" s="48"/>
      <c r="L2291" s="48"/>
      <c r="M2291" s="48"/>
    </row>
    <row r="2292" spans="1:13" x14ac:dyDescent="0.25">
      <c r="A2292" s="531"/>
      <c r="B2292" s="531"/>
      <c r="C2292" s="121">
        <v>25</v>
      </c>
      <c r="D2292" s="49">
        <v>57</v>
      </c>
      <c r="E2292" s="114">
        <v>1982</v>
      </c>
      <c r="F2292" s="332">
        <f t="shared" ref="F2292:F2293" si="711">2019-E2292</f>
        <v>37</v>
      </c>
      <c r="G2292" s="48"/>
      <c r="H2292" s="48"/>
      <c r="I2292" s="48"/>
      <c r="J2292" s="48"/>
      <c r="K2292" s="48"/>
      <c r="L2292" s="48"/>
      <c r="M2292" s="48"/>
    </row>
    <row r="2293" spans="1:13" x14ac:dyDescent="0.25">
      <c r="A2293" s="526"/>
      <c r="B2293" s="526"/>
      <c r="C2293" s="52">
        <v>25</v>
      </c>
      <c r="D2293" s="49">
        <v>32</v>
      </c>
      <c r="E2293" s="114">
        <v>1982</v>
      </c>
      <c r="F2293" s="332">
        <f t="shared" si="711"/>
        <v>37</v>
      </c>
      <c r="G2293" s="48"/>
      <c r="H2293" s="48"/>
      <c r="I2293" s="48"/>
      <c r="J2293" s="48"/>
      <c r="K2293" s="48"/>
      <c r="L2293" s="48"/>
      <c r="M2293" s="48"/>
    </row>
    <row r="2294" spans="1:13" x14ac:dyDescent="0.2">
      <c r="A2294" s="525" t="s">
        <v>1018</v>
      </c>
      <c r="B2294" s="525" t="s">
        <v>1019</v>
      </c>
      <c r="C2294" s="121"/>
      <c r="D2294" s="49"/>
      <c r="E2294" s="114"/>
      <c r="F2294" s="330"/>
      <c r="G2294" s="48"/>
      <c r="H2294" s="48"/>
      <c r="I2294" s="48"/>
      <c r="J2294" s="48"/>
      <c r="K2294" s="48"/>
      <c r="L2294" s="48"/>
      <c r="M2294" s="48"/>
    </row>
    <row r="2295" spans="1:13" x14ac:dyDescent="0.25">
      <c r="A2295" s="531"/>
      <c r="B2295" s="531"/>
      <c r="C2295" s="121">
        <v>10</v>
      </c>
      <c r="D2295" s="49">
        <v>76</v>
      </c>
      <c r="E2295" s="114">
        <v>1982</v>
      </c>
      <c r="F2295" s="332">
        <f t="shared" ref="F2295:F2296" si="712">2019-E2295</f>
        <v>37</v>
      </c>
      <c r="G2295" s="48"/>
      <c r="H2295" s="48"/>
      <c r="I2295" s="48"/>
      <c r="J2295" s="48"/>
      <c r="K2295" s="48"/>
      <c r="L2295" s="48"/>
      <c r="M2295" s="48"/>
    </row>
    <row r="2296" spans="1:13" x14ac:dyDescent="0.25">
      <c r="A2296" s="526"/>
      <c r="B2296" s="526"/>
      <c r="C2296" s="121">
        <v>10</v>
      </c>
      <c r="D2296" s="49">
        <v>57</v>
      </c>
      <c r="E2296" s="114">
        <v>1982</v>
      </c>
      <c r="F2296" s="332">
        <f t="shared" si="712"/>
        <v>37</v>
      </c>
      <c r="G2296" s="48"/>
      <c r="H2296" s="48"/>
      <c r="I2296" s="48"/>
      <c r="J2296" s="48"/>
      <c r="K2296" s="48"/>
      <c r="L2296" s="48"/>
      <c r="M2296" s="48"/>
    </row>
    <row r="2297" spans="1:13" x14ac:dyDescent="0.2">
      <c r="A2297" s="525" t="s">
        <v>1020</v>
      </c>
      <c r="B2297" s="525" t="s">
        <v>1021</v>
      </c>
      <c r="C2297" s="121"/>
      <c r="D2297" s="49"/>
      <c r="E2297" s="114"/>
      <c r="F2297" s="330"/>
      <c r="G2297" s="48"/>
      <c r="H2297" s="48"/>
      <c r="I2297" s="48"/>
      <c r="J2297" s="48"/>
      <c r="K2297" s="48"/>
      <c r="L2297" s="48"/>
      <c r="M2297" s="48"/>
    </row>
    <row r="2298" spans="1:13" x14ac:dyDescent="0.25">
      <c r="A2298" s="531"/>
      <c r="B2298" s="531"/>
      <c r="C2298" s="121">
        <v>24</v>
      </c>
      <c r="D2298" s="49">
        <v>57</v>
      </c>
      <c r="E2298" s="114">
        <v>1982</v>
      </c>
      <c r="F2298" s="332">
        <f t="shared" ref="F2298:F2299" si="713">2019-E2298</f>
        <v>37</v>
      </c>
      <c r="G2298" s="48"/>
      <c r="H2298" s="48"/>
      <c r="I2298" s="48"/>
      <c r="J2298" s="48"/>
      <c r="K2298" s="48"/>
      <c r="L2298" s="48"/>
      <c r="M2298" s="48"/>
    </row>
    <row r="2299" spans="1:13" x14ac:dyDescent="0.25">
      <c r="A2299" s="526"/>
      <c r="B2299" s="526"/>
      <c r="C2299" s="52">
        <v>24</v>
      </c>
      <c r="D2299" s="49">
        <v>32</v>
      </c>
      <c r="E2299" s="114">
        <v>1982</v>
      </c>
      <c r="F2299" s="332">
        <f t="shared" si="713"/>
        <v>37</v>
      </c>
      <c r="G2299" s="48"/>
      <c r="H2299" s="48"/>
      <c r="I2299" s="48"/>
      <c r="J2299" s="48"/>
      <c r="K2299" s="48"/>
      <c r="L2299" s="48"/>
      <c r="M2299" s="48"/>
    </row>
    <row r="2300" spans="1:13" x14ac:dyDescent="0.2">
      <c r="A2300" s="525" t="s">
        <v>1022</v>
      </c>
      <c r="B2300" s="525" t="s">
        <v>1023</v>
      </c>
      <c r="C2300" s="52"/>
      <c r="D2300" s="49"/>
      <c r="E2300" s="114"/>
      <c r="F2300" s="330"/>
      <c r="G2300" s="48"/>
      <c r="H2300" s="48"/>
      <c r="I2300" s="48"/>
      <c r="J2300" s="48"/>
      <c r="K2300" s="48"/>
      <c r="L2300" s="48"/>
      <c r="M2300" s="48"/>
    </row>
    <row r="2301" spans="1:13" x14ac:dyDescent="0.25">
      <c r="A2301" s="531"/>
      <c r="B2301" s="531"/>
      <c r="C2301" s="121">
        <v>60</v>
      </c>
      <c r="D2301" s="49">
        <v>76</v>
      </c>
      <c r="E2301" s="114">
        <v>1982</v>
      </c>
      <c r="F2301" s="332">
        <f t="shared" ref="F2301:F2302" si="714">2019-E2301</f>
        <v>37</v>
      </c>
      <c r="G2301" s="48"/>
      <c r="H2301" s="48"/>
      <c r="I2301" s="48"/>
      <c r="J2301" s="48"/>
      <c r="K2301" s="48"/>
      <c r="L2301" s="48"/>
      <c r="M2301" s="48"/>
    </row>
    <row r="2302" spans="1:13" x14ac:dyDescent="0.25">
      <c r="A2302" s="526"/>
      <c r="B2302" s="526"/>
      <c r="C2302" s="121">
        <v>60</v>
      </c>
      <c r="D2302" s="49">
        <v>40</v>
      </c>
      <c r="E2302" s="114">
        <v>1982</v>
      </c>
      <c r="F2302" s="332">
        <f t="shared" si="714"/>
        <v>37</v>
      </c>
      <c r="G2302" s="48"/>
      <c r="H2302" s="48"/>
      <c r="I2302" s="48"/>
      <c r="J2302" s="48"/>
      <c r="K2302" s="48"/>
      <c r="L2302" s="48"/>
      <c r="M2302" s="48"/>
    </row>
    <row r="2303" spans="1:13" x14ac:dyDescent="0.2">
      <c r="A2303" s="525" t="s">
        <v>1024</v>
      </c>
      <c r="B2303" s="525" t="s">
        <v>1025</v>
      </c>
      <c r="C2303" s="121"/>
      <c r="D2303" s="49"/>
      <c r="E2303" s="114"/>
      <c r="F2303" s="330"/>
      <c r="G2303" s="48"/>
      <c r="H2303" s="48"/>
      <c r="I2303" s="48"/>
      <c r="J2303" s="48"/>
      <c r="K2303" s="48"/>
      <c r="L2303" s="48"/>
      <c r="M2303" s="48"/>
    </row>
    <row r="2304" spans="1:13" x14ac:dyDescent="0.25">
      <c r="A2304" s="531"/>
      <c r="B2304" s="531"/>
      <c r="C2304" s="121">
        <v>30</v>
      </c>
      <c r="D2304" s="49">
        <v>57</v>
      </c>
      <c r="E2304" s="114">
        <v>1982</v>
      </c>
      <c r="F2304" s="332">
        <f t="shared" ref="F2304:F2305" si="715">2019-E2304</f>
        <v>37</v>
      </c>
      <c r="G2304" s="48"/>
      <c r="H2304" s="48"/>
      <c r="I2304" s="48"/>
      <c r="J2304" s="48"/>
      <c r="K2304" s="48"/>
      <c r="L2304" s="48"/>
      <c r="M2304" s="48"/>
    </row>
    <row r="2305" spans="1:13" x14ac:dyDescent="0.25">
      <c r="A2305" s="526"/>
      <c r="B2305" s="526"/>
      <c r="C2305" s="52">
        <v>30</v>
      </c>
      <c r="D2305" s="49">
        <v>32</v>
      </c>
      <c r="E2305" s="114">
        <v>1982</v>
      </c>
      <c r="F2305" s="332">
        <f t="shared" si="715"/>
        <v>37</v>
      </c>
      <c r="G2305" s="48"/>
      <c r="H2305" s="48"/>
      <c r="I2305" s="48"/>
      <c r="J2305" s="48"/>
      <c r="K2305" s="48"/>
      <c r="L2305" s="48"/>
      <c r="M2305" s="48"/>
    </row>
    <row r="2306" spans="1:13" x14ac:dyDescent="0.2">
      <c r="A2306" s="525" t="s">
        <v>1026</v>
      </c>
      <c r="B2306" s="525" t="s">
        <v>1027</v>
      </c>
      <c r="C2306" s="121"/>
      <c r="D2306" s="49"/>
      <c r="E2306" s="114"/>
      <c r="F2306" s="330"/>
      <c r="G2306" s="48"/>
      <c r="H2306" s="48"/>
      <c r="I2306" s="48"/>
      <c r="J2306" s="48"/>
      <c r="K2306" s="48"/>
      <c r="L2306" s="48"/>
      <c r="M2306" s="48"/>
    </row>
    <row r="2307" spans="1:13" x14ac:dyDescent="0.25">
      <c r="A2307" s="531"/>
      <c r="B2307" s="531"/>
      <c r="C2307" s="121">
        <v>70</v>
      </c>
      <c r="D2307" s="49">
        <v>89</v>
      </c>
      <c r="E2307" s="114">
        <v>1982</v>
      </c>
      <c r="F2307" s="332">
        <f t="shared" ref="F2307:F2308" si="716">2019-E2307</f>
        <v>37</v>
      </c>
      <c r="G2307" s="48"/>
      <c r="H2307" s="48"/>
      <c r="I2307" s="48"/>
      <c r="J2307" s="48"/>
      <c r="K2307" s="48"/>
      <c r="L2307" s="48"/>
      <c r="M2307" s="48"/>
    </row>
    <row r="2308" spans="1:13" x14ac:dyDescent="0.25">
      <c r="A2308" s="526"/>
      <c r="B2308" s="526"/>
      <c r="C2308" s="121">
        <v>70</v>
      </c>
      <c r="D2308" s="49">
        <v>57</v>
      </c>
      <c r="E2308" s="114">
        <v>1982</v>
      </c>
      <c r="F2308" s="332">
        <f t="shared" si="716"/>
        <v>37</v>
      </c>
      <c r="G2308" s="48"/>
      <c r="H2308" s="48"/>
      <c r="I2308" s="48"/>
      <c r="J2308" s="48"/>
      <c r="K2308" s="48"/>
      <c r="L2308" s="48"/>
      <c r="M2308" s="48"/>
    </row>
    <row r="2309" spans="1:13" x14ac:dyDescent="0.2">
      <c r="A2309" s="525" t="s">
        <v>213</v>
      </c>
      <c r="B2309" s="525" t="s">
        <v>255</v>
      </c>
      <c r="C2309" s="52"/>
      <c r="D2309" s="49"/>
      <c r="E2309" s="114"/>
      <c r="F2309" s="330"/>
      <c r="G2309" s="48"/>
      <c r="H2309" s="48"/>
      <c r="I2309" s="48"/>
      <c r="J2309" s="48"/>
      <c r="K2309" s="48"/>
      <c r="L2309" s="48"/>
      <c r="M2309" s="48"/>
    </row>
    <row r="2310" spans="1:13" x14ac:dyDescent="0.25">
      <c r="A2310" s="531"/>
      <c r="B2310" s="531"/>
      <c r="C2310" s="121">
        <v>15</v>
      </c>
      <c r="D2310" s="49">
        <v>89</v>
      </c>
      <c r="E2310" s="114">
        <v>1981</v>
      </c>
      <c r="F2310" s="332">
        <f t="shared" ref="F2310:F2311" si="717">2019-E2310</f>
        <v>38</v>
      </c>
      <c r="G2310" s="48"/>
      <c r="H2310" s="48"/>
      <c r="I2310" s="48"/>
      <c r="J2310" s="48"/>
      <c r="K2310" s="48"/>
      <c r="L2310" s="48"/>
      <c r="M2310" s="48"/>
    </row>
    <row r="2311" spans="1:13" x14ac:dyDescent="0.25">
      <c r="A2311" s="526"/>
      <c r="B2311" s="526"/>
      <c r="C2311" s="121">
        <v>15</v>
      </c>
      <c r="D2311" s="49">
        <v>57</v>
      </c>
      <c r="E2311" s="114">
        <v>1981</v>
      </c>
      <c r="F2311" s="332">
        <f t="shared" si="717"/>
        <v>38</v>
      </c>
      <c r="G2311" s="48"/>
      <c r="H2311" s="48"/>
      <c r="I2311" s="48"/>
      <c r="J2311" s="48"/>
      <c r="K2311" s="48"/>
      <c r="L2311" s="48"/>
      <c r="M2311" s="48"/>
    </row>
    <row r="2312" spans="1:13" x14ac:dyDescent="0.2">
      <c r="A2312" s="525" t="s">
        <v>253</v>
      </c>
      <c r="B2312" s="525" t="s">
        <v>229</v>
      </c>
      <c r="C2312" s="52"/>
      <c r="D2312" s="49"/>
      <c r="E2312" s="114"/>
      <c r="F2312" s="330"/>
      <c r="G2312" s="48"/>
      <c r="H2312" s="48"/>
      <c r="I2312" s="48"/>
      <c r="J2312" s="48"/>
      <c r="K2312" s="48"/>
      <c r="L2312" s="48"/>
      <c r="M2312" s="48"/>
    </row>
    <row r="2313" spans="1:13" x14ac:dyDescent="0.25">
      <c r="A2313" s="531"/>
      <c r="B2313" s="531"/>
      <c r="C2313" s="121">
        <v>59</v>
      </c>
      <c r="D2313" s="49">
        <v>57</v>
      </c>
      <c r="E2313" s="114">
        <v>1981</v>
      </c>
      <c r="F2313" s="332">
        <f t="shared" ref="F2313:F2316" si="718">2019-E2313</f>
        <v>38</v>
      </c>
      <c r="G2313" s="48"/>
      <c r="H2313" s="48"/>
      <c r="I2313" s="48"/>
      <c r="J2313" s="48"/>
      <c r="K2313" s="48"/>
      <c r="L2313" s="48"/>
      <c r="M2313" s="48"/>
    </row>
    <row r="2314" spans="1:13" x14ac:dyDescent="0.25">
      <c r="A2314" s="526"/>
      <c r="B2314" s="526"/>
      <c r="C2314" s="121">
        <v>59</v>
      </c>
      <c r="D2314" s="49">
        <v>40</v>
      </c>
      <c r="E2314" s="114">
        <v>1981</v>
      </c>
      <c r="F2314" s="332">
        <f t="shared" si="718"/>
        <v>38</v>
      </c>
      <c r="G2314" s="48"/>
      <c r="H2314" s="48"/>
      <c r="I2314" s="48"/>
      <c r="J2314" s="48"/>
      <c r="K2314" s="48"/>
      <c r="L2314" s="48"/>
      <c r="M2314" s="48"/>
    </row>
    <row r="2315" spans="1:13" x14ac:dyDescent="0.25">
      <c r="A2315" s="525" t="s">
        <v>213</v>
      </c>
      <c r="B2315" s="525" t="s">
        <v>220</v>
      </c>
      <c r="C2315" s="121">
        <v>47</v>
      </c>
      <c r="D2315" s="49">
        <v>57</v>
      </c>
      <c r="E2315" s="114">
        <v>1981</v>
      </c>
      <c r="F2315" s="332">
        <f t="shared" si="718"/>
        <v>38</v>
      </c>
      <c r="G2315" s="48"/>
      <c r="H2315" s="48"/>
      <c r="I2315" s="48"/>
      <c r="J2315" s="48"/>
      <c r="K2315" s="48"/>
      <c r="L2315" s="48"/>
      <c r="M2315" s="48"/>
    </row>
    <row r="2316" spans="1:13" x14ac:dyDescent="0.25">
      <c r="A2316" s="531"/>
      <c r="B2316" s="531"/>
      <c r="C2316" s="121">
        <v>47</v>
      </c>
      <c r="D2316" s="49">
        <v>40</v>
      </c>
      <c r="E2316" s="114">
        <v>1981</v>
      </c>
      <c r="F2316" s="332">
        <f t="shared" si="718"/>
        <v>38</v>
      </c>
      <c r="G2316" s="48"/>
      <c r="H2316" s="48"/>
      <c r="I2316" s="48"/>
      <c r="J2316" s="48"/>
      <c r="K2316" s="48"/>
      <c r="L2316" s="48"/>
      <c r="M2316" s="48"/>
    </row>
    <row r="2317" spans="1:13" x14ac:dyDescent="0.2">
      <c r="A2317" s="525" t="s">
        <v>253</v>
      </c>
      <c r="B2317" s="525" t="s">
        <v>1028</v>
      </c>
      <c r="C2317" s="52"/>
      <c r="D2317" s="49"/>
      <c r="E2317" s="114"/>
      <c r="F2317" s="330"/>
      <c r="G2317" s="48"/>
      <c r="H2317" s="48"/>
      <c r="I2317" s="48"/>
      <c r="J2317" s="48"/>
      <c r="K2317" s="48"/>
      <c r="L2317" s="48"/>
      <c r="M2317" s="48"/>
    </row>
    <row r="2318" spans="1:13" x14ac:dyDescent="0.25">
      <c r="A2318" s="531"/>
      <c r="B2318" s="531"/>
      <c r="C2318" s="121">
        <v>12</v>
      </c>
      <c r="D2318" s="49">
        <v>89</v>
      </c>
      <c r="E2318" s="114">
        <v>1981</v>
      </c>
      <c r="F2318" s="332">
        <f t="shared" ref="F2318:F2319" si="719">2019-E2318</f>
        <v>38</v>
      </c>
      <c r="G2318" s="48"/>
      <c r="H2318" s="48"/>
      <c r="I2318" s="48"/>
      <c r="J2318" s="48"/>
      <c r="K2318" s="48"/>
      <c r="L2318" s="48"/>
      <c r="M2318" s="48"/>
    </row>
    <row r="2319" spans="1:13" x14ac:dyDescent="0.25">
      <c r="A2319" s="526"/>
      <c r="B2319" s="526"/>
      <c r="C2319" s="121">
        <v>12</v>
      </c>
      <c r="D2319" s="49">
        <v>57</v>
      </c>
      <c r="E2319" s="114">
        <v>1981</v>
      </c>
      <c r="F2319" s="332">
        <f t="shared" si="719"/>
        <v>38</v>
      </c>
      <c r="G2319" s="48"/>
      <c r="H2319" s="48"/>
      <c r="I2319" s="48"/>
      <c r="J2319" s="48"/>
      <c r="K2319" s="48"/>
      <c r="L2319" s="48"/>
      <c r="M2319" s="48"/>
    </row>
    <row r="2320" spans="1:13" x14ac:dyDescent="0.2">
      <c r="A2320" s="525" t="s">
        <v>253</v>
      </c>
      <c r="B2320" s="525" t="s">
        <v>1029</v>
      </c>
      <c r="C2320" s="52"/>
      <c r="D2320" s="49"/>
      <c r="E2320" s="114"/>
      <c r="F2320" s="330"/>
      <c r="G2320" s="48"/>
      <c r="H2320" s="48"/>
      <c r="I2320" s="48"/>
      <c r="J2320" s="48"/>
      <c r="K2320" s="48"/>
      <c r="L2320" s="48"/>
      <c r="M2320" s="48"/>
    </row>
    <row r="2321" spans="1:13" x14ac:dyDescent="0.25">
      <c r="A2321" s="531"/>
      <c r="B2321" s="531"/>
      <c r="C2321" s="121">
        <v>25</v>
      </c>
      <c r="D2321" s="49">
        <v>76</v>
      </c>
      <c r="E2321" s="114">
        <v>1982</v>
      </c>
      <c r="F2321" s="332">
        <f t="shared" ref="F2321:F2322" si="720">2019-E2321</f>
        <v>37</v>
      </c>
      <c r="G2321" s="48"/>
      <c r="H2321" s="48"/>
      <c r="I2321" s="48"/>
      <c r="J2321" s="48"/>
      <c r="K2321" s="48"/>
      <c r="L2321" s="48"/>
      <c r="M2321" s="48"/>
    </row>
    <row r="2322" spans="1:13" x14ac:dyDescent="0.25">
      <c r="A2322" s="526"/>
      <c r="B2322" s="526"/>
      <c r="C2322" s="121">
        <v>25</v>
      </c>
      <c r="D2322" s="49">
        <v>57</v>
      </c>
      <c r="E2322" s="114">
        <v>1982</v>
      </c>
      <c r="F2322" s="332">
        <f t="shared" si="720"/>
        <v>37</v>
      </c>
      <c r="G2322" s="48"/>
      <c r="H2322" s="48"/>
      <c r="I2322" s="48"/>
      <c r="J2322" s="48"/>
      <c r="K2322" s="48"/>
      <c r="L2322" s="48"/>
      <c r="M2322" s="48"/>
    </row>
    <row r="2323" spans="1:13" x14ac:dyDescent="0.2">
      <c r="A2323" s="525" t="s">
        <v>229</v>
      </c>
      <c r="B2323" s="525" t="s">
        <v>1030</v>
      </c>
      <c r="C2323" s="121"/>
      <c r="D2323" s="49"/>
      <c r="E2323" s="114"/>
      <c r="F2323" s="330"/>
      <c r="G2323" s="48"/>
      <c r="H2323" s="48"/>
      <c r="I2323" s="48"/>
      <c r="J2323" s="48"/>
      <c r="K2323" s="48"/>
      <c r="L2323" s="48"/>
      <c r="M2323" s="48"/>
    </row>
    <row r="2324" spans="1:13" x14ac:dyDescent="0.25">
      <c r="A2324" s="531"/>
      <c r="B2324" s="531"/>
      <c r="C2324" s="121">
        <v>4</v>
      </c>
      <c r="D2324" s="49">
        <v>57</v>
      </c>
      <c r="E2324" s="114">
        <v>1982</v>
      </c>
      <c r="F2324" s="332">
        <f t="shared" ref="F2324:F2325" si="721">2019-E2324</f>
        <v>37</v>
      </c>
      <c r="G2324" s="48"/>
      <c r="H2324" s="48"/>
      <c r="I2324" s="48"/>
      <c r="J2324" s="48"/>
      <c r="K2324" s="48"/>
      <c r="L2324" s="48"/>
      <c r="M2324" s="48"/>
    </row>
    <row r="2325" spans="1:13" x14ac:dyDescent="0.25">
      <c r="A2325" s="526"/>
      <c r="B2325" s="526"/>
      <c r="C2325" s="121">
        <v>4</v>
      </c>
      <c r="D2325" s="49">
        <v>40</v>
      </c>
      <c r="E2325" s="114">
        <v>1982</v>
      </c>
      <c r="F2325" s="332">
        <f t="shared" si="721"/>
        <v>37</v>
      </c>
      <c r="G2325" s="48"/>
      <c r="H2325" s="48"/>
      <c r="I2325" s="48"/>
      <c r="J2325" s="48"/>
      <c r="K2325" s="48"/>
      <c r="L2325" s="48"/>
      <c r="M2325" s="48"/>
    </row>
    <row r="2326" spans="1:13" x14ac:dyDescent="0.2">
      <c r="A2326" s="525" t="s">
        <v>229</v>
      </c>
      <c r="B2326" s="525" t="s">
        <v>392</v>
      </c>
      <c r="C2326" s="52"/>
      <c r="D2326" s="49"/>
      <c r="E2326" s="114"/>
      <c r="F2326" s="330"/>
      <c r="G2326" s="48"/>
      <c r="H2326" s="48"/>
      <c r="I2326" s="48"/>
      <c r="J2326" s="48"/>
      <c r="K2326" s="48"/>
      <c r="L2326" s="48"/>
      <c r="M2326" s="48"/>
    </row>
    <row r="2327" spans="1:13" x14ac:dyDescent="0.25">
      <c r="A2327" s="531"/>
      <c r="B2327" s="531"/>
      <c r="C2327" s="121">
        <v>50</v>
      </c>
      <c r="D2327" s="49">
        <v>89</v>
      </c>
      <c r="E2327" s="114">
        <v>1983</v>
      </c>
      <c r="F2327" s="332">
        <f t="shared" ref="F2327:F2328" si="722">2019-E2327</f>
        <v>36</v>
      </c>
      <c r="G2327" s="48"/>
      <c r="H2327" s="48"/>
      <c r="I2327" s="48"/>
      <c r="J2327" s="48"/>
      <c r="K2327" s="48"/>
      <c r="L2327" s="48"/>
      <c r="M2327" s="48"/>
    </row>
    <row r="2328" spans="1:13" x14ac:dyDescent="0.25">
      <c r="A2328" s="526"/>
      <c r="B2328" s="526"/>
      <c r="C2328" s="121">
        <v>50</v>
      </c>
      <c r="D2328" s="49">
        <v>57</v>
      </c>
      <c r="E2328" s="114">
        <v>1983</v>
      </c>
      <c r="F2328" s="332">
        <f t="shared" si="722"/>
        <v>36</v>
      </c>
      <c r="G2328" s="48"/>
      <c r="H2328" s="48"/>
      <c r="I2328" s="48"/>
      <c r="J2328" s="48"/>
      <c r="K2328" s="48"/>
      <c r="L2328" s="48"/>
      <c r="M2328" s="48"/>
    </row>
    <row r="2329" spans="1:13" x14ac:dyDescent="0.2">
      <c r="A2329" s="525" t="s">
        <v>271</v>
      </c>
      <c r="B2329" s="525" t="s">
        <v>1031</v>
      </c>
      <c r="C2329" s="52"/>
      <c r="D2329" s="49"/>
      <c r="E2329" s="114"/>
      <c r="F2329" s="330"/>
      <c r="G2329" s="48"/>
      <c r="H2329" s="48"/>
      <c r="I2329" s="48"/>
      <c r="J2329" s="48"/>
      <c r="K2329" s="48"/>
      <c r="L2329" s="48"/>
      <c r="M2329" s="48"/>
    </row>
    <row r="2330" spans="1:13" x14ac:dyDescent="0.25">
      <c r="A2330" s="531"/>
      <c r="B2330" s="531"/>
      <c r="C2330" s="121">
        <v>46</v>
      </c>
      <c r="D2330" s="49">
        <v>89</v>
      </c>
      <c r="E2330" s="114">
        <v>1983</v>
      </c>
      <c r="F2330" s="332">
        <f t="shared" ref="F2330:F2331" si="723">2019-E2330</f>
        <v>36</v>
      </c>
      <c r="G2330" s="48"/>
      <c r="H2330" s="48"/>
      <c r="I2330" s="48"/>
      <c r="J2330" s="48"/>
      <c r="K2330" s="48"/>
      <c r="L2330" s="48"/>
      <c r="M2330" s="48"/>
    </row>
    <row r="2331" spans="1:13" x14ac:dyDescent="0.25">
      <c r="A2331" s="526"/>
      <c r="B2331" s="526"/>
      <c r="C2331" s="121">
        <v>46</v>
      </c>
      <c r="D2331" s="49">
        <v>57</v>
      </c>
      <c r="E2331" s="114">
        <v>1983</v>
      </c>
      <c r="F2331" s="332">
        <f t="shared" si="723"/>
        <v>36</v>
      </c>
      <c r="G2331" s="48"/>
      <c r="H2331" s="48"/>
      <c r="I2331" s="48"/>
      <c r="J2331" s="48"/>
      <c r="K2331" s="48"/>
      <c r="L2331" s="48"/>
      <c r="M2331" s="48"/>
    </row>
    <row r="2332" spans="1:13" x14ac:dyDescent="0.2">
      <c r="A2332" s="525" t="s">
        <v>271</v>
      </c>
      <c r="B2332" s="525" t="s">
        <v>1032</v>
      </c>
      <c r="C2332" s="121"/>
      <c r="D2332" s="49"/>
      <c r="E2332" s="114"/>
      <c r="F2332" s="330"/>
      <c r="G2332" s="48"/>
      <c r="H2332" s="48"/>
      <c r="I2332" s="48"/>
      <c r="J2332" s="48"/>
      <c r="K2332" s="48"/>
      <c r="L2332" s="48"/>
      <c r="M2332" s="48"/>
    </row>
    <row r="2333" spans="1:13" x14ac:dyDescent="0.25">
      <c r="A2333" s="531"/>
      <c r="B2333" s="531"/>
      <c r="C2333" s="121">
        <v>4</v>
      </c>
      <c r="D2333" s="49">
        <v>57</v>
      </c>
      <c r="E2333" s="114">
        <v>1983</v>
      </c>
      <c r="F2333" s="332">
        <f t="shared" ref="F2333:F2334" si="724">2019-E2333</f>
        <v>36</v>
      </c>
      <c r="G2333" s="48"/>
      <c r="H2333" s="48"/>
      <c r="I2333" s="48"/>
      <c r="J2333" s="48"/>
      <c r="K2333" s="48"/>
      <c r="L2333" s="48"/>
      <c r="M2333" s="48"/>
    </row>
    <row r="2334" spans="1:13" x14ac:dyDescent="0.25">
      <c r="A2334" s="526"/>
      <c r="B2334" s="526"/>
      <c r="C2334" s="52">
        <v>4</v>
      </c>
      <c r="D2334" s="49">
        <v>32</v>
      </c>
      <c r="E2334" s="114">
        <v>1983</v>
      </c>
      <c r="F2334" s="332">
        <f t="shared" si="724"/>
        <v>36</v>
      </c>
      <c r="G2334" s="48"/>
      <c r="H2334" s="48"/>
      <c r="I2334" s="48"/>
      <c r="J2334" s="48"/>
      <c r="K2334" s="48"/>
      <c r="L2334" s="48"/>
      <c r="M2334" s="48"/>
    </row>
    <row r="2335" spans="1:13" x14ac:dyDescent="0.2">
      <c r="A2335" s="525" t="s">
        <v>178</v>
      </c>
      <c r="B2335" s="525" t="s">
        <v>1033</v>
      </c>
      <c r="C2335" s="52"/>
      <c r="D2335" s="49"/>
      <c r="E2335" s="114"/>
      <c r="F2335" s="330"/>
      <c r="G2335" s="48"/>
      <c r="H2335" s="48"/>
      <c r="I2335" s="48"/>
      <c r="J2335" s="48"/>
      <c r="K2335" s="48"/>
      <c r="L2335" s="48"/>
      <c r="M2335" s="48"/>
    </row>
    <row r="2336" spans="1:13" x14ac:dyDescent="0.25">
      <c r="A2336" s="531"/>
      <c r="B2336" s="531"/>
      <c r="C2336" s="121">
        <v>70</v>
      </c>
      <c r="D2336" s="49">
        <v>76</v>
      </c>
      <c r="E2336" s="114">
        <v>1983</v>
      </c>
      <c r="F2336" s="332">
        <f t="shared" ref="F2336:F2337" si="725">2019-E2336</f>
        <v>36</v>
      </c>
      <c r="G2336" s="48"/>
      <c r="H2336" s="48"/>
      <c r="I2336" s="48"/>
      <c r="J2336" s="48"/>
      <c r="K2336" s="48"/>
      <c r="L2336" s="48"/>
      <c r="M2336" s="48"/>
    </row>
    <row r="2337" spans="1:13" x14ac:dyDescent="0.25">
      <c r="A2337" s="526"/>
      <c r="B2337" s="526"/>
      <c r="C2337" s="121">
        <v>70</v>
      </c>
      <c r="D2337" s="49">
        <v>57</v>
      </c>
      <c r="E2337" s="114">
        <v>1983</v>
      </c>
      <c r="F2337" s="332">
        <f t="shared" si="725"/>
        <v>36</v>
      </c>
      <c r="G2337" s="48"/>
      <c r="H2337" s="48"/>
      <c r="I2337" s="48"/>
      <c r="J2337" s="48"/>
      <c r="K2337" s="48"/>
      <c r="L2337" s="48"/>
      <c r="M2337" s="48"/>
    </row>
    <row r="2338" spans="1:13" x14ac:dyDescent="0.2">
      <c r="A2338" s="525" t="s">
        <v>959</v>
      </c>
      <c r="B2338" s="525" t="s">
        <v>1034</v>
      </c>
      <c r="C2338" s="121"/>
      <c r="D2338" s="49"/>
      <c r="E2338" s="114"/>
      <c r="F2338" s="330"/>
      <c r="G2338" s="48"/>
      <c r="H2338" s="48"/>
      <c r="I2338" s="48"/>
      <c r="J2338" s="48"/>
      <c r="K2338" s="48"/>
      <c r="L2338" s="48"/>
      <c r="M2338" s="48"/>
    </row>
    <row r="2339" spans="1:13" x14ac:dyDescent="0.25">
      <c r="A2339" s="531"/>
      <c r="B2339" s="531"/>
      <c r="C2339" s="121">
        <v>18</v>
      </c>
      <c r="D2339" s="49">
        <v>57</v>
      </c>
      <c r="E2339" s="114">
        <v>1983</v>
      </c>
      <c r="F2339" s="332">
        <f t="shared" ref="F2339:F2340" si="726">2019-E2339</f>
        <v>36</v>
      </c>
      <c r="G2339" s="48"/>
      <c r="H2339" s="48"/>
      <c r="I2339" s="48"/>
      <c r="J2339" s="48"/>
      <c r="K2339" s="48"/>
      <c r="L2339" s="48"/>
      <c r="M2339" s="48"/>
    </row>
    <row r="2340" spans="1:13" x14ac:dyDescent="0.25">
      <c r="A2340" s="526"/>
      <c r="B2340" s="526"/>
      <c r="C2340" s="52">
        <v>18</v>
      </c>
      <c r="D2340" s="49">
        <v>32</v>
      </c>
      <c r="E2340" s="114">
        <v>1983</v>
      </c>
      <c r="F2340" s="332">
        <f t="shared" si="726"/>
        <v>36</v>
      </c>
      <c r="G2340" s="48"/>
      <c r="H2340" s="48"/>
      <c r="I2340" s="48"/>
      <c r="J2340" s="48"/>
      <c r="K2340" s="48"/>
      <c r="L2340" s="48"/>
      <c r="M2340" s="48"/>
    </row>
    <row r="2341" spans="1:13" x14ac:dyDescent="0.2">
      <c r="A2341" s="525" t="s">
        <v>564</v>
      </c>
      <c r="B2341" s="525" t="s">
        <v>1035</v>
      </c>
      <c r="C2341" s="52"/>
      <c r="D2341" s="49"/>
      <c r="E2341" s="114"/>
      <c r="F2341" s="330"/>
      <c r="G2341" s="48"/>
      <c r="H2341" s="48"/>
      <c r="I2341" s="48"/>
      <c r="J2341" s="48"/>
      <c r="K2341" s="48"/>
      <c r="L2341" s="48"/>
      <c r="M2341" s="48"/>
    </row>
    <row r="2342" spans="1:13" x14ac:dyDescent="0.25">
      <c r="A2342" s="531"/>
      <c r="B2342" s="531"/>
      <c r="C2342" s="121">
        <v>50</v>
      </c>
      <c r="D2342" s="49">
        <v>89</v>
      </c>
      <c r="E2342" s="114">
        <v>1983</v>
      </c>
      <c r="F2342" s="332">
        <f t="shared" ref="F2342:F2343" si="727">2019-E2342</f>
        <v>36</v>
      </c>
      <c r="G2342" s="48"/>
      <c r="H2342" s="48"/>
      <c r="I2342" s="48"/>
      <c r="J2342" s="48"/>
      <c r="K2342" s="48"/>
      <c r="L2342" s="48"/>
      <c r="M2342" s="48"/>
    </row>
    <row r="2343" spans="1:13" x14ac:dyDescent="0.25">
      <c r="A2343" s="526"/>
      <c r="B2343" s="526"/>
      <c r="C2343" s="121">
        <v>50</v>
      </c>
      <c r="D2343" s="49">
        <v>57</v>
      </c>
      <c r="E2343" s="114">
        <v>1983</v>
      </c>
      <c r="F2343" s="332">
        <f t="shared" si="727"/>
        <v>36</v>
      </c>
      <c r="G2343" s="48"/>
      <c r="H2343" s="48"/>
      <c r="I2343" s="48"/>
      <c r="J2343" s="48"/>
      <c r="K2343" s="48"/>
      <c r="L2343" s="48"/>
      <c r="M2343" s="48"/>
    </row>
    <row r="2344" spans="1:13" x14ac:dyDescent="0.2">
      <c r="A2344" s="525" t="s">
        <v>472</v>
      </c>
      <c r="B2344" s="525" t="s">
        <v>1036</v>
      </c>
      <c r="C2344" s="121"/>
      <c r="D2344" s="49"/>
      <c r="E2344" s="114"/>
      <c r="F2344" s="330"/>
      <c r="G2344" s="48"/>
      <c r="H2344" s="48"/>
      <c r="I2344" s="48"/>
      <c r="J2344" s="48"/>
      <c r="K2344" s="48"/>
      <c r="L2344" s="48"/>
      <c r="M2344" s="48"/>
    </row>
    <row r="2345" spans="1:13" x14ac:dyDescent="0.25">
      <c r="A2345" s="531"/>
      <c r="B2345" s="531"/>
      <c r="C2345" s="52">
        <v>398</v>
      </c>
      <c r="D2345" s="49">
        <v>108</v>
      </c>
      <c r="E2345" s="114">
        <v>1983</v>
      </c>
      <c r="F2345" s="332">
        <f t="shared" ref="F2345:F2346" si="728">2019-E2345</f>
        <v>36</v>
      </c>
      <c r="G2345" s="48"/>
      <c r="H2345" s="48"/>
      <c r="I2345" s="48"/>
      <c r="J2345" s="48"/>
      <c r="K2345" s="48"/>
      <c r="L2345" s="48"/>
      <c r="M2345" s="48"/>
    </row>
    <row r="2346" spans="1:13" x14ac:dyDescent="0.25">
      <c r="A2346" s="526"/>
      <c r="B2346" s="526"/>
      <c r="C2346" s="121">
        <v>398</v>
      </c>
      <c r="D2346" s="49">
        <v>89</v>
      </c>
      <c r="E2346" s="114">
        <v>1983</v>
      </c>
      <c r="F2346" s="332">
        <f t="shared" si="728"/>
        <v>36</v>
      </c>
      <c r="G2346" s="48"/>
      <c r="H2346" s="48"/>
      <c r="I2346" s="48"/>
      <c r="J2346" s="48"/>
      <c r="K2346" s="48"/>
      <c r="L2346" s="48"/>
      <c r="M2346" s="48"/>
    </row>
    <row r="2347" spans="1:13" x14ac:dyDescent="0.2">
      <c r="A2347" s="525" t="s">
        <v>926</v>
      </c>
      <c r="B2347" s="525" t="s">
        <v>1037</v>
      </c>
      <c r="C2347" s="52"/>
      <c r="D2347" s="49"/>
      <c r="E2347" s="114"/>
      <c r="F2347" s="330"/>
      <c r="G2347" s="48"/>
      <c r="H2347" s="48"/>
      <c r="I2347" s="48"/>
      <c r="J2347" s="48"/>
      <c r="K2347" s="48"/>
      <c r="L2347" s="48"/>
      <c r="M2347" s="48"/>
    </row>
    <row r="2348" spans="1:13" x14ac:dyDescent="0.25">
      <c r="A2348" s="531"/>
      <c r="B2348" s="531"/>
      <c r="C2348" s="52">
        <v>72</v>
      </c>
      <c r="D2348" s="49">
        <v>108</v>
      </c>
      <c r="E2348" s="114">
        <v>1983</v>
      </c>
      <c r="F2348" s="332">
        <f t="shared" ref="F2348:F2349" si="729">2019-E2348</f>
        <v>36</v>
      </c>
      <c r="G2348" s="48"/>
      <c r="H2348" s="48"/>
      <c r="I2348" s="48"/>
      <c r="J2348" s="48"/>
      <c r="K2348" s="48"/>
      <c r="L2348" s="48"/>
      <c r="M2348" s="48"/>
    </row>
    <row r="2349" spans="1:13" x14ac:dyDescent="0.25">
      <c r="A2349" s="526"/>
      <c r="B2349" s="526"/>
      <c r="C2349" s="121">
        <v>72</v>
      </c>
      <c r="D2349" s="49">
        <v>89</v>
      </c>
      <c r="E2349" s="114">
        <v>1983</v>
      </c>
      <c r="F2349" s="332">
        <f t="shared" si="729"/>
        <v>36</v>
      </c>
      <c r="G2349" s="48"/>
      <c r="H2349" s="48"/>
      <c r="I2349" s="48"/>
      <c r="J2349" s="48"/>
      <c r="K2349" s="48"/>
      <c r="L2349" s="48"/>
      <c r="M2349" s="48"/>
    </row>
    <row r="2350" spans="1:13" x14ac:dyDescent="0.2">
      <c r="A2350" s="525" t="s">
        <v>472</v>
      </c>
      <c r="B2350" s="525" t="s">
        <v>1038</v>
      </c>
      <c r="C2350" s="121"/>
      <c r="D2350" s="49"/>
      <c r="E2350" s="114"/>
      <c r="F2350" s="330"/>
      <c r="G2350" s="48"/>
      <c r="H2350" s="48"/>
      <c r="I2350" s="48"/>
      <c r="J2350" s="48"/>
      <c r="K2350" s="48"/>
      <c r="L2350" s="48"/>
      <c r="M2350" s="48"/>
    </row>
    <row r="2351" spans="1:13" x14ac:dyDescent="0.25">
      <c r="A2351" s="531"/>
      <c r="B2351" s="531"/>
      <c r="C2351" s="52">
        <v>15</v>
      </c>
      <c r="D2351" s="49">
        <v>108</v>
      </c>
      <c r="E2351" s="114">
        <v>1983</v>
      </c>
      <c r="F2351" s="332">
        <f t="shared" ref="F2351:F2352" si="730">2019-E2351</f>
        <v>36</v>
      </c>
      <c r="G2351" s="48"/>
      <c r="H2351" s="48"/>
      <c r="I2351" s="48"/>
      <c r="J2351" s="48"/>
      <c r="K2351" s="48"/>
      <c r="L2351" s="48"/>
      <c r="M2351" s="48"/>
    </row>
    <row r="2352" spans="1:13" x14ac:dyDescent="0.25">
      <c r="A2352" s="526"/>
      <c r="B2352" s="526"/>
      <c r="C2352" s="121">
        <v>15</v>
      </c>
      <c r="D2352" s="49">
        <v>57</v>
      </c>
      <c r="E2352" s="114">
        <v>1983</v>
      </c>
      <c r="F2352" s="332">
        <f t="shared" si="730"/>
        <v>36</v>
      </c>
      <c r="G2352" s="48"/>
      <c r="H2352" s="48"/>
      <c r="I2352" s="48"/>
      <c r="J2352" s="48"/>
      <c r="K2352" s="48"/>
      <c r="L2352" s="48"/>
      <c r="M2352" s="48"/>
    </row>
    <row r="2353" spans="1:13" x14ac:dyDescent="0.2">
      <c r="A2353" s="525" t="s">
        <v>834</v>
      </c>
      <c r="B2353" s="525" t="s">
        <v>1039</v>
      </c>
      <c r="C2353" s="121"/>
      <c r="D2353" s="49"/>
      <c r="E2353" s="114"/>
      <c r="F2353" s="330"/>
      <c r="G2353" s="48"/>
      <c r="H2353" s="48"/>
      <c r="I2353" s="48"/>
      <c r="J2353" s="48"/>
      <c r="K2353" s="48"/>
      <c r="L2353" s="48"/>
      <c r="M2353" s="48"/>
    </row>
    <row r="2354" spans="1:13" x14ac:dyDescent="0.25">
      <c r="A2354" s="531"/>
      <c r="B2354" s="531"/>
      <c r="C2354" s="52">
        <v>10</v>
      </c>
      <c r="D2354" s="49">
        <v>108</v>
      </c>
      <c r="E2354" s="114">
        <v>1983</v>
      </c>
      <c r="F2354" s="332">
        <f t="shared" ref="F2354:F2355" si="731">2019-E2354</f>
        <v>36</v>
      </c>
      <c r="G2354" s="48"/>
      <c r="H2354" s="48"/>
      <c r="I2354" s="48"/>
      <c r="J2354" s="48"/>
      <c r="K2354" s="48"/>
      <c r="L2354" s="48"/>
      <c r="M2354" s="48"/>
    </row>
    <row r="2355" spans="1:13" x14ac:dyDescent="0.25">
      <c r="A2355" s="526"/>
      <c r="B2355" s="526"/>
      <c r="C2355" s="121">
        <v>10</v>
      </c>
      <c r="D2355" s="49">
        <v>89</v>
      </c>
      <c r="E2355" s="114">
        <v>1983</v>
      </c>
      <c r="F2355" s="332">
        <f t="shared" si="731"/>
        <v>36</v>
      </c>
      <c r="G2355" s="48"/>
      <c r="H2355" s="48"/>
      <c r="I2355" s="48"/>
      <c r="J2355" s="48"/>
      <c r="K2355" s="48"/>
      <c r="L2355" s="48"/>
      <c r="M2355" s="48"/>
    </row>
    <row r="2356" spans="1:13" x14ac:dyDescent="0.2">
      <c r="A2356" s="525" t="s">
        <v>256</v>
      </c>
      <c r="B2356" s="525" t="s">
        <v>972</v>
      </c>
      <c r="C2356" s="52"/>
      <c r="D2356" s="49"/>
      <c r="E2356" s="114"/>
      <c r="F2356" s="330"/>
      <c r="G2356" s="48"/>
      <c r="H2356" s="48"/>
      <c r="I2356" s="48"/>
      <c r="J2356" s="48"/>
      <c r="K2356" s="48"/>
      <c r="L2356" s="48"/>
      <c r="M2356" s="48"/>
    </row>
    <row r="2357" spans="1:13" x14ac:dyDescent="0.25">
      <c r="A2357" s="531"/>
      <c r="B2357" s="531"/>
      <c r="C2357" s="52">
        <v>80</v>
      </c>
      <c r="D2357" s="49">
        <v>108</v>
      </c>
      <c r="E2357" s="114">
        <v>1981</v>
      </c>
      <c r="F2357" s="332">
        <f t="shared" ref="F2357:F2358" si="732">2019-E2357</f>
        <v>38</v>
      </c>
      <c r="G2357" s="48"/>
      <c r="H2357" s="48"/>
      <c r="I2357" s="48"/>
      <c r="J2357" s="48"/>
      <c r="K2357" s="48"/>
      <c r="L2357" s="48"/>
      <c r="M2357" s="48"/>
    </row>
    <row r="2358" spans="1:13" x14ac:dyDescent="0.25">
      <c r="A2358" s="526"/>
      <c r="B2358" s="526"/>
      <c r="C2358" s="121">
        <v>80</v>
      </c>
      <c r="D2358" s="49">
        <v>89</v>
      </c>
      <c r="E2358" s="114">
        <v>1981</v>
      </c>
      <c r="F2358" s="332">
        <f t="shared" si="732"/>
        <v>38</v>
      </c>
      <c r="G2358" s="48"/>
      <c r="H2358" s="48"/>
      <c r="I2358" s="48"/>
      <c r="J2358" s="48"/>
      <c r="K2358" s="48"/>
      <c r="L2358" s="48"/>
      <c r="M2358" s="48"/>
    </row>
    <row r="2359" spans="1:13" x14ac:dyDescent="0.2">
      <c r="A2359" s="525" t="s">
        <v>256</v>
      </c>
      <c r="B2359" s="525" t="s">
        <v>676</v>
      </c>
      <c r="C2359" s="52"/>
      <c r="D2359" s="49"/>
      <c r="E2359" s="114"/>
      <c r="F2359" s="330"/>
      <c r="G2359" s="48"/>
      <c r="H2359" s="48"/>
      <c r="I2359" s="48"/>
      <c r="J2359" s="48"/>
      <c r="K2359" s="48"/>
      <c r="L2359" s="48"/>
      <c r="M2359" s="48"/>
    </row>
    <row r="2360" spans="1:13" x14ac:dyDescent="0.25">
      <c r="A2360" s="531"/>
      <c r="B2360" s="531"/>
      <c r="C2360" s="121">
        <v>15</v>
      </c>
      <c r="D2360" s="49">
        <v>57</v>
      </c>
      <c r="E2360" s="114">
        <v>1981</v>
      </c>
      <c r="F2360" s="332">
        <f t="shared" ref="F2360:F2361" si="733">2019-E2360</f>
        <v>38</v>
      </c>
      <c r="G2360" s="48"/>
      <c r="H2360" s="48"/>
      <c r="I2360" s="48"/>
      <c r="J2360" s="48"/>
      <c r="K2360" s="48"/>
      <c r="L2360" s="48"/>
      <c r="M2360" s="48"/>
    </row>
    <row r="2361" spans="1:13" x14ac:dyDescent="0.25">
      <c r="A2361" s="526"/>
      <c r="B2361" s="526"/>
      <c r="C2361" s="121">
        <v>15</v>
      </c>
      <c r="D2361" s="49">
        <v>40</v>
      </c>
      <c r="E2361" s="114">
        <v>1981</v>
      </c>
      <c r="F2361" s="332">
        <f t="shared" si="733"/>
        <v>38</v>
      </c>
      <c r="G2361" s="48"/>
      <c r="H2361" s="48"/>
      <c r="I2361" s="48"/>
      <c r="J2361" s="48"/>
      <c r="K2361" s="48"/>
      <c r="L2361" s="48"/>
      <c r="M2361" s="48"/>
    </row>
    <row r="2362" spans="1:13" x14ac:dyDescent="0.2">
      <c r="A2362" s="525" t="s">
        <v>748</v>
      </c>
      <c r="B2362" s="525" t="s">
        <v>1040</v>
      </c>
      <c r="C2362" s="52"/>
      <c r="D2362" s="49"/>
      <c r="E2362" s="114"/>
      <c r="F2362" s="330"/>
      <c r="G2362" s="48"/>
      <c r="H2362" s="48"/>
      <c r="I2362" s="48"/>
      <c r="J2362" s="48"/>
      <c r="K2362" s="48"/>
      <c r="L2362" s="48"/>
      <c r="M2362" s="48"/>
    </row>
    <row r="2363" spans="1:13" x14ac:dyDescent="0.25">
      <c r="A2363" s="531"/>
      <c r="B2363" s="531"/>
      <c r="C2363" s="52">
        <v>124</v>
      </c>
      <c r="D2363" s="49">
        <v>108</v>
      </c>
      <c r="E2363" s="114">
        <v>1983</v>
      </c>
      <c r="F2363" s="332">
        <f t="shared" ref="F2363:F2364" si="734">2019-E2363</f>
        <v>36</v>
      </c>
      <c r="G2363" s="48"/>
      <c r="H2363" s="48"/>
      <c r="I2363" s="48"/>
      <c r="J2363" s="48"/>
      <c r="K2363" s="48"/>
      <c r="L2363" s="48"/>
      <c r="M2363" s="48"/>
    </row>
    <row r="2364" spans="1:13" x14ac:dyDescent="0.25">
      <c r="A2364" s="526"/>
      <c r="B2364" s="526"/>
      <c r="C2364" s="121">
        <v>124</v>
      </c>
      <c r="D2364" s="49">
        <v>89</v>
      </c>
      <c r="E2364" s="114">
        <v>1983</v>
      </c>
      <c r="F2364" s="332">
        <f t="shared" si="734"/>
        <v>36</v>
      </c>
      <c r="G2364" s="48"/>
      <c r="H2364" s="48"/>
      <c r="I2364" s="48"/>
      <c r="J2364" s="48"/>
      <c r="K2364" s="48"/>
      <c r="L2364" s="48"/>
      <c r="M2364" s="48"/>
    </row>
    <row r="2365" spans="1:13" x14ac:dyDescent="0.2">
      <c r="A2365" s="525" t="s">
        <v>1041</v>
      </c>
      <c r="B2365" s="525" t="s">
        <v>1042</v>
      </c>
      <c r="C2365" s="52"/>
      <c r="D2365" s="49"/>
      <c r="E2365" s="114"/>
      <c r="F2365" s="330"/>
      <c r="G2365" s="48"/>
      <c r="H2365" s="48"/>
      <c r="I2365" s="48"/>
      <c r="J2365" s="48"/>
      <c r="K2365" s="48"/>
      <c r="L2365" s="48"/>
      <c r="M2365" s="48"/>
    </row>
    <row r="2366" spans="1:13" x14ac:dyDescent="0.25">
      <c r="A2366" s="531"/>
      <c r="B2366" s="531"/>
      <c r="C2366" s="52">
        <v>36</v>
      </c>
      <c r="D2366" s="49">
        <v>133</v>
      </c>
      <c r="E2366" s="114">
        <v>1983</v>
      </c>
      <c r="F2366" s="332">
        <f t="shared" ref="F2366:F2367" si="735">2019-E2366</f>
        <v>36</v>
      </c>
      <c r="G2366" s="48"/>
      <c r="H2366" s="48"/>
      <c r="I2366" s="48"/>
      <c r="J2366" s="48"/>
      <c r="K2366" s="48"/>
      <c r="L2366" s="48"/>
      <c r="M2366" s="48"/>
    </row>
    <row r="2367" spans="1:13" x14ac:dyDescent="0.25">
      <c r="A2367" s="526"/>
      <c r="B2367" s="526"/>
      <c r="C2367" s="52">
        <v>36</v>
      </c>
      <c r="D2367" s="49">
        <v>108</v>
      </c>
      <c r="E2367" s="114">
        <v>1983</v>
      </c>
      <c r="F2367" s="332">
        <f t="shared" si="735"/>
        <v>36</v>
      </c>
      <c r="G2367" s="48"/>
      <c r="H2367" s="48"/>
      <c r="I2367" s="48"/>
      <c r="J2367" s="48"/>
      <c r="K2367" s="48"/>
      <c r="L2367" s="48"/>
      <c r="M2367" s="48"/>
    </row>
    <row r="2368" spans="1:13" x14ac:dyDescent="0.2">
      <c r="A2368" s="525" t="s">
        <v>1043</v>
      </c>
      <c r="B2368" s="525" t="s">
        <v>1044</v>
      </c>
      <c r="C2368" s="52"/>
      <c r="D2368" s="49"/>
      <c r="E2368" s="114"/>
      <c r="F2368" s="330"/>
      <c r="G2368" s="48"/>
      <c r="H2368" s="48"/>
      <c r="I2368" s="48"/>
      <c r="J2368" s="48"/>
      <c r="K2368" s="48"/>
      <c r="L2368" s="48"/>
      <c r="M2368" s="48"/>
    </row>
    <row r="2369" spans="1:13" x14ac:dyDescent="0.25">
      <c r="A2369" s="531"/>
      <c r="B2369" s="531"/>
      <c r="C2369" s="52">
        <v>64</v>
      </c>
      <c r="D2369" s="49">
        <v>108</v>
      </c>
      <c r="E2369" s="114">
        <v>1983</v>
      </c>
      <c r="F2369" s="332">
        <f t="shared" ref="F2369:F2370" si="736">2019-E2369</f>
        <v>36</v>
      </c>
      <c r="G2369" s="48"/>
      <c r="H2369" s="48"/>
      <c r="I2369" s="48"/>
      <c r="J2369" s="48"/>
      <c r="K2369" s="48"/>
      <c r="L2369" s="48"/>
      <c r="M2369" s="48"/>
    </row>
    <row r="2370" spans="1:13" x14ac:dyDescent="0.25">
      <c r="A2370" s="526"/>
      <c r="B2370" s="526"/>
      <c r="C2370" s="121">
        <v>64</v>
      </c>
      <c r="D2370" s="49">
        <v>76</v>
      </c>
      <c r="E2370" s="114">
        <v>1983</v>
      </c>
      <c r="F2370" s="332">
        <f t="shared" si="736"/>
        <v>36</v>
      </c>
      <c r="G2370" s="48"/>
      <c r="H2370" s="48"/>
      <c r="I2370" s="48"/>
      <c r="J2370" s="48"/>
      <c r="K2370" s="48"/>
      <c r="L2370" s="48"/>
      <c r="M2370" s="48"/>
    </row>
    <row r="2371" spans="1:13" x14ac:dyDescent="0.2">
      <c r="A2371" s="525" t="s">
        <v>1045</v>
      </c>
      <c r="B2371" s="525" t="s">
        <v>1046</v>
      </c>
      <c r="C2371" s="52"/>
      <c r="D2371" s="49"/>
      <c r="E2371" s="114"/>
      <c r="F2371" s="330"/>
      <c r="G2371" s="48"/>
      <c r="H2371" s="48"/>
      <c r="I2371" s="48"/>
      <c r="J2371" s="48"/>
      <c r="K2371" s="48"/>
      <c r="L2371" s="48"/>
      <c r="M2371" s="48"/>
    </row>
    <row r="2372" spans="1:13" x14ac:dyDescent="0.25">
      <c r="A2372" s="531"/>
      <c r="B2372" s="531"/>
      <c r="C2372" s="121">
        <v>74.849999999999994</v>
      </c>
      <c r="D2372" s="49">
        <v>159</v>
      </c>
      <c r="E2372" s="114">
        <v>1983</v>
      </c>
      <c r="F2372" s="332">
        <f t="shared" ref="F2372:F2373" si="737">2019-E2372</f>
        <v>36</v>
      </c>
      <c r="G2372" s="48"/>
      <c r="H2372" s="48"/>
      <c r="I2372" s="48"/>
      <c r="J2372" s="48"/>
      <c r="K2372" s="48"/>
      <c r="L2372" s="48"/>
      <c r="M2372" s="48"/>
    </row>
    <row r="2373" spans="1:13" x14ac:dyDescent="0.25">
      <c r="A2373" s="526"/>
      <c r="B2373" s="526"/>
      <c r="C2373" s="52">
        <v>74.849999999999994</v>
      </c>
      <c r="D2373" s="49">
        <v>133</v>
      </c>
      <c r="E2373" s="114">
        <v>1983</v>
      </c>
      <c r="F2373" s="332">
        <f t="shared" si="737"/>
        <v>36</v>
      </c>
      <c r="G2373" s="48"/>
      <c r="H2373" s="48"/>
      <c r="I2373" s="48"/>
      <c r="J2373" s="48"/>
      <c r="K2373" s="48"/>
      <c r="L2373" s="48"/>
      <c r="M2373" s="48"/>
    </row>
    <row r="2374" spans="1:13" x14ac:dyDescent="0.2">
      <c r="A2374" s="525" t="s">
        <v>1047</v>
      </c>
      <c r="B2374" s="525" t="s">
        <v>1048</v>
      </c>
      <c r="C2374" s="121"/>
      <c r="D2374" s="49"/>
      <c r="E2374" s="114"/>
      <c r="F2374" s="330"/>
      <c r="G2374" s="48"/>
      <c r="H2374" s="48"/>
      <c r="I2374" s="48"/>
      <c r="J2374" s="48"/>
      <c r="K2374" s="48"/>
      <c r="L2374" s="48"/>
      <c r="M2374" s="48"/>
    </row>
    <row r="2375" spans="1:13" x14ac:dyDescent="0.25">
      <c r="A2375" s="531"/>
      <c r="B2375" s="531"/>
      <c r="C2375" s="121">
        <v>50</v>
      </c>
      <c r="D2375" s="49">
        <v>57</v>
      </c>
      <c r="E2375" s="114">
        <v>1983</v>
      </c>
      <c r="F2375" s="332">
        <f t="shared" ref="F2375:F2376" si="738">2019-E2375</f>
        <v>36</v>
      </c>
      <c r="G2375" s="48"/>
      <c r="H2375" s="48"/>
      <c r="I2375" s="48"/>
      <c r="J2375" s="48"/>
      <c r="K2375" s="48"/>
      <c r="L2375" s="48"/>
      <c r="M2375" s="48"/>
    </row>
    <row r="2376" spans="1:13" x14ac:dyDescent="0.25">
      <c r="A2376" s="526"/>
      <c r="B2376" s="526"/>
      <c r="C2376" s="52">
        <v>50</v>
      </c>
      <c r="D2376" s="49">
        <v>32</v>
      </c>
      <c r="E2376" s="114">
        <v>1983</v>
      </c>
      <c r="F2376" s="332">
        <f t="shared" si="738"/>
        <v>36</v>
      </c>
      <c r="G2376" s="48"/>
      <c r="H2376" s="48"/>
      <c r="I2376" s="48"/>
      <c r="J2376" s="48"/>
      <c r="K2376" s="48"/>
      <c r="L2376" s="48"/>
      <c r="M2376" s="48"/>
    </row>
    <row r="2377" spans="1:13" x14ac:dyDescent="0.2">
      <c r="A2377" s="525" t="s">
        <v>1049</v>
      </c>
      <c r="B2377" s="525" t="s">
        <v>1050</v>
      </c>
      <c r="C2377" s="121"/>
      <c r="D2377" s="49"/>
      <c r="E2377" s="114"/>
      <c r="F2377" s="330"/>
      <c r="G2377" s="48"/>
      <c r="H2377" s="48"/>
      <c r="I2377" s="48"/>
      <c r="J2377" s="48"/>
      <c r="K2377" s="48"/>
      <c r="L2377" s="48"/>
      <c r="M2377" s="48"/>
    </row>
    <row r="2378" spans="1:13" x14ac:dyDescent="0.25">
      <c r="A2378" s="531"/>
      <c r="B2378" s="531"/>
      <c r="C2378" s="121">
        <v>178</v>
      </c>
      <c r="D2378" s="49">
        <v>159</v>
      </c>
      <c r="E2378" s="114">
        <v>1983</v>
      </c>
      <c r="F2378" s="332">
        <f t="shared" ref="F2378:F2379" si="739">2019-E2378</f>
        <v>36</v>
      </c>
      <c r="G2378" s="48"/>
      <c r="H2378" s="48"/>
      <c r="I2378" s="48"/>
      <c r="J2378" s="48"/>
      <c r="K2378" s="48"/>
      <c r="L2378" s="48"/>
      <c r="M2378" s="48"/>
    </row>
    <row r="2379" spans="1:13" x14ac:dyDescent="0.25">
      <c r="A2379" s="526"/>
      <c r="B2379" s="526"/>
      <c r="C2379" s="52">
        <v>178</v>
      </c>
      <c r="D2379" s="49">
        <v>133</v>
      </c>
      <c r="E2379" s="114">
        <v>1983</v>
      </c>
      <c r="F2379" s="332">
        <f t="shared" si="739"/>
        <v>36</v>
      </c>
      <c r="G2379" s="48"/>
      <c r="H2379" s="48"/>
      <c r="I2379" s="48"/>
      <c r="J2379" s="48"/>
      <c r="K2379" s="48"/>
      <c r="L2379" s="48"/>
      <c r="M2379" s="48"/>
    </row>
    <row r="2380" spans="1:13" x14ac:dyDescent="0.2">
      <c r="A2380" s="525" t="s">
        <v>1051</v>
      </c>
      <c r="B2380" s="525" t="s">
        <v>1052</v>
      </c>
      <c r="C2380" s="121"/>
      <c r="D2380" s="49"/>
      <c r="E2380" s="114"/>
      <c r="F2380" s="330"/>
      <c r="G2380" s="48"/>
      <c r="H2380" s="48"/>
      <c r="I2380" s="48"/>
      <c r="J2380" s="48"/>
      <c r="K2380" s="48"/>
      <c r="L2380" s="48"/>
      <c r="M2380" s="48"/>
    </row>
    <row r="2381" spans="1:13" x14ac:dyDescent="0.25">
      <c r="A2381" s="531"/>
      <c r="B2381" s="531"/>
      <c r="C2381" s="121">
        <v>41</v>
      </c>
      <c r="D2381" s="49">
        <v>57</v>
      </c>
      <c r="E2381" s="114">
        <v>1983</v>
      </c>
      <c r="F2381" s="332">
        <f t="shared" ref="F2381:F2382" si="740">2019-E2381</f>
        <v>36</v>
      </c>
      <c r="G2381" s="48"/>
      <c r="H2381" s="48"/>
      <c r="I2381" s="48"/>
      <c r="J2381" s="48"/>
      <c r="K2381" s="48"/>
      <c r="L2381" s="48"/>
      <c r="M2381" s="48"/>
    </row>
    <row r="2382" spans="1:13" x14ac:dyDescent="0.25">
      <c r="A2382" s="526"/>
      <c r="B2382" s="526"/>
      <c r="C2382" s="52">
        <v>41</v>
      </c>
      <c r="D2382" s="49">
        <v>32</v>
      </c>
      <c r="E2382" s="114">
        <v>1983</v>
      </c>
      <c r="F2382" s="332">
        <f t="shared" si="740"/>
        <v>36</v>
      </c>
      <c r="G2382" s="48"/>
      <c r="H2382" s="48"/>
      <c r="I2382" s="48"/>
      <c r="J2382" s="48"/>
      <c r="K2382" s="48"/>
      <c r="L2382" s="48"/>
      <c r="M2382" s="48"/>
    </row>
    <row r="2383" spans="1:13" x14ac:dyDescent="0.2">
      <c r="A2383" s="525" t="s">
        <v>1053</v>
      </c>
      <c r="B2383" s="525" t="s">
        <v>1054</v>
      </c>
      <c r="C2383" s="121"/>
      <c r="D2383" s="49"/>
      <c r="E2383" s="114"/>
      <c r="F2383" s="330"/>
      <c r="G2383" s="48"/>
      <c r="H2383" s="48"/>
      <c r="I2383" s="48"/>
      <c r="J2383" s="48"/>
      <c r="K2383" s="48"/>
      <c r="L2383" s="48"/>
      <c r="M2383" s="48"/>
    </row>
    <row r="2384" spans="1:13" x14ac:dyDescent="0.25">
      <c r="A2384" s="531"/>
      <c r="B2384" s="531"/>
      <c r="C2384" s="121">
        <v>28</v>
      </c>
      <c r="D2384" s="49">
        <v>89</v>
      </c>
      <c r="E2384" s="114">
        <v>1983</v>
      </c>
      <c r="F2384" s="332">
        <f t="shared" ref="F2384:F2385" si="741">2019-E2384</f>
        <v>36</v>
      </c>
      <c r="G2384" s="48"/>
      <c r="H2384" s="48"/>
      <c r="I2384" s="48"/>
      <c r="J2384" s="48"/>
      <c r="K2384" s="48"/>
      <c r="L2384" s="48"/>
      <c r="M2384" s="48"/>
    </row>
    <row r="2385" spans="1:13" x14ac:dyDescent="0.25">
      <c r="A2385" s="526"/>
      <c r="B2385" s="526"/>
      <c r="C2385" s="121">
        <v>28</v>
      </c>
      <c r="D2385" s="49">
        <v>40</v>
      </c>
      <c r="E2385" s="114">
        <v>1983</v>
      </c>
      <c r="F2385" s="332">
        <f t="shared" si="741"/>
        <v>36</v>
      </c>
      <c r="G2385" s="48"/>
      <c r="H2385" s="48"/>
      <c r="I2385" s="48"/>
      <c r="J2385" s="48"/>
      <c r="K2385" s="48"/>
      <c r="L2385" s="48"/>
      <c r="M2385" s="48"/>
    </row>
    <row r="2386" spans="1:13" x14ac:dyDescent="0.2">
      <c r="A2386" s="525" t="s">
        <v>1055</v>
      </c>
      <c r="B2386" s="525" t="s">
        <v>1056</v>
      </c>
      <c r="C2386" s="121"/>
      <c r="D2386" s="49"/>
      <c r="E2386" s="114"/>
      <c r="F2386" s="330"/>
      <c r="G2386" s="48"/>
      <c r="H2386" s="48"/>
      <c r="I2386" s="48"/>
      <c r="J2386" s="48"/>
      <c r="K2386" s="48"/>
      <c r="L2386" s="48"/>
      <c r="M2386" s="48"/>
    </row>
    <row r="2387" spans="1:13" x14ac:dyDescent="0.25">
      <c r="A2387" s="531"/>
      <c r="B2387" s="531"/>
      <c r="C2387" s="121">
        <v>25</v>
      </c>
      <c r="D2387" s="49">
        <v>89</v>
      </c>
      <c r="E2387" s="114">
        <v>1983</v>
      </c>
      <c r="F2387" s="332">
        <f t="shared" ref="F2387:F2388" si="742">2019-E2387</f>
        <v>36</v>
      </c>
      <c r="G2387" s="48"/>
      <c r="H2387" s="48"/>
      <c r="I2387" s="48"/>
      <c r="J2387" s="48"/>
      <c r="K2387" s="48"/>
      <c r="L2387" s="48"/>
      <c r="M2387" s="48"/>
    </row>
    <row r="2388" spans="1:13" x14ac:dyDescent="0.25">
      <c r="A2388" s="526"/>
      <c r="B2388" s="526"/>
      <c r="C2388" s="121">
        <v>25</v>
      </c>
      <c r="D2388" s="49">
        <v>40</v>
      </c>
      <c r="E2388" s="114">
        <v>1983</v>
      </c>
      <c r="F2388" s="332">
        <f t="shared" si="742"/>
        <v>36</v>
      </c>
      <c r="G2388" s="48"/>
      <c r="H2388" s="48"/>
      <c r="I2388" s="48"/>
      <c r="J2388" s="48"/>
      <c r="K2388" s="48"/>
      <c r="L2388" s="48"/>
      <c r="M2388" s="48"/>
    </row>
    <row r="2389" spans="1:13" x14ac:dyDescent="0.2">
      <c r="A2389" s="525" t="s">
        <v>1057</v>
      </c>
      <c r="B2389" s="525" t="s">
        <v>1058</v>
      </c>
      <c r="C2389" s="52"/>
      <c r="D2389" s="49"/>
      <c r="E2389" s="114"/>
      <c r="F2389" s="330"/>
      <c r="G2389" s="48"/>
      <c r="H2389" s="48"/>
      <c r="I2389" s="48"/>
      <c r="J2389" s="48"/>
      <c r="K2389" s="48"/>
      <c r="L2389" s="48"/>
      <c r="M2389" s="48"/>
    </row>
    <row r="2390" spans="1:13" x14ac:dyDescent="0.25">
      <c r="A2390" s="531"/>
      <c r="B2390" s="531"/>
      <c r="C2390" s="52">
        <v>123</v>
      </c>
      <c r="D2390" s="49">
        <v>108</v>
      </c>
      <c r="E2390" s="114">
        <v>1983</v>
      </c>
      <c r="F2390" s="332">
        <f t="shared" ref="F2390:F2391" si="743">2019-E2390</f>
        <v>36</v>
      </c>
      <c r="G2390" s="48"/>
      <c r="H2390" s="48"/>
      <c r="I2390" s="48"/>
      <c r="J2390" s="48"/>
      <c r="K2390" s="48"/>
      <c r="L2390" s="48"/>
      <c r="M2390" s="48"/>
    </row>
    <row r="2391" spans="1:13" x14ac:dyDescent="0.25">
      <c r="A2391" s="526"/>
      <c r="B2391" s="526"/>
      <c r="C2391" s="121">
        <v>123</v>
      </c>
      <c r="D2391" s="49">
        <v>76</v>
      </c>
      <c r="E2391" s="114">
        <v>1983</v>
      </c>
      <c r="F2391" s="332">
        <f t="shared" si="743"/>
        <v>36</v>
      </c>
      <c r="G2391" s="48"/>
      <c r="H2391" s="48"/>
      <c r="I2391" s="48"/>
      <c r="J2391" s="48"/>
      <c r="K2391" s="48"/>
      <c r="L2391" s="48"/>
      <c r="M2391" s="48"/>
    </row>
    <row r="2392" spans="1:13" x14ac:dyDescent="0.2">
      <c r="A2392" s="525" t="s">
        <v>1059</v>
      </c>
      <c r="B2392" s="525" t="s">
        <v>1060</v>
      </c>
      <c r="C2392" s="121"/>
      <c r="D2392" s="49"/>
      <c r="E2392" s="114"/>
      <c r="F2392" s="330"/>
      <c r="G2392" s="48"/>
      <c r="H2392" s="48"/>
      <c r="I2392" s="48"/>
      <c r="J2392" s="48"/>
      <c r="K2392" s="48"/>
      <c r="L2392" s="48"/>
      <c r="M2392" s="48"/>
    </row>
    <row r="2393" spans="1:13" x14ac:dyDescent="0.25">
      <c r="A2393" s="531"/>
      <c r="B2393" s="531"/>
      <c r="C2393" s="121">
        <v>50</v>
      </c>
      <c r="D2393" s="49">
        <v>159</v>
      </c>
      <c r="E2393" s="114">
        <v>1983</v>
      </c>
      <c r="F2393" s="332">
        <f t="shared" ref="F2393:F2394" si="744">2019-E2393</f>
        <v>36</v>
      </c>
      <c r="G2393" s="48"/>
      <c r="H2393" s="48"/>
      <c r="I2393" s="48"/>
      <c r="J2393" s="48"/>
      <c r="K2393" s="48"/>
      <c r="L2393" s="48"/>
      <c r="M2393" s="48"/>
    </row>
    <row r="2394" spans="1:13" x14ac:dyDescent="0.25">
      <c r="A2394" s="526"/>
      <c r="B2394" s="526"/>
      <c r="C2394" s="52">
        <v>50</v>
      </c>
      <c r="D2394" s="49">
        <v>133</v>
      </c>
      <c r="E2394" s="114">
        <v>1983</v>
      </c>
      <c r="F2394" s="332">
        <f t="shared" si="744"/>
        <v>36</v>
      </c>
      <c r="G2394" s="48"/>
      <c r="H2394" s="48"/>
      <c r="I2394" s="48"/>
      <c r="J2394" s="48"/>
      <c r="K2394" s="48"/>
      <c r="L2394" s="48"/>
      <c r="M2394" s="48"/>
    </row>
    <row r="2395" spans="1:13" x14ac:dyDescent="0.2">
      <c r="A2395" s="96" t="s">
        <v>1061</v>
      </c>
      <c r="B2395" s="96" t="s">
        <v>1062</v>
      </c>
      <c r="C2395" s="121"/>
      <c r="D2395" s="49"/>
      <c r="E2395" s="114"/>
      <c r="F2395" s="330"/>
      <c r="G2395" s="48"/>
      <c r="H2395" s="48"/>
      <c r="I2395" s="48"/>
      <c r="J2395" s="48"/>
      <c r="K2395" s="48"/>
      <c r="L2395" s="48"/>
      <c r="M2395" s="48"/>
    </row>
    <row r="2396" spans="1:13" x14ac:dyDescent="0.2">
      <c r="A2396" s="525" t="s">
        <v>1063</v>
      </c>
      <c r="B2396" s="525" t="s">
        <v>1064</v>
      </c>
      <c r="C2396" s="121"/>
      <c r="D2396" s="49"/>
      <c r="E2396" s="114"/>
      <c r="F2396" s="330"/>
      <c r="G2396" s="48"/>
      <c r="H2396" s="48"/>
      <c r="I2396" s="48"/>
      <c r="J2396" s="48"/>
      <c r="K2396" s="48"/>
      <c r="L2396" s="48"/>
      <c r="M2396" s="48"/>
    </row>
    <row r="2397" spans="1:13" x14ac:dyDescent="0.25">
      <c r="A2397" s="531"/>
      <c r="B2397" s="531"/>
      <c r="C2397" s="121">
        <v>50</v>
      </c>
      <c r="D2397" s="49">
        <v>57</v>
      </c>
      <c r="E2397" s="114">
        <v>1983</v>
      </c>
      <c r="F2397" s="332">
        <f t="shared" ref="F2397:F2398" si="745">2019-E2397</f>
        <v>36</v>
      </c>
      <c r="G2397" s="48"/>
      <c r="H2397" s="48"/>
      <c r="I2397" s="48"/>
      <c r="J2397" s="48"/>
      <c r="K2397" s="48"/>
      <c r="L2397" s="48"/>
      <c r="M2397" s="48"/>
    </row>
    <row r="2398" spans="1:13" x14ac:dyDescent="0.25">
      <c r="A2398" s="526"/>
      <c r="B2398" s="526"/>
      <c r="C2398" s="52">
        <v>50</v>
      </c>
      <c r="D2398" s="49">
        <v>32</v>
      </c>
      <c r="E2398" s="114">
        <v>1983</v>
      </c>
      <c r="F2398" s="332">
        <f t="shared" si="745"/>
        <v>36</v>
      </c>
      <c r="G2398" s="48"/>
      <c r="H2398" s="48"/>
      <c r="I2398" s="48"/>
      <c r="J2398" s="48"/>
      <c r="K2398" s="48"/>
      <c r="L2398" s="48"/>
      <c r="M2398" s="48"/>
    </row>
    <row r="2399" spans="1:13" x14ac:dyDescent="0.2">
      <c r="A2399" s="525" t="s">
        <v>1065</v>
      </c>
      <c r="B2399" s="525" t="s">
        <v>1066</v>
      </c>
      <c r="C2399" s="121"/>
      <c r="D2399" s="49"/>
      <c r="E2399" s="114"/>
      <c r="F2399" s="330"/>
      <c r="G2399" s="48"/>
      <c r="H2399" s="48"/>
      <c r="I2399" s="48"/>
      <c r="J2399" s="48"/>
      <c r="K2399" s="48"/>
      <c r="L2399" s="48"/>
      <c r="M2399" s="48"/>
    </row>
    <row r="2400" spans="1:13" x14ac:dyDescent="0.25">
      <c r="A2400" s="531"/>
      <c r="B2400" s="531"/>
      <c r="C2400" s="121">
        <v>43</v>
      </c>
      <c r="D2400" s="49">
        <v>40</v>
      </c>
      <c r="E2400" s="114">
        <v>1983</v>
      </c>
      <c r="F2400" s="332">
        <f t="shared" ref="F2400:F2401" si="746">2019-E2400</f>
        <v>36</v>
      </c>
      <c r="G2400" s="48"/>
      <c r="H2400" s="48"/>
      <c r="I2400" s="48"/>
      <c r="J2400" s="48"/>
      <c r="K2400" s="48"/>
      <c r="L2400" s="48"/>
      <c r="M2400" s="48"/>
    </row>
    <row r="2401" spans="1:13" x14ac:dyDescent="0.25">
      <c r="A2401" s="526"/>
      <c r="B2401" s="526"/>
      <c r="C2401" s="52">
        <v>43</v>
      </c>
      <c r="D2401" s="49">
        <v>32</v>
      </c>
      <c r="E2401" s="114">
        <v>1983</v>
      </c>
      <c r="F2401" s="332">
        <f t="shared" si="746"/>
        <v>36</v>
      </c>
      <c r="G2401" s="48"/>
      <c r="H2401" s="48"/>
      <c r="I2401" s="48"/>
      <c r="J2401" s="48"/>
      <c r="K2401" s="48"/>
      <c r="L2401" s="48"/>
      <c r="M2401" s="48"/>
    </row>
    <row r="2402" spans="1:13" x14ac:dyDescent="0.2">
      <c r="A2402" s="525" t="s">
        <v>1047</v>
      </c>
      <c r="B2402" s="525" t="s">
        <v>1067</v>
      </c>
      <c r="C2402" s="121"/>
      <c r="D2402" s="49"/>
      <c r="E2402" s="114"/>
      <c r="F2402" s="330"/>
      <c r="G2402" s="48"/>
      <c r="H2402" s="48"/>
      <c r="I2402" s="48"/>
      <c r="J2402" s="48"/>
      <c r="K2402" s="48"/>
      <c r="L2402" s="48"/>
      <c r="M2402" s="48"/>
    </row>
    <row r="2403" spans="1:13" x14ac:dyDescent="0.25">
      <c r="A2403" s="531"/>
      <c r="B2403" s="531"/>
      <c r="C2403" s="121">
        <v>70</v>
      </c>
      <c r="D2403" s="49">
        <v>76</v>
      </c>
      <c r="E2403" s="114">
        <v>1983</v>
      </c>
      <c r="F2403" s="332">
        <f t="shared" ref="F2403:F2404" si="747">2019-E2403</f>
        <v>36</v>
      </c>
      <c r="G2403" s="48"/>
      <c r="H2403" s="48"/>
      <c r="I2403" s="48"/>
      <c r="J2403" s="48"/>
      <c r="K2403" s="48"/>
      <c r="L2403" s="48"/>
      <c r="M2403" s="48"/>
    </row>
    <row r="2404" spans="1:13" x14ac:dyDescent="0.25">
      <c r="A2404" s="526"/>
      <c r="B2404" s="526"/>
      <c r="C2404" s="121">
        <v>70</v>
      </c>
      <c r="D2404" s="49">
        <v>57</v>
      </c>
      <c r="E2404" s="114">
        <v>1983</v>
      </c>
      <c r="F2404" s="332">
        <f t="shared" si="747"/>
        <v>36</v>
      </c>
      <c r="G2404" s="48"/>
      <c r="H2404" s="48"/>
      <c r="I2404" s="48"/>
      <c r="J2404" s="48"/>
      <c r="K2404" s="48"/>
      <c r="L2404" s="48"/>
      <c r="M2404" s="48"/>
    </row>
    <row r="2405" spans="1:13" x14ac:dyDescent="0.2">
      <c r="A2405" s="525" t="s">
        <v>1019</v>
      </c>
      <c r="B2405" s="525" t="s">
        <v>1068</v>
      </c>
      <c r="C2405" s="121"/>
      <c r="D2405" s="49"/>
      <c r="E2405" s="114"/>
      <c r="F2405" s="330"/>
      <c r="G2405" s="48"/>
      <c r="H2405" s="48"/>
      <c r="I2405" s="48"/>
      <c r="J2405" s="48"/>
      <c r="K2405" s="48"/>
      <c r="L2405" s="48"/>
      <c r="M2405" s="48"/>
    </row>
    <row r="2406" spans="1:13" x14ac:dyDescent="0.25">
      <c r="A2406" s="531"/>
      <c r="B2406" s="531"/>
      <c r="C2406" s="121">
        <v>29</v>
      </c>
      <c r="D2406" s="49">
        <v>76</v>
      </c>
      <c r="E2406" s="114">
        <v>1983</v>
      </c>
      <c r="F2406" s="332">
        <f t="shared" ref="F2406:F2407" si="748">2019-E2406</f>
        <v>36</v>
      </c>
      <c r="G2406" s="48"/>
      <c r="H2406" s="48"/>
      <c r="I2406" s="48"/>
      <c r="J2406" s="48"/>
      <c r="K2406" s="48"/>
      <c r="L2406" s="48"/>
      <c r="M2406" s="48"/>
    </row>
    <row r="2407" spans="1:13" x14ac:dyDescent="0.25">
      <c r="A2407" s="526"/>
      <c r="B2407" s="526"/>
      <c r="C2407" s="121">
        <v>29</v>
      </c>
      <c r="D2407" s="49">
        <v>40</v>
      </c>
      <c r="E2407" s="114">
        <v>1983</v>
      </c>
      <c r="F2407" s="332">
        <f t="shared" si="748"/>
        <v>36</v>
      </c>
      <c r="G2407" s="48"/>
      <c r="H2407" s="48"/>
      <c r="I2407" s="48"/>
      <c r="J2407" s="48"/>
      <c r="K2407" s="48"/>
      <c r="L2407" s="48"/>
      <c r="M2407" s="48"/>
    </row>
    <row r="2408" spans="1:13" x14ac:dyDescent="0.2">
      <c r="A2408" s="525" t="s">
        <v>1041</v>
      </c>
      <c r="B2408" s="525" t="s">
        <v>1069</v>
      </c>
      <c r="C2408" s="52"/>
      <c r="D2408" s="49"/>
      <c r="E2408" s="114"/>
      <c r="F2408" s="330"/>
      <c r="G2408" s="48"/>
      <c r="H2408" s="48"/>
      <c r="I2408" s="48"/>
      <c r="J2408" s="48"/>
      <c r="K2408" s="48"/>
      <c r="L2408" s="48"/>
      <c r="M2408" s="48"/>
    </row>
    <row r="2409" spans="1:13" x14ac:dyDescent="0.25">
      <c r="A2409" s="531"/>
      <c r="B2409" s="531"/>
      <c r="C2409" s="52">
        <v>188</v>
      </c>
      <c r="D2409" s="49">
        <v>133</v>
      </c>
      <c r="E2409" s="114">
        <v>1983</v>
      </c>
      <c r="F2409" s="332">
        <f t="shared" ref="F2409:F2410" si="749">2019-E2409</f>
        <v>36</v>
      </c>
      <c r="G2409" s="48"/>
      <c r="H2409" s="48"/>
      <c r="I2409" s="48"/>
      <c r="J2409" s="48"/>
      <c r="K2409" s="48"/>
      <c r="L2409" s="48"/>
      <c r="M2409" s="48"/>
    </row>
    <row r="2410" spans="1:13" x14ac:dyDescent="0.25">
      <c r="A2410" s="526"/>
      <c r="B2410" s="526"/>
      <c r="C2410" s="52">
        <v>188</v>
      </c>
      <c r="D2410" s="49">
        <v>108</v>
      </c>
      <c r="E2410" s="114">
        <v>1983</v>
      </c>
      <c r="F2410" s="332">
        <f t="shared" si="749"/>
        <v>36</v>
      </c>
      <c r="G2410" s="48"/>
      <c r="H2410" s="48"/>
      <c r="I2410" s="48"/>
      <c r="J2410" s="48"/>
      <c r="K2410" s="48"/>
      <c r="L2410" s="48"/>
      <c r="M2410" s="48"/>
    </row>
    <row r="2411" spans="1:13" x14ac:dyDescent="0.2">
      <c r="A2411" s="537" t="s">
        <v>1070</v>
      </c>
      <c r="B2411" s="537" t="s">
        <v>1071</v>
      </c>
      <c r="C2411" s="121"/>
      <c r="D2411" s="49"/>
      <c r="E2411" s="114"/>
      <c r="F2411" s="330"/>
      <c r="G2411" s="48"/>
      <c r="H2411" s="48"/>
      <c r="I2411" s="48"/>
      <c r="J2411" s="48"/>
      <c r="K2411" s="48"/>
      <c r="L2411" s="48"/>
      <c r="M2411" s="48"/>
    </row>
    <row r="2412" spans="1:13" x14ac:dyDescent="0.25">
      <c r="A2412" s="538"/>
      <c r="B2412" s="538"/>
      <c r="C2412" s="121">
        <v>90</v>
      </c>
      <c r="D2412" s="49">
        <v>89</v>
      </c>
      <c r="E2412" s="114">
        <v>1983</v>
      </c>
      <c r="F2412" s="332">
        <f t="shared" ref="F2412:F2413" si="750">2019-E2412</f>
        <v>36</v>
      </c>
      <c r="G2412" s="48"/>
      <c r="H2412" s="48"/>
      <c r="I2412" s="48"/>
      <c r="J2412" s="48"/>
      <c r="K2412" s="48"/>
      <c r="L2412" s="48"/>
      <c r="M2412" s="48"/>
    </row>
    <row r="2413" spans="1:13" x14ac:dyDescent="0.25">
      <c r="A2413" s="539"/>
      <c r="B2413" s="539"/>
      <c r="C2413" s="121">
        <v>90</v>
      </c>
      <c r="D2413" s="49">
        <v>57</v>
      </c>
      <c r="E2413" s="114">
        <v>1983</v>
      </c>
      <c r="F2413" s="332">
        <f t="shared" si="750"/>
        <v>36</v>
      </c>
      <c r="G2413" s="48"/>
      <c r="H2413" s="48"/>
      <c r="I2413" s="48"/>
      <c r="J2413" s="48"/>
      <c r="K2413" s="48"/>
      <c r="L2413" s="48"/>
      <c r="M2413" s="48"/>
    </row>
    <row r="2414" spans="1:13" x14ac:dyDescent="0.2">
      <c r="A2414" s="525" t="s">
        <v>1072</v>
      </c>
      <c r="B2414" s="525" t="s">
        <v>1073</v>
      </c>
      <c r="C2414" s="52"/>
      <c r="D2414" s="49"/>
      <c r="E2414" s="114"/>
      <c r="F2414" s="330"/>
      <c r="G2414" s="48"/>
      <c r="H2414" s="48"/>
      <c r="I2414" s="48"/>
      <c r="J2414" s="48"/>
      <c r="K2414" s="48"/>
      <c r="L2414" s="48"/>
      <c r="M2414" s="48"/>
    </row>
    <row r="2415" spans="1:13" x14ac:dyDescent="0.25">
      <c r="A2415" s="531"/>
      <c r="B2415" s="531"/>
      <c r="C2415" s="52">
        <v>10</v>
      </c>
      <c r="D2415" s="49">
        <v>108</v>
      </c>
      <c r="E2415" s="114">
        <v>1983</v>
      </c>
      <c r="F2415" s="332">
        <f t="shared" ref="F2415:F2416" si="751">2019-E2415</f>
        <v>36</v>
      </c>
      <c r="G2415" s="48"/>
      <c r="H2415" s="48"/>
      <c r="I2415" s="48"/>
      <c r="J2415" s="48"/>
      <c r="K2415" s="48"/>
      <c r="L2415" s="48"/>
      <c r="M2415" s="48"/>
    </row>
    <row r="2416" spans="1:13" x14ac:dyDescent="0.25">
      <c r="A2416" s="526"/>
      <c r="B2416" s="526"/>
      <c r="C2416" s="121">
        <v>10</v>
      </c>
      <c r="D2416" s="49">
        <v>89</v>
      </c>
      <c r="E2416" s="114">
        <v>1983</v>
      </c>
      <c r="F2416" s="332">
        <f t="shared" si="751"/>
        <v>36</v>
      </c>
      <c r="G2416" s="48"/>
      <c r="H2416" s="48"/>
      <c r="I2416" s="48"/>
      <c r="J2416" s="48"/>
      <c r="K2416" s="48"/>
      <c r="L2416" s="48"/>
      <c r="M2416" s="48"/>
    </row>
    <row r="2417" spans="1:13" x14ac:dyDescent="0.2">
      <c r="A2417" s="525" t="s">
        <v>1047</v>
      </c>
      <c r="B2417" s="525" t="s">
        <v>1074</v>
      </c>
      <c r="C2417" s="52"/>
      <c r="D2417" s="49"/>
      <c r="E2417" s="114"/>
      <c r="F2417" s="330"/>
      <c r="G2417" s="48"/>
      <c r="H2417" s="48"/>
      <c r="I2417" s="48"/>
      <c r="J2417" s="48"/>
      <c r="K2417" s="48"/>
      <c r="L2417" s="48"/>
      <c r="M2417" s="48"/>
    </row>
    <row r="2418" spans="1:13" x14ac:dyDescent="0.25">
      <c r="A2418" s="531"/>
      <c r="B2418" s="531"/>
      <c r="C2418" s="52">
        <v>120</v>
      </c>
      <c r="D2418" s="49">
        <v>108</v>
      </c>
      <c r="E2418" s="114">
        <v>1983</v>
      </c>
      <c r="F2418" s="332">
        <f t="shared" ref="F2418:F2419" si="752">2019-E2418</f>
        <v>36</v>
      </c>
      <c r="G2418" s="48"/>
      <c r="H2418" s="48"/>
      <c r="I2418" s="48"/>
      <c r="J2418" s="48"/>
      <c r="K2418" s="48"/>
      <c r="L2418" s="48"/>
      <c r="M2418" s="48"/>
    </row>
    <row r="2419" spans="1:13" x14ac:dyDescent="0.25">
      <c r="A2419" s="526"/>
      <c r="B2419" s="526"/>
      <c r="C2419" s="121">
        <v>120</v>
      </c>
      <c r="D2419" s="49">
        <v>57</v>
      </c>
      <c r="E2419" s="114">
        <v>1983</v>
      </c>
      <c r="F2419" s="332">
        <f t="shared" si="752"/>
        <v>36</v>
      </c>
      <c r="G2419" s="48"/>
      <c r="H2419" s="48"/>
      <c r="I2419" s="48"/>
      <c r="J2419" s="48"/>
      <c r="K2419" s="48"/>
      <c r="L2419" s="48"/>
      <c r="M2419" s="48"/>
    </row>
    <row r="2420" spans="1:13" x14ac:dyDescent="0.2">
      <c r="A2420" s="97" t="s">
        <v>315</v>
      </c>
      <c r="B2420" s="97" t="s">
        <v>1075</v>
      </c>
      <c r="C2420" s="52"/>
      <c r="D2420" s="49"/>
      <c r="E2420" s="49"/>
      <c r="F2420" s="330"/>
      <c r="G2420" s="48"/>
      <c r="H2420" s="48"/>
      <c r="I2420" s="48"/>
      <c r="J2420" s="48"/>
      <c r="K2420" s="48"/>
      <c r="L2420" s="48"/>
      <c r="M2420" s="48"/>
    </row>
    <row r="2421" spans="1:13" x14ac:dyDescent="0.25">
      <c r="A2421" s="91"/>
      <c r="B2421" s="91"/>
      <c r="C2421" s="52">
        <v>463</v>
      </c>
      <c r="D2421" s="49">
        <v>133</v>
      </c>
      <c r="E2421" s="114">
        <v>1983</v>
      </c>
      <c r="F2421" s="332">
        <f t="shared" ref="F2421:F2422" si="753">2019-E2421</f>
        <v>36</v>
      </c>
      <c r="G2421" s="48"/>
      <c r="H2421" s="48"/>
      <c r="I2421" s="48"/>
      <c r="J2421" s="48"/>
      <c r="K2421" s="48"/>
      <c r="L2421" s="48"/>
      <c r="M2421" s="48"/>
    </row>
    <row r="2422" spans="1:13" x14ac:dyDescent="0.25">
      <c r="A2422" s="91"/>
      <c r="B2422" s="91"/>
      <c r="C2422" s="121">
        <v>463</v>
      </c>
      <c r="D2422" s="49">
        <v>89</v>
      </c>
      <c r="E2422" s="114">
        <v>1983</v>
      </c>
      <c r="F2422" s="332">
        <f t="shared" si="753"/>
        <v>36</v>
      </c>
      <c r="G2422" s="48"/>
      <c r="H2422" s="48"/>
      <c r="I2422" s="48"/>
      <c r="J2422" s="48"/>
      <c r="K2422" s="48"/>
      <c r="L2422" s="48"/>
      <c r="M2422" s="48"/>
    </row>
    <row r="2423" spans="1:13" x14ac:dyDescent="0.2">
      <c r="A2423" s="534" t="s">
        <v>193</v>
      </c>
      <c r="B2423" s="525" t="s">
        <v>1076</v>
      </c>
      <c r="C2423" s="121"/>
      <c r="D2423" s="49"/>
      <c r="E2423" s="114"/>
      <c r="F2423" s="330"/>
      <c r="G2423" s="48"/>
      <c r="H2423" s="48"/>
      <c r="I2423" s="48"/>
      <c r="J2423" s="48"/>
      <c r="K2423" s="48"/>
      <c r="L2423" s="48"/>
      <c r="M2423" s="48"/>
    </row>
    <row r="2424" spans="1:13" x14ac:dyDescent="0.25">
      <c r="A2424" s="536"/>
      <c r="B2424" s="531"/>
      <c r="C2424" s="52">
        <v>44</v>
      </c>
      <c r="D2424" s="49">
        <v>133</v>
      </c>
      <c r="E2424" s="114">
        <v>1977</v>
      </c>
      <c r="F2424" s="332">
        <f t="shared" ref="F2424:F2425" si="754">2019-E2424</f>
        <v>42</v>
      </c>
      <c r="G2424" s="48"/>
      <c r="H2424" s="48"/>
      <c r="I2424" s="48"/>
      <c r="J2424" s="48"/>
      <c r="K2424" s="48"/>
      <c r="L2424" s="48"/>
      <c r="M2424" s="48"/>
    </row>
    <row r="2425" spans="1:13" x14ac:dyDescent="0.25">
      <c r="A2425" s="535"/>
      <c r="B2425" s="526"/>
      <c r="C2425" s="52">
        <v>44</v>
      </c>
      <c r="D2425" s="49">
        <v>108</v>
      </c>
      <c r="E2425" s="114">
        <v>1977</v>
      </c>
      <c r="F2425" s="332">
        <f t="shared" si="754"/>
        <v>42</v>
      </c>
      <c r="G2425" s="48"/>
      <c r="H2425" s="48"/>
      <c r="I2425" s="48"/>
      <c r="J2425" s="48"/>
      <c r="K2425" s="48"/>
      <c r="L2425" s="48"/>
      <c r="M2425" s="48"/>
    </row>
    <row r="2426" spans="1:13" x14ac:dyDescent="0.2">
      <c r="A2426" s="525" t="s">
        <v>638</v>
      </c>
      <c r="B2426" s="525" t="s">
        <v>780</v>
      </c>
      <c r="C2426" s="121"/>
      <c r="D2426" s="49"/>
      <c r="E2426" s="114"/>
      <c r="F2426" s="330"/>
      <c r="G2426" s="48"/>
      <c r="H2426" s="48"/>
      <c r="I2426" s="48"/>
      <c r="J2426" s="48"/>
      <c r="K2426" s="48"/>
      <c r="L2426" s="48"/>
      <c r="M2426" s="48"/>
    </row>
    <row r="2427" spans="1:13" x14ac:dyDescent="0.25">
      <c r="A2427" s="531"/>
      <c r="B2427" s="531"/>
      <c r="C2427" s="121">
        <v>97</v>
      </c>
      <c r="D2427" s="49">
        <v>159</v>
      </c>
      <c r="E2427" s="114">
        <v>1977</v>
      </c>
      <c r="F2427" s="332">
        <f t="shared" ref="F2427:F2428" si="755">2019-E2427</f>
        <v>42</v>
      </c>
      <c r="G2427" s="48"/>
      <c r="H2427" s="48"/>
      <c r="I2427" s="48"/>
      <c r="J2427" s="48"/>
      <c r="K2427" s="48"/>
      <c r="L2427" s="48"/>
      <c r="M2427" s="48"/>
    </row>
    <row r="2428" spans="1:13" x14ac:dyDescent="0.25">
      <c r="A2428" s="526"/>
      <c r="B2428" s="526"/>
      <c r="C2428" s="121">
        <v>97</v>
      </c>
      <c r="D2428" s="49">
        <v>89</v>
      </c>
      <c r="E2428" s="114">
        <v>1977</v>
      </c>
      <c r="F2428" s="332">
        <f t="shared" si="755"/>
        <v>42</v>
      </c>
      <c r="G2428" s="48"/>
      <c r="H2428" s="48"/>
      <c r="I2428" s="48"/>
      <c r="J2428" s="48"/>
      <c r="K2428" s="48"/>
      <c r="L2428" s="48"/>
      <c r="M2428" s="48"/>
    </row>
    <row r="2429" spans="1:13" x14ac:dyDescent="0.2">
      <c r="A2429" s="91" t="s">
        <v>422</v>
      </c>
      <c r="B2429" s="91" t="s">
        <v>1077</v>
      </c>
      <c r="C2429" s="52"/>
      <c r="D2429" s="49"/>
      <c r="E2429" s="114"/>
      <c r="F2429" s="330"/>
      <c r="G2429" s="48"/>
      <c r="H2429" s="48"/>
      <c r="I2429" s="48"/>
      <c r="J2429" s="48"/>
      <c r="K2429" s="48"/>
      <c r="L2429" s="48"/>
      <c r="M2429" s="48"/>
    </row>
    <row r="2430" spans="1:13" x14ac:dyDescent="0.25">
      <c r="A2430" s="96" t="s">
        <v>781</v>
      </c>
      <c r="B2430" s="96" t="s">
        <v>1078</v>
      </c>
      <c r="C2430" s="121">
        <v>16</v>
      </c>
      <c r="D2430" s="49">
        <v>89</v>
      </c>
      <c r="E2430" s="114">
        <v>1977</v>
      </c>
      <c r="F2430" s="332">
        <f t="shared" ref="F2430:F2431" si="756">2019-E2430</f>
        <v>42</v>
      </c>
      <c r="G2430" s="48"/>
      <c r="H2430" s="48"/>
      <c r="I2430" s="48"/>
      <c r="J2430" s="48"/>
      <c r="K2430" s="48"/>
      <c r="L2430" s="48"/>
      <c r="M2430" s="48"/>
    </row>
    <row r="2431" spans="1:13" x14ac:dyDescent="0.25">
      <c r="A2431" s="91" t="s">
        <v>1079</v>
      </c>
      <c r="B2431" s="91" t="s">
        <v>1080</v>
      </c>
      <c r="C2431" s="121">
        <v>16</v>
      </c>
      <c r="D2431" s="49">
        <v>57</v>
      </c>
      <c r="E2431" s="114">
        <v>1977</v>
      </c>
      <c r="F2431" s="332">
        <f t="shared" si="756"/>
        <v>42</v>
      </c>
      <c r="G2431" s="48"/>
      <c r="H2431" s="48"/>
      <c r="I2431" s="48"/>
      <c r="J2431" s="48"/>
      <c r="K2431" s="48"/>
      <c r="L2431" s="48"/>
      <c r="M2431" s="48"/>
    </row>
    <row r="2432" spans="1:13" x14ac:dyDescent="0.2">
      <c r="A2432" s="91" t="s">
        <v>498</v>
      </c>
      <c r="B2432" s="91" t="s">
        <v>1081</v>
      </c>
      <c r="C2432" s="52"/>
      <c r="D2432" s="49"/>
      <c r="E2432" s="114"/>
      <c r="F2432" s="330"/>
      <c r="G2432" s="48"/>
      <c r="H2432" s="48"/>
      <c r="I2432" s="48"/>
      <c r="J2432" s="48"/>
      <c r="K2432" s="48"/>
      <c r="L2432" s="48"/>
      <c r="M2432" s="48"/>
    </row>
    <row r="2433" spans="1:13" x14ac:dyDescent="0.25">
      <c r="A2433" s="96" t="s">
        <v>391</v>
      </c>
      <c r="B2433" s="96" t="s">
        <v>1081</v>
      </c>
      <c r="C2433" s="121">
        <v>19</v>
      </c>
      <c r="D2433" s="49">
        <v>89</v>
      </c>
      <c r="E2433" s="114">
        <v>1978</v>
      </c>
      <c r="F2433" s="332">
        <f t="shared" ref="F2433:F2434" si="757">2019-E2433</f>
        <v>41</v>
      </c>
      <c r="G2433" s="48"/>
      <c r="H2433" s="48"/>
      <c r="I2433" s="48"/>
      <c r="J2433" s="48"/>
      <c r="K2433" s="48"/>
      <c r="L2433" s="48"/>
      <c r="M2433" s="48"/>
    </row>
    <row r="2434" spans="1:13" x14ac:dyDescent="0.25">
      <c r="A2434" s="91" t="s">
        <v>337</v>
      </c>
      <c r="B2434" s="91" t="s">
        <v>1082</v>
      </c>
      <c r="C2434" s="121">
        <v>19</v>
      </c>
      <c r="D2434" s="49">
        <v>57</v>
      </c>
      <c r="E2434" s="114">
        <v>1978</v>
      </c>
      <c r="F2434" s="332">
        <f t="shared" si="757"/>
        <v>41</v>
      </c>
      <c r="G2434" s="48"/>
      <c r="H2434" s="48"/>
      <c r="I2434" s="48"/>
      <c r="J2434" s="48"/>
      <c r="K2434" s="48"/>
      <c r="L2434" s="48"/>
      <c r="M2434" s="48"/>
    </row>
    <row r="2435" spans="1:13" x14ac:dyDescent="0.2">
      <c r="A2435" s="525" t="s">
        <v>807</v>
      </c>
      <c r="B2435" s="525" t="s">
        <v>1083</v>
      </c>
      <c r="C2435" s="121"/>
      <c r="D2435" s="49"/>
      <c r="E2435" s="114"/>
      <c r="F2435" s="330"/>
      <c r="G2435" s="48"/>
      <c r="H2435" s="48"/>
      <c r="I2435" s="48"/>
      <c r="J2435" s="48"/>
      <c r="K2435" s="48"/>
      <c r="L2435" s="48"/>
      <c r="M2435" s="48"/>
    </row>
    <row r="2436" spans="1:13" x14ac:dyDescent="0.25">
      <c r="A2436" s="526"/>
      <c r="B2436" s="526"/>
      <c r="C2436" s="121">
        <v>150</v>
      </c>
      <c r="D2436" s="49">
        <v>57</v>
      </c>
      <c r="E2436" s="114">
        <v>1978</v>
      </c>
      <c r="F2436" s="332">
        <f t="shared" ref="F2436" si="758">2019-E2436</f>
        <v>41</v>
      </c>
      <c r="G2436" s="48"/>
      <c r="H2436" s="48"/>
      <c r="I2436" s="48"/>
      <c r="J2436" s="48"/>
      <c r="K2436" s="48"/>
      <c r="L2436" s="48"/>
      <c r="M2436" s="48"/>
    </row>
    <row r="2437" spans="1:13" x14ac:dyDescent="0.2">
      <c r="A2437" s="525" t="s">
        <v>1084</v>
      </c>
      <c r="B2437" s="525" t="s">
        <v>1085</v>
      </c>
      <c r="C2437" s="52"/>
      <c r="D2437" s="49"/>
      <c r="E2437" s="114"/>
      <c r="F2437" s="330"/>
      <c r="G2437" s="48"/>
      <c r="H2437" s="48"/>
      <c r="I2437" s="48"/>
      <c r="J2437" s="48"/>
      <c r="K2437" s="48"/>
      <c r="L2437" s="48"/>
      <c r="M2437" s="48"/>
    </row>
    <row r="2438" spans="1:13" x14ac:dyDescent="0.25">
      <c r="A2438" s="531"/>
      <c r="B2438" s="531"/>
      <c r="C2438" s="52">
        <v>68</v>
      </c>
      <c r="D2438" s="49">
        <v>108</v>
      </c>
      <c r="E2438" s="114">
        <v>1977</v>
      </c>
      <c r="F2438" s="332">
        <f t="shared" ref="F2438:F2439" si="759">2019-E2438</f>
        <v>42</v>
      </c>
      <c r="G2438" s="48"/>
      <c r="H2438" s="48"/>
      <c r="I2438" s="48"/>
      <c r="J2438" s="48"/>
      <c r="K2438" s="48"/>
      <c r="L2438" s="48"/>
      <c r="M2438" s="48"/>
    </row>
    <row r="2439" spans="1:13" x14ac:dyDescent="0.25">
      <c r="A2439" s="526"/>
      <c r="B2439" s="526"/>
      <c r="C2439" s="121">
        <v>68</v>
      </c>
      <c r="D2439" s="49">
        <v>89</v>
      </c>
      <c r="E2439" s="114">
        <v>1977</v>
      </c>
      <c r="F2439" s="332">
        <f t="shared" si="759"/>
        <v>42</v>
      </c>
      <c r="G2439" s="48"/>
      <c r="H2439" s="48"/>
      <c r="I2439" s="48"/>
      <c r="J2439" s="48"/>
      <c r="K2439" s="48"/>
      <c r="L2439" s="48"/>
      <c r="M2439" s="48"/>
    </row>
    <row r="2440" spans="1:13" x14ac:dyDescent="0.2">
      <c r="A2440" s="525" t="s">
        <v>197</v>
      </c>
      <c r="B2440" s="525" t="s">
        <v>1086</v>
      </c>
      <c r="C2440" s="121"/>
      <c r="D2440" s="49"/>
      <c r="E2440" s="114"/>
      <c r="F2440" s="330"/>
      <c r="G2440" s="48"/>
      <c r="H2440" s="48"/>
      <c r="I2440" s="48"/>
      <c r="J2440" s="48"/>
      <c r="K2440" s="48"/>
      <c r="L2440" s="48"/>
      <c r="M2440" s="48"/>
    </row>
    <row r="2441" spans="1:13" x14ac:dyDescent="0.25">
      <c r="A2441" s="526"/>
      <c r="B2441" s="526"/>
      <c r="C2441" s="121">
        <v>36</v>
      </c>
      <c r="D2441" s="49">
        <v>89</v>
      </c>
      <c r="E2441" s="114">
        <v>1977</v>
      </c>
      <c r="F2441" s="332">
        <f t="shared" ref="F2441" si="760">2019-E2441</f>
        <v>42</v>
      </c>
      <c r="G2441" s="48"/>
      <c r="H2441" s="48"/>
      <c r="I2441" s="48"/>
      <c r="J2441" s="48"/>
      <c r="K2441" s="48"/>
      <c r="L2441" s="48"/>
      <c r="M2441" s="48"/>
    </row>
    <row r="2442" spans="1:13" x14ac:dyDescent="0.2">
      <c r="A2442" s="525" t="s">
        <v>256</v>
      </c>
      <c r="B2442" s="525" t="s">
        <v>1087</v>
      </c>
      <c r="C2442" s="52"/>
      <c r="D2442" s="49"/>
      <c r="E2442" s="114"/>
      <c r="F2442" s="330"/>
      <c r="G2442" s="48"/>
      <c r="H2442" s="48"/>
      <c r="I2442" s="48"/>
      <c r="J2442" s="48"/>
      <c r="K2442" s="48"/>
      <c r="L2442" s="48"/>
      <c r="M2442" s="48"/>
    </row>
    <row r="2443" spans="1:13" x14ac:dyDescent="0.25">
      <c r="A2443" s="526"/>
      <c r="B2443" s="526"/>
      <c r="C2443" s="121">
        <v>74</v>
      </c>
      <c r="D2443" s="49">
        <v>76</v>
      </c>
      <c r="E2443" s="114">
        <v>1977</v>
      </c>
      <c r="F2443" s="332">
        <f t="shared" ref="F2443" si="761">2019-E2443</f>
        <v>42</v>
      </c>
      <c r="G2443" s="48"/>
      <c r="H2443" s="48"/>
      <c r="I2443" s="48"/>
      <c r="J2443" s="48"/>
      <c r="K2443" s="48"/>
      <c r="L2443" s="48"/>
      <c r="M2443" s="48"/>
    </row>
    <row r="2444" spans="1:13" x14ac:dyDescent="0.2">
      <c r="A2444" s="525" t="s">
        <v>1088</v>
      </c>
      <c r="B2444" s="525" t="s">
        <v>1089</v>
      </c>
      <c r="C2444" s="121"/>
      <c r="D2444" s="49"/>
      <c r="E2444" s="114"/>
      <c r="F2444" s="330"/>
      <c r="G2444" s="48"/>
      <c r="H2444" s="48"/>
      <c r="I2444" s="48"/>
      <c r="J2444" s="48"/>
      <c r="K2444" s="48"/>
      <c r="L2444" s="48"/>
      <c r="M2444" s="48"/>
    </row>
    <row r="2445" spans="1:13" x14ac:dyDescent="0.25">
      <c r="A2445" s="526"/>
      <c r="B2445" s="526"/>
      <c r="C2445" s="121">
        <v>96</v>
      </c>
      <c r="D2445" s="49">
        <v>57</v>
      </c>
      <c r="E2445" s="114">
        <v>1977</v>
      </c>
      <c r="F2445" s="332">
        <f t="shared" ref="F2445" si="762">2019-E2445</f>
        <v>42</v>
      </c>
      <c r="G2445" s="48"/>
      <c r="H2445" s="48"/>
      <c r="I2445" s="48"/>
      <c r="J2445" s="48"/>
      <c r="K2445" s="48"/>
      <c r="L2445" s="48"/>
      <c r="M2445" s="48"/>
    </row>
    <row r="2446" spans="1:13" x14ac:dyDescent="0.2">
      <c r="A2446" s="525" t="s">
        <v>1090</v>
      </c>
      <c r="B2446" s="525" t="s">
        <v>1091</v>
      </c>
      <c r="C2446" s="121"/>
      <c r="D2446" s="49"/>
      <c r="E2446" s="114"/>
      <c r="F2446" s="330"/>
      <c r="G2446" s="48"/>
      <c r="H2446" s="48"/>
      <c r="I2446" s="48"/>
      <c r="J2446" s="48"/>
      <c r="K2446" s="48"/>
      <c r="L2446" s="48"/>
      <c r="M2446" s="48"/>
    </row>
    <row r="2447" spans="1:13" x14ac:dyDescent="0.25">
      <c r="A2447" s="526"/>
      <c r="B2447" s="526"/>
      <c r="C2447" s="121">
        <v>48</v>
      </c>
      <c r="D2447" s="49">
        <v>57</v>
      </c>
      <c r="E2447" s="114">
        <v>1977</v>
      </c>
      <c r="F2447" s="332">
        <f t="shared" ref="F2447" si="763">2019-E2447</f>
        <v>42</v>
      </c>
      <c r="G2447" s="48"/>
      <c r="H2447" s="48"/>
      <c r="I2447" s="48"/>
      <c r="J2447" s="48"/>
      <c r="K2447" s="48"/>
      <c r="L2447" s="48"/>
      <c r="M2447" s="48"/>
    </row>
    <row r="2448" spans="1:13" x14ac:dyDescent="0.2">
      <c r="A2448" s="525" t="s">
        <v>564</v>
      </c>
      <c r="B2448" s="525" t="s">
        <v>1092</v>
      </c>
      <c r="C2448" s="121"/>
      <c r="D2448" s="49"/>
      <c r="E2448" s="114"/>
      <c r="F2448" s="330"/>
      <c r="G2448" s="48"/>
      <c r="H2448" s="48"/>
      <c r="I2448" s="48"/>
      <c r="J2448" s="48"/>
      <c r="K2448" s="48"/>
      <c r="L2448" s="48"/>
      <c r="M2448" s="48"/>
    </row>
    <row r="2449" spans="1:13" x14ac:dyDescent="0.25">
      <c r="A2449" s="526"/>
      <c r="B2449" s="526"/>
      <c r="C2449" s="52">
        <v>79</v>
      </c>
      <c r="D2449" s="49">
        <v>40</v>
      </c>
      <c r="E2449" s="114">
        <v>2014</v>
      </c>
      <c r="F2449" s="332">
        <f t="shared" ref="F2449" si="764">2019-E2449</f>
        <v>5</v>
      </c>
      <c r="G2449" s="48"/>
      <c r="H2449" s="48"/>
      <c r="I2449" s="48"/>
      <c r="J2449" s="48"/>
      <c r="K2449" s="48"/>
      <c r="L2449" s="48"/>
      <c r="M2449" s="48"/>
    </row>
    <row r="2450" spans="1:13" x14ac:dyDescent="0.2">
      <c r="A2450" s="525" t="s">
        <v>193</v>
      </c>
      <c r="B2450" s="525" t="s">
        <v>1093</v>
      </c>
      <c r="C2450" s="52"/>
      <c r="D2450" s="49"/>
      <c r="E2450" s="114"/>
      <c r="F2450" s="330"/>
      <c r="G2450" s="48"/>
      <c r="H2450" s="48"/>
      <c r="I2450" s="48"/>
      <c r="J2450" s="48"/>
      <c r="K2450" s="48"/>
      <c r="L2450" s="48"/>
      <c r="M2450" s="48"/>
    </row>
    <row r="2451" spans="1:13" x14ac:dyDescent="0.25">
      <c r="A2451" s="531"/>
      <c r="B2451" s="531"/>
      <c r="C2451" s="121">
        <v>97</v>
      </c>
      <c r="D2451" s="49">
        <v>76</v>
      </c>
      <c r="E2451" s="114">
        <v>1977</v>
      </c>
      <c r="F2451" s="332">
        <f t="shared" ref="F2451:F2452" si="765">2019-E2451</f>
        <v>42</v>
      </c>
      <c r="G2451" s="48"/>
      <c r="H2451" s="48"/>
      <c r="I2451" s="48"/>
      <c r="J2451" s="48"/>
      <c r="K2451" s="48"/>
      <c r="L2451" s="48"/>
      <c r="M2451" s="48"/>
    </row>
    <row r="2452" spans="1:13" x14ac:dyDescent="0.25">
      <c r="A2452" s="526"/>
      <c r="B2452" s="526"/>
      <c r="C2452" s="121">
        <v>97</v>
      </c>
      <c r="D2452" s="49">
        <v>57</v>
      </c>
      <c r="E2452" s="114">
        <v>1977</v>
      </c>
      <c r="F2452" s="332">
        <f t="shared" si="765"/>
        <v>42</v>
      </c>
      <c r="G2452" s="48"/>
      <c r="H2452" s="48"/>
      <c r="I2452" s="48"/>
      <c r="J2452" s="48"/>
      <c r="K2452" s="48"/>
      <c r="L2452" s="48"/>
      <c r="M2452" s="48"/>
    </row>
    <row r="2453" spans="1:13" x14ac:dyDescent="0.2">
      <c r="A2453" s="525" t="s">
        <v>256</v>
      </c>
      <c r="B2453" s="525" t="s">
        <v>181</v>
      </c>
      <c r="C2453" s="52"/>
      <c r="D2453" s="49"/>
      <c r="E2453" s="114"/>
      <c r="F2453" s="330"/>
      <c r="G2453" s="48"/>
      <c r="H2453" s="48"/>
      <c r="I2453" s="48"/>
      <c r="J2453" s="48"/>
      <c r="K2453" s="48"/>
      <c r="L2453" s="48"/>
      <c r="M2453" s="48"/>
    </row>
    <row r="2454" spans="1:13" x14ac:dyDescent="0.25">
      <c r="A2454" s="531"/>
      <c r="B2454" s="531"/>
      <c r="C2454" s="52">
        <v>53</v>
      </c>
      <c r="D2454" s="49">
        <v>89</v>
      </c>
      <c r="E2454" s="114">
        <v>2012</v>
      </c>
      <c r="F2454" s="332">
        <f t="shared" ref="F2454:F2455" si="766">2019-E2454</f>
        <v>7</v>
      </c>
      <c r="G2454" s="48"/>
      <c r="H2454" s="48"/>
      <c r="I2454" s="48"/>
      <c r="J2454" s="48"/>
      <c r="K2454" s="48"/>
      <c r="L2454" s="48"/>
      <c r="M2454" s="48"/>
    </row>
    <row r="2455" spans="1:13" x14ac:dyDescent="0.25">
      <c r="A2455" s="526"/>
      <c r="B2455" s="526"/>
      <c r="C2455" s="52">
        <v>53</v>
      </c>
      <c r="D2455" s="49">
        <v>57</v>
      </c>
      <c r="E2455" s="114">
        <v>2012</v>
      </c>
      <c r="F2455" s="332">
        <f t="shared" si="766"/>
        <v>7</v>
      </c>
      <c r="G2455" s="48"/>
      <c r="H2455" s="48"/>
      <c r="I2455" s="48"/>
      <c r="J2455" s="48"/>
      <c r="K2455" s="48"/>
      <c r="L2455" s="48"/>
      <c r="M2455" s="48"/>
    </row>
    <row r="2456" spans="1:13" x14ac:dyDescent="0.2">
      <c r="A2456" s="525" t="s">
        <v>477</v>
      </c>
      <c r="B2456" s="525" t="s">
        <v>1094</v>
      </c>
      <c r="C2456" s="52"/>
      <c r="D2456" s="49"/>
      <c r="E2456" s="114"/>
      <c r="F2456" s="330"/>
      <c r="G2456" s="48"/>
      <c r="H2456" s="48"/>
      <c r="I2456" s="48"/>
      <c r="J2456" s="48"/>
      <c r="K2456" s="48"/>
      <c r="L2456" s="48"/>
      <c r="M2456" s="48"/>
    </row>
    <row r="2457" spans="1:13" x14ac:dyDescent="0.25">
      <c r="A2457" s="526"/>
      <c r="B2457" s="526"/>
      <c r="C2457" s="121">
        <v>90</v>
      </c>
      <c r="D2457" s="49">
        <v>76</v>
      </c>
      <c r="E2457" s="114">
        <v>1978</v>
      </c>
      <c r="F2457" s="332">
        <f t="shared" ref="F2457" si="767">2019-E2457</f>
        <v>41</v>
      </c>
      <c r="G2457" s="48"/>
      <c r="H2457" s="48"/>
      <c r="I2457" s="48"/>
      <c r="J2457" s="48"/>
      <c r="K2457" s="48"/>
      <c r="L2457" s="48"/>
      <c r="M2457" s="48"/>
    </row>
    <row r="2458" spans="1:13" x14ac:dyDescent="0.2">
      <c r="A2458" s="534" t="s">
        <v>287</v>
      </c>
      <c r="B2458" s="525" t="s">
        <v>1095</v>
      </c>
      <c r="C2458" s="121"/>
      <c r="D2458" s="49"/>
      <c r="E2458" s="114"/>
      <c r="F2458" s="330"/>
      <c r="G2458" s="48"/>
      <c r="H2458" s="48"/>
      <c r="I2458" s="48"/>
      <c r="J2458" s="48"/>
      <c r="K2458" s="48"/>
      <c r="L2458" s="48"/>
      <c r="M2458" s="48"/>
    </row>
    <row r="2459" spans="1:13" x14ac:dyDescent="0.25">
      <c r="A2459" s="535"/>
      <c r="B2459" s="526"/>
      <c r="C2459" s="121">
        <v>120</v>
      </c>
      <c r="D2459" s="49">
        <v>40</v>
      </c>
      <c r="E2459" s="114">
        <v>1978</v>
      </c>
      <c r="F2459" s="332">
        <f t="shared" ref="F2459" si="768">2019-E2459</f>
        <v>41</v>
      </c>
      <c r="G2459" s="48"/>
      <c r="H2459" s="48"/>
      <c r="I2459" s="48"/>
      <c r="J2459" s="48"/>
      <c r="K2459" s="48"/>
      <c r="L2459" s="48"/>
      <c r="M2459" s="48"/>
    </row>
    <row r="2460" spans="1:13" s="95" customFormat="1" x14ac:dyDescent="0.2">
      <c r="A2460" s="91" t="s">
        <v>422</v>
      </c>
      <c r="B2460" s="91" t="s">
        <v>1096</v>
      </c>
      <c r="C2460" s="121"/>
      <c r="D2460" s="49"/>
      <c r="E2460" s="114"/>
      <c r="F2460" s="330"/>
    </row>
    <row r="2461" spans="1:13" s="95" customFormat="1" x14ac:dyDescent="0.2">
      <c r="A2461" s="91" t="s">
        <v>385</v>
      </c>
      <c r="B2461" s="91" t="s">
        <v>612</v>
      </c>
      <c r="C2461" s="121"/>
      <c r="D2461" s="49"/>
      <c r="E2461" s="114"/>
      <c r="F2461" s="99"/>
    </row>
    <row r="2462" spans="1:13" s="95" customFormat="1" ht="31.5" customHeight="1" x14ac:dyDescent="0.25">
      <c r="A2462" s="525" t="s">
        <v>385</v>
      </c>
      <c r="B2462" s="525" t="s">
        <v>1097</v>
      </c>
      <c r="C2462" s="52">
        <v>140</v>
      </c>
      <c r="D2462" s="49">
        <v>133</v>
      </c>
      <c r="E2462" s="114">
        <v>1976</v>
      </c>
      <c r="F2462" s="332">
        <f t="shared" ref="F2462:F2463" si="769">2019-E2462</f>
        <v>43</v>
      </c>
    </row>
    <row r="2463" spans="1:13" s="95" customFormat="1" x14ac:dyDescent="0.25">
      <c r="A2463" s="526"/>
      <c r="B2463" s="526"/>
      <c r="C2463" s="52">
        <v>140</v>
      </c>
      <c r="D2463" s="49">
        <v>108</v>
      </c>
      <c r="E2463" s="114">
        <v>1976</v>
      </c>
      <c r="F2463" s="332">
        <f t="shared" si="769"/>
        <v>43</v>
      </c>
    </row>
    <row r="2464" spans="1:13" s="95" customFormat="1" x14ac:dyDescent="0.2">
      <c r="A2464" s="91" t="s">
        <v>385</v>
      </c>
      <c r="B2464" s="91" t="s">
        <v>1098</v>
      </c>
      <c r="C2464" s="52"/>
      <c r="D2464" s="49"/>
      <c r="E2464" s="114"/>
      <c r="F2464" s="99"/>
    </row>
    <row r="2465" spans="1:6" s="95" customFormat="1" ht="31.5" customHeight="1" x14ac:dyDescent="0.2">
      <c r="A2465" s="525" t="s">
        <v>611</v>
      </c>
      <c r="B2465" s="525" t="s">
        <v>887</v>
      </c>
      <c r="C2465" s="121"/>
      <c r="D2465" s="49"/>
      <c r="E2465" s="114"/>
      <c r="F2465" s="99"/>
    </row>
    <row r="2466" spans="1:6" s="95" customFormat="1" x14ac:dyDescent="0.25">
      <c r="A2466" s="531"/>
      <c r="B2466" s="531"/>
      <c r="C2466" s="121">
        <v>32</v>
      </c>
      <c r="D2466" s="49">
        <v>40</v>
      </c>
      <c r="E2466" s="114">
        <v>1976</v>
      </c>
      <c r="F2466" s="332">
        <f t="shared" ref="F2466:F2471" si="770">2019-E2466</f>
        <v>43</v>
      </c>
    </row>
    <row r="2467" spans="1:6" s="95" customFormat="1" x14ac:dyDescent="0.25">
      <c r="A2467" s="526"/>
      <c r="B2467" s="526"/>
      <c r="C2467" s="52">
        <v>32</v>
      </c>
      <c r="D2467" s="49">
        <v>25</v>
      </c>
      <c r="E2467" s="114">
        <v>1976</v>
      </c>
      <c r="F2467" s="332">
        <f t="shared" si="770"/>
        <v>43</v>
      </c>
    </row>
    <row r="2468" spans="1:6" s="95" customFormat="1" ht="31.5" customHeight="1" x14ac:dyDescent="0.25">
      <c r="A2468" s="525" t="s">
        <v>422</v>
      </c>
      <c r="B2468" s="525" t="s">
        <v>1099</v>
      </c>
      <c r="C2468" s="52">
        <v>117</v>
      </c>
      <c r="D2468" s="49">
        <v>108</v>
      </c>
      <c r="E2468" s="114">
        <v>1976</v>
      </c>
      <c r="F2468" s="332">
        <f t="shared" si="770"/>
        <v>43</v>
      </c>
    </row>
    <row r="2469" spans="1:6" s="95" customFormat="1" x14ac:dyDescent="0.25">
      <c r="A2469" s="526"/>
      <c r="B2469" s="526"/>
      <c r="C2469" s="121">
        <v>117</v>
      </c>
      <c r="D2469" s="49">
        <v>76</v>
      </c>
      <c r="E2469" s="114">
        <v>1976</v>
      </c>
      <c r="F2469" s="332">
        <f t="shared" si="770"/>
        <v>43</v>
      </c>
    </row>
    <row r="2470" spans="1:6" s="95" customFormat="1" ht="31.5" customHeight="1" x14ac:dyDescent="0.25">
      <c r="A2470" s="525" t="s">
        <v>1100</v>
      </c>
      <c r="B2470" s="532" t="s">
        <v>391</v>
      </c>
      <c r="C2470" s="57">
        <v>10</v>
      </c>
      <c r="D2470" s="49">
        <v>108</v>
      </c>
      <c r="E2470" s="114">
        <v>1989</v>
      </c>
      <c r="F2470" s="332">
        <f t="shared" si="770"/>
        <v>30</v>
      </c>
    </row>
    <row r="2471" spans="1:6" s="95" customFormat="1" x14ac:dyDescent="0.25">
      <c r="A2471" s="526"/>
      <c r="B2471" s="533"/>
      <c r="C2471" s="121">
        <v>10</v>
      </c>
      <c r="D2471" s="49">
        <v>89</v>
      </c>
      <c r="E2471" s="114">
        <v>1989</v>
      </c>
      <c r="F2471" s="332">
        <f t="shared" si="770"/>
        <v>30</v>
      </c>
    </row>
    <row r="2472" spans="1:6" s="95" customFormat="1" ht="47.25" x14ac:dyDescent="0.2">
      <c r="A2472" s="91" t="s">
        <v>1101</v>
      </c>
      <c r="B2472" s="324" t="s">
        <v>391</v>
      </c>
      <c r="C2472" s="121"/>
      <c r="D2472" s="49"/>
      <c r="E2472" s="114"/>
      <c r="F2472" s="99"/>
    </row>
    <row r="2473" spans="1:6" s="95" customFormat="1" x14ac:dyDescent="0.2">
      <c r="A2473" s="91" t="s">
        <v>250</v>
      </c>
      <c r="B2473" s="91" t="s">
        <v>1098</v>
      </c>
      <c r="C2473" s="121"/>
      <c r="D2473" s="49"/>
      <c r="E2473" s="114"/>
      <c r="F2473" s="99"/>
    </row>
    <row r="2474" spans="1:6" s="95" customFormat="1" ht="31.5" customHeight="1" x14ac:dyDescent="0.25">
      <c r="A2474" s="525" t="s">
        <v>250</v>
      </c>
      <c r="B2474" s="525" t="s">
        <v>1097</v>
      </c>
      <c r="C2474" s="52">
        <v>16</v>
      </c>
      <c r="D2474" s="49">
        <v>108</v>
      </c>
      <c r="E2474" s="114">
        <v>1976</v>
      </c>
      <c r="F2474" s="332">
        <f t="shared" ref="F2474:F2477" si="771">2019-E2474</f>
        <v>43</v>
      </c>
    </row>
    <row r="2475" spans="1:6" s="95" customFormat="1" x14ac:dyDescent="0.25">
      <c r="A2475" s="526"/>
      <c r="B2475" s="526"/>
      <c r="C2475" s="121">
        <v>16</v>
      </c>
      <c r="D2475" s="49">
        <v>57</v>
      </c>
      <c r="E2475" s="114">
        <v>1976</v>
      </c>
      <c r="F2475" s="332">
        <f t="shared" si="771"/>
        <v>43</v>
      </c>
    </row>
    <row r="2476" spans="1:6" s="95" customFormat="1" ht="31.5" customHeight="1" x14ac:dyDescent="0.25">
      <c r="A2476" s="525" t="s">
        <v>385</v>
      </c>
      <c r="B2476" s="525" t="s">
        <v>612</v>
      </c>
      <c r="C2476" s="52">
        <v>54</v>
      </c>
      <c r="D2476" s="49">
        <v>108</v>
      </c>
      <c r="E2476" s="114">
        <v>1976</v>
      </c>
      <c r="F2476" s="332">
        <f t="shared" si="771"/>
        <v>43</v>
      </c>
    </row>
    <row r="2477" spans="1:6" s="95" customFormat="1" x14ac:dyDescent="0.25">
      <c r="A2477" s="526"/>
      <c r="B2477" s="526"/>
      <c r="C2477" s="121">
        <v>54</v>
      </c>
      <c r="D2477" s="49">
        <v>76</v>
      </c>
      <c r="E2477" s="114">
        <v>1976</v>
      </c>
      <c r="F2477" s="332">
        <f t="shared" si="771"/>
        <v>43</v>
      </c>
    </row>
    <row r="2478" spans="1:6" s="95" customFormat="1" ht="31.5" customHeight="1" x14ac:dyDescent="0.2">
      <c r="A2478" s="525" t="s">
        <v>250</v>
      </c>
      <c r="B2478" s="525" t="s">
        <v>1102</v>
      </c>
      <c r="C2478" s="52"/>
      <c r="D2478" s="49"/>
      <c r="E2478" s="114"/>
      <c r="F2478" s="99"/>
    </row>
    <row r="2479" spans="1:6" s="95" customFormat="1" x14ac:dyDescent="0.25">
      <c r="A2479" s="531"/>
      <c r="B2479" s="531"/>
      <c r="C2479" s="52">
        <v>158.69999999999999</v>
      </c>
      <c r="D2479" s="49">
        <v>133</v>
      </c>
      <c r="E2479" s="114">
        <v>1976</v>
      </c>
      <c r="F2479" s="332">
        <f t="shared" ref="F2479:F2480" si="772">2019-E2479</f>
        <v>43</v>
      </c>
    </row>
    <row r="2480" spans="1:6" s="95" customFormat="1" x14ac:dyDescent="0.25">
      <c r="A2480" s="526"/>
      <c r="B2480" s="526"/>
      <c r="C2480" s="52">
        <v>158.69999999999999</v>
      </c>
      <c r="D2480" s="49">
        <v>108</v>
      </c>
      <c r="E2480" s="114">
        <v>1976</v>
      </c>
      <c r="F2480" s="332">
        <f t="shared" si="772"/>
        <v>43</v>
      </c>
    </row>
    <row r="2481" spans="1:15" s="95" customFormat="1" ht="47.25" x14ac:dyDescent="0.2">
      <c r="A2481" s="91" t="s">
        <v>1103</v>
      </c>
      <c r="B2481" s="91" t="s">
        <v>611</v>
      </c>
      <c r="C2481" s="52"/>
      <c r="D2481" s="49"/>
      <c r="E2481" s="114"/>
      <c r="F2481" s="99"/>
    </row>
    <row r="2482" spans="1:15" s="95" customFormat="1" ht="31.5" customHeight="1" x14ac:dyDescent="0.25">
      <c r="A2482" s="525" t="s">
        <v>1103</v>
      </c>
      <c r="B2482" s="525" t="s">
        <v>250</v>
      </c>
      <c r="C2482" s="121">
        <v>7</v>
      </c>
      <c r="D2482" s="49">
        <v>159</v>
      </c>
      <c r="E2482" s="114">
        <v>1976</v>
      </c>
      <c r="F2482" s="332">
        <f t="shared" ref="F2482:F2483" si="773">2019-E2482</f>
        <v>43</v>
      </c>
    </row>
    <row r="2483" spans="1:15" s="95" customFormat="1" x14ac:dyDescent="0.25">
      <c r="A2483" s="526"/>
      <c r="B2483" s="526"/>
      <c r="C2483" s="52">
        <v>7</v>
      </c>
      <c r="D2483" s="49">
        <v>108</v>
      </c>
      <c r="E2483" s="114">
        <v>1976</v>
      </c>
      <c r="F2483" s="332">
        <f t="shared" si="773"/>
        <v>43</v>
      </c>
    </row>
    <row r="2484" spans="1:15" s="95" customFormat="1" x14ac:dyDescent="0.2">
      <c r="A2484" s="316"/>
      <c r="B2484" s="316"/>
      <c r="C2484" s="90">
        <f>SUM(C8:C2483)</f>
        <v>82787.099999999991</v>
      </c>
      <c r="D2484" s="49"/>
      <c r="E2484" s="49"/>
      <c r="F2484" s="99"/>
      <c r="G2484" s="101"/>
      <c r="H2484" s="102"/>
      <c r="I2484" s="103"/>
      <c r="J2484" s="103"/>
      <c r="K2484" s="103"/>
      <c r="L2484" s="103"/>
      <c r="M2484" s="103"/>
    </row>
    <row r="2485" spans="1:15" s="95" customFormat="1" x14ac:dyDescent="0.2">
      <c r="A2485" s="43"/>
      <c r="B2485" s="43"/>
      <c r="C2485" s="104"/>
      <c r="D2485" s="112"/>
      <c r="E2485" s="112"/>
      <c r="F2485" s="100"/>
      <c r="G2485" s="101"/>
      <c r="H2485" s="102"/>
      <c r="I2485" s="103"/>
      <c r="J2485" s="103"/>
      <c r="K2485" s="103"/>
      <c r="L2485" s="103"/>
      <c r="M2485" s="103" t="e">
        <f>#REF!+#REF!</f>
        <v>#REF!</v>
      </c>
      <c r="O2485" s="105" t="e">
        <f>M2487-M2485</f>
        <v>#REF!</v>
      </c>
    </row>
    <row r="2486" spans="1:15" s="95" customFormat="1" x14ac:dyDescent="0.2">
      <c r="A2486" s="43"/>
      <c r="B2486" s="43"/>
      <c r="C2486" s="98"/>
      <c r="D2486" s="107"/>
      <c r="E2486" s="107"/>
      <c r="F2486" s="100"/>
      <c r="G2486" s="101"/>
      <c r="H2486" s="102"/>
      <c r="I2486" s="103"/>
      <c r="J2486" s="103"/>
      <c r="K2486" s="103"/>
      <c r="L2486" s="103"/>
      <c r="M2486" s="103" t="e">
        <f>#REF!+#REF!</f>
        <v>#REF!</v>
      </c>
    </row>
    <row r="2487" spans="1:15" s="95" customFormat="1" x14ac:dyDescent="0.2">
      <c r="A2487" s="43"/>
      <c r="B2487" s="43"/>
      <c r="C2487" s="43"/>
      <c r="D2487" s="107"/>
      <c r="E2487" s="107"/>
      <c r="F2487" s="100"/>
      <c r="G2487" s="101"/>
      <c r="H2487" s="102"/>
      <c r="I2487" s="103"/>
      <c r="J2487" s="103"/>
      <c r="K2487" s="103"/>
      <c r="L2487" s="103"/>
      <c r="M2487" s="103" t="e">
        <f>#REF!+#REF!</f>
        <v>#REF!</v>
      </c>
    </row>
    <row r="2488" spans="1:15" s="95" customFormat="1" x14ac:dyDescent="0.2">
      <c r="A2488" s="43"/>
      <c r="B2488" s="43"/>
      <c r="C2488" s="43">
        <v>82787.100000000006</v>
      </c>
      <c r="D2488" s="107"/>
      <c r="E2488" s="107"/>
      <c r="F2488" s="100"/>
      <c r="G2488" s="101"/>
      <c r="H2488" s="102"/>
      <c r="I2488" s="103"/>
      <c r="J2488" s="103"/>
      <c r="K2488" s="103"/>
      <c r="L2488" s="103"/>
      <c r="M2488" s="103"/>
    </row>
    <row r="2489" spans="1:15" s="95" customFormat="1" x14ac:dyDescent="0.2">
      <c r="A2489" s="43"/>
      <c r="B2489" s="43"/>
      <c r="C2489" s="43"/>
      <c r="D2489" s="107"/>
      <c r="E2489" s="107"/>
      <c r="F2489" s="100"/>
      <c r="G2489" s="101"/>
      <c r="H2489" s="102"/>
      <c r="I2489" s="103"/>
      <c r="J2489" s="103"/>
      <c r="K2489" s="103"/>
      <c r="L2489" s="103"/>
      <c r="M2489" s="103"/>
    </row>
    <row r="2490" spans="1:15" s="95" customFormat="1" x14ac:dyDescent="0.2">
      <c r="A2490" s="43"/>
      <c r="B2490" s="43"/>
      <c r="C2490" s="43"/>
      <c r="D2490" s="107"/>
      <c r="E2490" s="107"/>
      <c r="F2490" s="100"/>
      <c r="G2490" s="101"/>
      <c r="H2490" s="102"/>
      <c r="I2490" s="103"/>
      <c r="J2490" s="103"/>
      <c r="K2490" s="103"/>
      <c r="L2490" s="103"/>
      <c r="M2490" s="103"/>
    </row>
    <row r="2491" spans="1:15" s="95" customFormat="1" x14ac:dyDescent="0.2">
      <c r="A2491" s="43"/>
      <c r="B2491" s="43"/>
      <c r="C2491" s="43"/>
      <c r="D2491" s="107"/>
      <c r="E2491" s="107"/>
      <c r="F2491" s="100"/>
      <c r="G2491" s="101"/>
      <c r="H2491" s="102"/>
      <c r="I2491" s="103"/>
      <c r="J2491" s="103"/>
      <c r="K2491" s="103"/>
      <c r="L2491" s="103"/>
      <c r="M2491" s="103"/>
    </row>
    <row r="2492" spans="1:15" s="95" customFormat="1" x14ac:dyDescent="0.2">
      <c r="A2492" s="43"/>
      <c r="B2492" s="43"/>
      <c r="C2492" s="43"/>
      <c r="D2492" s="107"/>
      <c r="E2492" s="107"/>
      <c r="F2492" s="100"/>
      <c r="G2492" s="101"/>
      <c r="H2492" s="102"/>
      <c r="I2492" s="103"/>
      <c r="J2492" s="103"/>
      <c r="K2492" s="103"/>
      <c r="L2492" s="103"/>
      <c r="M2492" s="103"/>
    </row>
    <row r="2493" spans="1:15" s="95" customFormat="1" x14ac:dyDescent="0.2">
      <c r="A2493" s="43"/>
      <c r="B2493" s="43"/>
      <c r="C2493" s="43"/>
      <c r="D2493" s="107"/>
      <c r="E2493" s="107"/>
      <c r="F2493" s="100"/>
      <c r="G2493" s="101"/>
      <c r="H2493" s="102"/>
      <c r="I2493" s="103"/>
      <c r="J2493" s="103"/>
      <c r="K2493" s="103"/>
      <c r="L2493" s="103"/>
      <c r="M2493" s="103"/>
    </row>
    <row r="2494" spans="1:15" s="95" customFormat="1" x14ac:dyDescent="0.2">
      <c r="A2494" s="43"/>
      <c r="B2494" s="43"/>
      <c r="C2494" s="43"/>
      <c r="D2494" s="107"/>
      <c r="E2494" s="107"/>
      <c r="F2494" s="100"/>
      <c r="G2494" s="101"/>
      <c r="H2494" s="102"/>
      <c r="I2494" s="103"/>
      <c r="J2494" s="103"/>
      <c r="K2494" s="103"/>
      <c r="L2494" s="103"/>
      <c r="M2494" s="103"/>
    </row>
    <row r="2495" spans="1:15" s="95" customFormat="1" x14ac:dyDescent="0.2">
      <c r="A2495" s="43"/>
      <c r="B2495" s="43"/>
      <c r="C2495" s="43"/>
      <c r="D2495" s="107"/>
      <c r="E2495" s="107"/>
      <c r="F2495" s="100"/>
      <c r="G2495" s="101"/>
      <c r="H2495" s="102"/>
      <c r="I2495" s="103"/>
      <c r="J2495" s="103"/>
      <c r="K2495" s="103"/>
      <c r="L2495" s="103"/>
      <c r="M2495" s="103"/>
    </row>
    <row r="2496" spans="1:15" s="95" customFormat="1" x14ac:dyDescent="0.2">
      <c r="A2496" s="43"/>
      <c r="B2496" s="43"/>
      <c r="C2496" s="43"/>
      <c r="D2496" s="107"/>
      <c r="E2496" s="107"/>
      <c r="F2496" s="100"/>
      <c r="G2496" s="101"/>
      <c r="H2496" s="102"/>
      <c r="I2496" s="103"/>
      <c r="J2496" s="103"/>
      <c r="K2496" s="103"/>
      <c r="L2496" s="103"/>
      <c r="M2496" s="103"/>
    </row>
    <row r="2497" spans="1:13" s="95" customFormat="1" x14ac:dyDescent="0.2">
      <c r="A2497" s="43"/>
      <c r="B2497" s="43"/>
      <c r="C2497" s="43"/>
      <c r="D2497" s="107"/>
      <c r="E2497" s="107"/>
      <c r="F2497" s="100"/>
      <c r="G2497" s="101"/>
      <c r="H2497" s="102"/>
      <c r="I2497" s="103"/>
      <c r="J2497" s="103"/>
      <c r="K2497" s="103"/>
      <c r="L2497" s="103"/>
      <c r="M2497" s="103"/>
    </row>
    <row r="2498" spans="1:13" s="95" customFormat="1" x14ac:dyDescent="0.2">
      <c r="A2498" s="43"/>
      <c r="B2498" s="43"/>
      <c r="C2498" s="43"/>
      <c r="D2498" s="107"/>
      <c r="E2498" s="107"/>
      <c r="F2498" s="100"/>
      <c r="G2498" s="101"/>
      <c r="H2498" s="102"/>
      <c r="I2498" s="103"/>
      <c r="J2498" s="103"/>
      <c r="K2498" s="103"/>
      <c r="L2498" s="103"/>
      <c r="M2498" s="103"/>
    </row>
    <row r="2499" spans="1:13" s="95" customFormat="1" x14ac:dyDescent="0.2">
      <c r="A2499" s="43"/>
      <c r="B2499" s="43"/>
      <c r="C2499" s="43"/>
      <c r="D2499" s="107"/>
      <c r="E2499" s="107"/>
      <c r="F2499" s="100"/>
      <c r="G2499" s="101"/>
      <c r="H2499" s="102"/>
      <c r="I2499" s="103"/>
      <c r="J2499" s="103"/>
      <c r="K2499" s="103"/>
      <c r="L2499" s="103"/>
      <c r="M2499" s="103"/>
    </row>
    <row r="2500" spans="1:13" s="95" customFormat="1" x14ac:dyDescent="0.2">
      <c r="A2500" s="43"/>
      <c r="B2500" s="43"/>
      <c r="C2500" s="43"/>
      <c r="D2500" s="107"/>
      <c r="E2500" s="107"/>
      <c r="F2500" s="100"/>
      <c r="G2500" s="101"/>
      <c r="H2500" s="102"/>
      <c r="I2500" s="103"/>
      <c r="J2500" s="103"/>
      <c r="K2500" s="103"/>
      <c r="L2500" s="103"/>
      <c r="M2500" s="103"/>
    </row>
    <row r="2501" spans="1:13" s="95" customFormat="1" x14ac:dyDescent="0.2">
      <c r="A2501" s="43"/>
      <c r="B2501" s="43"/>
      <c r="C2501" s="43"/>
      <c r="D2501" s="107"/>
      <c r="E2501" s="107"/>
      <c r="F2501" s="100"/>
      <c r="G2501" s="101"/>
      <c r="H2501" s="102"/>
      <c r="I2501" s="103"/>
      <c r="J2501" s="103"/>
      <c r="K2501" s="103"/>
      <c r="L2501" s="103"/>
      <c r="M2501" s="103"/>
    </row>
    <row r="2502" spans="1:13" s="95" customFormat="1" x14ac:dyDescent="0.2">
      <c r="A2502" s="43"/>
      <c r="B2502" s="43"/>
      <c r="C2502" s="43"/>
      <c r="D2502" s="107"/>
      <c r="E2502" s="107"/>
      <c r="F2502" s="100"/>
      <c r="G2502" s="101"/>
      <c r="H2502" s="102"/>
      <c r="I2502" s="103"/>
      <c r="J2502" s="103"/>
      <c r="K2502" s="103"/>
      <c r="L2502" s="103"/>
      <c r="M2502" s="103"/>
    </row>
    <row r="2503" spans="1:13" s="95" customFormat="1" x14ac:dyDescent="0.2">
      <c r="A2503" s="43"/>
      <c r="B2503" s="43"/>
      <c r="C2503" s="43"/>
      <c r="D2503" s="107"/>
      <c r="E2503" s="107"/>
      <c r="F2503" s="100"/>
      <c r="G2503" s="101"/>
      <c r="H2503" s="102"/>
      <c r="I2503" s="103"/>
      <c r="J2503" s="103"/>
      <c r="K2503" s="103"/>
      <c r="L2503" s="103"/>
      <c r="M2503" s="103"/>
    </row>
    <row r="2504" spans="1:13" s="95" customFormat="1" x14ac:dyDescent="0.2">
      <c r="A2504" s="43"/>
      <c r="B2504" s="43"/>
      <c r="C2504" s="43"/>
      <c r="D2504" s="107"/>
      <c r="E2504" s="107"/>
      <c r="F2504" s="100"/>
      <c r="G2504" s="101"/>
      <c r="H2504" s="102"/>
      <c r="I2504" s="103"/>
      <c r="J2504" s="103"/>
      <c r="K2504" s="103"/>
      <c r="L2504" s="103"/>
      <c r="M2504" s="103"/>
    </row>
    <row r="2505" spans="1:13" s="95" customFormat="1" x14ac:dyDescent="0.2">
      <c r="A2505" s="43"/>
      <c r="B2505" s="43"/>
      <c r="C2505" s="43"/>
      <c r="D2505" s="107"/>
      <c r="E2505" s="107"/>
      <c r="F2505" s="100"/>
      <c r="G2505" s="101"/>
      <c r="H2505" s="102"/>
      <c r="I2505" s="103"/>
      <c r="J2505" s="103"/>
      <c r="K2505" s="103"/>
      <c r="L2505" s="103"/>
      <c r="M2505" s="103"/>
    </row>
    <row r="2506" spans="1:13" s="95" customFormat="1" x14ac:dyDescent="0.2">
      <c r="A2506" s="43"/>
      <c r="B2506" s="43"/>
      <c r="C2506" s="43"/>
      <c r="D2506" s="107"/>
      <c r="E2506" s="107"/>
      <c r="F2506" s="100"/>
      <c r="G2506" s="101"/>
      <c r="H2506" s="102"/>
      <c r="I2506" s="103"/>
      <c r="J2506" s="103"/>
      <c r="K2506" s="103"/>
      <c r="L2506" s="103"/>
      <c r="M2506" s="103"/>
    </row>
    <row r="2507" spans="1:13" s="95" customFormat="1" x14ac:dyDescent="0.2">
      <c r="A2507" s="43"/>
      <c r="B2507" s="43"/>
      <c r="C2507" s="43"/>
      <c r="D2507" s="107"/>
      <c r="E2507" s="107"/>
      <c r="F2507" s="100"/>
      <c r="G2507" s="101"/>
      <c r="H2507" s="102"/>
      <c r="I2507" s="103"/>
      <c r="J2507" s="103"/>
      <c r="K2507" s="103"/>
      <c r="L2507" s="103"/>
      <c r="M2507" s="103"/>
    </row>
    <row r="2508" spans="1:13" s="95" customFormat="1" x14ac:dyDescent="0.2">
      <c r="A2508" s="43"/>
      <c r="B2508" s="43"/>
      <c r="C2508" s="43"/>
      <c r="D2508" s="107"/>
      <c r="E2508" s="107"/>
      <c r="F2508" s="100"/>
      <c r="G2508" s="101"/>
      <c r="H2508" s="102"/>
      <c r="I2508" s="103"/>
      <c r="J2508" s="103"/>
      <c r="K2508" s="103"/>
      <c r="L2508" s="103"/>
      <c r="M2508" s="103"/>
    </row>
    <row r="2509" spans="1:13" s="95" customFormat="1" x14ac:dyDescent="0.2">
      <c r="A2509" s="43"/>
      <c r="B2509" s="43"/>
      <c r="C2509" s="43"/>
      <c r="D2509" s="107"/>
      <c r="E2509" s="107"/>
      <c r="F2509" s="100"/>
      <c r="G2509" s="101"/>
      <c r="H2509" s="102"/>
      <c r="I2509" s="103"/>
      <c r="J2509" s="103"/>
      <c r="K2509" s="103"/>
      <c r="L2509" s="103"/>
      <c r="M2509" s="103"/>
    </row>
    <row r="2510" spans="1:13" s="95" customFormat="1" x14ac:dyDescent="0.2">
      <c r="A2510" s="43"/>
      <c r="B2510" s="43"/>
      <c r="C2510" s="43"/>
      <c r="D2510" s="107"/>
      <c r="E2510" s="107"/>
      <c r="F2510" s="100"/>
      <c r="G2510" s="101"/>
      <c r="H2510" s="102"/>
      <c r="I2510" s="103"/>
      <c r="J2510" s="103"/>
      <c r="K2510" s="103"/>
      <c r="L2510" s="103"/>
      <c r="M2510" s="103"/>
    </row>
    <row r="2511" spans="1:13" s="95" customFormat="1" x14ac:dyDescent="0.2">
      <c r="A2511" s="43"/>
      <c r="B2511" s="43"/>
      <c r="C2511" s="43"/>
      <c r="D2511" s="107"/>
      <c r="E2511" s="107"/>
      <c r="F2511" s="100"/>
      <c r="G2511" s="101"/>
      <c r="H2511" s="102"/>
      <c r="I2511" s="103"/>
      <c r="J2511" s="103"/>
      <c r="K2511" s="103"/>
      <c r="L2511" s="103"/>
      <c r="M2511" s="103"/>
    </row>
    <row r="2512" spans="1:13" s="95" customFormat="1" x14ac:dyDescent="0.2">
      <c r="A2512" s="43"/>
      <c r="B2512" s="43"/>
      <c r="C2512" s="43"/>
      <c r="D2512" s="107"/>
      <c r="E2512" s="107"/>
      <c r="F2512" s="100"/>
      <c r="G2512" s="101"/>
      <c r="H2512" s="102"/>
      <c r="I2512" s="103"/>
      <c r="J2512" s="103"/>
      <c r="K2512" s="103"/>
      <c r="L2512" s="103"/>
      <c r="M2512" s="103"/>
    </row>
    <row r="2513" spans="1:13" s="95" customFormat="1" x14ac:dyDescent="0.2">
      <c r="A2513" s="43"/>
      <c r="B2513" s="43"/>
      <c r="C2513" s="43"/>
      <c r="D2513" s="107"/>
      <c r="E2513" s="107"/>
      <c r="F2513" s="100"/>
      <c r="G2513" s="101"/>
      <c r="H2513" s="102"/>
      <c r="I2513" s="103"/>
      <c r="J2513" s="103"/>
      <c r="K2513" s="103"/>
      <c r="L2513" s="103"/>
      <c r="M2513" s="103"/>
    </row>
    <row r="2514" spans="1:13" s="95" customFormat="1" x14ac:dyDescent="0.2">
      <c r="A2514" s="43"/>
      <c r="B2514" s="43"/>
      <c r="C2514" s="43"/>
      <c r="D2514" s="107"/>
      <c r="E2514" s="107"/>
      <c r="F2514" s="100"/>
      <c r="G2514" s="101"/>
      <c r="H2514" s="102"/>
      <c r="I2514" s="103"/>
      <c r="J2514" s="103"/>
      <c r="K2514" s="103"/>
      <c r="L2514" s="103"/>
      <c r="M2514" s="103"/>
    </row>
    <row r="2515" spans="1:13" s="95" customFormat="1" x14ac:dyDescent="0.2">
      <c r="A2515" s="43"/>
      <c r="B2515" s="43"/>
      <c r="C2515" s="43"/>
      <c r="D2515" s="107"/>
      <c r="E2515" s="107"/>
      <c r="F2515" s="100"/>
      <c r="G2515" s="101"/>
      <c r="H2515" s="102"/>
      <c r="I2515" s="103"/>
      <c r="J2515" s="103"/>
      <c r="K2515" s="103"/>
      <c r="L2515" s="103"/>
      <c r="M2515" s="103"/>
    </row>
    <row r="2516" spans="1:13" s="95" customFormat="1" x14ac:dyDescent="0.2">
      <c r="A2516" s="43"/>
      <c r="B2516" s="43"/>
      <c r="C2516" s="43"/>
      <c r="D2516" s="107"/>
      <c r="E2516" s="107"/>
      <c r="F2516" s="100"/>
      <c r="G2516" s="101"/>
      <c r="H2516" s="102"/>
      <c r="I2516" s="103"/>
      <c r="J2516" s="103"/>
      <c r="K2516" s="103"/>
      <c r="L2516" s="103"/>
      <c r="M2516" s="103"/>
    </row>
    <row r="2517" spans="1:13" s="95" customFormat="1" x14ac:dyDescent="0.2">
      <c r="A2517" s="43"/>
      <c r="B2517" s="43"/>
      <c r="C2517" s="43"/>
      <c r="D2517" s="107"/>
      <c r="E2517" s="107"/>
      <c r="F2517" s="100"/>
      <c r="G2517" s="101"/>
      <c r="H2517" s="102"/>
      <c r="I2517" s="103"/>
      <c r="J2517" s="103"/>
      <c r="K2517" s="103"/>
      <c r="L2517" s="103"/>
      <c r="M2517" s="103"/>
    </row>
    <row r="2518" spans="1:13" s="95" customFormat="1" x14ac:dyDescent="0.2">
      <c r="A2518" s="43"/>
      <c r="B2518" s="43"/>
      <c r="C2518" s="43"/>
      <c r="D2518" s="107"/>
      <c r="E2518" s="107"/>
      <c r="F2518" s="100"/>
      <c r="G2518" s="101"/>
      <c r="H2518" s="102"/>
      <c r="I2518" s="103"/>
      <c r="J2518" s="103"/>
      <c r="K2518" s="103"/>
      <c r="L2518" s="103"/>
      <c r="M2518" s="103"/>
    </row>
    <row r="2519" spans="1:13" s="95" customFormat="1" x14ac:dyDescent="0.2">
      <c r="A2519" s="43"/>
      <c r="B2519" s="43"/>
      <c r="C2519" s="43"/>
      <c r="D2519" s="107"/>
      <c r="E2519" s="107"/>
      <c r="F2519" s="100"/>
      <c r="G2519" s="101"/>
      <c r="H2519" s="102"/>
      <c r="I2519" s="103"/>
      <c r="J2519" s="103"/>
      <c r="K2519" s="103"/>
      <c r="L2519" s="103"/>
      <c r="M2519" s="103"/>
    </row>
    <row r="2520" spans="1:13" s="95" customFormat="1" x14ac:dyDescent="0.2">
      <c r="A2520" s="43"/>
      <c r="B2520" s="43"/>
      <c r="C2520" s="43"/>
      <c r="D2520" s="107"/>
      <c r="E2520" s="107"/>
      <c r="F2520" s="100"/>
      <c r="G2520" s="101"/>
      <c r="H2520" s="102"/>
      <c r="I2520" s="103"/>
      <c r="J2520" s="103"/>
      <c r="K2520" s="103"/>
      <c r="L2520" s="103"/>
      <c r="M2520" s="103"/>
    </row>
    <row r="2521" spans="1:13" s="95" customFormat="1" x14ac:dyDescent="0.2">
      <c r="A2521" s="43"/>
      <c r="B2521" s="43"/>
      <c r="C2521" s="43"/>
      <c r="D2521" s="107"/>
      <c r="E2521" s="107"/>
      <c r="F2521" s="100"/>
      <c r="G2521" s="101"/>
      <c r="H2521" s="102"/>
      <c r="I2521" s="103"/>
      <c r="J2521" s="103"/>
      <c r="K2521" s="103"/>
      <c r="L2521" s="103"/>
      <c r="M2521" s="103"/>
    </row>
    <row r="2522" spans="1:13" s="95" customFormat="1" x14ac:dyDescent="0.2">
      <c r="A2522" s="43"/>
      <c r="B2522" s="43"/>
      <c r="C2522" s="43"/>
      <c r="D2522" s="107"/>
      <c r="E2522" s="107"/>
      <c r="F2522" s="100"/>
      <c r="G2522" s="101"/>
      <c r="H2522" s="102"/>
      <c r="I2522" s="103"/>
      <c r="J2522" s="103"/>
      <c r="K2522" s="103"/>
      <c r="L2522" s="103"/>
      <c r="M2522" s="103"/>
    </row>
    <row r="2523" spans="1:13" s="95" customFormat="1" x14ac:dyDescent="0.2">
      <c r="A2523" s="43"/>
      <c r="B2523" s="43"/>
      <c r="C2523" s="43"/>
      <c r="D2523" s="107"/>
      <c r="E2523" s="107"/>
      <c r="F2523" s="100"/>
      <c r="G2523" s="101"/>
      <c r="H2523" s="102"/>
      <c r="I2523" s="103"/>
      <c r="J2523" s="103"/>
      <c r="K2523" s="103"/>
      <c r="L2523" s="103"/>
      <c r="M2523" s="103"/>
    </row>
    <row r="2524" spans="1:13" s="95" customFormat="1" x14ac:dyDescent="0.2">
      <c r="A2524" s="43"/>
      <c r="B2524" s="43"/>
      <c r="C2524" s="43"/>
      <c r="D2524" s="107"/>
      <c r="E2524" s="107"/>
      <c r="F2524" s="100"/>
      <c r="G2524" s="101"/>
      <c r="H2524" s="102"/>
      <c r="I2524" s="103"/>
      <c r="J2524" s="103"/>
      <c r="K2524" s="103"/>
      <c r="L2524" s="103"/>
      <c r="M2524" s="103"/>
    </row>
    <row r="2525" spans="1:13" s="95" customFormat="1" x14ac:dyDescent="0.2">
      <c r="A2525" s="43"/>
      <c r="B2525" s="43"/>
      <c r="C2525" s="43"/>
      <c r="D2525" s="107"/>
      <c r="E2525" s="107"/>
      <c r="F2525" s="100"/>
      <c r="G2525" s="101"/>
      <c r="H2525" s="102"/>
      <c r="I2525" s="103"/>
      <c r="J2525" s="103"/>
      <c r="K2525" s="103"/>
      <c r="L2525" s="103"/>
      <c r="M2525" s="103"/>
    </row>
    <row r="2526" spans="1:13" s="95" customFormat="1" x14ac:dyDescent="0.2">
      <c r="A2526" s="43"/>
      <c r="B2526" s="43"/>
      <c r="C2526" s="43"/>
      <c r="D2526" s="107"/>
      <c r="E2526" s="107"/>
      <c r="F2526" s="100"/>
      <c r="G2526" s="101"/>
      <c r="H2526" s="102"/>
      <c r="I2526" s="103"/>
      <c r="J2526" s="103"/>
      <c r="K2526" s="103"/>
      <c r="L2526" s="103"/>
      <c r="M2526" s="103"/>
    </row>
    <row r="2527" spans="1:13" s="95" customFormat="1" x14ac:dyDescent="0.2">
      <c r="A2527" s="43"/>
      <c r="B2527" s="43"/>
      <c r="C2527" s="43"/>
      <c r="D2527" s="107"/>
      <c r="E2527" s="107"/>
      <c r="F2527" s="100"/>
      <c r="G2527" s="101"/>
      <c r="H2527" s="102"/>
      <c r="I2527" s="103"/>
      <c r="J2527" s="103"/>
      <c r="K2527" s="103"/>
      <c r="L2527" s="103"/>
      <c r="M2527" s="103"/>
    </row>
    <row r="2528" spans="1:13" s="95" customFormat="1" x14ac:dyDescent="0.2">
      <c r="A2528" s="43"/>
      <c r="B2528" s="43"/>
      <c r="C2528" s="43"/>
      <c r="D2528" s="107"/>
      <c r="E2528" s="107"/>
      <c r="F2528" s="100"/>
      <c r="G2528" s="101"/>
      <c r="H2528" s="102"/>
      <c r="I2528" s="103"/>
      <c r="J2528" s="103"/>
      <c r="K2528" s="103"/>
      <c r="L2528" s="103"/>
      <c r="M2528" s="103"/>
    </row>
    <row r="2529" spans="1:13" s="95" customFormat="1" x14ac:dyDescent="0.2">
      <c r="A2529" s="43"/>
      <c r="B2529" s="43"/>
      <c r="C2529" s="43"/>
      <c r="D2529" s="107"/>
      <c r="E2529" s="107"/>
      <c r="F2529" s="100"/>
      <c r="G2529" s="101"/>
      <c r="H2529" s="102"/>
      <c r="I2529" s="103"/>
      <c r="J2529" s="103"/>
      <c r="K2529" s="103"/>
      <c r="L2529" s="103"/>
      <c r="M2529" s="103"/>
    </row>
    <row r="2530" spans="1:13" s="95" customFormat="1" x14ac:dyDescent="0.2">
      <c r="A2530" s="43"/>
      <c r="B2530" s="43"/>
      <c r="C2530" s="43"/>
      <c r="D2530" s="107"/>
      <c r="E2530" s="107"/>
      <c r="F2530" s="100"/>
      <c r="G2530" s="101"/>
      <c r="H2530" s="102"/>
      <c r="I2530" s="103"/>
      <c r="J2530" s="103"/>
      <c r="K2530" s="103"/>
      <c r="L2530" s="103"/>
      <c r="M2530" s="103"/>
    </row>
    <row r="2531" spans="1:13" s="95" customFormat="1" x14ac:dyDescent="0.2">
      <c r="A2531" s="43"/>
      <c r="B2531" s="43"/>
      <c r="C2531" s="43"/>
      <c r="D2531" s="107"/>
      <c r="E2531" s="107"/>
      <c r="F2531" s="100"/>
      <c r="G2531" s="101"/>
      <c r="H2531" s="102"/>
      <c r="I2531" s="103"/>
      <c r="J2531" s="103"/>
      <c r="K2531" s="103"/>
      <c r="L2531" s="103"/>
      <c r="M2531" s="103"/>
    </row>
    <row r="2532" spans="1:13" s="95" customFormat="1" x14ac:dyDescent="0.2">
      <c r="A2532" s="43"/>
      <c r="B2532" s="43"/>
      <c r="C2532" s="43"/>
      <c r="D2532" s="107"/>
      <c r="E2532" s="107"/>
      <c r="F2532" s="100"/>
      <c r="G2532" s="101"/>
      <c r="H2532" s="102"/>
      <c r="I2532" s="103"/>
      <c r="J2532" s="103"/>
      <c r="K2532" s="103"/>
      <c r="L2532" s="103"/>
      <c r="M2532" s="103"/>
    </row>
    <row r="2533" spans="1:13" s="95" customFormat="1" x14ac:dyDescent="0.2">
      <c r="A2533" s="43"/>
      <c r="B2533" s="43"/>
      <c r="C2533" s="43"/>
      <c r="D2533" s="107"/>
      <c r="E2533" s="107"/>
      <c r="F2533" s="100"/>
      <c r="G2533" s="101"/>
      <c r="H2533" s="102"/>
      <c r="I2533" s="103"/>
      <c r="J2533" s="103"/>
      <c r="K2533" s="103"/>
      <c r="L2533" s="103"/>
      <c r="M2533" s="103"/>
    </row>
    <row r="2534" spans="1:13" s="95" customFormat="1" x14ac:dyDescent="0.2">
      <c r="A2534" s="43"/>
      <c r="B2534" s="43"/>
      <c r="C2534" s="43"/>
      <c r="D2534" s="107"/>
      <c r="E2534" s="107"/>
      <c r="F2534" s="100"/>
      <c r="G2534" s="101"/>
      <c r="H2534" s="102"/>
      <c r="I2534" s="103"/>
      <c r="J2534" s="103"/>
      <c r="K2534" s="103"/>
      <c r="L2534" s="103"/>
      <c r="M2534" s="103"/>
    </row>
    <row r="2535" spans="1:13" s="95" customFormat="1" x14ac:dyDescent="0.2">
      <c r="A2535" s="43"/>
      <c r="B2535" s="43"/>
      <c r="C2535" s="43"/>
      <c r="D2535" s="107"/>
      <c r="E2535" s="107"/>
      <c r="F2535" s="100"/>
      <c r="G2535" s="101"/>
      <c r="H2535" s="102"/>
      <c r="I2535" s="103"/>
      <c r="J2535" s="103"/>
      <c r="K2535" s="103"/>
      <c r="L2535" s="103"/>
      <c r="M2535" s="103"/>
    </row>
    <row r="2536" spans="1:13" s="95" customFormat="1" x14ac:dyDescent="0.2">
      <c r="A2536" s="43"/>
      <c r="B2536" s="43"/>
      <c r="C2536" s="43"/>
      <c r="D2536" s="107"/>
      <c r="E2536" s="107"/>
      <c r="F2536" s="100"/>
      <c r="G2536" s="101"/>
      <c r="H2536" s="102"/>
      <c r="I2536" s="103"/>
      <c r="J2536" s="103"/>
      <c r="K2536" s="103"/>
      <c r="L2536" s="103"/>
      <c r="M2536" s="103"/>
    </row>
    <row r="2537" spans="1:13" s="95" customFormat="1" x14ac:dyDescent="0.2">
      <c r="A2537" s="43"/>
      <c r="B2537" s="43"/>
      <c r="C2537" s="43"/>
      <c r="D2537" s="107"/>
      <c r="E2537" s="107"/>
      <c r="F2537" s="100"/>
      <c r="G2537" s="101"/>
      <c r="H2537" s="102"/>
      <c r="I2537" s="103"/>
      <c r="J2537" s="103"/>
      <c r="K2537" s="103"/>
      <c r="L2537" s="103"/>
      <c r="M2537" s="103"/>
    </row>
    <row r="2538" spans="1:13" s="95" customFormat="1" x14ac:dyDescent="0.2">
      <c r="A2538" s="43"/>
      <c r="B2538" s="43"/>
      <c r="C2538" s="43"/>
      <c r="D2538" s="107"/>
      <c r="E2538" s="107"/>
      <c r="F2538" s="100"/>
      <c r="G2538" s="101"/>
      <c r="H2538" s="102"/>
      <c r="I2538" s="103"/>
      <c r="J2538" s="103"/>
      <c r="K2538" s="103"/>
      <c r="L2538" s="103"/>
      <c r="M2538" s="103"/>
    </row>
    <row r="2539" spans="1:13" s="95" customFormat="1" x14ac:dyDescent="0.2">
      <c r="A2539" s="43"/>
      <c r="B2539" s="43"/>
      <c r="C2539" s="43"/>
      <c r="D2539" s="107"/>
      <c r="E2539" s="107"/>
      <c r="F2539" s="100"/>
      <c r="G2539" s="101"/>
      <c r="H2539" s="102"/>
      <c r="I2539" s="103"/>
      <c r="J2539" s="103"/>
      <c r="K2539" s="103"/>
      <c r="L2539" s="103"/>
      <c r="M2539" s="103"/>
    </row>
    <row r="2540" spans="1:13" s="95" customFormat="1" x14ac:dyDescent="0.2">
      <c r="A2540" s="43"/>
      <c r="B2540" s="43"/>
      <c r="C2540" s="43"/>
      <c r="D2540" s="107"/>
      <c r="E2540" s="107"/>
      <c r="F2540" s="100"/>
      <c r="G2540" s="101"/>
      <c r="H2540" s="102"/>
      <c r="I2540" s="103"/>
      <c r="J2540" s="103"/>
      <c r="K2540" s="103"/>
      <c r="L2540" s="103"/>
      <c r="M2540" s="103"/>
    </row>
    <row r="2541" spans="1:13" s="95" customFormat="1" x14ac:dyDescent="0.2">
      <c r="A2541" s="43"/>
      <c r="B2541" s="43"/>
      <c r="C2541" s="43"/>
      <c r="D2541" s="107"/>
      <c r="E2541" s="107"/>
      <c r="F2541" s="100"/>
      <c r="G2541" s="101"/>
      <c r="H2541" s="102"/>
      <c r="I2541" s="103"/>
      <c r="J2541" s="103"/>
      <c r="K2541" s="103"/>
      <c r="L2541" s="103"/>
      <c r="M2541" s="103"/>
    </row>
    <row r="2542" spans="1:13" s="95" customFormat="1" x14ac:dyDescent="0.2">
      <c r="A2542" s="43"/>
      <c r="B2542" s="43"/>
      <c r="C2542" s="43"/>
      <c r="D2542" s="107"/>
      <c r="E2542" s="107"/>
      <c r="F2542" s="100"/>
      <c r="G2542" s="101"/>
      <c r="H2542" s="102"/>
      <c r="I2542" s="103"/>
      <c r="J2542" s="103"/>
      <c r="K2542" s="103"/>
      <c r="L2542" s="103"/>
      <c r="M2542" s="103"/>
    </row>
    <row r="2543" spans="1:13" s="95" customFormat="1" x14ac:dyDescent="0.2">
      <c r="A2543" s="43"/>
      <c r="B2543" s="43"/>
      <c r="C2543" s="43"/>
      <c r="D2543" s="107"/>
      <c r="E2543" s="107"/>
      <c r="F2543" s="100"/>
      <c r="G2543" s="101"/>
      <c r="H2543" s="102"/>
      <c r="I2543" s="103"/>
      <c r="J2543" s="103"/>
      <c r="K2543" s="103"/>
      <c r="L2543" s="103"/>
      <c r="M2543" s="103"/>
    </row>
    <row r="2544" spans="1:13" s="95" customFormat="1" x14ac:dyDescent="0.2">
      <c r="A2544" s="43"/>
      <c r="B2544" s="43"/>
      <c r="C2544" s="43"/>
      <c r="D2544" s="107"/>
      <c r="E2544" s="107"/>
      <c r="F2544" s="100"/>
      <c r="G2544" s="101"/>
      <c r="H2544" s="102"/>
      <c r="I2544" s="103"/>
      <c r="J2544" s="103"/>
      <c r="K2544" s="103"/>
      <c r="L2544" s="103"/>
      <c r="M2544" s="103"/>
    </row>
    <row r="2545" spans="1:13" s="95" customFormat="1" x14ac:dyDescent="0.2">
      <c r="A2545" s="43"/>
      <c r="B2545" s="43"/>
      <c r="C2545" s="43"/>
      <c r="D2545" s="107"/>
      <c r="E2545" s="107"/>
      <c r="F2545" s="100"/>
      <c r="G2545" s="101"/>
      <c r="H2545" s="102"/>
      <c r="I2545" s="103"/>
      <c r="J2545" s="103"/>
      <c r="K2545" s="103"/>
      <c r="L2545" s="103"/>
      <c r="M2545" s="103"/>
    </row>
    <row r="2546" spans="1:13" s="95" customFormat="1" x14ac:dyDescent="0.2">
      <c r="A2546" s="43"/>
      <c r="B2546" s="43"/>
      <c r="C2546" s="43"/>
      <c r="D2546" s="107"/>
      <c r="E2546" s="107"/>
      <c r="F2546" s="100"/>
      <c r="G2546" s="101"/>
      <c r="H2546" s="102"/>
      <c r="I2546" s="103"/>
      <c r="J2546" s="103"/>
      <c r="K2546" s="103"/>
      <c r="L2546" s="103"/>
      <c r="M2546" s="103"/>
    </row>
    <row r="2547" spans="1:13" s="95" customFormat="1" x14ac:dyDescent="0.2">
      <c r="A2547" s="43"/>
      <c r="B2547" s="43"/>
      <c r="C2547" s="43"/>
      <c r="D2547" s="107"/>
      <c r="E2547" s="107"/>
      <c r="F2547" s="100"/>
      <c r="G2547" s="101"/>
      <c r="H2547" s="102"/>
      <c r="I2547" s="103"/>
      <c r="J2547" s="103"/>
      <c r="K2547" s="103"/>
      <c r="L2547" s="103"/>
      <c r="M2547" s="103"/>
    </row>
    <row r="2548" spans="1:13" s="95" customFormat="1" x14ac:dyDescent="0.2">
      <c r="A2548" s="43"/>
      <c r="B2548" s="43"/>
      <c r="C2548" s="43"/>
      <c r="D2548" s="107"/>
      <c r="E2548" s="107"/>
      <c r="F2548" s="100"/>
      <c r="G2548" s="101"/>
      <c r="H2548" s="102"/>
      <c r="I2548" s="103"/>
      <c r="J2548" s="103"/>
      <c r="K2548" s="103"/>
      <c r="L2548" s="103"/>
      <c r="M2548" s="103"/>
    </row>
    <row r="2549" spans="1:13" s="95" customFormat="1" x14ac:dyDescent="0.2">
      <c r="A2549" s="43"/>
      <c r="B2549" s="43"/>
      <c r="C2549" s="43"/>
      <c r="D2549" s="107"/>
      <c r="E2549" s="107"/>
      <c r="F2549" s="100"/>
      <c r="G2549" s="101"/>
      <c r="H2549" s="102"/>
      <c r="I2549" s="103"/>
      <c r="J2549" s="103"/>
      <c r="K2549" s="103"/>
      <c r="L2549" s="103"/>
      <c r="M2549" s="103"/>
    </row>
    <row r="2550" spans="1:13" s="95" customFormat="1" x14ac:dyDescent="0.2">
      <c r="A2550" s="43"/>
      <c r="B2550" s="43"/>
      <c r="C2550" s="43"/>
      <c r="D2550" s="107"/>
      <c r="E2550" s="107"/>
      <c r="F2550" s="100"/>
      <c r="G2550" s="101"/>
      <c r="H2550" s="102"/>
      <c r="I2550" s="103"/>
      <c r="J2550" s="103"/>
      <c r="K2550" s="103"/>
      <c r="L2550" s="103"/>
      <c r="M2550" s="103"/>
    </row>
    <row r="2551" spans="1:13" x14ac:dyDescent="0.2">
      <c r="F2551" s="100"/>
    </row>
  </sheetData>
  <autoFilter ref="A5:AK2485"/>
  <mergeCells count="1679">
    <mergeCell ref="F3:F4"/>
    <mergeCell ref="A16:A18"/>
    <mergeCell ref="B16:B18"/>
    <mergeCell ref="A19:A21"/>
    <mergeCell ref="B19:B21"/>
    <mergeCell ref="A22:A24"/>
    <mergeCell ref="B22:B24"/>
    <mergeCell ref="A7:A9"/>
    <mergeCell ref="B7:B9"/>
    <mergeCell ref="A10:A12"/>
    <mergeCell ref="B10:B12"/>
    <mergeCell ref="A13:A15"/>
    <mergeCell ref="B13:B15"/>
    <mergeCell ref="A61:A63"/>
    <mergeCell ref="B61:B63"/>
    <mergeCell ref="A64:A66"/>
    <mergeCell ref="B64:B66"/>
    <mergeCell ref="A67:A69"/>
    <mergeCell ref="B67:B69"/>
    <mergeCell ref="A52:A54"/>
    <mergeCell ref="B52:B54"/>
    <mergeCell ref="A55:A57"/>
    <mergeCell ref="B55:B57"/>
    <mergeCell ref="A58:A60"/>
    <mergeCell ref="B58:B60"/>
    <mergeCell ref="A2:E2"/>
    <mergeCell ref="A3:B3"/>
    <mergeCell ref="D3:D4"/>
    <mergeCell ref="A43:A45"/>
    <mergeCell ref="B43:B45"/>
    <mergeCell ref="A46:A48"/>
    <mergeCell ref="B46:B48"/>
    <mergeCell ref="A49:A51"/>
    <mergeCell ref="B49:B51"/>
    <mergeCell ref="A34:A36"/>
    <mergeCell ref="B34:B36"/>
    <mergeCell ref="A37:A39"/>
    <mergeCell ref="B37:B39"/>
    <mergeCell ref="A40:A42"/>
    <mergeCell ref="B40:B42"/>
    <mergeCell ref="A25:A27"/>
    <mergeCell ref="B25:B27"/>
    <mergeCell ref="A28:A30"/>
    <mergeCell ref="B28:B30"/>
    <mergeCell ref="A31:A33"/>
    <mergeCell ref="B31:B33"/>
    <mergeCell ref="A88:A90"/>
    <mergeCell ref="B88:B90"/>
    <mergeCell ref="A91:A93"/>
    <mergeCell ref="B91:B93"/>
    <mergeCell ref="A94:A96"/>
    <mergeCell ref="B94:B96"/>
    <mergeCell ref="A79:A81"/>
    <mergeCell ref="B79:B81"/>
    <mergeCell ref="A82:A84"/>
    <mergeCell ref="B82:B84"/>
    <mergeCell ref="A85:A87"/>
    <mergeCell ref="B85:B87"/>
    <mergeCell ref="A70:A72"/>
    <mergeCell ref="B70:B72"/>
    <mergeCell ref="A73:A75"/>
    <mergeCell ref="B73:B75"/>
    <mergeCell ref="A76:A78"/>
    <mergeCell ref="B76:B78"/>
    <mergeCell ref="A115:A117"/>
    <mergeCell ref="B115:B117"/>
    <mergeCell ref="A118:A120"/>
    <mergeCell ref="B118:B120"/>
    <mergeCell ref="A121:A123"/>
    <mergeCell ref="B121:B123"/>
    <mergeCell ref="A106:A108"/>
    <mergeCell ref="B106:B108"/>
    <mergeCell ref="A109:A111"/>
    <mergeCell ref="B109:B111"/>
    <mergeCell ref="A112:A114"/>
    <mergeCell ref="B112:B114"/>
    <mergeCell ref="A97:A99"/>
    <mergeCell ref="B97:B99"/>
    <mergeCell ref="A100:A102"/>
    <mergeCell ref="B100:B102"/>
    <mergeCell ref="A103:A105"/>
    <mergeCell ref="B103:B105"/>
    <mergeCell ref="A142:A144"/>
    <mergeCell ref="B142:B144"/>
    <mergeCell ref="A145:A147"/>
    <mergeCell ref="B145:B147"/>
    <mergeCell ref="A148:A150"/>
    <mergeCell ref="B148:B150"/>
    <mergeCell ref="A133:A135"/>
    <mergeCell ref="B133:B135"/>
    <mergeCell ref="A136:A138"/>
    <mergeCell ref="B136:B138"/>
    <mergeCell ref="A139:A141"/>
    <mergeCell ref="B139:B141"/>
    <mergeCell ref="A124:A126"/>
    <mergeCell ref="B124:B126"/>
    <mergeCell ref="A127:A129"/>
    <mergeCell ref="B127:B129"/>
    <mergeCell ref="A130:A132"/>
    <mergeCell ref="B130:B132"/>
    <mergeCell ref="A169:A171"/>
    <mergeCell ref="B169:B171"/>
    <mergeCell ref="A172:A174"/>
    <mergeCell ref="B172:B174"/>
    <mergeCell ref="A175:A177"/>
    <mergeCell ref="B175:B177"/>
    <mergeCell ref="A160:A162"/>
    <mergeCell ref="B160:B162"/>
    <mergeCell ref="A163:A165"/>
    <mergeCell ref="B163:B165"/>
    <mergeCell ref="A166:A168"/>
    <mergeCell ref="B166:B168"/>
    <mergeCell ref="A151:A153"/>
    <mergeCell ref="B151:B153"/>
    <mergeCell ref="A154:A156"/>
    <mergeCell ref="B154:B156"/>
    <mergeCell ref="A157:A159"/>
    <mergeCell ref="B157:B159"/>
    <mergeCell ref="A196:A198"/>
    <mergeCell ref="B196:B198"/>
    <mergeCell ref="A199:A201"/>
    <mergeCell ref="B199:B201"/>
    <mergeCell ref="A202:A204"/>
    <mergeCell ref="B202:B204"/>
    <mergeCell ref="A187:A189"/>
    <mergeCell ref="B187:B189"/>
    <mergeCell ref="A190:A192"/>
    <mergeCell ref="B190:B192"/>
    <mergeCell ref="A193:A195"/>
    <mergeCell ref="B193:B195"/>
    <mergeCell ref="A178:A180"/>
    <mergeCell ref="B178:B180"/>
    <mergeCell ref="A181:A183"/>
    <mergeCell ref="B181:B183"/>
    <mergeCell ref="A184:A186"/>
    <mergeCell ref="B184:B186"/>
    <mergeCell ref="A223:A225"/>
    <mergeCell ref="B223:B225"/>
    <mergeCell ref="A226:A228"/>
    <mergeCell ref="B226:B228"/>
    <mergeCell ref="A229:A231"/>
    <mergeCell ref="B229:B231"/>
    <mergeCell ref="A214:A216"/>
    <mergeCell ref="B214:B216"/>
    <mergeCell ref="A217:A219"/>
    <mergeCell ref="B217:B219"/>
    <mergeCell ref="A220:A222"/>
    <mergeCell ref="B220:B222"/>
    <mergeCell ref="A205:A207"/>
    <mergeCell ref="B205:B207"/>
    <mergeCell ref="A208:A210"/>
    <mergeCell ref="B208:B210"/>
    <mergeCell ref="A211:A213"/>
    <mergeCell ref="B211:B213"/>
    <mergeCell ref="A250:A252"/>
    <mergeCell ref="B250:B252"/>
    <mergeCell ref="A253:A255"/>
    <mergeCell ref="B253:B255"/>
    <mergeCell ref="A256:A258"/>
    <mergeCell ref="B256:B258"/>
    <mergeCell ref="A241:A243"/>
    <mergeCell ref="B241:B243"/>
    <mergeCell ref="A244:A246"/>
    <mergeCell ref="B244:B246"/>
    <mergeCell ref="A247:A249"/>
    <mergeCell ref="B247:B249"/>
    <mergeCell ref="A232:A234"/>
    <mergeCell ref="B232:B234"/>
    <mergeCell ref="A235:A237"/>
    <mergeCell ref="B235:B237"/>
    <mergeCell ref="A238:A240"/>
    <mergeCell ref="B238:B240"/>
    <mergeCell ref="A277:A279"/>
    <mergeCell ref="B277:B279"/>
    <mergeCell ref="A280:A282"/>
    <mergeCell ref="B280:B282"/>
    <mergeCell ref="A283:A285"/>
    <mergeCell ref="B283:B285"/>
    <mergeCell ref="A268:A270"/>
    <mergeCell ref="B268:B270"/>
    <mergeCell ref="A271:A273"/>
    <mergeCell ref="B271:B273"/>
    <mergeCell ref="A274:A276"/>
    <mergeCell ref="B274:B276"/>
    <mergeCell ref="A259:A261"/>
    <mergeCell ref="B259:B261"/>
    <mergeCell ref="A262:A264"/>
    <mergeCell ref="B262:B264"/>
    <mergeCell ref="A265:A267"/>
    <mergeCell ref="B265:B267"/>
    <mergeCell ref="A304:A306"/>
    <mergeCell ref="B304:B306"/>
    <mergeCell ref="A307:A309"/>
    <mergeCell ref="B307:B309"/>
    <mergeCell ref="A310:A312"/>
    <mergeCell ref="B310:B312"/>
    <mergeCell ref="A295:A297"/>
    <mergeCell ref="B295:B297"/>
    <mergeCell ref="A298:A300"/>
    <mergeCell ref="B298:B300"/>
    <mergeCell ref="A301:A303"/>
    <mergeCell ref="B301:B303"/>
    <mergeCell ref="A286:A288"/>
    <mergeCell ref="B286:B288"/>
    <mergeCell ref="A289:A291"/>
    <mergeCell ref="B289:B291"/>
    <mergeCell ref="A292:A294"/>
    <mergeCell ref="B292:B294"/>
    <mergeCell ref="A331:A333"/>
    <mergeCell ref="B331:B333"/>
    <mergeCell ref="A334:A336"/>
    <mergeCell ref="B334:B336"/>
    <mergeCell ref="A337:A339"/>
    <mergeCell ref="B337:B339"/>
    <mergeCell ref="A322:A324"/>
    <mergeCell ref="B322:B324"/>
    <mergeCell ref="A325:A327"/>
    <mergeCell ref="B325:B327"/>
    <mergeCell ref="A328:A330"/>
    <mergeCell ref="B328:B330"/>
    <mergeCell ref="A313:A315"/>
    <mergeCell ref="B313:B315"/>
    <mergeCell ref="A316:A318"/>
    <mergeCell ref="B316:B318"/>
    <mergeCell ref="A319:A321"/>
    <mergeCell ref="B319:B321"/>
    <mergeCell ref="A358:A360"/>
    <mergeCell ref="B358:B360"/>
    <mergeCell ref="A361:A363"/>
    <mergeCell ref="B361:B363"/>
    <mergeCell ref="A364:A366"/>
    <mergeCell ref="B364:B366"/>
    <mergeCell ref="A349:A351"/>
    <mergeCell ref="B349:B351"/>
    <mergeCell ref="A352:A354"/>
    <mergeCell ref="B352:B354"/>
    <mergeCell ref="A355:A357"/>
    <mergeCell ref="B355:B357"/>
    <mergeCell ref="A340:A342"/>
    <mergeCell ref="B340:B342"/>
    <mergeCell ref="A343:A345"/>
    <mergeCell ref="B343:B345"/>
    <mergeCell ref="A346:A348"/>
    <mergeCell ref="B346:B348"/>
    <mergeCell ref="A385:A387"/>
    <mergeCell ref="B385:B387"/>
    <mergeCell ref="A388:A390"/>
    <mergeCell ref="B388:B390"/>
    <mergeCell ref="A391:A393"/>
    <mergeCell ref="B391:B393"/>
    <mergeCell ref="A376:A378"/>
    <mergeCell ref="B376:B378"/>
    <mergeCell ref="A379:A381"/>
    <mergeCell ref="B379:B381"/>
    <mergeCell ref="A382:A384"/>
    <mergeCell ref="B382:B384"/>
    <mergeCell ref="A367:A369"/>
    <mergeCell ref="B367:B369"/>
    <mergeCell ref="A370:A372"/>
    <mergeCell ref="B370:B372"/>
    <mergeCell ref="A373:A375"/>
    <mergeCell ref="B373:B375"/>
    <mergeCell ref="A412:A414"/>
    <mergeCell ref="B412:B414"/>
    <mergeCell ref="A415:A417"/>
    <mergeCell ref="B415:B417"/>
    <mergeCell ref="A418:A420"/>
    <mergeCell ref="B418:B420"/>
    <mergeCell ref="A403:A405"/>
    <mergeCell ref="B403:B405"/>
    <mergeCell ref="A406:A408"/>
    <mergeCell ref="B406:B408"/>
    <mergeCell ref="A409:A411"/>
    <mergeCell ref="B409:B411"/>
    <mergeCell ref="A394:A396"/>
    <mergeCell ref="B394:B396"/>
    <mergeCell ref="A397:A399"/>
    <mergeCell ref="B397:B399"/>
    <mergeCell ref="A400:A402"/>
    <mergeCell ref="B400:B402"/>
    <mergeCell ref="A439:A441"/>
    <mergeCell ref="B439:B441"/>
    <mergeCell ref="A442:A444"/>
    <mergeCell ref="B442:B444"/>
    <mergeCell ref="A445:A447"/>
    <mergeCell ref="B445:B447"/>
    <mergeCell ref="A430:A432"/>
    <mergeCell ref="B430:B432"/>
    <mergeCell ref="A433:A435"/>
    <mergeCell ref="B433:B435"/>
    <mergeCell ref="A436:A438"/>
    <mergeCell ref="B436:B438"/>
    <mergeCell ref="A421:A423"/>
    <mergeCell ref="B421:B423"/>
    <mergeCell ref="A424:A426"/>
    <mergeCell ref="B424:B426"/>
    <mergeCell ref="A427:A429"/>
    <mergeCell ref="B427:B429"/>
    <mergeCell ref="A466:A468"/>
    <mergeCell ref="B466:B468"/>
    <mergeCell ref="A469:A471"/>
    <mergeCell ref="B469:B471"/>
    <mergeCell ref="A472:A474"/>
    <mergeCell ref="B472:B474"/>
    <mergeCell ref="A457:A459"/>
    <mergeCell ref="B457:B459"/>
    <mergeCell ref="A460:A462"/>
    <mergeCell ref="B460:B462"/>
    <mergeCell ref="A463:A465"/>
    <mergeCell ref="B463:B465"/>
    <mergeCell ref="A448:A450"/>
    <mergeCell ref="B448:B450"/>
    <mergeCell ref="A451:A453"/>
    <mergeCell ref="B451:B453"/>
    <mergeCell ref="A454:A456"/>
    <mergeCell ref="B454:B456"/>
    <mergeCell ref="A493:A495"/>
    <mergeCell ref="B493:B495"/>
    <mergeCell ref="A496:A498"/>
    <mergeCell ref="B496:B498"/>
    <mergeCell ref="A499:A501"/>
    <mergeCell ref="B499:B501"/>
    <mergeCell ref="A484:A486"/>
    <mergeCell ref="B484:B486"/>
    <mergeCell ref="A487:A489"/>
    <mergeCell ref="B487:B489"/>
    <mergeCell ref="A490:A492"/>
    <mergeCell ref="B490:B492"/>
    <mergeCell ref="A475:A477"/>
    <mergeCell ref="B475:B477"/>
    <mergeCell ref="A478:A480"/>
    <mergeCell ref="B478:B480"/>
    <mergeCell ref="A481:A483"/>
    <mergeCell ref="B481:B483"/>
    <mergeCell ref="A520:A522"/>
    <mergeCell ref="B520:B522"/>
    <mergeCell ref="A523:A525"/>
    <mergeCell ref="B523:B525"/>
    <mergeCell ref="A526:A528"/>
    <mergeCell ref="B526:B528"/>
    <mergeCell ref="A511:A513"/>
    <mergeCell ref="B511:B513"/>
    <mergeCell ref="A514:A516"/>
    <mergeCell ref="B514:B516"/>
    <mergeCell ref="A517:A519"/>
    <mergeCell ref="B517:B519"/>
    <mergeCell ref="A502:A504"/>
    <mergeCell ref="B502:B504"/>
    <mergeCell ref="A505:A507"/>
    <mergeCell ref="B505:B507"/>
    <mergeCell ref="A508:A510"/>
    <mergeCell ref="B508:B510"/>
    <mergeCell ref="A547:A549"/>
    <mergeCell ref="B547:B549"/>
    <mergeCell ref="A550:A552"/>
    <mergeCell ref="B550:B552"/>
    <mergeCell ref="A553:A555"/>
    <mergeCell ref="B553:B555"/>
    <mergeCell ref="A538:A540"/>
    <mergeCell ref="B538:B540"/>
    <mergeCell ref="A541:A543"/>
    <mergeCell ref="B541:B543"/>
    <mergeCell ref="A544:A546"/>
    <mergeCell ref="B544:B546"/>
    <mergeCell ref="A529:A531"/>
    <mergeCell ref="B529:B531"/>
    <mergeCell ref="A532:A534"/>
    <mergeCell ref="B532:B534"/>
    <mergeCell ref="A535:A537"/>
    <mergeCell ref="B535:B537"/>
    <mergeCell ref="A574:A576"/>
    <mergeCell ref="B574:B576"/>
    <mergeCell ref="A577:A579"/>
    <mergeCell ref="B577:B579"/>
    <mergeCell ref="A580:A582"/>
    <mergeCell ref="B580:B582"/>
    <mergeCell ref="A565:A567"/>
    <mergeCell ref="B565:B567"/>
    <mergeCell ref="A568:A570"/>
    <mergeCell ref="B568:B570"/>
    <mergeCell ref="A571:A573"/>
    <mergeCell ref="B571:B573"/>
    <mergeCell ref="A556:A558"/>
    <mergeCell ref="B556:B558"/>
    <mergeCell ref="A559:A561"/>
    <mergeCell ref="B559:B561"/>
    <mergeCell ref="A562:A564"/>
    <mergeCell ref="B562:B564"/>
    <mergeCell ref="A601:A603"/>
    <mergeCell ref="B601:B603"/>
    <mergeCell ref="A604:A606"/>
    <mergeCell ref="B604:B606"/>
    <mergeCell ref="A607:A609"/>
    <mergeCell ref="B607:B609"/>
    <mergeCell ref="A592:A594"/>
    <mergeCell ref="B592:B594"/>
    <mergeCell ref="A595:A597"/>
    <mergeCell ref="B595:B597"/>
    <mergeCell ref="A598:A600"/>
    <mergeCell ref="B598:B600"/>
    <mergeCell ref="A583:A585"/>
    <mergeCell ref="B583:B585"/>
    <mergeCell ref="A586:A588"/>
    <mergeCell ref="B586:B588"/>
    <mergeCell ref="A589:A591"/>
    <mergeCell ref="B589:B591"/>
    <mergeCell ref="A628:A630"/>
    <mergeCell ref="B628:B630"/>
    <mergeCell ref="A631:A633"/>
    <mergeCell ref="B631:B633"/>
    <mergeCell ref="A634:A636"/>
    <mergeCell ref="B634:B636"/>
    <mergeCell ref="A619:A621"/>
    <mergeCell ref="B619:B621"/>
    <mergeCell ref="A622:A624"/>
    <mergeCell ref="B622:B624"/>
    <mergeCell ref="A625:A627"/>
    <mergeCell ref="B625:B627"/>
    <mergeCell ref="A610:A612"/>
    <mergeCell ref="B610:B612"/>
    <mergeCell ref="A613:A615"/>
    <mergeCell ref="B613:B615"/>
    <mergeCell ref="A616:A618"/>
    <mergeCell ref="B616:B618"/>
    <mergeCell ref="A655:A657"/>
    <mergeCell ref="B655:B657"/>
    <mergeCell ref="A658:A660"/>
    <mergeCell ref="B658:B660"/>
    <mergeCell ref="A661:A663"/>
    <mergeCell ref="B661:B663"/>
    <mergeCell ref="A646:A648"/>
    <mergeCell ref="B646:B648"/>
    <mergeCell ref="A649:A651"/>
    <mergeCell ref="B649:B651"/>
    <mergeCell ref="A652:A654"/>
    <mergeCell ref="B652:B654"/>
    <mergeCell ref="A637:A639"/>
    <mergeCell ref="B637:B639"/>
    <mergeCell ref="A640:A642"/>
    <mergeCell ref="B640:B642"/>
    <mergeCell ref="A643:A645"/>
    <mergeCell ref="B643:B645"/>
    <mergeCell ref="A682:A684"/>
    <mergeCell ref="B682:B684"/>
    <mergeCell ref="A685:A687"/>
    <mergeCell ref="B685:B687"/>
    <mergeCell ref="A688:A690"/>
    <mergeCell ref="B688:B690"/>
    <mergeCell ref="A673:A675"/>
    <mergeCell ref="B673:B675"/>
    <mergeCell ref="A676:A678"/>
    <mergeCell ref="B676:B678"/>
    <mergeCell ref="A679:A681"/>
    <mergeCell ref="B679:B681"/>
    <mergeCell ref="A664:A666"/>
    <mergeCell ref="B664:B666"/>
    <mergeCell ref="A667:A669"/>
    <mergeCell ref="B667:B669"/>
    <mergeCell ref="A670:A672"/>
    <mergeCell ref="B670:B672"/>
    <mergeCell ref="A709:A711"/>
    <mergeCell ref="B709:B711"/>
    <mergeCell ref="A712:A714"/>
    <mergeCell ref="B712:B714"/>
    <mergeCell ref="A715:A717"/>
    <mergeCell ref="B715:B717"/>
    <mergeCell ref="A700:A702"/>
    <mergeCell ref="B700:B702"/>
    <mergeCell ref="A703:A705"/>
    <mergeCell ref="B703:B705"/>
    <mergeCell ref="A706:A708"/>
    <mergeCell ref="B706:B708"/>
    <mergeCell ref="A691:A693"/>
    <mergeCell ref="B691:B693"/>
    <mergeCell ref="A694:A696"/>
    <mergeCell ref="B694:B696"/>
    <mergeCell ref="A697:A699"/>
    <mergeCell ref="B697:B699"/>
    <mergeCell ref="A736:A738"/>
    <mergeCell ref="B736:B738"/>
    <mergeCell ref="A739:A741"/>
    <mergeCell ref="B739:B741"/>
    <mergeCell ref="A742:A744"/>
    <mergeCell ref="B742:B744"/>
    <mergeCell ref="A727:A729"/>
    <mergeCell ref="B727:B729"/>
    <mergeCell ref="A730:A732"/>
    <mergeCell ref="B730:B732"/>
    <mergeCell ref="A733:A735"/>
    <mergeCell ref="B733:B735"/>
    <mergeCell ref="A718:A720"/>
    <mergeCell ref="B718:B720"/>
    <mergeCell ref="A721:A723"/>
    <mergeCell ref="B721:B723"/>
    <mergeCell ref="A724:A726"/>
    <mergeCell ref="B724:B726"/>
    <mergeCell ref="A763:A765"/>
    <mergeCell ref="B763:B765"/>
    <mergeCell ref="A766:A768"/>
    <mergeCell ref="B766:B768"/>
    <mergeCell ref="A769:A771"/>
    <mergeCell ref="B769:B771"/>
    <mergeCell ref="A754:A756"/>
    <mergeCell ref="B754:B756"/>
    <mergeCell ref="A757:A759"/>
    <mergeCell ref="B757:B759"/>
    <mergeCell ref="A760:A762"/>
    <mergeCell ref="B760:B762"/>
    <mergeCell ref="A745:A747"/>
    <mergeCell ref="B745:B747"/>
    <mergeCell ref="A748:A750"/>
    <mergeCell ref="B748:B750"/>
    <mergeCell ref="A751:A753"/>
    <mergeCell ref="B751:B753"/>
    <mergeCell ref="A790:A792"/>
    <mergeCell ref="B790:B792"/>
    <mergeCell ref="A793:A795"/>
    <mergeCell ref="B793:B795"/>
    <mergeCell ref="A796:A798"/>
    <mergeCell ref="B796:B798"/>
    <mergeCell ref="A781:A783"/>
    <mergeCell ref="B781:B783"/>
    <mergeCell ref="A784:A786"/>
    <mergeCell ref="B784:B786"/>
    <mergeCell ref="A787:A789"/>
    <mergeCell ref="B787:B789"/>
    <mergeCell ref="A772:A774"/>
    <mergeCell ref="B772:B774"/>
    <mergeCell ref="A775:A777"/>
    <mergeCell ref="B775:B777"/>
    <mergeCell ref="A778:A780"/>
    <mergeCell ref="B778:B780"/>
    <mergeCell ref="A817:A819"/>
    <mergeCell ref="B817:B819"/>
    <mergeCell ref="A820:A822"/>
    <mergeCell ref="B820:B822"/>
    <mergeCell ref="A823:A825"/>
    <mergeCell ref="B823:B825"/>
    <mergeCell ref="A808:A810"/>
    <mergeCell ref="B808:B810"/>
    <mergeCell ref="A811:A813"/>
    <mergeCell ref="B811:B813"/>
    <mergeCell ref="A814:A816"/>
    <mergeCell ref="B814:B816"/>
    <mergeCell ref="A799:A801"/>
    <mergeCell ref="B799:B801"/>
    <mergeCell ref="A802:A804"/>
    <mergeCell ref="B802:B804"/>
    <mergeCell ref="A805:A807"/>
    <mergeCell ref="B805:B807"/>
    <mergeCell ref="A844:A846"/>
    <mergeCell ref="B844:B846"/>
    <mergeCell ref="A847:A849"/>
    <mergeCell ref="B847:B849"/>
    <mergeCell ref="A850:A852"/>
    <mergeCell ref="B850:B852"/>
    <mergeCell ref="A835:A837"/>
    <mergeCell ref="B835:B837"/>
    <mergeCell ref="A838:A840"/>
    <mergeCell ref="B838:B840"/>
    <mergeCell ref="A841:A843"/>
    <mergeCell ref="B841:B843"/>
    <mergeCell ref="A826:A828"/>
    <mergeCell ref="B826:B828"/>
    <mergeCell ref="A829:A831"/>
    <mergeCell ref="B829:B831"/>
    <mergeCell ref="A832:A834"/>
    <mergeCell ref="B832:B834"/>
    <mergeCell ref="A871:A873"/>
    <mergeCell ref="B871:B873"/>
    <mergeCell ref="A874:A876"/>
    <mergeCell ref="B874:B876"/>
    <mergeCell ref="A877:A879"/>
    <mergeCell ref="B877:B879"/>
    <mergeCell ref="A862:A864"/>
    <mergeCell ref="B862:B864"/>
    <mergeCell ref="A865:A867"/>
    <mergeCell ref="B865:B867"/>
    <mergeCell ref="A868:A870"/>
    <mergeCell ref="B868:B870"/>
    <mergeCell ref="A853:A855"/>
    <mergeCell ref="B853:B855"/>
    <mergeCell ref="A856:A858"/>
    <mergeCell ref="B856:B858"/>
    <mergeCell ref="A859:A861"/>
    <mergeCell ref="B859:B861"/>
    <mergeCell ref="A898:A900"/>
    <mergeCell ref="B898:B900"/>
    <mergeCell ref="A901:A903"/>
    <mergeCell ref="B901:B903"/>
    <mergeCell ref="A904:A906"/>
    <mergeCell ref="B904:B906"/>
    <mergeCell ref="A889:A891"/>
    <mergeCell ref="B889:B891"/>
    <mergeCell ref="A892:A894"/>
    <mergeCell ref="B892:B894"/>
    <mergeCell ref="A895:A897"/>
    <mergeCell ref="B895:B897"/>
    <mergeCell ref="A880:A882"/>
    <mergeCell ref="B880:B882"/>
    <mergeCell ref="A883:A885"/>
    <mergeCell ref="B883:B885"/>
    <mergeCell ref="A886:A888"/>
    <mergeCell ref="B886:B888"/>
    <mergeCell ref="A925:A927"/>
    <mergeCell ref="B925:B927"/>
    <mergeCell ref="A928:A930"/>
    <mergeCell ref="B928:B930"/>
    <mergeCell ref="A931:A933"/>
    <mergeCell ref="B931:B933"/>
    <mergeCell ref="A916:A918"/>
    <mergeCell ref="B916:B918"/>
    <mergeCell ref="A919:A921"/>
    <mergeCell ref="B919:B921"/>
    <mergeCell ref="A922:A924"/>
    <mergeCell ref="B922:B924"/>
    <mergeCell ref="A907:A909"/>
    <mergeCell ref="B907:B909"/>
    <mergeCell ref="A910:A912"/>
    <mergeCell ref="B910:B912"/>
    <mergeCell ref="A913:A915"/>
    <mergeCell ref="B913:B915"/>
    <mergeCell ref="A952:A954"/>
    <mergeCell ref="B952:B954"/>
    <mergeCell ref="A955:A957"/>
    <mergeCell ref="B955:B957"/>
    <mergeCell ref="A958:A960"/>
    <mergeCell ref="B958:B960"/>
    <mergeCell ref="A943:A945"/>
    <mergeCell ref="B943:B945"/>
    <mergeCell ref="A946:A948"/>
    <mergeCell ref="B946:B948"/>
    <mergeCell ref="A949:A951"/>
    <mergeCell ref="B949:B951"/>
    <mergeCell ref="A934:A936"/>
    <mergeCell ref="B934:B936"/>
    <mergeCell ref="A937:A939"/>
    <mergeCell ref="B937:B939"/>
    <mergeCell ref="A940:A942"/>
    <mergeCell ref="B940:B942"/>
    <mergeCell ref="A979:A981"/>
    <mergeCell ref="B979:B981"/>
    <mergeCell ref="A982:A984"/>
    <mergeCell ref="B982:B984"/>
    <mergeCell ref="A985:A987"/>
    <mergeCell ref="B985:B987"/>
    <mergeCell ref="A970:A972"/>
    <mergeCell ref="B970:B972"/>
    <mergeCell ref="A973:A975"/>
    <mergeCell ref="B973:B975"/>
    <mergeCell ref="A976:A978"/>
    <mergeCell ref="B976:B978"/>
    <mergeCell ref="A961:A963"/>
    <mergeCell ref="B961:B963"/>
    <mergeCell ref="A964:A966"/>
    <mergeCell ref="B964:B966"/>
    <mergeCell ref="A967:A969"/>
    <mergeCell ref="B967:B969"/>
    <mergeCell ref="A1006:A1008"/>
    <mergeCell ref="B1006:B1008"/>
    <mergeCell ref="A1009:A1011"/>
    <mergeCell ref="B1009:B1011"/>
    <mergeCell ref="A1012:A1014"/>
    <mergeCell ref="B1012:B1014"/>
    <mergeCell ref="A997:A999"/>
    <mergeCell ref="B997:B999"/>
    <mergeCell ref="A1000:A1002"/>
    <mergeCell ref="B1000:B1002"/>
    <mergeCell ref="A1003:A1005"/>
    <mergeCell ref="B1003:B1005"/>
    <mergeCell ref="A988:A990"/>
    <mergeCell ref="B988:B990"/>
    <mergeCell ref="A991:A993"/>
    <mergeCell ref="B991:B993"/>
    <mergeCell ref="A994:A996"/>
    <mergeCell ref="B994:B996"/>
    <mergeCell ref="A1033:A1035"/>
    <mergeCell ref="B1033:B1035"/>
    <mergeCell ref="A1036:A1038"/>
    <mergeCell ref="B1036:B1038"/>
    <mergeCell ref="A1039:A1041"/>
    <mergeCell ref="B1039:B1041"/>
    <mergeCell ref="A1024:A1026"/>
    <mergeCell ref="B1024:B1026"/>
    <mergeCell ref="A1027:A1029"/>
    <mergeCell ref="B1027:B1029"/>
    <mergeCell ref="A1030:A1032"/>
    <mergeCell ref="B1030:B1032"/>
    <mergeCell ref="A1015:A1017"/>
    <mergeCell ref="B1015:B1017"/>
    <mergeCell ref="A1018:A1020"/>
    <mergeCell ref="B1018:B1020"/>
    <mergeCell ref="A1021:A1023"/>
    <mergeCell ref="B1021:B1023"/>
    <mergeCell ref="A1060:A1062"/>
    <mergeCell ref="B1060:B1062"/>
    <mergeCell ref="A1063:A1065"/>
    <mergeCell ref="B1063:B1065"/>
    <mergeCell ref="A1066:A1068"/>
    <mergeCell ref="B1066:B1068"/>
    <mergeCell ref="A1051:A1053"/>
    <mergeCell ref="B1051:B1053"/>
    <mergeCell ref="A1054:A1056"/>
    <mergeCell ref="B1054:B1056"/>
    <mergeCell ref="A1057:A1059"/>
    <mergeCell ref="B1057:B1059"/>
    <mergeCell ref="A1042:A1044"/>
    <mergeCell ref="B1042:B1044"/>
    <mergeCell ref="A1045:A1047"/>
    <mergeCell ref="B1045:B1047"/>
    <mergeCell ref="A1048:A1050"/>
    <mergeCell ref="B1048:B1050"/>
    <mergeCell ref="A1087:A1089"/>
    <mergeCell ref="B1087:B1089"/>
    <mergeCell ref="A1090:A1092"/>
    <mergeCell ref="B1090:B1092"/>
    <mergeCell ref="A1093:A1095"/>
    <mergeCell ref="B1093:B1095"/>
    <mergeCell ref="A1078:A1080"/>
    <mergeCell ref="B1078:B1080"/>
    <mergeCell ref="A1081:A1083"/>
    <mergeCell ref="B1081:B1083"/>
    <mergeCell ref="A1084:A1086"/>
    <mergeCell ref="B1084:B1086"/>
    <mergeCell ref="A1069:A1071"/>
    <mergeCell ref="B1069:B1071"/>
    <mergeCell ref="A1072:A1074"/>
    <mergeCell ref="B1072:B1074"/>
    <mergeCell ref="A1075:A1077"/>
    <mergeCell ref="B1075:B1077"/>
    <mergeCell ref="A1114:A1116"/>
    <mergeCell ref="B1114:B1116"/>
    <mergeCell ref="A1117:A1119"/>
    <mergeCell ref="B1117:B1119"/>
    <mergeCell ref="A1120:A1122"/>
    <mergeCell ref="B1120:B1122"/>
    <mergeCell ref="A1105:A1107"/>
    <mergeCell ref="B1105:B1107"/>
    <mergeCell ref="A1108:A1110"/>
    <mergeCell ref="B1108:B1110"/>
    <mergeCell ref="A1111:A1113"/>
    <mergeCell ref="B1111:B1113"/>
    <mergeCell ref="A1096:A1098"/>
    <mergeCell ref="B1096:B1098"/>
    <mergeCell ref="A1099:A1101"/>
    <mergeCell ref="B1099:B1101"/>
    <mergeCell ref="A1102:A1104"/>
    <mergeCell ref="B1102:B1104"/>
    <mergeCell ref="A1141:A1143"/>
    <mergeCell ref="B1141:B1143"/>
    <mergeCell ref="A1144:A1146"/>
    <mergeCell ref="B1144:B1146"/>
    <mergeCell ref="A1147:A1149"/>
    <mergeCell ref="B1147:B1149"/>
    <mergeCell ref="A1132:A1134"/>
    <mergeCell ref="B1132:B1134"/>
    <mergeCell ref="A1135:A1137"/>
    <mergeCell ref="B1135:B1137"/>
    <mergeCell ref="A1138:A1140"/>
    <mergeCell ref="B1138:B1140"/>
    <mergeCell ref="A1123:A1125"/>
    <mergeCell ref="B1123:B1125"/>
    <mergeCell ref="A1126:A1128"/>
    <mergeCell ref="B1126:B1128"/>
    <mergeCell ref="A1129:A1131"/>
    <mergeCell ref="B1129:B1131"/>
    <mergeCell ref="A1168:A1170"/>
    <mergeCell ref="B1168:B1170"/>
    <mergeCell ref="A1171:A1173"/>
    <mergeCell ref="B1171:B1173"/>
    <mergeCell ref="A1174:A1176"/>
    <mergeCell ref="B1174:B1176"/>
    <mergeCell ref="A1159:A1161"/>
    <mergeCell ref="B1159:B1161"/>
    <mergeCell ref="A1162:A1164"/>
    <mergeCell ref="B1162:B1164"/>
    <mergeCell ref="A1165:A1167"/>
    <mergeCell ref="B1165:B1167"/>
    <mergeCell ref="A1150:A1152"/>
    <mergeCell ref="B1150:B1152"/>
    <mergeCell ref="A1153:A1155"/>
    <mergeCell ref="B1153:B1155"/>
    <mergeCell ref="A1156:A1158"/>
    <mergeCell ref="B1156:B1158"/>
    <mergeCell ref="A1195:A1197"/>
    <mergeCell ref="B1195:B1197"/>
    <mergeCell ref="A1198:A1200"/>
    <mergeCell ref="B1198:B1200"/>
    <mergeCell ref="A1201:A1203"/>
    <mergeCell ref="B1201:B1203"/>
    <mergeCell ref="A1186:A1188"/>
    <mergeCell ref="B1186:B1188"/>
    <mergeCell ref="A1189:A1191"/>
    <mergeCell ref="B1189:B1191"/>
    <mergeCell ref="A1192:A1194"/>
    <mergeCell ref="B1192:B1194"/>
    <mergeCell ref="A1177:A1179"/>
    <mergeCell ref="B1177:B1179"/>
    <mergeCell ref="A1180:A1182"/>
    <mergeCell ref="B1180:B1182"/>
    <mergeCell ref="A1183:A1185"/>
    <mergeCell ref="B1183:B1185"/>
    <mergeCell ref="A1222:A1224"/>
    <mergeCell ref="B1222:B1224"/>
    <mergeCell ref="A1225:A1227"/>
    <mergeCell ref="B1225:B1227"/>
    <mergeCell ref="A1228:A1230"/>
    <mergeCell ref="B1228:B1230"/>
    <mergeCell ref="A1213:A1215"/>
    <mergeCell ref="B1213:B1215"/>
    <mergeCell ref="A1216:A1218"/>
    <mergeCell ref="B1216:B1218"/>
    <mergeCell ref="A1219:A1221"/>
    <mergeCell ref="B1219:B1221"/>
    <mergeCell ref="A1204:A1206"/>
    <mergeCell ref="B1204:B1206"/>
    <mergeCell ref="A1207:A1209"/>
    <mergeCell ref="B1207:B1209"/>
    <mergeCell ref="A1210:A1212"/>
    <mergeCell ref="B1210:B1212"/>
    <mergeCell ref="A1249:A1251"/>
    <mergeCell ref="B1249:B1251"/>
    <mergeCell ref="A1252:A1254"/>
    <mergeCell ref="B1252:B1254"/>
    <mergeCell ref="A1255:A1257"/>
    <mergeCell ref="B1255:B1257"/>
    <mergeCell ref="A1240:A1242"/>
    <mergeCell ref="B1240:B1242"/>
    <mergeCell ref="A1243:A1245"/>
    <mergeCell ref="B1243:B1245"/>
    <mergeCell ref="A1246:A1248"/>
    <mergeCell ref="B1246:B1248"/>
    <mergeCell ref="A1231:A1233"/>
    <mergeCell ref="B1231:B1233"/>
    <mergeCell ref="A1234:A1236"/>
    <mergeCell ref="B1234:B1236"/>
    <mergeCell ref="A1237:A1239"/>
    <mergeCell ref="B1237:B1239"/>
    <mergeCell ref="A1276:A1278"/>
    <mergeCell ref="B1276:B1278"/>
    <mergeCell ref="A1279:A1281"/>
    <mergeCell ref="B1279:B1281"/>
    <mergeCell ref="A1282:A1284"/>
    <mergeCell ref="B1282:B1284"/>
    <mergeCell ref="A1267:A1269"/>
    <mergeCell ref="B1267:B1269"/>
    <mergeCell ref="A1270:A1272"/>
    <mergeCell ref="B1270:B1272"/>
    <mergeCell ref="A1273:A1275"/>
    <mergeCell ref="B1273:B1275"/>
    <mergeCell ref="A1258:A1260"/>
    <mergeCell ref="B1258:B1260"/>
    <mergeCell ref="A1261:A1263"/>
    <mergeCell ref="B1261:B1263"/>
    <mergeCell ref="A1264:A1266"/>
    <mergeCell ref="B1264:B1266"/>
    <mergeCell ref="A1303:A1305"/>
    <mergeCell ref="B1303:B1305"/>
    <mergeCell ref="A1306:A1308"/>
    <mergeCell ref="B1306:B1308"/>
    <mergeCell ref="A1309:A1311"/>
    <mergeCell ref="B1309:B1311"/>
    <mergeCell ref="A1294:A1296"/>
    <mergeCell ref="B1294:B1296"/>
    <mergeCell ref="A1297:A1299"/>
    <mergeCell ref="B1297:B1299"/>
    <mergeCell ref="A1300:A1302"/>
    <mergeCell ref="B1300:B1302"/>
    <mergeCell ref="A1285:A1287"/>
    <mergeCell ref="B1285:B1287"/>
    <mergeCell ref="A1288:A1290"/>
    <mergeCell ref="B1288:B1290"/>
    <mergeCell ref="A1291:A1293"/>
    <mergeCell ref="B1291:B1293"/>
    <mergeCell ref="A1336:A1338"/>
    <mergeCell ref="B1336:B1338"/>
    <mergeCell ref="A1339:A1341"/>
    <mergeCell ref="B1339:B1341"/>
    <mergeCell ref="A1330:A1332"/>
    <mergeCell ref="B1330:B1332"/>
    <mergeCell ref="A1333:A1335"/>
    <mergeCell ref="B1333:B1335"/>
    <mergeCell ref="A1321:A1323"/>
    <mergeCell ref="B1321:B1323"/>
    <mergeCell ref="A1324:A1326"/>
    <mergeCell ref="B1324:B1326"/>
    <mergeCell ref="A1327:A1329"/>
    <mergeCell ref="B1327:B1329"/>
    <mergeCell ref="A1312:A1314"/>
    <mergeCell ref="B1312:B1314"/>
    <mergeCell ref="A1315:A1317"/>
    <mergeCell ref="B1315:B1317"/>
    <mergeCell ref="A1318:A1320"/>
    <mergeCell ref="B1318:B1320"/>
    <mergeCell ref="A1366:A1368"/>
    <mergeCell ref="B1366:B1368"/>
    <mergeCell ref="A1369:A1371"/>
    <mergeCell ref="B1369:B1371"/>
    <mergeCell ref="A1360:A1362"/>
    <mergeCell ref="B1360:B1362"/>
    <mergeCell ref="A1363:A1365"/>
    <mergeCell ref="B1363:B1365"/>
    <mergeCell ref="A1354:A1356"/>
    <mergeCell ref="B1354:B1356"/>
    <mergeCell ref="A1357:A1359"/>
    <mergeCell ref="B1357:B1359"/>
    <mergeCell ref="A1348:A1350"/>
    <mergeCell ref="B1348:B1350"/>
    <mergeCell ref="A1351:A1353"/>
    <mergeCell ref="B1351:B1353"/>
    <mergeCell ref="A1342:A1344"/>
    <mergeCell ref="B1342:B1344"/>
    <mergeCell ref="A1345:A1347"/>
    <mergeCell ref="B1345:B1347"/>
    <mergeCell ref="A1396:A1398"/>
    <mergeCell ref="B1396:B1398"/>
    <mergeCell ref="A1399:A1401"/>
    <mergeCell ref="B1399:B1401"/>
    <mergeCell ref="A1390:A1392"/>
    <mergeCell ref="B1390:B1392"/>
    <mergeCell ref="A1393:A1395"/>
    <mergeCell ref="B1393:B1395"/>
    <mergeCell ref="A1384:A1386"/>
    <mergeCell ref="B1384:B1386"/>
    <mergeCell ref="A1387:A1389"/>
    <mergeCell ref="B1387:B1389"/>
    <mergeCell ref="A1378:A1380"/>
    <mergeCell ref="B1378:B1380"/>
    <mergeCell ref="A1381:A1383"/>
    <mergeCell ref="B1381:B1383"/>
    <mergeCell ref="A1372:A1374"/>
    <mergeCell ref="B1372:B1374"/>
    <mergeCell ref="A1375:A1377"/>
    <mergeCell ref="B1375:B1377"/>
    <mergeCell ref="A1426:A1428"/>
    <mergeCell ref="B1426:B1428"/>
    <mergeCell ref="A1429:A1431"/>
    <mergeCell ref="B1429:B1431"/>
    <mergeCell ref="A1420:A1422"/>
    <mergeCell ref="B1420:B1422"/>
    <mergeCell ref="A1423:A1425"/>
    <mergeCell ref="B1423:B1425"/>
    <mergeCell ref="A1414:A1416"/>
    <mergeCell ref="B1414:B1416"/>
    <mergeCell ref="A1417:A1419"/>
    <mergeCell ref="B1417:B1419"/>
    <mergeCell ref="A1408:A1410"/>
    <mergeCell ref="B1408:B1410"/>
    <mergeCell ref="A1411:A1413"/>
    <mergeCell ref="B1411:B1413"/>
    <mergeCell ref="A1402:A1404"/>
    <mergeCell ref="B1402:B1404"/>
    <mergeCell ref="A1405:A1407"/>
    <mergeCell ref="B1405:B1407"/>
    <mergeCell ref="A1456:A1458"/>
    <mergeCell ref="B1456:B1458"/>
    <mergeCell ref="A1459:A1461"/>
    <mergeCell ref="B1459:B1461"/>
    <mergeCell ref="A1450:A1452"/>
    <mergeCell ref="B1450:B1452"/>
    <mergeCell ref="A1453:A1455"/>
    <mergeCell ref="B1453:B1455"/>
    <mergeCell ref="A1444:A1446"/>
    <mergeCell ref="B1444:B1446"/>
    <mergeCell ref="A1447:A1449"/>
    <mergeCell ref="B1447:B1449"/>
    <mergeCell ref="A1438:A1440"/>
    <mergeCell ref="B1438:B1440"/>
    <mergeCell ref="A1441:A1443"/>
    <mergeCell ref="B1441:B1443"/>
    <mergeCell ref="A1432:A1434"/>
    <mergeCell ref="B1432:B1434"/>
    <mergeCell ref="A1435:A1437"/>
    <mergeCell ref="B1435:B1437"/>
    <mergeCell ref="A1486:A1488"/>
    <mergeCell ref="B1486:B1488"/>
    <mergeCell ref="A1489:A1491"/>
    <mergeCell ref="B1489:B1491"/>
    <mergeCell ref="A1480:A1482"/>
    <mergeCell ref="B1480:B1482"/>
    <mergeCell ref="A1483:A1485"/>
    <mergeCell ref="B1483:B1485"/>
    <mergeCell ref="A1474:A1476"/>
    <mergeCell ref="B1474:B1476"/>
    <mergeCell ref="A1477:A1479"/>
    <mergeCell ref="B1477:B1479"/>
    <mergeCell ref="A1468:A1470"/>
    <mergeCell ref="B1468:B1470"/>
    <mergeCell ref="A1471:A1473"/>
    <mergeCell ref="B1471:B1473"/>
    <mergeCell ref="A1462:A1464"/>
    <mergeCell ref="B1462:B1464"/>
    <mergeCell ref="A1465:A1467"/>
    <mergeCell ref="B1465:B1467"/>
    <mergeCell ref="A1516:A1518"/>
    <mergeCell ref="B1516:B1518"/>
    <mergeCell ref="A1519:A1521"/>
    <mergeCell ref="B1519:B1521"/>
    <mergeCell ref="A1510:A1512"/>
    <mergeCell ref="B1510:B1512"/>
    <mergeCell ref="A1513:A1515"/>
    <mergeCell ref="B1513:B1515"/>
    <mergeCell ref="A1504:A1506"/>
    <mergeCell ref="B1504:B1506"/>
    <mergeCell ref="A1507:A1509"/>
    <mergeCell ref="B1507:B1509"/>
    <mergeCell ref="A1498:A1500"/>
    <mergeCell ref="B1498:B1500"/>
    <mergeCell ref="A1501:A1503"/>
    <mergeCell ref="B1501:B1503"/>
    <mergeCell ref="A1492:A1494"/>
    <mergeCell ref="B1492:B1494"/>
    <mergeCell ref="A1495:A1497"/>
    <mergeCell ref="B1495:B1497"/>
    <mergeCell ref="A1546:A1548"/>
    <mergeCell ref="B1546:B1548"/>
    <mergeCell ref="A1549:A1551"/>
    <mergeCell ref="B1549:B1551"/>
    <mergeCell ref="A1540:A1542"/>
    <mergeCell ref="B1540:B1542"/>
    <mergeCell ref="A1543:A1545"/>
    <mergeCell ref="B1543:B1545"/>
    <mergeCell ref="A1534:A1536"/>
    <mergeCell ref="B1534:B1536"/>
    <mergeCell ref="A1537:A1539"/>
    <mergeCell ref="B1537:B1539"/>
    <mergeCell ref="A1528:A1530"/>
    <mergeCell ref="B1528:B1530"/>
    <mergeCell ref="A1531:A1533"/>
    <mergeCell ref="B1531:B1533"/>
    <mergeCell ref="A1522:A1524"/>
    <mergeCell ref="B1522:B1524"/>
    <mergeCell ref="A1525:A1527"/>
    <mergeCell ref="B1525:B1527"/>
    <mergeCell ref="A1576:A1578"/>
    <mergeCell ref="B1576:B1578"/>
    <mergeCell ref="A1579:A1581"/>
    <mergeCell ref="B1579:B1581"/>
    <mergeCell ref="A1570:A1572"/>
    <mergeCell ref="B1570:B1572"/>
    <mergeCell ref="A1573:A1575"/>
    <mergeCell ref="B1573:B1575"/>
    <mergeCell ref="A1564:A1566"/>
    <mergeCell ref="B1564:B1566"/>
    <mergeCell ref="A1567:A1569"/>
    <mergeCell ref="B1567:B1569"/>
    <mergeCell ref="A1558:A1560"/>
    <mergeCell ref="B1558:B1560"/>
    <mergeCell ref="A1561:A1563"/>
    <mergeCell ref="B1561:B1563"/>
    <mergeCell ref="A1552:A1554"/>
    <mergeCell ref="B1552:B1554"/>
    <mergeCell ref="A1555:A1557"/>
    <mergeCell ref="B1555:B1557"/>
    <mergeCell ref="A1606:A1608"/>
    <mergeCell ref="B1606:B1608"/>
    <mergeCell ref="A1609:A1611"/>
    <mergeCell ref="B1609:B1611"/>
    <mergeCell ref="A1600:A1602"/>
    <mergeCell ref="B1600:B1602"/>
    <mergeCell ref="A1603:A1605"/>
    <mergeCell ref="B1603:B1605"/>
    <mergeCell ref="A1594:A1596"/>
    <mergeCell ref="B1594:B1596"/>
    <mergeCell ref="A1597:A1599"/>
    <mergeCell ref="B1597:B1599"/>
    <mergeCell ref="A1588:A1590"/>
    <mergeCell ref="B1588:B1590"/>
    <mergeCell ref="A1591:A1593"/>
    <mergeCell ref="B1591:B1593"/>
    <mergeCell ref="A1582:A1584"/>
    <mergeCell ref="B1582:B1584"/>
    <mergeCell ref="A1585:A1587"/>
    <mergeCell ref="B1585:B1587"/>
    <mergeCell ref="A1636:A1638"/>
    <mergeCell ref="B1636:B1638"/>
    <mergeCell ref="A1639:A1641"/>
    <mergeCell ref="B1639:B1641"/>
    <mergeCell ref="A1630:A1632"/>
    <mergeCell ref="B1630:B1632"/>
    <mergeCell ref="A1633:A1635"/>
    <mergeCell ref="B1633:B1635"/>
    <mergeCell ref="A1624:A1626"/>
    <mergeCell ref="B1624:B1626"/>
    <mergeCell ref="A1627:A1629"/>
    <mergeCell ref="B1627:B1629"/>
    <mergeCell ref="A1618:A1620"/>
    <mergeCell ref="B1618:B1620"/>
    <mergeCell ref="A1621:A1623"/>
    <mergeCell ref="B1621:B1623"/>
    <mergeCell ref="A1612:A1614"/>
    <mergeCell ref="B1612:B1614"/>
    <mergeCell ref="A1615:A1617"/>
    <mergeCell ref="B1615:B1617"/>
    <mergeCell ref="A1664:A1666"/>
    <mergeCell ref="B1664:B1666"/>
    <mergeCell ref="A1667:A1669"/>
    <mergeCell ref="B1667:B1669"/>
    <mergeCell ref="A1659:A1661"/>
    <mergeCell ref="B1659:B1661"/>
    <mergeCell ref="A1662:A1663"/>
    <mergeCell ref="B1662:B1663"/>
    <mergeCell ref="A1653:A1655"/>
    <mergeCell ref="B1653:B1655"/>
    <mergeCell ref="A1656:A1658"/>
    <mergeCell ref="B1656:B1658"/>
    <mergeCell ref="A1647:A1649"/>
    <mergeCell ref="B1647:B1649"/>
    <mergeCell ref="A1650:A1652"/>
    <mergeCell ref="B1650:B1652"/>
    <mergeCell ref="A1642:A1643"/>
    <mergeCell ref="B1642:B1643"/>
    <mergeCell ref="A1644:A1646"/>
    <mergeCell ref="B1644:B1646"/>
    <mergeCell ref="A1693:A1695"/>
    <mergeCell ref="B1693:B1695"/>
    <mergeCell ref="A1696:A1698"/>
    <mergeCell ref="B1696:B1698"/>
    <mergeCell ref="A1687:A1689"/>
    <mergeCell ref="B1687:B1689"/>
    <mergeCell ref="A1690:A1692"/>
    <mergeCell ref="B1690:B1692"/>
    <mergeCell ref="A1681:A1683"/>
    <mergeCell ref="B1681:B1683"/>
    <mergeCell ref="A1684:A1686"/>
    <mergeCell ref="B1684:B1686"/>
    <mergeCell ref="A1676:A1678"/>
    <mergeCell ref="B1676:B1678"/>
    <mergeCell ref="A1679:A1680"/>
    <mergeCell ref="B1679:B1680"/>
    <mergeCell ref="A1670:A1672"/>
    <mergeCell ref="B1670:B1672"/>
    <mergeCell ref="A1673:A1675"/>
    <mergeCell ref="B1673:B1675"/>
    <mergeCell ref="A1721:A1722"/>
    <mergeCell ref="B1721:B1722"/>
    <mergeCell ref="A1723:A1725"/>
    <mergeCell ref="B1723:B1725"/>
    <mergeCell ref="A1715:A1717"/>
    <mergeCell ref="B1715:B1717"/>
    <mergeCell ref="A1718:A1720"/>
    <mergeCell ref="B1718:B1720"/>
    <mergeCell ref="A1710:A1711"/>
    <mergeCell ref="B1710:B1711"/>
    <mergeCell ref="A1712:A1714"/>
    <mergeCell ref="B1712:B1714"/>
    <mergeCell ref="A1704:A1706"/>
    <mergeCell ref="B1704:B1706"/>
    <mergeCell ref="A1707:A1709"/>
    <mergeCell ref="B1707:B1709"/>
    <mergeCell ref="A1699:A1700"/>
    <mergeCell ref="B1699:B1700"/>
    <mergeCell ref="A1701:A1703"/>
    <mergeCell ref="B1701:B1703"/>
    <mergeCell ref="A1749:A1751"/>
    <mergeCell ref="B1749:B1751"/>
    <mergeCell ref="A1752:A1754"/>
    <mergeCell ref="B1752:B1754"/>
    <mergeCell ref="A1743:A1745"/>
    <mergeCell ref="B1743:B1745"/>
    <mergeCell ref="A1746:A1748"/>
    <mergeCell ref="B1746:B1748"/>
    <mergeCell ref="A1738:A1739"/>
    <mergeCell ref="B1738:B1739"/>
    <mergeCell ref="A1740:A1742"/>
    <mergeCell ref="B1740:B1742"/>
    <mergeCell ref="A1732:A1734"/>
    <mergeCell ref="B1732:B1734"/>
    <mergeCell ref="A1735:A1737"/>
    <mergeCell ref="B1735:B1737"/>
    <mergeCell ref="A1726:A1728"/>
    <mergeCell ref="B1726:B1728"/>
    <mergeCell ref="A1729:A1731"/>
    <mergeCell ref="B1729:B1731"/>
    <mergeCell ref="A1777:A1779"/>
    <mergeCell ref="B1777:B1779"/>
    <mergeCell ref="A1780:A1782"/>
    <mergeCell ref="B1780:B1782"/>
    <mergeCell ref="A1772:A1773"/>
    <mergeCell ref="B1772:B1773"/>
    <mergeCell ref="A1774:A1776"/>
    <mergeCell ref="B1774:B1776"/>
    <mergeCell ref="A1767:A1768"/>
    <mergeCell ref="B1767:B1768"/>
    <mergeCell ref="A1769:A1771"/>
    <mergeCell ref="B1769:B1771"/>
    <mergeCell ref="A1761:A1763"/>
    <mergeCell ref="B1761:B1763"/>
    <mergeCell ref="A1764:A1766"/>
    <mergeCell ref="B1764:B1766"/>
    <mergeCell ref="A1755:A1757"/>
    <mergeCell ref="B1755:B1757"/>
    <mergeCell ref="A1758:A1760"/>
    <mergeCell ref="B1758:B1760"/>
    <mergeCell ref="A1807:A1809"/>
    <mergeCell ref="B1807:B1809"/>
    <mergeCell ref="A1810:A1812"/>
    <mergeCell ref="B1810:B1812"/>
    <mergeCell ref="A1801:A1803"/>
    <mergeCell ref="B1801:B1803"/>
    <mergeCell ref="A1804:A1806"/>
    <mergeCell ref="B1804:B1806"/>
    <mergeCell ref="A1795:A1797"/>
    <mergeCell ref="B1795:B1797"/>
    <mergeCell ref="A1798:A1800"/>
    <mergeCell ref="B1798:B1800"/>
    <mergeCell ref="A1789:A1791"/>
    <mergeCell ref="B1789:B1791"/>
    <mergeCell ref="A1792:A1794"/>
    <mergeCell ref="B1792:B1794"/>
    <mergeCell ref="A1783:A1785"/>
    <mergeCell ref="B1783:B1785"/>
    <mergeCell ref="A1786:A1788"/>
    <mergeCell ref="B1786:B1788"/>
    <mergeCell ref="A1837:A1839"/>
    <mergeCell ref="B1837:B1839"/>
    <mergeCell ref="A1840:A1842"/>
    <mergeCell ref="B1840:B1842"/>
    <mergeCell ref="A1831:A1833"/>
    <mergeCell ref="B1831:B1833"/>
    <mergeCell ref="A1834:A1836"/>
    <mergeCell ref="B1834:B1836"/>
    <mergeCell ref="A1825:A1827"/>
    <mergeCell ref="B1825:B1827"/>
    <mergeCell ref="A1828:A1830"/>
    <mergeCell ref="B1828:B1830"/>
    <mergeCell ref="A1819:A1821"/>
    <mergeCell ref="B1819:B1821"/>
    <mergeCell ref="A1822:A1824"/>
    <mergeCell ref="B1822:B1824"/>
    <mergeCell ref="A1813:A1815"/>
    <mergeCell ref="B1813:B1815"/>
    <mergeCell ref="A1816:A1818"/>
    <mergeCell ref="B1816:B1818"/>
    <mergeCell ref="A1867:A1869"/>
    <mergeCell ref="B1867:B1869"/>
    <mergeCell ref="A1870:A1872"/>
    <mergeCell ref="B1870:B1872"/>
    <mergeCell ref="A1861:A1863"/>
    <mergeCell ref="B1861:B1863"/>
    <mergeCell ref="A1864:A1866"/>
    <mergeCell ref="B1864:B1866"/>
    <mergeCell ref="A1855:A1857"/>
    <mergeCell ref="B1855:B1857"/>
    <mergeCell ref="A1858:A1860"/>
    <mergeCell ref="B1858:B1860"/>
    <mergeCell ref="A1849:A1851"/>
    <mergeCell ref="B1849:B1851"/>
    <mergeCell ref="A1852:A1854"/>
    <mergeCell ref="B1852:B1854"/>
    <mergeCell ref="A1843:A1845"/>
    <mergeCell ref="B1843:B1845"/>
    <mergeCell ref="A1846:A1848"/>
    <mergeCell ref="B1846:B1848"/>
    <mergeCell ref="A1897:A1898"/>
    <mergeCell ref="B1897:B1898"/>
    <mergeCell ref="A1899:A1901"/>
    <mergeCell ref="B1899:B1901"/>
    <mergeCell ref="A1891:A1893"/>
    <mergeCell ref="B1891:B1893"/>
    <mergeCell ref="A1894:A1896"/>
    <mergeCell ref="B1894:B1896"/>
    <mergeCell ref="A1885:A1887"/>
    <mergeCell ref="B1885:B1887"/>
    <mergeCell ref="A1888:A1890"/>
    <mergeCell ref="B1888:B1890"/>
    <mergeCell ref="A1879:A1881"/>
    <mergeCell ref="B1879:B1881"/>
    <mergeCell ref="A1882:A1884"/>
    <mergeCell ref="B1882:B1884"/>
    <mergeCell ref="A1873:A1875"/>
    <mergeCell ref="B1873:B1875"/>
    <mergeCell ref="A1876:A1878"/>
    <mergeCell ref="B1876:B1878"/>
    <mergeCell ref="A1926:A1928"/>
    <mergeCell ref="B1926:B1928"/>
    <mergeCell ref="A1929:A1931"/>
    <mergeCell ref="B1929:B1931"/>
    <mergeCell ref="A1920:A1922"/>
    <mergeCell ref="B1920:B1922"/>
    <mergeCell ref="A1923:A1925"/>
    <mergeCell ref="B1923:B1925"/>
    <mergeCell ref="A1914:A1916"/>
    <mergeCell ref="B1914:B1916"/>
    <mergeCell ref="A1917:A1919"/>
    <mergeCell ref="B1917:B1919"/>
    <mergeCell ref="A1908:A1910"/>
    <mergeCell ref="B1908:B1910"/>
    <mergeCell ref="A1911:A1913"/>
    <mergeCell ref="B1911:B1913"/>
    <mergeCell ref="A1902:A1904"/>
    <mergeCell ref="B1902:B1904"/>
    <mergeCell ref="A1905:A1907"/>
    <mergeCell ref="B1905:B1907"/>
    <mergeCell ref="A1956:A1958"/>
    <mergeCell ref="B1956:B1958"/>
    <mergeCell ref="A1959:A1961"/>
    <mergeCell ref="B1959:B1961"/>
    <mergeCell ref="A1950:A1952"/>
    <mergeCell ref="B1950:B1952"/>
    <mergeCell ref="A1953:A1955"/>
    <mergeCell ref="B1953:B1955"/>
    <mergeCell ref="A1944:A1946"/>
    <mergeCell ref="B1944:B1946"/>
    <mergeCell ref="A1947:A1949"/>
    <mergeCell ref="B1947:B1949"/>
    <mergeCell ref="A1938:A1940"/>
    <mergeCell ref="B1938:B1940"/>
    <mergeCell ref="A1941:A1943"/>
    <mergeCell ref="B1941:B1943"/>
    <mergeCell ref="A1932:A1934"/>
    <mergeCell ref="B1932:B1934"/>
    <mergeCell ref="A1935:A1937"/>
    <mergeCell ref="B1935:B1937"/>
    <mergeCell ref="A1986:A1988"/>
    <mergeCell ref="B1986:B1988"/>
    <mergeCell ref="A1989:A1991"/>
    <mergeCell ref="B1989:B1991"/>
    <mergeCell ref="A1980:A1982"/>
    <mergeCell ref="B1980:B1982"/>
    <mergeCell ref="A1983:A1985"/>
    <mergeCell ref="B1983:B1985"/>
    <mergeCell ref="A1974:A1976"/>
    <mergeCell ref="B1974:B1976"/>
    <mergeCell ref="A1977:A1979"/>
    <mergeCell ref="B1977:B1979"/>
    <mergeCell ref="A1968:A1970"/>
    <mergeCell ref="B1968:B1970"/>
    <mergeCell ref="A1971:A1973"/>
    <mergeCell ref="B1971:B1973"/>
    <mergeCell ref="A1962:A1964"/>
    <mergeCell ref="B1962:B1964"/>
    <mergeCell ref="A1965:A1967"/>
    <mergeCell ref="B1965:B1967"/>
    <mergeCell ref="A2016:A2018"/>
    <mergeCell ref="B2016:B2018"/>
    <mergeCell ref="A2019:A2021"/>
    <mergeCell ref="B2019:B2021"/>
    <mergeCell ref="A2010:A2012"/>
    <mergeCell ref="B2010:B2012"/>
    <mergeCell ref="A2013:A2015"/>
    <mergeCell ref="B2013:B2015"/>
    <mergeCell ref="A2004:A2006"/>
    <mergeCell ref="B2004:B2006"/>
    <mergeCell ref="A2007:A2009"/>
    <mergeCell ref="B2007:B2009"/>
    <mergeCell ref="A1998:A2000"/>
    <mergeCell ref="B1998:B2000"/>
    <mergeCell ref="A2001:A2003"/>
    <mergeCell ref="B2001:B2003"/>
    <mergeCell ref="A1992:A1994"/>
    <mergeCell ref="B1992:B1994"/>
    <mergeCell ref="A1995:A1997"/>
    <mergeCell ref="B1995:B1997"/>
    <mergeCell ref="A2046:A2048"/>
    <mergeCell ref="B2046:B2048"/>
    <mergeCell ref="A2049:A2051"/>
    <mergeCell ref="B2049:B2051"/>
    <mergeCell ref="A2040:A2042"/>
    <mergeCell ref="B2040:B2042"/>
    <mergeCell ref="A2043:A2045"/>
    <mergeCell ref="B2043:B2045"/>
    <mergeCell ref="A2034:A2036"/>
    <mergeCell ref="B2034:B2036"/>
    <mergeCell ref="A2037:A2039"/>
    <mergeCell ref="B2037:B2039"/>
    <mergeCell ref="A2028:A2030"/>
    <mergeCell ref="B2028:B2030"/>
    <mergeCell ref="A2031:A2033"/>
    <mergeCell ref="B2031:B2033"/>
    <mergeCell ref="A2022:A2024"/>
    <mergeCell ref="B2022:B2024"/>
    <mergeCell ref="A2025:A2027"/>
    <mergeCell ref="B2025:B2027"/>
    <mergeCell ref="A2073:A2074"/>
    <mergeCell ref="B2073:B2074"/>
    <mergeCell ref="A2076:A2077"/>
    <mergeCell ref="B2076:B2077"/>
    <mergeCell ref="A2082:A2083"/>
    <mergeCell ref="B2082:B2083"/>
    <mergeCell ref="A2064:A2065"/>
    <mergeCell ref="B2064:B2065"/>
    <mergeCell ref="A2067:A2068"/>
    <mergeCell ref="B2067:B2068"/>
    <mergeCell ref="A2070:A2071"/>
    <mergeCell ref="B2070:B2071"/>
    <mergeCell ref="A2052:A2054"/>
    <mergeCell ref="B2052:B2054"/>
    <mergeCell ref="A2056:A2057"/>
    <mergeCell ref="B2056:B2057"/>
    <mergeCell ref="A2058:A2059"/>
    <mergeCell ref="B2058:B2059"/>
    <mergeCell ref="A2101:A2102"/>
    <mergeCell ref="B2101:B2102"/>
    <mergeCell ref="A2103:A2105"/>
    <mergeCell ref="B2103:B2105"/>
    <mergeCell ref="A2106:A2108"/>
    <mergeCell ref="B2106:B2108"/>
    <mergeCell ref="A2093:A2095"/>
    <mergeCell ref="B2093:B2095"/>
    <mergeCell ref="A2096:A2098"/>
    <mergeCell ref="B2096:B2098"/>
    <mergeCell ref="A2099:A2100"/>
    <mergeCell ref="B2099:B2100"/>
    <mergeCell ref="A2085:A2086"/>
    <mergeCell ref="B2085:B2086"/>
    <mergeCell ref="A2087:A2089"/>
    <mergeCell ref="B2087:B2089"/>
    <mergeCell ref="A2090:A2092"/>
    <mergeCell ref="B2090:B2092"/>
    <mergeCell ref="A2125:A2127"/>
    <mergeCell ref="B2125:B2127"/>
    <mergeCell ref="A2128:A2130"/>
    <mergeCell ref="B2128:B2130"/>
    <mergeCell ref="A2131:A2132"/>
    <mergeCell ref="B2131:B2132"/>
    <mergeCell ref="A2116:A2118"/>
    <mergeCell ref="B2116:B2118"/>
    <mergeCell ref="A2119:A2121"/>
    <mergeCell ref="B2119:B2121"/>
    <mergeCell ref="A2122:A2124"/>
    <mergeCell ref="B2122:B2124"/>
    <mergeCell ref="A2109:A2111"/>
    <mergeCell ref="B2109:B2111"/>
    <mergeCell ref="A2112:A2113"/>
    <mergeCell ref="B2112:B2113"/>
    <mergeCell ref="A2114:A2115"/>
    <mergeCell ref="B2114:B2115"/>
    <mergeCell ref="A2147:A2149"/>
    <mergeCell ref="B2147:B2149"/>
    <mergeCell ref="A2150:A2151"/>
    <mergeCell ref="B2150:B2151"/>
    <mergeCell ref="A2152:A2154"/>
    <mergeCell ref="B2152:B2154"/>
    <mergeCell ref="A2141:A2142"/>
    <mergeCell ref="B2141:B2142"/>
    <mergeCell ref="A2143:A2144"/>
    <mergeCell ref="B2143:B2144"/>
    <mergeCell ref="A2145:A2146"/>
    <mergeCell ref="B2145:B2146"/>
    <mergeCell ref="A2133:A2134"/>
    <mergeCell ref="B2133:B2134"/>
    <mergeCell ref="A2135:A2137"/>
    <mergeCell ref="B2135:B2137"/>
    <mergeCell ref="A2138:A2140"/>
    <mergeCell ref="B2138:B2140"/>
    <mergeCell ref="A2172:A2174"/>
    <mergeCell ref="B2172:B2174"/>
    <mergeCell ref="A2175:A2176"/>
    <mergeCell ref="B2175:B2176"/>
    <mergeCell ref="A2177:A2178"/>
    <mergeCell ref="B2177:B2178"/>
    <mergeCell ref="A2164:A2166"/>
    <mergeCell ref="B2164:B2166"/>
    <mergeCell ref="A2167:A2168"/>
    <mergeCell ref="B2167:B2168"/>
    <mergeCell ref="A2169:A2171"/>
    <mergeCell ref="B2169:B2171"/>
    <mergeCell ref="A2155:A2157"/>
    <mergeCell ref="B2155:B2157"/>
    <mergeCell ref="A2158:A2160"/>
    <mergeCell ref="B2158:B2160"/>
    <mergeCell ref="A2161:A2163"/>
    <mergeCell ref="B2161:B2163"/>
    <mergeCell ref="A2195:A2197"/>
    <mergeCell ref="B2195:B2197"/>
    <mergeCell ref="A2198:A2200"/>
    <mergeCell ref="B2198:B2200"/>
    <mergeCell ref="A2201:A2203"/>
    <mergeCell ref="B2201:B2203"/>
    <mergeCell ref="A2187:A2189"/>
    <mergeCell ref="B2187:B2189"/>
    <mergeCell ref="A2190:A2191"/>
    <mergeCell ref="B2190:B2191"/>
    <mergeCell ref="A2192:A2194"/>
    <mergeCell ref="B2192:B2194"/>
    <mergeCell ref="A2179:A2181"/>
    <mergeCell ref="B2179:B2181"/>
    <mergeCell ref="A2182:A2184"/>
    <mergeCell ref="B2182:B2184"/>
    <mergeCell ref="A2185:A2186"/>
    <mergeCell ref="B2185:B2186"/>
    <mergeCell ref="A2220:A2221"/>
    <mergeCell ref="B2220:B2221"/>
    <mergeCell ref="A2222:A2223"/>
    <mergeCell ref="B2222:B2223"/>
    <mergeCell ref="A2224:A2225"/>
    <mergeCell ref="B2224:B2225"/>
    <mergeCell ref="A2213:A2215"/>
    <mergeCell ref="B2213:B2215"/>
    <mergeCell ref="A2216:A2217"/>
    <mergeCell ref="B2216:B2217"/>
    <mergeCell ref="A2218:A2219"/>
    <mergeCell ref="B2218:B2219"/>
    <mergeCell ref="A2204:A2206"/>
    <mergeCell ref="B2204:B2206"/>
    <mergeCell ref="A2207:A2209"/>
    <mergeCell ref="B2207:B2209"/>
    <mergeCell ref="A2210:A2212"/>
    <mergeCell ref="B2210:B2212"/>
    <mergeCell ref="A2241:A2243"/>
    <mergeCell ref="B2241:B2243"/>
    <mergeCell ref="A2244:A2245"/>
    <mergeCell ref="B2244:B2245"/>
    <mergeCell ref="A2246:A2247"/>
    <mergeCell ref="B2246:B2247"/>
    <mergeCell ref="A2234:A2235"/>
    <mergeCell ref="B2234:B2235"/>
    <mergeCell ref="A2236:A2237"/>
    <mergeCell ref="B2236:B2237"/>
    <mergeCell ref="A2238:A2240"/>
    <mergeCell ref="B2238:B2240"/>
    <mergeCell ref="A2226:A2228"/>
    <mergeCell ref="B2226:B2228"/>
    <mergeCell ref="A2229:A2230"/>
    <mergeCell ref="B2229:B2230"/>
    <mergeCell ref="A2231:A2233"/>
    <mergeCell ref="B2231:B2233"/>
    <mergeCell ref="A2266:A2268"/>
    <mergeCell ref="B2266:B2268"/>
    <mergeCell ref="A2269:A2270"/>
    <mergeCell ref="B2269:B2270"/>
    <mergeCell ref="A2271:A2272"/>
    <mergeCell ref="B2271:B2272"/>
    <mergeCell ref="A2257:A2259"/>
    <mergeCell ref="B2257:B2259"/>
    <mergeCell ref="A2260:A2262"/>
    <mergeCell ref="B2260:B2262"/>
    <mergeCell ref="A2263:A2265"/>
    <mergeCell ref="B2263:B2265"/>
    <mergeCell ref="A2248:A2250"/>
    <mergeCell ref="B2248:B2250"/>
    <mergeCell ref="A2251:A2253"/>
    <mergeCell ref="B2251:B2253"/>
    <mergeCell ref="A2254:A2256"/>
    <mergeCell ref="B2254:B2256"/>
    <mergeCell ref="A2291:A2293"/>
    <mergeCell ref="B2291:B2293"/>
    <mergeCell ref="A2294:A2296"/>
    <mergeCell ref="B2294:B2296"/>
    <mergeCell ref="A2297:A2299"/>
    <mergeCell ref="B2297:B2299"/>
    <mergeCell ref="A2282:A2284"/>
    <mergeCell ref="B2282:B2284"/>
    <mergeCell ref="A2285:A2287"/>
    <mergeCell ref="B2285:B2287"/>
    <mergeCell ref="A2288:A2290"/>
    <mergeCell ref="B2288:B2290"/>
    <mergeCell ref="A2273:A2275"/>
    <mergeCell ref="B2273:B2275"/>
    <mergeCell ref="A2276:A2278"/>
    <mergeCell ref="B2276:B2278"/>
    <mergeCell ref="A2279:A2281"/>
    <mergeCell ref="B2279:B2281"/>
    <mergeCell ref="A2317:A2319"/>
    <mergeCell ref="B2317:B2319"/>
    <mergeCell ref="A2320:A2322"/>
    <mergeCell ref="B2320:B2322"/>
    <mergeCell ref="A2323:A2325"/>
    <mergeCell ref="B2323:B2325"/>
    <mergeCell ref="A2309:A2311"/>
    <mergeCell ref="B2309:B2311"/>
    <mergeCell ref="A2312:A2314"/>
    <mergeCell ref="B2312:B2314"/>
    <mergeCell ref="A2315:A2316"/>
    <mergeCell ref="B2315:B2316"/>
    <mergeCell ref="A2300:A2302"/>
    <mergeCell ref="B2300:B2302"/>
    <mergeCell ref="A2303:A2305"/>
    <mergeCell ref="B2303:B2305"/>
    <mergeCell ref="A2306:A2308"/>
    <mergeCell ref="B2306:B2308"/>
    <mergeCell ref="A2344:A2346"/>
    <mergeCell ref="B2344:B2346"/>
    <mergeCell ref="A2347:A2349"/>
    <mergeCell ref="B2347:B2349"/>
    <mergeCell ref="A2350:A2352"/>
    <mergeCell ref="B2350:B2352"/>
    <mergeCell ref="A2335:A2337"/>
    <mergeCell ref="B2335:B2337"/>
    <mergeCell ref="A2338:A2340"/>
    <mergeCell ref="B2338:B2340"/>
    <mergeCell ref="A2341:A2343"/>
    <mergeCell ref="B2341:B2343"/>
    <mergeCell ref="A2326:A2328"/>
    <mergeCell ref="B2326:B2328"/>
    <mergeCell ref="A2329:A2331"/>
    <mergeCell ref="B2329:B2331"/>
    <mergeCell ref="A2332:A2334"/>
    <mergeCell ref="B2332:B2334"/>
    <mergeCell ref="A2371:A2373"/>
    <mergeCell ref="B2371:B2373"/>
    <mergeCell ref="A2374:A2376"/>
    <mergeCell ref="B2374:B2376"/>
    <mergeCell ref="A2377:A2379"/>
    <mergeCell ref="B2377:B2379"/>
    <mergeCell ref="A2362:A2364"/>
    <mergeCell ref="B2362:B2364"/>
    <mergeCell ref="A2365:A2367"/>
    <mergeCell ref="B2365:B2367"/>
    <mergeCell ref="A2368:A2370"/>
    <mergeCell ref="B2368:B2370"/>
    <mergeCell ref="A2353:A2355"/>
    <mergeCell ref="B2353:B2355"/>
    <mergeCell ref="A2356:A2358"/>
    <mergeCell ref="B2356:B2358"/>
    <mergeCell ref="A2359:A2361"/>
    <mergeCell ref="B2359:B2361"/>
    <mergeCell ref="A2399:A2401"/>
    <mergeCell ref="B2399:B2401"/>
    <mergeCell ref="A2402:A2404"/>
    <mergeCell ref="B2402:B2404"/>
    <mergeCell ref="A2405:A2407"/>
    <mergeCell ref="B2405:B2407"/>
    <mergeCell ref="A2389:A2391"/>
    <mergeCell ref="B2389:B2391"/>
    <mergeCell ref="A2392:A2394"/>
    <mergeCell ref="B2392:B2394"/>
    <mergeCell ref="A2396:A2398"/>
    <mergeCell ref="B2396:B2398"/>
    <mergeCell ref="A2380:A2382"/>
    <mergeCell ref="B2380:B2382"/>
    <mergeCell ref="A2383:A2385"/>
    <mergeCell ref="B2383:B2385"/>
    <mergeCell ref="A2386:A2388"/>
    <mergeCell ref="B2386:B2388"/>
    <mergeCell ref="B2444:B2445"/>
    <mergeCell ref="A2446:A2447"/>
    <mergeCell ref="B2446:B2447"/>
    <mergeCell ref="A2435:A2436"/>
    <mergeCell ref="B2435:B2436"/>
    <mergeCell ref="A2437:A2439"/>
    <mergeCell ref="B2437:B2439"/>
    <mergeCell ref="A2440:A2441"/>
    <mergeCell ref="B2440:B2441"/>
    <mergeCell ref="A2417:A2419"/>
    <mergeCell ref="B2417:B2419"/>
    <mergeCell ref="A2423:A2425"/>
    <mergeCell ref="B2423:B2425"/>
    <mergeCell ref="A2426:A2428"/>
    <mergeCell ref="B2426:B2428"/>
    <mergeCell ref="A2408:A2410"/>
    <mergeCell ref="B2408:B2410"/>
    <mergeCell ref="A2411:A2413"/>
    <mergeCell ref="B2411:B2413"/>
    <mergeCell ref="A2414:A2416"/>
    <mergeCell ref="B2414:B2416"/>
    <mergeCell ref="C1:F1"/>
    <mergeCell ref="A2482:A2483"/>
    <mergeCell ref="B2482:B2483"/>
    <mergeCell ref="E3:E4"/>
    <mergeCell ref="C3:C4"/>
    <mergeCell ref="A2474:A2475"/>
    <mergeCell ref="B2474:B2475"/>
    <mergeCell ref="A2476:A2477"/>
    <mergeCell ref="B2476:B2477"/>
    <mergeCell ref="A2478:A2480"/>
    <mergeCell ref="B2478:B2480"/>
    <mergeCell ref="A2465:A2467"/>
    <mergeCell ref="B2465:B2467"/>
    <mergeCell ref="A2468:A2469"/>
    <mergeCell ref="B2468:B2469"/>
    <mergeCell ref="A2470:A2471"/>
    <mergeCell ref="B2470:B2471"/>
    <mergeCell ref="A2456:A2457"/>
    <mergeCell ref="B2456:B2457"/>
    <mergeCell ref="A2458:A2459"/>
    <mergeCell ref="B2458:B2459"/>
    <mergeCell ref="A2462:A2463"/>
    <mergeCell ref="B2462:B2463"/>
    <mergeCell ref="A2448:A2449"/>
    <mergeCell ref="B2448:B2449"/>
    <mergeCell ref="A2450:A2452"/>
    <mergeCell ref="B2450:B2452"/>
    <mergeCell ref="A2453:A2455"/>
    <mergeCell ref="B2453:B2455"/>
    <mergeCell ref="A2442:A2443"/>
    <mergeCell ref="B2442:B2443"/>
    <mergeCell ref="A2444:A2445"/>
  </mergeCells>
  <pageMargins left="0.70866141732283472" right="0.5118110236220472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8"/>
  <sheetViews>
    <sheetView zoomScaleNormal="100" workbookViewId="0">
      <selection sqref="A1:F3"/>
    </sheetView>
  </sheetViews>
  <sheetFormatPr defaultRowHeight="15" x14ac:dyDescent="0.2"/>
  <cols>
    <col min="1" max="1" width="18.85546875" style="136" customWidth="1"/>
    <col min="2" max="2" width="28.85546875" style="136" customWidth="1"/>
    <col min="3" max="3" width="10.42578125" style="136" customWidth="1"/>
    <col min="4" max="4" width="11.42578125" style="136" customWidth="1"/>
    <col min="5" max="5" width="9.140625" style="136"/>
    <col min="6" max="6" width="10.28515625" style="60" customWidth="1"/>
    <col min="7" max="9" width="8" style="60" customWidth="1"/>
    <col min="10" max="10" width="9.140625" style="60"/>
    <col min="11" max="11" width="9.140625" style="103"/>
    <col min="12" max="242" width="9.140625" style="95"/>
    <col min="243" max="243" width="14.7109375" style="95" customWidth="1"/>
    <col min="244" max="244" width="38" style="95" customWidth="1"/>
    <col min="245" max="245" width="11.42578125" style="95" customWidth="1"/>
    <col min="246" max="246" width="10.42578125" style="95" customWidth="1"/>
    <col min="247" max="247" width="11.42578125" style="95" customWidth="1"/>
    <col min="248" max="248" width="9.140625" style="95"/>
    <col min="249" max="249" width="17.28515625" style="95" customWidth="1"/>
    <col min="250" max="250" width="11.28515625" style="95" customWidth="1"/>
    <col min="251" max="251" width="11.140625" style="95" customWidth="1"/>
    <col min="252" max="252" width="8.140625" style="95" customWidth="1"/>
    <col min="253" max="253" width="12" style="95" customWidth="1"/>
    <col min="254" max="254" width="11" style="95" customWidth="1"/>
    <col min="255" max="255" width="11.7109375" style="95" customWidth="1"/>
    <col min="256" max="256" width="8.5703125" style="95" customWidth="1"/>
    <col min="257" max="257" width="10.85546875" style="95" customWidth="1"/>
    <col min="258" max="258" width="12.85546875" style="95" customWidth="1"/>
    <col min="259" max="259" width="12.140625" style="95" customWidth="1"/>
    <col min="260" max="260" width="11.28515625" style="95" customWidth="1"/>
    <col min="261" max="498" width="9.140625" style="95"/>
    <col min="499" max="499" width="14.7109375" style="95" customWidth="1"/>
    <col min="500" max="500" width="38" style="95" customWidth="1"/>
    <col min="501" max="501" width="11.42578125" style="95" customWidth="1"/>
    <col min="502" max="502" width="10.42578125" style="95" customWidth="1"/>
    <col min="503" max="503" width="11.42578125" style="95" customWidth="1"/>
    <col min="504" max="504" width="9.140625" style="95"/>
    <col min="505" max="505" width="17.28515625" style="95" customWidth="1"/>
    <col min="506" max="506" width="11.28515625" style="95" customWidth="1"/>
    <col min="507" max="507" width="11.140625" style="95" customWidth="1"/>
    <col min="508" max="508" width="8.140625" style="95" customWidth="1"/>
    <col min="509" max="509" width="12" style="95" customWidth="1"/>
    <col min="510" max="510" width="11" style="95" customWidth="1"/>
    <col min="511" max="511" width="11.7109375" style="95" customWidth="1"/>
    <col min="512" max="512" width="8.5703125" style="95" customWidth="1"/>
    <col min="513" max="513" width="10.85546875" style="95" customWidth="1"/>
    <col min="514" max="514" width="12.85546875" style="95" customWidth="1"/>
    <col min="515" max="515" width="12.140625" style="95" customWidth="1"/>
    <col min="516" max="516" width="11.28515625" style="95" customWidth="1"/>
    <col min="517" max="754" width="9.140625" style="95"/>
    <col min="755" max="755" width="14.7109375" style="95" customWidth="1"/>
    <col min="756" max="756" width="38" style="95" customWidth="1"/>
    <col min="757" max="757" width="11.42578125" style="95" customWidth="1"/>
    <col min="758" max="758" width="10.42578125" style="95" customWidth="1"/>
    <col min="759" max="759" width="11.42578125" style="95" customWidth="1"/>
    <col min="760" max="760" width="9.140625" style="95"/>
    <col min="761" max="761" width="17.28515625" style="95" customWidth="1"/>
    <col min="762" max="762" width="11.28515625" style="95" customWidth="1"/>
    <col min="763" max="763" width="11.140625" style="95" customWidth="1"/>
    <col min="764" max="764" width="8.140625" style="95" customWidth="1"/>
    <col min="765" max="765" width="12" style="95" customWidth="1"/>
    <col min="766" max="766" width="11" style="95" customWidth="1"/>
    <col min="767" max="767" width="11.7109375" style="95" customWidth="1"/>
    <col min="768" max="768" width="8.5703125" style="95" customWidth="1"/>
    <col min="769" max="769" width="10.85546875" style="95" customWidth="1"/>
    <col min="770" max="770" width="12.85546875" style="95" customWidth="1"/>
    <col min="771" max="771" width="12.140625" style="95" customWidth="1"/>
    <col min="772" max="772" width="11.28515625" style="95" customWidth="1"/>
    <col min="773" max="1010" width="9.140625" style="95"/>
    <col min="1011" max="1011" width="14.7109375" style="95" customWidth="1"/>
    <col min="1012" max="1012" width="38" style="95" customWidth="1"/>
    <col min="1013" max="1013" width="11.42578125" style="95" customWidth="1"/>
    <col min="1014" max="1014" width="10.42578125" style="95" customWidth="1"/>
    <col min="1015" max="1015" width="11.42578125" style="95" customWidth="1"/>
    <col min="1016" max="1016" width="9.140625" style="95"/>
    <col min="1017" max="1017" width="17.28515625" style="95" customWidth="1"/>
    <col min="1018" max="1018" width="11.28515625" style="95" customWidth="1"/>
    <col min="1019" max="1019" width="11.140625" style="95" customWidth="1"/>
    <col min="1020" max="1020" width="8.140625" style="95" customWidth="1"/>
    <col min="1021" max="1021" width="12" style="95" customWidth="1"/>
    <col min="1022" max="1022" width="11" style="95" customWidth="1"/>
    <col min="1023" max="1023" width="11.7109375" style="95" customWidth="1"/>
    <col min="1024" max="1024" width="8.5703125" style="95" customWidth="1"/>
    <col min="1025" max="1025" width="10.85546875" style="95" customWidth="1"/>
    <col min="1026" max="1026" width="12.85546875" style="95" customWidth="1"/>
    <col min="1027" max="1027" width="12.140625" style="95" customWidth="1"/>
    <col min="1028" max="1028" width="11.28515625" style="95" customWidth="1"/>
    <col min="1029" max="1266" width="9.140625" style="95"/>
    <col min="1267" max="1267" width="14.7109375" style="95" customWidth="1"/>
    <col min="1268" max="1268" width="38" style="95" customWidth="1"/>
    <col min="1269" max="1269" width="11.42578125" style="95" customWidth="1"/>
    <col min="1270" max="1270" width="10.42578125" style="95" customWidth="1"/>
    <col min="1271" max="1271" width="11.42578125" style="95" customWidth="1"/>
    <col min="1272" max="1272" width="9.140625" style="95"/>
    <col min="1273" max="1273" width="17.28515625" style="95" customWidth="1"/>
    <col min="1274" max="1274" width="11.28515625" style="95" customWidth="1"/>
    <col min="1275" max="1275" width="11.140625" style="95" customWidth="1"/>
    <col min="1276" max="1276" width="8.140625" style="95" customWidth="1"/>
    <col min="1277" max="1277" width="12" style="95" customWidth="1"/>
    <col min="1278" max="1278" width="11" style="95" customWidth="1"/>
    <col min="1279" max="1279" width="11.7109375" style="95" customWidth="1"/>
    <col min="1280" max="1280" width="8.5703125" style="95" customWidth="1"/>
    <col min="1281" max="1281" width="10.85546875" style="95" customWidth="1"/>
    <col min="1282" max="1282" width="12.85546875" style="95" customWidth="1"/>
    <col min="1283" max="1283" width="12.140625" style="95" customWidth="1"/>
    <col min="1284" max="1284" width="11.28515625" style="95" customWidth="1"/>
    <col min="1285" max="1522" width="9.140625" style="95"/>
    <col min="1523" max="1523" width="14.7109375" style="95" customWidth="1"/>
    <col min="1524" max="1524" width="38" style="95" customWidth="1"/>
    <col min="1525" max="1525" width="11.42578125" style="95" customWidth="1"/>
    <col min="1526" max="1526" width="10.42578125" style="95" customWidth="1"/>
    <col min="1527" max="1527" width="11.42578125" style="95" customWidth="1"/>
    <col min="1528" max="1528" width="9.140625" style="95"/>
    <col min="1529" max="1529" width="17.28515625" style="95" customWidth="1"/>
    <col min="1530" max="1530" width="11.28515625" style="95" customWidth="1"/>
    <col min="1531" max="1531" width="11.140625" style="95" customWidth="1"/>
    <col min="1532" max="1532" width="8.140625" style="95" customWidth="1"/>
    <col min="1533" max="1533" width="12" style="95" customWidth="1"/>
    <col min="1534" max="1534" width="11" style="95" customWidth="1"/>
    <col min="1535" max="1535" width="11.7109375" style="95" customWidth="1"/>
    <col min="1536" max="1536" width="8.5703125" style="95" customWidth="1"/>
    <col min="1537" max="1537" width="10.85546875" style="95" customWidth="1"/>
    <col min="1538" max="1538" width="12.85546875" style="95" customWidth="1"/>
    <col min="1539" max="1539" width="12.140625" style="95" customWidth="1"/>
    <col min="1540" max="1540" width="11.28515625" style="95" customWidth="1"/>
    <col min="1541" max="1778" width="9.140625" style="95"/>
    <col min="1779" max="1779" width="14.7109375" style="95" customWidth="1"/>
    <col min="1780" max="1780" width="38" style="95" customWidth="1"/>
    <col min="1781" max="1781" width="11.42578125" style="95" customWidth="1"/>
    <col min="1782" max="1782" width="10.42578125" style="95" customWidth="1"/>
    <col min="1783" max="1783" width="11.42578125" style="95" customWidth="1"/>
    <col min="1784" max="1784" width="9.140625" style="95"/>
    <col min="1785" max="1785" width="17.28515625" style="95" customWidth="1"/>
    <col min="1786" max="1786" width="11.28515625" style="95" customWidth="1"/>
    <col min="1787" max="1787" width="11.140625" style="95" customWidth="1"/>
    <col min="1788" max="1788" width="8.140625" style="95" customWidth="1"/>
    <col min="1789" max="1789" width="12" style="95" customWidth="1"/>
    <col min="1790" max="1790" width="11" style="95" customWidth="1"/>
    <col min="1791" max="1791" width="11.7109375" style="95" customWidth="1"/>
    <col min="1792" max="1792" width="8.5703125" style="95" customWidth="1"/>
    <col min="1793" max="1793" width="10.85546875" style="95" customWidth="1"/>
    <col min="1794" max="1794" width="12.85546875" style="95" customWidth="1"/>
    <col min="1795" max="1795" width="12.140625" style="95" customWidth="1"/>
    <col min="1796" max="1796" width="11.28515625" style="95" customWidth="1"/>
    <col min="1797" max="2034" width="9.140625" style="95"/>
    <col min="2035" max="2035" width="14.7109375" style="95" customWidth="1"/>
    <col min="2036" max="2036" width="38" style="95" customWidth="1"/>
    <col min="2037" max="2037" width="11.42578125" style="95" customWidth="1"/>
    <col min="2038" max="2038" width="10.42578125" style="95" customWidth="1"/>
    <col min="2039" max="2039" width="11.42578125" style="95" customWidth="1"/>
    <col min="2040" max="2040" width="9.140625" style="95"/>
    <col min="2041" max="2041" width="17.28515625" style="95" customWidth="1"/>
    <col min="2042" max="2042" width="11.28515625" style="95" customWidth="1"/>
    <col min="2043" max="2043" width="11.140625" style="95" customWidth="1"/>
    <col min="2044" max="2044" width="8.140625" style="95" customWidth="1"/>
    <col min="2045" max="2045" width="12" style="95" customWidth="1"/>
    <col min="2046" max="2046" width="11" style="95" customWidth="1"/>
    <col min="2047" max="2047" width="11.7109375" style="95" customWidth="1"/>
    <col min="2048" max="2048" width="8.5703125" style="95" customWidth="1"/>
    <col min="2049" max="2049" width="10.85546875" style="95" customWidth="1"/>
    <col min="2050" max="2050" width="12.85546875" style="95" customWidth="1"/>
    <col min="2051" max="2051" width="12.140625" style="95" customWidth="1"/>
    <col min="2052" max="2052" width="11.28515625" style="95" customWidth="1"/>
    <col min="2053" max="2290" width="9.140625" style="95"/>
    <col min="2291" max="2291" width="14.7109375" style="95" customWidth="1"/>
    <col min="2292" max="2292" width="38" style="95" customWidth="1"/>
    <col min="2293" max="2293" width="11.42578125" style="95" customWidth="1"/>
    <col min="2294" max="2294" width="10.42578125" style="95" customWidth="1"/>
    <col min="2295" max="2295" width="11.42578125" style="95" customWidth="1"/>
    <col min="2296" max="2296" width="9.140625" style="95"/>
    <col min="2297" max="2297" width="17.28515625" style="95" customWidth="1"/>
    <col min="2298" max="2298" width="11.28515625" style="95" customWidth="1"/>
    <col min="2299" max="2299" width="11.140625" style="95" customWidth="1"/>
    <col min="2300" max="2300" width="8.140625" style="95" customWidth="1"/>
    <col min="2301" max="2301" width="12" style="95" customWidth="1"/>
    <col min="2302" max="2302" width="11" style="95" customWidth="1"/>
    <col min="2303" max="2303" width="11.7109375" style="95" customWidth="1"/>
    <col min="2304" max="2304" width="8.5703125" style="95" customWidth="1"/>
    <col min="2305" max="2305" width="10.85546875" style="95" customWidth="1"/>
    <col min="2306" max="2306" width="12.85546875" style="95" customWidth="1"/>
    <col min="2307" max="2307" width="12.140625" style="95" customWidth="1"/>
    <col min="2308" max="2308" width="11.28515625" style="95" customWidth="1"/>
    <col min="2309" max="2546" width="9.140625" style="95"/>
    <col min="2547" max="2547" width="14.7109375" style="95" customWidth="1"/>
    <col min="2548" max="2548" width="38" style="95" customWidth="1"/>
    <col min="2549" max="2549" width="11.42578125" style="95" customWidth="1"/>
    <col min="2550" max="2550" width="10.42578125" style="95" customWidth="1"/>
    <col min="2551" max="2551" width="11.42578125" style="95" customWidth="1"/>
    <col min="2552" max="2552" width="9.140625" style="95"/>
    <col min="2553" max="2553" width="17.28515625" style="95" customWidth="1"/>
    <col min="2554" max="2554" width="11.28515625" style="95" customWidth="1"/>
    <col min="2555" max="2555" width="11.140625" style="95" customWidth="1"/>
    <col min="2556" max="2556" width="8.140625" style="95" customWidth="1"/>
    <col min="2557" max="2557" width="12" style="95" customWidth="1"/>
    <col min="2558" max="2558" width="11" style="95" customWidth="1"/>
    <col min="2559" max="2559" width="11.7109375" style="95" customWidth="1"/>
    <col min="2560" max="2560" width="8.5703125" style="95" customWidth="1"/>
    <col min="2561" max="2561" width="10.85546875" style="95" customWidth="1"/>
    <col min="2562" max="2562" width="12.85546875" style="95" customWidth="1"/>
    <col min="2563" max="2563" width="12.140625" style="95" customWidth="1"/>
    <col min="2564" max="2564" width="11.28515625" style="95" customWidth="1"/>
    <col min="2565" max="2802" width="9.140625" style="95"/>
    <col min="2803" max="2803" width="14.7109375" style="95" customWidth="1"/>
    <col min="2804" max="2804" width="38" style="95" customWidth="1"/>
    <col min="2805" max="2805" width="11.42578125" style="95" customWidth="1"/>
    <col min="2806" max="2806" width="10.42578125" style="95" customWidth="1"/>
    <col min="2807" max="2807" width="11.42578125" style="95" customWidth="1"/>
    <col min="2808" max="2808" width="9.140625" style="95"/>
    <col min="2809" max="2809" width="17.28515625" style="95" customWidth="1"/>
    <col min="2810" max="2810" width="11.28515625" style="95" customWidth="1"/>
    <col min="2811" max="2811" width="11.140625" style="95" customWidth="1"/>
    <col min="2812" max="2812" width="8.140625" style="95" customWidth="1"/>
    <col min="2813" max="2813" width="12" style="95" customWidth="1"/>
    <col min="2814" max="2814" width="11" style="95" customWidth="1"/>
    <col min="2815" max="2815" width="11.7109375" style="95" customWidth="1"/>
    <col min="2816" max="2816" width="8.5703125" style="95" customWidth="1"/>
    <col min="2817" max="2817" width="10.85546875" style="95" customWidth="1"/>
    <col min="2818" max="2818" width="12.85546875" style="95" customWidth="1"/>
    <col min="2819" max="2819" width="12.140625" style="95" customWidth="1"/>
    <col min="2820" max="2820" width="11.28515625" style="95" customWidth="1"/>
    <col min="2821" max="3058" width="9.140625" style="95"/>
    <col min="3059" max="3059" width="14.7109375" style="95" customWidth="1"/>
    <col min="3060" max="3060" width="38" style="95" customWidth="1"/>
    <col min="3061" max="3061" width="11.42578125" style="95" customWidth="1"/>
    <col min="3062" max="3062" width="10.42578125" style="95" customWidth="1"/>
    <col min="3063" max="3063" width="11.42578125" style="95" customWidth="1"/>
    <col min="3064" max="3064" width="9.140625" style="95"/>
    <col min="3065" max="3065" width="17.28515625" style="95" customWidth="1"/>
    <col min="3066" max="3066" width="11.28515625" style="95" customWidth="1"/>
    <col min="3067" max="3067" width="11.140625" style="95" customWidth="1"/>
    <col min="3068" max="3068" width="8.140625" style="95" customWidth="1"/>
    <col min="3069" max="3069" width="12" style="95" customWidth="1"/>
    <col min="3070" max="3070" width="11" style="95" customWidth="1"/>
    <col min="3071" max="3071" width="11.7109375" style="95" customWidth="1"/>
    <col min="3072" max="3072" width="8.5703125" style="95" customWidth="1"/>
    <col min="3073" max="3073" width="10.85546875" style="95" customWidth="1"/>
    <col min="3074" max="3074" width="12.85546875" style="95" customWidth="1"/>
    <col min="3075" max="3075" width="12.140625" style="95" customWidth="1"/>
    <col min="3076" max="3076" width="11.28515625" style="95" customWidth="1"/>
    <col min="3077" max="3314" width="9.140625" style="95"/>
    <col min="3315" max="3315" width="14.7109375" style="95" customWidth="1"/>
    <col min="3316" max="3316" width="38" style="95" customWidth="1"/>
    <col min="3317" max="3317" width="11.42578125" style="95" customWidth="1"/>
    <col min="3318" max="3318" width="10.42578125" style="95" customWidth="1"/>
    <col min="3319" max="3319" width="11.42578125" style="95" customWidth="1"/>
    <col min="3320" max="3320" width="9.140625" style="95"/>
    <col min="3321" max="3321" width="17.28515625" style="95" customWidth="1"/>
    <col min="3322" max="3322" width="11.28515625" style="95" customWidth="1"/>
    <col min="3323" max="3323" width="11.140625" style="95" customWidth="1"/>
    <col min="3324" max="3324" width="8.140625" style="95" customWidth="1"/>
    <col min="3325" max="3325" width="12" style="95" customWidth="1"/>
    <col min="3326" max="3326" width="11" style="95" customWidth="1"/>
    <col min="3327" max="3327" width="11.7109375" style="95" customWidth="1"/>
    <col min="3328" max="3328" width="8.5703125" style="95" customWidth="1"/>
    <col min="3329" max="3329" width="10.85546875" style="95" customWidth="1"/>
    <col min="3330" max="3330" width="12.85546875" style="95" customWidth="1"/>
    <col min="3331" max="3331" width="12.140625" style="95" customWidth="1"/>
    <col min="3332" max="3332" width="11.28515625" style="95" customWidth="1"/>
    <col min="3333" max="3570" width="9.140625" style="95"/>
    <col min="3571" max="3571" width="14.7109375" style="95" customWidth="1"/>
    <col min="3572" max="3572" width="38" style="95" customWidth="1"/>
    <col min="3573" max="3573" width="11.42578125" style="95" customWidth="1"/>
    <col min="3574" max="3574" width="10.42578125" style="95" customWidth="1"/>
    <col min="3575" max="3575" width="11.42578125" style="95" customWidth="1"/>
    <col min="3576" max="3576" width="9.140625" style="95"/>
    <col min="3577" max="3577" width="17.28515625" style="95" customWidth="1"/>
    <col min="3578" max="3578" width="11.28515625" style="95" customWidth="1"/>
    <col min="3579" max="3579" width="11.140625" style="95" customWidth="1"/>
    <col min="3580" max="3580" width="8.140625" style="95" customWidth="1"/>
    <col min="3581" max="3581" width="12" style="95" customWidth="1"/>
    <col min="3582" max="3582" width="11" style="95" customWidth="1"/>
    <col min="3583" max="3583" width="11.7109375" style="95" customWidth="1"/>
    <col min="3584" max="3584" width="8.5703125" style="95" customWidth="1"/>
    <col min="3585" max="3585" width="10.85546875" style="95" customWidth="1"/>
    <col min="3586" max="3586" width="12.85546875" style="95" customWidth="1"/>
    <col min="3587" max="3587" width="12.140625" style="95" customWidth="1"/>
    <col min="3588" max="3588" width="11.28515625" style="95" customWidth="1"/>
    <col min="3589" max="3826" width="9.140625" style="95"/>
    <col min="3827" max="3827" width="14.7109375" style="95" customWidth="1"/>
    <col min="3828" max="3828" width="38" style="95" customWidth="1"/>
    <col min="3829" max="3829" width="11.42578125" style="95" customWidth="1"/>
    <col min="3830" max="3830" width="10.42578125" style="95" customWidth="1"/>
    <col min="3831" max="3831" width="11.42578125" style="95" customWidth="1"/>
    <col min="3832" max="3832" width="9.140625" style="95"/>
    <col min="3833" max="3833" width="17.28515625" style="95" customWidth="1"/>
    <col min="3834" max="3834" width="11.28515625" style="95" customWidth="1"/>
    <col min="3835" max="3835" width="11.140625" style="95" customWidth="1"/>
    <col min="3836" max="3836" width="8.140625" style="95" customWidth="1"/>
    <col min="3837" max="3837" width="12" style="95" customWidth="1"/>
    <col min="3838" max="3838" width="11" style="95" customWidth="1"/>
    <col min="3839" max="3839" width="11.7109375" style="95" customWidth="1"/>
    <col min="3840" max="3840" width="8.5703125" style="95" customWidth="1"/>
    <col min="3841" max="3841" width="10.85546875" style="95" customWidth="1"/>
    <col min="3842" max="3842" width="12.85546875" style="95" customWidth="1"/>
    <col min="3843" max="3843" width="12.140625" style="95" customWidth="1"/>
    <col min="3844" max="3844" width="11.28515625" style="95" customWidth="1"/>
    <col min="3845" max="4082" width="9.140625" style="95"/>
    <col min="4083" max="4083" width="14.7109375" style="95" customWidth="1"/>
    <col min="4084" max="4084" width="38" style="95" customWidth="1"/>
    <col min="4085" max="4085" width="11.42578125" style="95" customWidth="1"/>
    <col min="4086" max="4086" width="10.42578125" style="95" customWidth="1"/>
    <col min="4087" max="4087" width="11.42578125" style="95" customWidth="1"/>
    <col min="4088" max="4088" width="9.140625" style="95"/>
    <col min="4089" max="4089" width="17.28515625" style="95" customWidth="1"/>
    <col min="4090" max="4090" width="11.28515625" style="95" customWidth="1"/>
    <col min="4091" max="4091" width="11.140625" style="95" customWidth="1"/>
    <col min="4092" max="4092" width="8.140625" style="95" customWidth="1"/>
    <col min="4093" max="4093" width="12" style="95" customWidth="1"/>
    <col min="4094" max="4094" width="11" style="95" customWidth="1"/>
    <col min="4095" max="4095" width="11.7109375" style="95" customWidth="1"/>
    <col min="4096" max="4096" width="8.5703125" style="95" customWidth="1"/>
    <col min="4097" max="4097" width="10.85546875" style="95" customWidth="1"/>
    <col min="4098" max="4098" width="12.85546875" style="95" customWidth="1"/>
    <col min="4099" max="4099" width="12.140625" style="95" customWidth="1"/>
    <col min="4100" max="4100" width="11.28515625" style="95" customWidth="1"/>
    <col min="4101" max="4338" width="9.140625" style="95"/>
    <col min="4339" max="4339" width="14.7109375" style="95" customWidth="1"/>
    <col min="4340" max="4340" width="38" style="95" customWidth="1"/>
    <col min="4341" max="4341" width="11.42578125" style="95" customWidth="1"/>
    <col min="4342" max="4342" width="10.42578125" style="95" customWidth="1"/>
    <col min="4343" max="4343" width="11.42578125" style="95" customWidth="1"/>
    <col min="4344" max="4344" width="9.140625" style="95"/>
    <col min="4345" max="4345" width="17.28515625" style="95" customWidth="1"/>
    <col min="4346" max="4346" width="11.28515625" style="95" customWidth="1"/>
    <col min="4347" max="4347" width="11.140625" style="95" customWidth="1"/>
    <col min="4348" max="4348" width="8.140625" style="95" customWidth="1"/>
    <col min="4349" max="4349" width="12" style="95" customWidth="1"/>
    <col min="4350" max="4350" width="11" style="95" customWidth="1"/>
    <col min="4351" max="4351" width="11.7109375" style="95" customWidth="1"/>
    <col min="4352" max="4352" width="8.5703125" style="95" customWidth="1"/>
    <col min="4353" max="4353" width="10.85546875" style="95" customWidth="1"/>
    <col min="4354" max="4354" width="12.85546875" style="95" customWidth="1"/>
    <col min="4355" max="4355" width="12.140625" style="95" customWidth="1"/>
    <col min="4356" max="4356" width="11.28515625" style="95" customWidth="1"/>
    <col min="4357" max="4594" width="9.140625" style="95"/>
    <col min="4595" max="4595" width="14.7109375" style="95" customWidth="1"/>
    <col min="4596" max="4596" width="38" style="95" customWidth="1"/>
    <col min="4597" max="4597" width="11.42578125" style="95" customWidth="1"/>
    <col min="4598" max="4598" width="10.42578125" style="95" customWidth="1"/>
    <col min="4599" max="4599" width="11.42578125" style="95" customWidth="1"/>
    <col min="4600" max="4600" width="9.140625" style="95"/>
    <col min="4601" max="4601" width="17.28515625" style="95" customWidth="1"/>
    <col min="4602" max="4602" width="11.28515625" style="95" customWidth="1"/>
    <col min="4603" max="4603" width="11.140625" style="95" customWidth="1"/>
    <col min="4604" max="4604" width="8.140625" style="95" customWidth="1"/>
    <col min="4605" max="4605" width="12" style="95" customWidth="1"/>
    <col min="4606" max="4606" width="11" style="95" customWidth="1"/>
    <col min="4607" max="4607" width="11.7109375" style="95" customWidth="1"/>
    <col min="4608" max="4608" width="8.5703125" style="95" customWidth="1"/>
    <col min="4609" max="4609" width="10.85546875" style="95" customWidth="1"/>
    <col min="4610" max="4610" width="12.85546875" style="95" customWidth="1"/>
    <col min="4611" max="4611" width="12.140625" style="95" customWidth="1"/>
    <col min="4612" max="4612" width="11.28515625" style="95" customWidth="1"/>
    <col min="4613" max="4850" width="9.140625" style="95"/>
    <col min="4851" max="4851" width="14.7109375" style="95" customWidth="1"/>
    <col min="4852" max="4852" width="38" style="95" customWidth="1"/>
    <col min="4853" max="4853" width="11.42578125" style="95" customWidth="1"/>
    <col min="4854" max="4854" width="10.42578125" style="95" customWidth="1"/>
    <col min="4855" max="4855" width="11.42578125" style="95" customWidth="1"/>
    <col min="4856" max="4856" width="9.140625" style="95"/>
    <col min="4857" max="4857" width="17.28515625" style="95" customWidth="1"/>
    <col min="4858" max="4858" width="11.28515625" style="95" customWidth="1"/>
    <col min="4859" max="4859" width="11.140625" style="95" customWidth="1"/>
    <col min="4860" max="4860" width="8.140625" style="95" customWidth="1"/>
    <col min="4861" max="4861" width="12" style="95" customWidth="1"/>
    <col min="4862" max="4862" width="11" style="95" customWidth="1"/>
    <col min="4863" max="4863" width="11.7109375" style="95" customWidth="1"/>
    <col min="4864" max="4864" width="8.5703125" style="95" customWidth="1"/>
    <col min="4865" max="4865" width="10.85546875" style="95" customWidth="1"/>
    <col min="4866" max="4866" width="12.85546875" style="95" customWidth="1"/>
    <col min="4867" max="4867" width="12.140625" style="95" customWidth="1"/>
    <col min="4868" max="4868" width="11.28515625" style="95" customWidth="1"/>
    <col min="4869" max="5106" width="9.140625" style="95"/>
    <col min="5107" max="5107" width="14.7109375" style="95" customWidth="1"/>
    <col min="5108" max="5108" width="38" style="95" customWidth="1"/>
    <col min="5109" max="5109" width="11.42578125" style="95" customWidth="1"/>
    <col min="5110" max="5110" width="10.42578125" style="95" customWidth="1"/>
    <col min="5111" max="5111" width="11.42578125" style="95" customWidth="1"/>
    <col min="5112" max="5112" width="9.140625" style="95"/>
    <col min="5113" max="5113" width="17.28515625" style="95" customWidth="1"/>
    <col min="5114" max="5114" width="11.28515625" style="95" customWidth="1"/>
    <col min="5115" max="5115" width="11.140625" style="95" customWidth="1"/>
    <col min="5116" max="5116" width="8.140625" style="95" customWidth="1"/>
    <col min="5117" max="5117" width="12" style="95" customWidth="1"/>
    <col min="5118" max="5118" width="11" style="95" customWidth="1"/>
    <col min="5119" max="5119" width="11.7109375" style="95" customWidth="1"/>
    <col min="5120" max="5120" width="8.5703125" style="95" customWidth="1"/>
    <col min="5121" max="5121" width="10.85546875" style="95" customWidth="1"/>
    <col min="5122" max="5122" width="12.85546875" style="95" customWidth="1"/>
    <col min="5123" max="5123" width="12.140625" style="95" customWidth="1"/>
    <col min="5124" max="5124" width="11.28515625" style="95" customWidth="1"/>
    <col min="5125" max="5362" width="9.140625" style="95"/>
    <col min="5363" max="5363" width="14.7109375" style="95" customWidth="1"/>
    <col min="5364" max="5364" width="38" style="95" customWidth="1"/>
    <col min="5365" max="5365" width="11.42578125" style="95" customWidth="1"/>
    <col min="5366" max="5366" width="10.42578125" style="95" customWidth="1"/>
    <col min="5367" max="5367" width="11.42578125" style="95" customWidth="1"/>
    <col min="5368" max="5368" width="9.140625" style="95"/>
    <col min="5369" max="5369" width="17.28515625" style="95" customWidth="1"/>
    <col min="5370" max="5370" width="11.28515625" style="95" customWidth="1"/>
    <col min="5371" max="5371" width="11.140625" style="95" customWidth="1"/>
    <col min="5372" max="5372" width="8.140625" style="95" customWidth="1"/>
    <col min="5373" max="5373" width="12" style="95" customWidth="1"/>
    <col min="5374" max="5374" width="11" style="95" customWidth="1"/>
    <col min="5375" max="5375" width="11.7109375" style="95" customWidth="1"/>
    <col min="5376" max="5376" width="8.5703125" style="95" customWidth="1"/>
    <col min="5377" max="5377" width="10.85546875" style="95" customWidth="1"/>
    <col min="5378" max="5378" width="12.85546875" style="95" customWidth="1"/>
    <col min="5379" max="5379" width="12.140625" style="95" customWidth="1"/>
    <col min="5380" max="5380" width="11.28515625" style="95" customWidth="1"/>
    <col min="5381" max="5618" width="9.140625" style="95"/>
    <col min="5619" max="5619" width="14.7109375" style="95" customWidth="1"/>
    <col min="5620" max="5620" width="38" style="95" customWidth="1"/>
    <col min="5621" max="5621" width="11.42578125" style="95" customWidth="1"/>
    <col min="5622" max="5622" width="10.42578125" style="95" customWidth="1"/>
    <col min="5623" max="5623" width="11.42578125" style="95" customWidth="1"/>
    <col min="5624" max="5624" width="9.140625" style="95"/>
    <col min="5625" max="5625" width="17.28515625" style="95" customWidth="1"/>
    <col min="5626" max="5626" width="11.28515625" style="95" customWidth="1"/>
    <col min="5627" max="5627" width="11.140625" style="95" customWidth="1"/>
    <col min="5628" max="5628" width="8.140625" style="95" customWidth="1"/>
    <col min="5629" max="5629" width="12" style="95" customWidth="1"/>
    <col min="5630" max="5630" width="11" style="95" customWidth="1"/>
    <col min="5631" max="5631" width="11.7109375" style="95" customWidth="1"/>
    <col min="5632" max="5632" width="8.5703125" style="95" customWidth="1"/>
    <col min="5633" max="5633" width="10.85546875" style="95" customWidth="1"/>
    <col min="5634" max="5634" width="12.85546875" style="95" customWidth="1"/>
    <col min="5635" max="5635" width="12.140625" style="95" customWidth="1"/>
    <col min="5636" max="5636" width="11.28515625" style="95" customWidth="1"/>
    <col min="5637" max="5874" width="9.140625" style="95"/>
    <col min="5875" max="5875" width="14.7109375" style="95" customWidth="1"/>
    <col min="5876" max="5876" width="38" style="95" customWidth="1"/>
    <col min="5877" max="5877" width="11.42578125" style="95" customWidth="1"/>
    <col min="5878" max="5878" width="10.42578125" style="95" customWidth="1"/>
    <col min="5879" max="5879" width="11.42578125" style="95" customWidth="1"/>
    <col min="5880" max="5880" width="9.140625" style="95"/>
    <col min="5881" max="5881" width="17.28515625" style="95" customWidth="1"/>
    <col min="5882" max="5882" width="11.28515625" style="95" customWidth="1"/>
    <col min="5883" max="5883" width="11.140625" style="95" customWidth="1"/>
    <col min="5884" max="5884" width="8.140625" style="95" customWidth="1"/>
    <col min="5885" max="5885" width="12" style="95" customWidth="1"/>
    <col min="5886" max="5886" width="11" style="95" customWidth="1"/>
    <col min="5887" max="5887" width="11.7109375" style="95" customWidth="1"/>
    <col min="5888" max="5888" width="8.5703125" style="95" customWidth="1"/>
    <col min="5889" max="5889" width="10.85546875" style="95" customWidth="1"/>
    <col min="5890" max="5890" width="12.85546875" style="95" customWidth="1"/>
    <col min="5891" max="5891" width="12.140625" style="95" customWidth="1"/>
    <col min="5892" max="5892" width="11.28515625" style="95" customWidth="1"/>
    <col min="5893" max="6130" width="9.140625" style="95"/>
    <col min="6131" max="6131" width="14.7109375" style="95" customWidth="1"/>
    <col min="6132" max="6132" width="38" style="95" customWidth="1"/>
    <col min="6133" max="6133" width="11.42578125" style="95" customWidth="1"/>
    <col min="6134" max="6134" width="10.42578125" style="95" customWidth="1"/>
    <col min="6135" max="6135" width="11.42578125" style="95" customWidth="1"/>
    <col min="6136" max="6136" width="9.140625" style="95"/>
    <col min="6137" max="6137" width="17.28515625" style="95" customWidth="1"/>
    <col min="6138" max="6138" width="11.28515625" style="95" customWidth="1"/>
    <col min="6139" max="6139" width="11.140625" style="95" customWidth="1"/>
    <col min="6140" max="6140" width="8.140625" style="95" customWidth="1"/>
    <col min="6141" max="6141" width="12" style="95" customWidth="1"/>
    <col min="6142" max="6142" width="11" style="95" customWidth="1"/>
    <col min="6143" max="6143" width="11.7109375" style="95" customWidth="1"/>
    <col min="6144" max="6144" width="8.5703125" style="95" customWidth="1"/>
    <col min="6145" max="6145" width="10.85546875" style="95" customWidth="1"/>
    <col min="6146" max="6146" width="12.85546875" style="95" customWidth="1"/>
    <col min="6147" max="6147" width="12.140625" style="95" customWidth="1"/>
    <col min="6148" max="6148" width="11.28515625" style="95" customWidth="1"/>
    <col min="6149" max="6386" width="9.140625" style="95"/>
    <col min="6387" max="6387" width="14.7109375" style="95" customWidth="1"/>
    <col min="6388" max="6388" width="38" style="95" customWidth="1"/>
    <col min="6389" max="6389" width="11.42578125" style="95" customWidth="1"/>
    <col min="6390" max="6390" width="10.42578125" style="95" customWidth="1"/>
    <col min="6391" max="6391" width="11.42578125" style="95" customWidth="1"/>
    <col min="6392" max="6392" width="9.140625" style="95"/>
    <col min="6393" max="6393" width="17.28515625" style="95" customWidth="1"/>
    <col min="6394" max="6394" width="11.28515625" style="95" customWidth="1"/>
    <col min="6395" max="6395" width="11.140625" style="95" customWidth="1"/>
    <col min="6396" max="6396" width="8.140625" style="95" customWidth="1"/>
    <col min="6397" max="6397" width="12" style="95" customWidth="1"/>
    <col min="6398" max="6398" width="11" style="95" customWidth="1"/>
    <col min="6399" max="6399" width="11.7109375" style="95" customWidth="1"/>
    <col min="6400" max="6400" width="8.5703125" style="95" customWidth="1"/>
    <col min="6401" max="6401" width="10.85546875" style="95" customWidth="1"/>
    <col min="6402" max="6402" width="12.85546875" style="95" customWidth="1"/>
    <col min="6403" max="6403" width="12.140625" style="95" customWidth="1"/>
    <col min="6404" max="6404" width="11.28515625" style="95" customWidth="1"/>
    <col min="6405" max="6642" width="9.140625" style="95"/>
    <col min="6643" max="6643" width="14.7109375" style="95" customWidth="1"/>
    <col min="6644" max="6644" width="38" style="95" customWidth="1"/>
    <col min="6645" max="6645" width="11.42578125" style="95" customWidth="1"/>
    <col min="6646" max="6646" width="10.42578125" style="95" customWidth="1"/>
    <col min="6647" max="6647" width="11.42578125" style="95" customWidth="1"/>
    <col min="6648" max="6648" width="9.140625" style="95"/>
    <col min="6649" max="6649" width="17.28515625" style="95" customWidth="1"/>
    <col min="6650" max="6650" width="11.28515625" style="95" customWidth="1"/>
    <col min="6651" max="6651" width="11.140625" style="95" customWidth="1"/>
    <col min="6652" max="6652" width="8.140625" style="95" customWidth="1"/>
    <col min="6653" max="6653" width="12" style="95" customWidth="1"/>
    <col min="6654" max="6654" width="11" style="95" customWidth="1"/>
    <col min="6655" max="6655" width="11.7109375" style="95" customWidth="1"/>
    <col min="6656" max="6656" width="8.5703125" style="95" customWidth="1"/>
    <col min="6657" max="6657" width="10.85546875" style="95" customWidth="1"/>
    <col min="6658" max="6658" width="12.85546875" style="95" customWidth="1"/>
    <col min="6659" max="6659" width="12.140625" style="95" customWidth="1"/>
    <col min="6660" max="6660" width="11.28515625" style="95" customWidth="1"/>
    <col min="6661" max="6898" width="9.140625" style="95"/>
    <col min="6899" max="6899" width="14.7109375" style="95" customWidth="1"/>
    <col min="6900" max="6900" width="38" style="95" customWidth="1"/>
    <col min="6901" max="6901" width="11.42578125" style="95" customWidth="1"/>
    <col min="6902" max="6902" width="10.42578125" style="95" customWidth="1"/>
    <col min="6903" max="6903" width="11.42578125" style="95" customWidth="1"/>
    <col min="6904" max="6904" width="9.140625" style="95"/>
    <col min="6905" max="6905" width="17.28515625" style="95" customWidth="1"/>
    <col min="6906" max="6906" width="11.28515625" style="95" customWidth="1"/>
    <col min="6907" max="6907" width="11.140625" style="95" customWidth="1"/>
    <col min="6908" max="6908" width="8.140625" style="95" customWidth="1"/>
    <col min="6909" max="6909" width="12" style="95" customWidth="1"/>
    <col min="6910" max="6910" width="11" style="95" customWidth="1"/>
    <col min="6911" max="6911" width="11.7109375" style="95" customWidth="1"/>
    <col min="6912" max="6912" width="8.5703125" style="95" customWidth="1"/>
    <col min="6913" max="6913" width="10.85546875" style="95" customWidth="1"/>
    <col min="6914" max="6914" width="12.85546875" style="95" customWidth="1"/>
    <col min="6915" max="6915" width="12.140625" style="95" customWidth="1"/>
    <col min="6916" max="6916" width="11.28515625" style="95" customWidth="1"/>
    <col min="6917" max="7154" width="9.140625" style="95"/>
    <col min="7155" max="7155" width="14.7109375" style="95" customWidth="1"/>
    <col min="7156" max="7156" width="38" style="95" customWidth="1"/>
    <col min="7157" max="7157" width="11.42578125" style="95" customWidth="1"/>
    <col min="7158" max="7158" width="10.42578125" style="95" customWidth="1"/>
    <col min="7159" max="7159" width="11.42578125" style="95" customWidth="1"/>
    <col min="7160" max="7160" width="9.140625" style="95"/>
    <col min="7161" max="7161" width="17.28515625" style="95" customWidth="1"/>
    <col min="7162" max="7162" width="11.28515625" style="95" customWidth="1"/>
    <col min="7163" max="7163" width="11.140625" style="95" customWidth="1"/>
    <col min="7164" max="7164" width="8.140625" style="95" customWidth="1"/>
    <col min="7165" max="7165" width="12" style="95" customWidth="1"/>
    <col min="7166" max="7166" width="11" style="95" customWidth="1"/>
    <col min="7167" max="7167" width="11.7109375" style="95" customWidth="1"/>
    <col min="7168" max="7168" width="8.5703125" style="95" customWidth="1"/>
    <col min="7169" max="7169" width="10.85546875" style="95" customWidth="1"/>
    <col min="7170" max="7170" width="12.85546875" style="95" customWidth="1"/>
    <col min="7171" max="7171" width="12.140625" style="95" customWidth="1"/>
    <col min="7172" max="7172" width="11.28515625" style="95" customWidth="1"/>
    <col min="7173" max="7410" width="9.140625" style="95"/>
    <col min="7411" max="7411" width="14.7109375" style="95" customWidth="1"/>
    <col min="7412" max="7412" width="38" style="95" customWidth="1"/>
    <col min="7413" max="7413" width="11.42578125" style="95" customWidth="1"/>
    <col min="7414" max="7414" width="10.42578125" style="95" customWidth="1"/>
    <col min="7415" max="7415" width="11.42578125" style="95" customWidth="1"/>
    <col min="7416" max="7416" width="9.140625" style="95"/>
    <col min="7417" max="7417" width="17.28515625" style="95" customWidth="1"/>
    <col min="7418" max="7418" width="11.28515625" style="95" customWidth="1"/>
    <col min="7419" max="7419" width="11.140625" style="95" customWidth="1"/>
    <col min="7420" max="7420" width="8.140625" style="95" customWidth="1"/>
    <col min="7421" max="7421" width="12" style="95" customWidth="1"/>
    <col min="7422" max="7422" width="11" style="95" customWidth="1"/>
    <col min="7423" max="7423" width="11.7109375" style="95" customWidth="1"/>
    <col min="7424" max="7424" width="8.5703125" style="95" customWidth="1"/>
    <col min="7425" max="7425" width="10.85546875" style="95" customWidth="1"/>
    <col min="7426" max="7426" width="12.85546875" style="95" customWidth="1"/>
    <col min="7427" max="7427" width="12.140625" style="95" customWidth="1"/>
    <col min="7428" max="7428" width="11.28515625" style="95" customWidth="1"/>
    <col min="7429" max="7666" width="9.140625" style="95"/>
    <col min="7667" max="7667" width="14.7109375" style="95" customWidth="1"/>
    <col min="7668" max="7668" width="38" style="95" customWidth="1"/>
    <col min="7669" max="7669" width="11.42578125" style="95" customWidth="1"/>
    <col min="7670" max="7670" width="10.42578125" style="95" customWidth="1"/>
    <col min="7671" max="7671" width="11.42578125" style="95" customWidth="1"/>
    <col min="7672" max="7672" width="9.140625" style="95"/>
    <col min="7673" max="7673" width="17.28515625" style="95" customWidth="1"/>
    <col min="7674" max="7674" width="11.28515625" style="95" customWidth="1"/>
    <col min="7675" max="7675" width="11.140625" style="95" customWidth="1"/>
    <col min="7676" max="7676" width="8.140625" style="95" customWidth="1"/>
    <col min="7677" max="7677" width="12" style="95" customWidth="1"/>
    <col min="7678" max="7678" width="11" style="95" customWidth="1"/>
    <col min="7679" max="7679" width="11.7109375" style="95" customWidth="1"/>
    <col min="7680" max="7680" width="8.5703125" style="95" customWidth="1"/>
    <col min="7681" max="7681" width="10.85546875" style="95" customWidth="1"/>
    <col min="7682" max="7682" width="12.85546875" style="95" customWidth="1"/>
    <col min="7683" max="7683" width="12.140625" style="95" customWidth="1"/>
    <col min="7684" max="7684" width="11.28515625" style="95" customWidth="1"/>
    <col min="7685" max="7922" width="9.140625" style="95"/>
    <col min="7923" max="7923" width="14.7109375" style="95" customWidth="1"/>
    <col min="7924" max="7924" width="38" style="95" customWidth="1"/>
    <col min="7925" max="7925" width="11.42578125" style="95" customWidth="1"/>
    <col min="7926" max="7926" width="10.42578125" style="95" customWidth="1"/>
    <col min="7927" max="7927" width="11.42578125" style="95" customWidth="1"/>
    <col min="7928" max="7928" width="9.140625" style="95"/>
    <col min="7929" max="7929" width="17.28515625" style="95" customWidth="1"/>
    <col min="7930" max="7930" width="11.28515625" style="95" customWidth="1"/>
    <col min="7931" max="7931" width="11.140625" style="95" customWidth="1"/>
    <col min="7932" max="7932" width="8.140625" style="95" customWidth="1"/>
    <col min="7933" max="7933" width="12" style="95" customWidth="1"/>
    <col min="7934" max="7934" width="11" style="95" customWidth="1"/>
    <col min="7935" max="7935" width="11.7109375" style="95" customWidth="1"/>
    <col min="7936" max="7936" width="8.5703125" style="95" customWidth="1"/>
    <col min="7937" max="7937" width="10.85546875" style="95" customWidth="1"/>
    <col min="7938" max="7938" width="12.85546875" style="95" customWidth="1"/>
    <col min="7939" max="7939" width="12.140625" style="95" customWidth="1"/>
    <col min="7940" max="7940" width="11.28515625" style="95" customWidth="1"/>
    <col min="7941" max="8178" width="9.140625" style="95"/>
    <col min="8179" max="8179" width="14.7109375" style="95" customWidth="1"/>
    <col min="8180" max="8180" width="38" style="95" customWidth="1"/>
    <col min="8181" max="8181" width="11.42578125" style="95" customWidth="1"/>
    <col min="8182" max="8182" width="10.42578125" style="95" customWidth="1"/>
    <col min="8183" max="8183" width="11.42578125" style="95" customWidth="1"/>
    <col min="8184" max="8184" width="9.140625" style="95"/>
    <col min="8185" max="8185" width="17.28515625" style="95" customWidth="1"/>
    <col min="8186" max="8186" width="11.28515625" style="95" customWidth="1"/>
    <col min="8187" max="8187" width="11.140625" style="95" customWidth="1"/>
    <col min="8188" max="8188" width="8.140625" style="95" customWidth="1"/>
    <col min="8189" max="8189" width="12" style="95" customWidth="1"/>
    <col min="8190" max="8190" width="11" style="95" customWidth="1"/>
    <col min="8191" max="8191" width="11.7109375" style="95" customWidth="1"/>
    <col min="8192" max="8192" width="8.5703125" style="95" customWidth="1"/>
    <col min="8193" max="8193" width="10.85546875" style="95" customWidth="1"/>
    <col min="8194" max="8194" width="12.85546875" style="95" customWidth="1"/>
    <col min="8195" max="8195" width="12.140625" style="95" customWidth="1"/>
    <col min="8196" max="8196" width="11.28515625" style="95" customWidth="1"/>
    <col min="8197" max="8434" width="9.140625" style="95"/>
    <col min="8435" max="8435" width="14.7109375" style="95" customWidth="1"/>
    <col min="8436" max="8436" width="38" style="95" customWidth="1"/>
    <col min="8437" max="8437" width="11.42578125" style="95" customWidth="1"/>
    <col min="8438" max="8438" width="10.42578125" style="95" customWidth="1"/>
    <col min="8439" max="8439" width="11.42578125" style="95" customWidth="1"/>
    <col min="8440" max="8440" width="9.140625" style="95"/>
    <col min="8441" max="8441" width="17.28515625" style="95" customWidth="1"/>
    <col min="8442" max="8442" width="11.28515625" style="95" customWidth="1"/>
    <col min="8443" max="8443" width="11.140625" style="95" customWidth="1"/>
    <col min="8444" max="8444" width="8.140625" style="95" customWidth="1"/>
    <col min="8445" max="8445" width="12" style="95" customWidth="1"/>
    <col min="8446" max="8446" width="11" style="95" customWidth="1"/>
    <col min="8447" max="8447" width="11.7109375" style="95" customWidth="1"/>
    <col min="8448" max="8448" width="8.5703125" style="95" customWidth="1"/>
    <col min="8449" max="8449" width="10.85546875" style="95" customWidth="1"/>
    <col min="8450" max="8450" width="12.85546875" style="95" customWidth="1"/>
    <col min="8451" max="8451" width="12.140625" style="95" customWidth="1"/>
    <col min="8452" max="8452" width="11.28515625" style="95" customWidth="1"/>
    <col min="8453" max="8690" width="9.140625" style="95"/>
    <col min="8691" max="8691" width="14.7109375" style="95" customWidth="1"/>
    <col min="8692" max="8692" width="38" style="95" customWidth="1"/>
    <col min="8693" max="8693" width="11.42578125" style="95" customWidth="1"/>
    <col min="8694" max="8694" width="10.42578125" style="95" customWidth="1"/>
    <col min="8695" max="8695" width="11.42578125" style="95" customWidth="1"/>
    <col min="8696" max="8696" width="9.140625" style="95"/>
    <col min="8697" max="8697" width="17.28515625" style="95" customWidth="1"/>
    <col min="8698" max="8698" width="11.28515625" style="95" customWidth="1"/>
    <col min="8699" max="8699" width="11.140625" style="95" customWidth="1"/>
    <col min="8700" max="8700" width="8.140625" style="95" customWidth="1"/>
    <col min="8701" max="8701" width="12" style="95" customWidth="1"/>
    <col min="8702" max="8702" width="11" style="95" customWidth="1"/>
    <col min="8703" max="8703" width="11.7109375" style="95" customWidth="1"/>
    <col min="8704" max="8704" width="8.5703125" style="95" customWidth="1"/>
    <col min="8705" max="8705" width="10.85546875" style="95" customWidth="1"/>
    <col min="8706" max="8706" width="12.85546875" style="95" customWidth="1"/>
    <col min="8707" max="8707" width="12.140625" style="95" customWidth="1"/>
    <col min="8708" max="8708" width="11.28515625" style="95" customWidth="1"/>
    <col min="8709" max="8946" width="9.140625" style="95"/>
    <col min="8947" max="8947" width="14.7109375" style="95" customWidth="1"/>
    <col min="8948" max="8948" width="38" style="95" customWidth="1"/>
    <col min="8949" max="8949" width="11.42578125" style="95" customWidth="1"/>
    <col min="8950" max="8950" width="10.42578125" style="95" customWidth="1"/>
    <col min="8951" max="8951" width="11.42578125" style="95" customWidth="1"/>
    <col min="8952" max="8952" width="9.140625" style="95"/>
    <col min="8953" max="8953" width="17.28515625" style="95" customWidth="1"/>
    <col min="8954" max="8954" width="11.28515625" style="95" customWidth="1"/>
    <col min="8955" max="8955" width="11.140625" style="95" customWidth="1"/>
    <col min="8956" max="8956" width="8.140625" style="95" customWidth="1"/>
    <col min="8957" max="8957" width="12" style="95" customWidth="1"/>
    <col min="8958" max="8958" width="11" style="95" customWidth="1"/>
    <col min="8959" max="8959" width="11.7109375" style="95" customWidth="1"/>
    <col min="8960" max="8960" width="8.5703125" style="95" customWidth="1"/>
    <col min="8961" max="8961" width="10.85546875" style="95" customWidth="1"/>
    <col min="8962" max="8962" width="12.85546875" style="95" customWidth="1"/>
    <col min="8963" max="8963" width="12.140625" style="95" customWidth="1"/>
    <col min="8964" max="8964" width="11.28515625" style="95" customWidth="1"/>
    <col min="8965" max="9202" width="9.140625" style="95"/>
    <col min="9203" max="9203" width="14.7109375" style="95" customWidth="1"/>
    <col min="9204" max="9204" width="38" style="95" customWidth="1"/>
    <col min="9205" max="9205" width="11.42578125" style="95" customWidth="1"/>
    <col min="9206" max="9206" width="10.42578125" style="95" customWidth="1"/>
    <col min="9207" max="9207" width="11.42578125" style="95" customWidth="1"/>
    <col min="9208" max="9208" width="9.140625" style="95"/>
    <col min="9209" max="9209" width="17.28515625" style="95" customWidth="1"/>
    <col min="9210" max="9210" width="11.28515625" style="95" customWidth="1"/>
    <col min="9211" max="9211" width="11.140625" style="95" customWidth="1"/>
    <col min="9212" max="9212" width="8.140625" style="95" customWidth="1"/>
    <col min="9213" max="9213" width="12" style="95" customWidth="1"/>
    <col min="9214" max="9214" width="11" style="95" customWidth="1"/>
    <col min="9215" max="9215" width="11.7109375" style="95" customWidth="1"/>
    <col min="9216" max="9216" width="8.5703125" style="95" customWidth="1"/>
    <col min="9217" max="9217" width="10.85546875" style="95" customWidth="1"/>
    <col min="9218" max="9218" width="12.85546875" style="95" customWidth="1"/>
    <col min="9219" max="9219" width="12.140625" style="95" customWidth="1"/>
    <col min="9220" max="9220" width="11.28515625" style="95" customWidth="1"/>
    <col min="9221" max="9458" width="9.140625" style="95"/>
    <col min="9459" max="9459" width="14.7109375" style="95" customWidth="1"/>
    <col min="9460" max="9460" width="38" style="95" customWidth="1"/>
    <col min="9461" max="9461" width="11.42578125" style="95" customWidth="1"/>
    <col min="9462" max="9462" width="10.42578125" style="95" customWidth="1"/>
    <col min="9463" max="9463" width="11.42578125" style="95" customWidth="1"/>
    <col min="9464" max="9464" width="9.140625" style="95"/>
    <col min="9465" max="9465" width="17.28515625" style="95" customWidth="1"/>
    <col min="9466" max="9466" width="11.28515625" style="95" customWidth="1"/>
    <col min="9467" max="9467" width="11.140625" style="95" customWidth="1"/>
    <col min="9468" max="9468" width="8.140625" style="95" customWidth="1"/>
    <col min="9469" max="9469" width="12" style="95" customWidth="1"/>
    <col min="9470" max="9470" width="11" style="95" customWidth="1"/>
    <col min="9471" max="9471" width="11.7109375" style="95" customWidth="1"/>
    <col min="9472" max="9472" width="8.5703125" style="95" customWidth="1"/>
    <col min="9473" max="9473" width="10.85546875" style="95" customWidth="1"/>
    <col min="9474" max="9474" width="12.85546875" style="95" customWidth="1"/>
    <col min="9475" max="9475" width="12.140625" style="95" customWidth="1"/>
    <col min="9476" max="9476" width="11.28515625" style="95" customWidth="1"/>
    <col min="9477" max="9714" width="9.140625" style="95"/>
    <col min="9715" max="9715" width="14.7109375" style="95" customWidth="1"/>
    <col min="9716" max="9716" width="38" style="95" customWidth="1"/>
    <col min="9717" max="9717" width="11.42578125" style="95" customWidth="1"/>
    <col min="9718" max="9718" width="10.42578125" style="95" customWidth="1"/>
    <col min="9719" max="9719" width="11.42578125" style="95" customWidth="1"/>
    <col min="9720" max="9720" width="9.140625" style="95"/>
    <col min="9721" max="9721" width="17.28515625" style="95" customWidth="1"/>
    <col min="9722" max="9722" width="11.28515625" style="95" customWidth="1"/>
    <col min="9723" max="9723" width="11.140625" style="95" customWidth="1"/>
    <col min="9724" max="9724" width="8.140625" style="95" customWidth="1"/>
    <col min="9725" max="9725" width="12" style="95" customWidth="1"/>
    <col min="9726" max="9726" width="11" style="95" customWidth="1"/>
    <col min="9727" max="9727" width="11.7109375" style="95" customWidth="1"/>
    <col min="9728" max="9728" width="8.5703125" style="95" customWidth="1"/>
    <col min="9729" max="9729" width="10.85546875" style="95" customWidth="1"/>
    <col min="9730" max="9730" width="12.85546875" style="95" customWidth="1"/>
    <col min="9731" max="9731" width="12.140625" style="95" customWidth="1"/>
    <col min="9732" max="9732" width="11.28515625" style="95" customWidth="1"/>
    <col min="9733" max="9970" width="9.140625" style="95"/>
    <col min="9971" max="9971" width="14.7109375" style="95" customWidth="1"/>
    <col min="9972" max="9972" width="38" style="95" customWidth="1"/>
    <col min="9973" max="9973" width="11.42578125" style="95" customWidth="1"/>
    <col min="9974" max="9974" width="10.42578125" style="95" customWidth="1"/>
    <col min="9975" max="9975" width="11.42578125" style="95" customWidth="1"/>
    <col min="9976" max="9976" width="9.140625" style="95"/>
    <col min="9977" max="9977" width="17.28515625" style="95" customWidth="1"/>
    <col min="9978" max="9978" width="11.28515625" style="95" customWidth="1"/>
    <col min="9979" max="9979" width="11.140625" style="95" customWidth="1"/>
    <col min="9980" max="9980" width="8.140625" style="95" customWidth="1"/>
    <col min="9981" max="9981" width="12" style="95" customWidth="1"/>
    <col min="9982" max="9982" width="11" style="95" customWidth="1"/>
    <col min="9983" max="9983" width="11.7109375" style="95" customWidth="1"/>
    <col min="9984" max="9984" width="8.5703125" style="95" customWidth="1"/>
    <col min="9985" max="9985" width="10.85546875" style="95" customWidth="1"/>
    <col min="9986" max="9986" width="12.85546875" style="95" customWidth="1"/>
    <col min="9987" max="9987" width="12.140625" style="95" customWidth="1"/>
    <col min="9988" max="9988" width="11.28515625" style="95" customWidth="1"/>
    <col min="9989" max="10226" width="9.140625" style="95"/>
    <col min="10227" max="10227" width="14.7109375" style="95" customWidth="1"/>
    <col min="10228" max="10228" width="38" style="95" customWidth="1"/>
    <col min="10229" max="10229" width="11.42578125" style="95" customWidth="1"/>
    <col min="10230" max="10230" width="10.42578125" style="95" customWidth="1"/>
    <col min="10231" max="10231" width="11.42578125" style="95" customWidth="1"/>
    <col min="10232" max="10232" width="9.140625" style="95"/>
    <col min="10233" max="10233" width="17.28515625" style="95" customWidth="1"/>
    <col min="10234" max="10234" width="11.28515625" style="95" customWidth="1"/>
    <col min="10235" max="10235" width="11.140625" style="95" customWidth="1"/>
    <col min="10236" max="10236" width="8.140625" style="95" customWidth="1"/>
    <col min="10237" max="10237" width="12" style="95" customWidth="1"/>
    <col min="10238" max="10238" width="11" style="95" customWidth="1"/>
    <col min="10239" max="10239" width="11.7109375" style="95" customWidth="1"/>
    <col min="10240" max="10240" width="8.5703125" style="95" customWidth="1"/>
    <col min="10241" max="10241" width="10.85546875" style="95" customWidth="1"/>
    <col min="10242" max="10242" width="12.85546875" style="95" customWidth="1"/>
    <col min="10243" max="10243" width="12.140625" style="95" customWidth="1"/>
    <col min="10244" max="10244" width="11.28515625" style="95" customWidth="1"/>
    <col min="10245" max="10482" width="9.140625" style="95"/>
    <col min="10483" max="10483" width="14.7109375" style="95" customWidth="1"/>
    <col min="10484" max="10484" width="38" style="95" customWidth="1"/>
    <col min="10485" max="10485" width="11.42578125" style="95" customWidth="1"/>
    <col min="10486" max="10486" width="10.42578125" style="95" customWidth="1"/>
    <col min="10487" max="10487" width="11.42578125" style="95" customWidth="1"/>
    <col min="10488" max="10488" width="9.140625" style="95"/>
    <col min="10489" max="10489" width="17.28515625" style="95" customWidth="1"/>
    <col min="10490" max="10490" width="11.28515625" style="95" customWidth="1"/>
    <col min="10491" max="10491" width="11.140625" style="95" customWidth="1"/>
    <col min="10492" max="10492" width="8.140625" style="95" customWidth="1"/>
    <col min="10493" max="10493" width="12" style="95" customWidth="1"/>
    <col min="10494" max="10494" width="11" style="95" customWidth="1"/>
    <col min="10495" max="10495" width="11.7109375" style="95" customWidth="1"/>
    <col min="10496" max="10496" width="8.5703125" style="95" customWidth="1"/>
    <col min="10497" max="10497" width="10.85546875" style="95" customWidth="1"/>
    <col min="10498" max="10498" width="12.85546875" style="95" customWidth="1"/>
    <col min="10499" max="10499" width="12.140625" style="95" customWidth="1"/>
    <col min="10500" max="10500" width="11.28515625" style="95" customWidth="1"/>
    <col min="10501" max="10738" width="9.140625" style="95"/>
    <col min="10739" max="10739" width="14.7109375" style="95" customWidth="1"/>
    <col min="10740" max="10740" width="38" style="95" customWidth="1"/>
    <col min="10741" max="10741" width="11.42578125" style="95" customWidth="1"/>
    <col min="10742" max="10742" width="10.42578125" style="95" customWidth="1"/>
    <col min="10743" max="10743" width="11.42578125" style="95" customWidth="1"/>
    <col min="10744" max="10744" width="9.140625" style="95"/>
    <col min="10745" max="10745" width="17.28515625" style="95" customWidth="1"/>
    <col min="10746" max="10746" width="11.28515625" style="95" customWidth="1"/>
    <col min="10747" max="10747" width="11.140625" style="95" customWidth="1"/>
    <col min="10748" max="10748" width="8.140625" style="95" customWidth="1"/>
    <col min="10749" max="10749" width="12" style="95" customWidth="1"/>
    <col min="10750" max="10750" width="11" style="95" customWidth="1"/>
    <col min="10751" max="10751" width="11.7109375" style="95" customWidth="1"/>
    <col min="10752" max="10752" width="8.5703125" style="95" customWidth="1"/>
    <col min="10753" max="10753" width="10.85546875" style="95" customWidth="1"/>
    <col min="10754" max="10754" width="12.85546875" style="95" customWidth="1"/>
    <col min="10755" max="10755" width="12.140625" style="95" customWidth="1"/>
    <col min="10756" max="10756" width="11.28515625" style="95" customWidth="1"/>
    <col min="10757" max="10994" width="9.140625" style="95"/>
    <col min="10995" max="10995" width="14.7109375" style="95" customWidth="1"/>
    <col min="10996" max="10996" width="38" style="95" customWidth="1"/>
    <col min="10997" max="10997" width="11.42578125" style="95" customWidth="1"/>
    <col min="10998" max="10998" width="10.42578125" style="95" customWidth="1"/>
    <col min="10999" max="10999" width="11.42578125" style="95" customWidth="1"/>
    <col min="11000" max="11000" width="9.140625" style="95"/>
    <col min="11001" max="11001" width="17.28515625" style="95" customWidth="1"/>
    <col min="11002" max="11002" width="11.28515625" style="95" customWidth="1"/>
    <col min="11003" max="11003" width="11.140625" style="95" customWidth="1"/>
    <col min="11004" max="11004" width="8.140625" style="95" customWidth="1"/>
    <col min="11005" max="11005" width="12" style="95" customWidth="1"/>
    <col min="11006" max="11006" width="11" style="95" customWidth="1"/>
    <col min="11007" max="11007" width="11.7109375" style="95" customWidth="1"/>
    <col min="11008" max="11008" width="8.5703125" style="95" customWidth="1"/>
    <col min="11009" max="11009" width="10.85546875" style="95" customWidth="1"/>
    <col min="11010" max="11010" width="12.85546875" style="95" customWidth="1"/>
    <col min="11011" max="11011" width="12.140625" style="95" customWidth="1"/>
    <col min="11012" max="11012" width="11.28515625" style="95" customWidth="1"/>
    <col min="11013" max="11250" width="9.140625" style="95"/>
    <col min="11251" max="11251" width="14.7109375" style="95" customWidth="1"/>
    <col min="11252" max="11252" width="38" style="95" customWidth="1"/>
    <col min="11253" max="11253" width="11.42578125" style="95" customWidth="1"/>
    <col min="11254" max="11254" width="10.42578125" style="95" customWidth="1"/>
    <col min="11255" max="11255" width="11.42578125" style="95" customWidth="1"/>
    <col min="11256" max="11256" width="9.140625" style="95"/>
    <col min="11257" max="11257" width="17.28515625" style="95" customWidth="1"/>
    <col min="11258" max="11258" width="11.28515625" style="95" customWidth="1"/>
    <col min="11259" max="11259" width="11.140625" style="95" customWidth="1"/>
    <col min="11260" max="11260" width="8.140625" style="95" customWidth="1"/>
    <col min="11261" max="11261" width="12" style="95" customWidth="1"/>
    <col min="11262" max="11262" width="11" style="95" customWidth="1"/>
    <col min="11263" max="11263" width="11.7109375" style="95" customWidth="1"/>
    <col min="11264" max="11264" width="8.5703125" style="95" customWidth="1"/>
    <col min="11265" max="11265" width="10.85546875" style="95" customWidth="1"/>
    <col min="11266" max="11266" width="12.85546875" style="95" customWidth="1"/>
    <col min="11267" max="11267" width="12.140625" style="95" customWidth="1"/>
    <col min="11268" max="11268" width="11.28515625" style="95" customWidth="1"/>
    <col min="11269" max="11506" width="9.140625" style="95"/>
    <col min="11507" max="11507" width="14.7109375" style="95" customWidth="1"/>
    <col min="11508" max="11508" width="38" style="95" customWidth="1"/>
    <col min="11509" max="11509" width="11.42578125" style="95" customWidth="1"/>
    <col min="11510" max="11510" width="10.42578125" style="95" customWidth="1"/>
    <col min="11511" max="11511" width="11.42578125" style="95" customWidth="1"/>
    <col min="11512" max="11512" width="9.140625" style="95"/>
    <col min="11513" max="11513" width="17.28515625" style="95" customWidth="1"/>
    <col min="11514" max="11514" width="11.28515625" style="95" customWidth="1"/>
    <col min="11515" max="11515" width="11.140625" style="95" customWidth="1"/>
    <col min="11516" max="11516" width="8.140625" style="95" customWidth="1"/>
    <col min="11517" max="11517" width="12" style="95" customWidth="1"/>
    <col min="11518" max="11518" width="11" style="95" customWidth="1"/>
    <col min="11519" max="11519" width="11.7109375" style="95" customWidth="1"/>
    <col min="11520" max="11520" width="8.5703125" style="95" customWidth="1"/>
    <col min="11521" max="11521" width="10.85546875" style="95" customWidth="1"/>
    <col min="11522" max="11522" width="12.85546875" style="95" customWidth="1"/>
    <col min="11523" max="11523" width="12.140625" style="95" customWidth="1"/>
    <col min="11524" max="11524" width="11.28515625" style="95" customWidth="1"/>
    <col min="11525" max="11762" width="9.140625" style="95"/>
    <col min="11763" max="11763" width="14.7109375" style="95" customWidth="1"/>
    <col min="11764" max="11764" width="38" style="95" customWidth="1"/>
    <col min="11765" max="11765" width="11.42578125" style="95" customWidth="1"/>
    <col min="11766" max="11766" width="10.42578125" style="95" customWidth="1"/>
    <col min="11767" max="11767" width="11.42578125" style="95" customWidth="1"/>
    <col min="11768" max="11768" width="9.140625" style="95"/>
    <col min="11769" max="11769" width="17.28515625" style="95" customWidth="1"/>
    <col min="11770" max="11770" width="11.28515625" style="95" customWidth="1"/>
    <col min="11771" max="11771" width="11.140625" style="95" customWidth="1"/>
    <col min="11772" max="11772" width="8.140625" style="95" customWidth="1"/>
    <col min="11773" max="11773" width="12" style="95" customWidth="1"/>
    <col min="11774" max="11774" width="11" style="95" customWidth="1"/>
    <col min="11775" max="11775" width="11.7109375" style="95" customWidth="1"/>
    <col min="11776" max="11776" width="8.5703125" style="95" customWidth="1"/>
    <col min="11777" max="11777" width="10.85546875" style="95" customWidth="1"/>
    <col min="11778" max="11778" width="12.85546875" style="95" customWidth="1"/>
    <col min="11779" max="11779" width="12.140625" style="95" customWidth="1"/>
    <col min="11780" max="11780" width="11.28515625" style="95" customWidth="1"/>
    <col min="11781" max="12018" width="9.140625" style="95"/>
    <col min="12019" max="12019" width="14.7109375" style="95" customWidth="1"/>
    <col min="12020" max="12020" width="38" style="95" customWidth="1"/>
    <col min="12021" max="12021" width="11.42578125" style="95" customWidth="1"/>
    <col min="12022" max="12022" width="10.42578125" style="95" customWidth="1"/>
    <col min="12023" max="12023" width="11.42578125" style="95" customWidth="1"/>
    <col min="12024" max="12024" width="9.140625" style="95"/>
    <col min="12025" max="12025" width="17.28515625" style="95" customWidth="1"/>
    <col min="12026" max="12026" width="11.28515625" style="95" customWidth="1"/>
    <col min="12027" max="12027" width="11.140625" style="95" customWidth="1"/>
    <col min="12028" max="12028" width="8.140625" style="95" customWidth="1"/>
    <col min="12029" max="12029" width="12" style="95" customWidth="1"/>
    <col min="12030" max="12030" width="11" style="95" customWidth="1"/>
    <col min="12031" max="12031" width="11.7109375" style="95" customWidth="1"/>
    <col min="12032" max="12032" width="8.5703125" style="95" customWidth="1"/>
    <col min="12033" max="12033" width="10.85546875" style="95" customWidth="1"/>
    <col min="12034" max="12034" width="12.85546875" style="95" customWidth="1"/>
    <col min="12035" max="12035" width="12.140625" style="95" customWidth="1"/>
    <col min="12036" max="12036" width="11.28515625" style="95" customWidth="1"/>
    <col min="12037" max="12274" width="9.140625" style="95"/>
    <col min="12275" max="12275" width="14.7109375" style="95" customWidth="1"/>
    <col min="12276" max="12276" width="38" style="95" customWidth="1"/>
    <col min="12277" max="12277" width="11.42578125" style="95" customWidth="1"/>
    <col min="12278" max="12278" width="10.42578125" style="95" customWidth="1"/>
    <col min="12279" max="12279" width="11.42578125" style="95" customWidth="1"/>
    <col min="12280" max="12280" width="9.140625" style="95"/>
    <col min="12281" max="12281" width="17.28515625" style="95" customWidth="1"/>
    <col min="12282" max="12282" width="11.28515625" style="95" customWidth="1"/>
    <col min="12283" max="12283" width="11.140625" style="95" customWidth="1"/>
    <col min="12284" max="12284" width="8.140625" style="95" customWidth="1"/>
    <col min="12285" max="12285" width="12" style="95" customWidth="1"/>
    <col min="12286" max="12286" width="11" style="95" customWidth="1"/>
    <col min="12287" max="12287" width="11.7109375" style="95" customWidth="1"/>
    <col min="12288" max="12288" width="8.5703125" style="95" customWidth="1"/>
    <col min="12289" max="12289" width="10.85546875" style="95" customWidth="1"/>
    <col min="12290" max="12290" width="12.85546875" style="95" customWidth="1"/>
    <col min="12291" max="12291" width="12.140625" style="95" customWidth="1"/>
    <col min="12292" max="12292" width="11.28515625" style="95" customWidth="1"/>
    <col min="12293" max="12530" width="9.140625" style="95"/>
    <col min="12531" max="12531" width="14.7109375" style="95" customWidth="1"/>
    <col min="12532" max="12532" width="38" style="95" customWidth="1"/>
    <col min="12533" max="12533" width="11.42578125" style="95" customWidth="1"/>
    <col min="12534" max="12534" width="10.42578125" style="95" customWidth="1"/>
    <col min="12535" max="12535" width="11.42578125" style="95" customWidth="1"/>
    <col min="12536" max="12536" width="9.140625" style="95"/>
    <col min="12537" max="12537" width="17.28515625" style="95" customWidth="1"/>
    <col min="12538" max="12538" width="11.28515625" style="95" customWidth="1"/>
    <col min="12539" max="12539" width="11.140625" style="95" customWidth="1"/>
    <col min="12540" max="12540" width="8.140625" style="95" customWidth="1"/>
    <col min="12541" max="12541" width="12" style="95" customWidth="1"/>
    <col min="12542" max="12542" width="11" style="95" customWidth="1"/>
    <col min="12543" max="12543" width="11.7109375" style="95" customWidth="1"/>
    <col min="12544" max="12544" width="8.5703125" style="95" customWidth="1"/>
    <col min="12545" max="12545" width="10.85546875" style="95" customWidth="1"/>
    <col min="12546" max="12546" width="12.85546875" style="95" customWidth="1"/>
    <col min="12547" max="12547" width="12.140625" style="95" customWidth="1"/>
    <col min="12548" max="12548" width="11.28515625" style="95" customWidth="1"/>
    <col min="12549" max="12786" width="9.140625" style="95"/>
    <col min="12787" max="12787" width="14.7109375" style="95" customWidth="1"/>
    <col min="12788" max="12788" width="38" style="95" customWidth="1"/>
    <col min="12789" max="12789" width="11.42578125" style="95" customWidth="1"/>
    <col min="12790" max="12790" width="10.42578125" style="95" customWidth="1"/>
    <col min="12791" max="12791" width="11.42578125" style="95" customWidth="1"/>
    <col min="12792" max="12792" width="9.140625" style="95"/>
    <col min="12793" max="12793" width="17.28515625" style="95" customWidth="1"/>
    <col min="12794" max="12794" width="11.28515625" style="95" customWidth="1"/>
    <col min="12795" max="12795" width="11.140625" style="95" customWidth="1"/>
    <col min="12796" max="12796" width="8.140625" style="95" customWidth="1"/>
    <col min="12797" max="12797" width="12" style="95" customWidth="1"/>
    <col min="12798" max="12798" width="11" style="95" customWidth="1"/>
    <col min="12799" max="12799" width="11.7109375" style="95" customWidth="1"/>
    <col min="12800" max="12800" width="8.5703125" style="95" customWidth="1"/>
    <col min="12801" max="12801" width="10.85546875" style="95" customWidth="1"/>
    <col min="12802" max="12802" width="12.85546875" style="95" customWidth="1"/>
    <col min="12803" max="12803" width="12.140625" style="95" customWidth="1"/>
    <col min="12804" max="12804" width="11.28515625" style="95" customWidth="1"/>
    <col min="12805" max="13042" width="9.140625" style="95"/>
    <col min="13043" max="13043" width="14.7109375" style="95" customWidth="1"/>
    <col min="13044" max="13044" width="38" style="95" customWidth="1"/>
    <col min="13045" max="13045" width="11.42578125" style="95" customWidth="1"/>
    <col min="13046" max="13046" width="10.42578125" style="95" customWidth="1"/>
    <col min="13047" max="13047" width="11.42578125" style="95" customWidth="1"/>
    <col min="13048" max="13048" width="9.140625" style="95"/>
    <col min="13049" max="13049" width="17.28515625" style="95" customWidth="1"/>
    <col min="13050" max="13050" width="11.28515625" style="95" customWidth="1"/>
    <col min="13051" max="13051" width="11.140625" style="95" customWidth="1"/>
    <col min="13052" max="13052" width="8.140625" style="95" customWidth="1"/>
    <col min="13053" max="13053" width="12" style="95" customWidth="1"/>
    <col min="13054" max="13054" width="11" style="95" customWidth="1"/>
    <col min="13055" max="13055" width="11.7109375" style="95" customWidth="1"/>
    <col min="13056" max="13056" width="8.5703125" style="95" customWidth="1"/>
    <col min="13057" max="13057" width="10.85546875" style="95" customWidth="1"/>
    <col min="13058" max="13058" width="12.85546875" style="95" customWidth="1"/>
    <col min="13059" max="13059" width="12.140625" style="95" customWidth="1"/>
    <col min="13060" max="13060" width="11.28515625" style="95" customWidth="1"/>
    <col min="13061" max="13298" width="9.140625" style="95"/>
    <col min="13299" max="13299" width="14.7109375" style="95" customWidth="1"/>
    <col min="13300" max="13300" width="38" style="95" customWidth="1"/>
    <col min="13301" max="13301" width="11.42578125" style="95" customWidth="1"/>
    <col min="13302" max="13302" width="10.42578125" style="95" customWidth="1"/>
    <col min="13303" max="13303" width="11.42578125" style="95" customWidth="1"/>
    <col min="13304" max="13304" width="9.140625" style="95"/>
    <col min="13305" max="13305" width="17.28515625" style="95" customWidth="1"/>
    <col min="13306" max="13306" width="11.28515625" style="95" customWidth="1"/>
    <col min="13307" max="13307" width="11.140625" style="95" customWidth="1"/>
    <col min="13308" max="13308" width="8.140625" style="95" customWidth="1"/>
    <col min="13309" max="13309" width="12" style="95" customWidth="1"/>
    <col min="13310" max="13310" width="11" style="95" customWidth="1"/>
    <col min="13311" max="13311" width="11.7109375" style="95" customWidth="1"/>
    <col min="13312" max="13312" width="8.5703125" style="95" customWidth="1"/>
    <col min="13313" max="13313" width="10.85546875" style="95" customWidth="1"/>
    <col min="13314" max="13314" width="12.85546875" style="95" customWidth="1"/>
    <col min="13315" max="13315" width="12.140625" style="95" customWidth="1"/>
    <col min="13316" max="13316" width="11.28515625" style="95" customWidth="1"/>
    <col min="13317" max="13554" width="9.140625" style="95"/>
    <col min="13555" max="13555" width="14.7109375" style="95" customWidth="1"/>
    <col min="13556" max="13556" width="38" style="95" customWidth="1"/>
    <col min="13557" max="13557" width="11.42578125" style="95" customWidth="1"/>
    <col min="13558" max="13558" width="10.42578125" style="95" customWidth="1"/>
    <col min="13559" max="13559" width="11.42578125" style="95" customWidth="1"/>
    <col min="13560" max="13560" width="9.140625" style="95"/>
    <col min="13561" max="13561" width="17.28515625" style="95" customWidth="1"/>
    <col min="13562" max="13562" width="11.28515625" style="95" customWidth="1"/>
    <col min="13563" max="13563" width="11.140625" style="95" customWidth="1"/>
    <col min="13564" max="13564" width="8.140625" style="95" customWidth="1"/>
    <col min="13565" max="13565" width="12" style="95" customWidth="1"/>
    <col min="13566" max="13566" width="11" style="95" customWidth="1"/>
    <col min="13567" max="13567" width="11.7109375" style="95" customWidth="1"/>
    <col min="13568" max="13568" width="8.5703125" style="95" customWidth="1"/>
    <col min="13569" max="13569" width="10.85546875" style="95" customWidth="1"/>
    <col min="13570" max="13570" width="12.85546875" style="95" customWidth="1"/>
    <col min="13571" max="13571" width="12.140625" style="95" customWidth="1"/>
    <col min="13572" max="13572" width="11.28515625" style="95" customWidth="1"/>
    <col min="13573" max="13810" width="9.140625" style="95"/>
    <col min="13811" max="13811" width="14.7109375" style="95" customWidth="1"/>
    <col min="13812" max="13812" width="38" style="95" customWidth="1"/>
    <col min="13813" max="13813" width="11.42578125" style="95" customWidth="1"/>
    <col min="13814" max="13814" width="10.42578125" style="95" customWidth="1"/>
    <col min="13815" max="13815" width="11.42578125" style="95" customWidth="1"/>
    <col min="13816" max="13816" width="9.140625" style="95"/>
    <col min="13817" max="13817" width="17.28515625" style="95" customWidth="1"/>
    <col min="13818" max="13818" width="11.28515625" style="95" customWidth="1"/>
    <col min="13819" max="13819" width="11.140625" style="95" customWidth="1"/>
    <col min="13820" max="13820" width="8.140625" style="95" customWidth="1"/>
    <col min="13821" max="13821" width="12" style="95" customWidth="1"/>
    <col min="13822" max="13822" width="11" style="95" customWidth="1"/>
    <col min="13823" max="13823" width="11.7109375" style="95" customWidth="1"/>
    <col min="13824" max="13824" width="8.5703125" style="95" customWidth="1"/>
    <col min="13825" max="13825" width="10.85546875" style="95" customWidth="1"/>
    <col min="13826" max="13826" width="12.85546875" style="95" customWidth="1"/>
    <col min="13827" max="13827" width="12.140625" style="95" customWidth="1"/>
    <col min="13828" max="13828" width="11.28515625" style="95" customWidth="1"/>
    <col min="13829" max="14066" width="9.140625" style="95"/>
    <col min="14067" max="14067" width="14.7109375" style="95" customWidth="1"/>
    <col min="14068" max="14068" width="38" style="95" customWidth="1"/>
    <col min="14069" max="14069" width="11.42578125" style="95" customWidth="1"/>
    <col min="14070" max="14070" width="10.42578125" style="95" customWidth="1"/>
    <col min="14071" max="14071" width="11.42578125" style="95" customWidth="1"/>
    <col min="14072" max="14072" width="9.140625" style="95"/>
    <col min="14073" max="14073" width="17.28515625" style="95" customWidth="1"/>
    <col min="14074" max="14074" width="11.28515625" style="95" customWidth="1"/>
    <col min="14075" max="14075" width="11.140625" style="95" customWidth="1"/>
    <col min="14076" max="14076" width="8.140625" style="95" customWidth="1"/>
    <col min="14077" max="14077" width="12" style="95" customWidth="1"/>
    <col min="14078" max="14078" width="11" style="95" customWidth="1"/>
    <col min="14079" max="14079" width="11.7109375" style="95" customWidth="1"/>
    <col min="14080" max="14080" width="8.5703125" style="95" customWidth="1"/>
    <col min="14081" max="14081" width="10.85546875" style="95" customWidth="1"/>
    <col min="14082" max="14082" width="12.85546875" style="95" customWidth="1"/>
    <col min="14083" max="14083" width="12.140625" style="95" customWidth="1"/>
    <col min="14084" max="14084" width="11.28515625" style="95" customWidth="1"/>
    <col min="14085" max="14322" width="9.140625" style="95"/>
    <col min="14323" max="14323" width="14.7109375" style="95" customWidth="1"/>
    <col min="14324" max="14324" width="38" style="95" customWidth="1"/>
    <col min="14325" max="14325" width="11.42578125" style="95" customWidth="1"/>
    <col min="14326" max="14326" width="10.42578125" style="95" customWidth="1"/>
    <col min="14327" max="14327" width="11.42578125" style="95" customWidth="1"/>
    <col min="14328" max="14328" width="9.140625" style="95"/>
    <col min="14329" max="14329" width="17.28515625" style="95" customWidth="1"/>
    <col min="14330" max="14330" width="11.28515625" style="95" customWidth="1"/>
    <col min="14331" max="14331" width="11.140625" style="95" customWidth="1"/>
    <col min="14332" max="14332" width="8.140625" style="95" customWidth="1"/>
    <col min="14333" max="14333" width="12" style="95" customWidth="1"/>
    <col min="14334" max="14334" width="11" style="95" customWidth="1"/>
    <col min="14335" max="14335" width="11.7109375" style="95" customWidth="1"/>
    <col min="14336" max="14336" width="8.5703125" style="95" customWidth="1"/>
    <col min="14337" max="14337" width="10.85546875" style="95" customWidth="1"/>
    <col min="14338" max="14338" width="12.85546875" style="95" customWidth="1"/>
    <col min="14339" max="14339" width="12.140625" style="95" customWidth="1"/>
    <col min="14340" max="14340" width="11.28515625" style="95" customWidth="1"/>
    <col min="14341" max="14578" width="9.140625" style="95"/>
    <col min="14579" max="14579" width="14.7109375" style="95" customWidth="1"/>
    <col min="14580" max="14580" width="38" style="95" customWidth="1"/>
    <col min="14581" max="14581" width="11.42578125" style="95" customWidth="1"/>
    <col min="14582" max="14582" width="10.42578125" style="95" customWidth="1"/>
    <col min="14583" max="14583" width="11.42578125" style="95" customWidth="1"/>
    <col min="14584" max="14584" width="9.140625" style="95"/>
    <col min="14585" max="14585" width="17.28515625" style="95" customWidth="1"/>
    <col min="14586" max="14586" width="11.28515625" style="95" customWidth="1"/>
    <col min="14587" max="14587" width="11.140625" style="95" customWidth="1"/>
    <col min="14588" max="14588" width="8.140625" style="95" customWidth="1"/>
    <col min="14589" max="14589" width="12" style="95" customWidth="1"/>
    <col min="14590" max="14590" width="11" style="95" customWidth="1"/>
    <col min="14591" max="14591" width="11.7109375" style="95" customWidth="1"/>
    <col min="14592" max="14592" width="8.5703125" style="95" customWidth="1"/>
    <col min="14593" max="14593" width="10.85546875" style="95" customWidth="1"/>
    <col min="14594" max="14594" width="12.85546875" style="95" customWidth="1"/>
    <col min="14595" max="14595" width="12.140625" style="95" customWidth="1"/>
    <col min="14596" max="14596" width="11.28515625" style="95" customWidth="1"/>
    <col min="14597" max="14834" width="9.140625" style="95"/>
    <col min="14835" max="14835" width="14.7109375" style="95" customWidth="1"/>
    <col min="14836" max="14836" width="38" style="95" customWidth="1"/>
    <col min="14837" max="14837" width="11.42578125" style="95" customWidth="1"/>
    <col min="14838" max="14838" width="10.42578125" style="95" customWidth="1"/>
    <col min="14839" max="14839" width="11.42578125" style="95" customWidth="1"/>
    <col min="14840" max="14840" width="9.140625" style="95"/>
    <col min="14841" max="14841" width="17.28515625" style="95" customWidth="1"/>
    <col min="14842" max="14842" width="11.28515625" style="95" customWidth="1"/>
    <col min="14843" max="14843" width="11.140625" style="95" customWidth="1"/>
    <col min="14844" max="14844" width="8.140625" style="95" customWidth="1"/>
    <col min="14845" max="14845" width="12" style="95" customWidth="1"/>
    <col min="14846" max="14846" width="11" style="95" customWidth="1"/>
    <col min="14847" max="14847" width="11.7109375" style="95" customWidth="1"/>
    <col min="14848" max="14848" width="8.5703125" style="95" customWidth="1"/>
    <col min="14849" max="14849" width="10.85546875" style="95" customWidth="1"/>
    <col min="14850" max="14850" width="12.85546875" style="95" customWidth="1"/>
    <col min="14851" max="14851" width="12.140625" style="95" customWidth="1"/>
    <col min="14852" max="14852" width="11.28515625" style="95" customWidth="1"/>
    <col min="14853" max="15090" width="9.140625" style="95"/>
    <col min="15091" max="15091" width="14.7109375" style="95" customWidth="1"/>
    <col min="15092" max="15092" width="38" style="95" customWidth="1"/>
    <col min="15093" max="15093" width="11.42578125" style="95" customWidth="1"/>
    <col min="15094" max="15094" width="10.42578125" style="95" customWidth="1"/>
    <col min="15095" max="15095" width="11.42578125" style="95" customWidth="1"/>
    <col min="15096" max="15096" width="9.140625" style="95"/>
    <col min="15097" max="15097" width="17.28515625" style="95" customWidth="1"/>
    <col min="15098" max="15098" width="11.28515625" style="95" customWidth="1"/>
    <col min="15099" max="15099" width="11.140625" style="95" customWidth="1"/>
    <col min="15100" max="15100" width="8.140625" style="95" customWidth="1"/>
    <col min="15101" max="15101" width="12" style="95" customWidth="1"/>
    <col min="15102" max="15102" width="11" style="95" customWidth="1"/>
    <col min="15103" max="15103" width="11.7109375" style="95" customWidth="1"/>
    <col min="15104" max="15104" width="8.5703125" style="95" customWidth="1"/>
    <col min="15105" max="15105" width="10.85546875" style="95" customWidth="1"/>
    <col min="15106" max="15106" width="12.85546875" style="95" customWidth="1"/>
    <col min="15107" max="15107" width="12.140625" style="95" customWidth="1"/>
    <col min="15108" max="15108" width="11.28515625" style="95" customWidth="1"/>
    <col min="15109" max="15346" width="9.140625" style="95"/>
    <col min="15347" max="15347" width="14.7109375" style="95" customWidth="1"/>
    <col min="15348" max="15348" width="38" style="95" customWidth="1"/>
    <col min="15349" max="15349" width="11.42578125" style="95" customWidth="1"/>
    <col min="15350" max="15350" width="10.42578125" style="95" customWidth="1"/>
    <col min="15351" max="15351" width="11.42578125" style="95" customWidth="1"/>
    <col min="15352" max="15352" width="9.140625" style="95"/>
    <col min="15353" max="15353" width="17.28515625" style="95" customWidth="1"/>
    <col min="15354" max="15354" width="11.28515625" style="95" customWidth="1"/>
    <col min="15355" max="15355" width="11.140625" style="95" customWidth="1"/>
    <col min="15356" max="15356" width="8.140625" style="95" customWidth="1"/>
    <col min="15357" max="15357" width="12" style="95" customWidth="1"/>
    <col min="15358" max="15358" width="11" style="95" customWidth="1"/>
    <col min="15359" max="15359" width="11.7109375" style="95" customWidth="1"/>
    <col min="15360" max="15360" width="8.5703125" style="95" customWidth="1"/>
    <col min="15361" max="15361" width="10.85546875" style="95" customWidth="1"/>
    <col min="15362" max="15362" width="12.85546875" style="95" customWidth="1"/>
    <col min="15363" max="15363" width="12.140625" style="95" customWidth="1"/>
    <col min="15364" max="15364" width="11.28515625" style="95" customWidth="1"/>
    <col min="15365" max="15602" width="9.140625" style="95"/>
    <col min="15603" max="15603" width="14.7109375" style="95" customWidth="1"/>
    <col min="15604" max="15604" width="38" style="95" customWidth="1"/>
    <col min="15605" max="15605" width="11.42578125" style="95" customWidth="1"/>
    <col min="15606" max="15606" width="10.42578125" style="95" customWidth="1"/>
    <col min="15607" max="15607" width="11.42578125" style="95" customWidth="1"/>
    <col min="15608" max="15608" width="9.140625" style="95"/>
    <col min="15609" max="15609" width="17.28515625" style="95" customWidth="1"/>
    <col min="15610" max="15610" width="11.28515625" style="95" customWidth="1"/>
    <col min="15611" max="15611" width="11.140625" style="95" customWidth="1"/>
    <col min="15612" max="15612" width="8.140625" style="95" customWidth="1"/>
    <col min="15613" max="15613" width="12" style="95" customWidth="1"/>
    <col min="15614" max="15614" width="11" style="95" customWidth="1"/>
    <col min="15615" max="15615" width="11.7109375" style="95" customWidth="1"/>
    <col min="15616" max="15616" width="8.5703125" style="95" customWidth="1"/>
    <col min="15617" max="15617" width="10.85546875" style="95" customWidth="1"/>
    <col min="15618" max="15618" width="12.85546875" style="95" customWidth="1"/>
    <col min="15619" max="15619" width="12.140625" style="95" customWidth="1"/>
    <col min="15620" max="15620" width="11.28515625" style="95" customWidth="1"/>
    <col min="15621" max="15858" width="9.140625" style="95"/>
    <col min="15859" max="15859" width="14.7109375" style="95" customWidth="1"/>
    <col min="15860" max="15860" width="38" style="95" customWidth="1"/>
    <col min="15861" max="15861" width="11.42578125" style="95" customWidth="1"/>
    <col min="15862" max="15862" width="10.42578125" style="95" customWidth="1"/>
    <col min="15863" max="15863" width="11.42578125" style="95" customWidth="1"/>
    <col min="15864" max="15864" width="9.140625" style="95"/>
    <col min="15865" max="15865" width="17.28515625" style="95" customWidth="1"/>
    <col min="15866" max="15866" width="11.28515625" style="95" customWidth="1"/>
    <col min="15867" max="15867" width="11.140625" style="95" customWidth="1"/>
    <col min="15868" max="15868" width="8.140625" style="95" customWidth="1"/>
    <col min="15869" max="15869" width="12" style="95" customWidth="1"/>
    <col min="15870" max="15870" width="11" style="95" customWidth="1"/>
    <col min="15871" max="15871" width="11.7109375" style="95" customWidth="1"/>
    <col min="15872" max="15872" width="8.5703125" style="95" customWidth="1"/>
    <col min="15873" max="15873" width="10.85546875" style="95" customWidth="1"/>
    <col min="15874" max="15874" width="12.85546875" style="95" customWidth="1"/>
    <col min="15875" max="15875" width="12.140625" style="95" customWidth="1"/>
    <col min="15876" max="15876" width="11.28515625" style="95" customWidth="1"/>
    <col min="15877" max="16114" width="9.140625" style="95"/>
    <col min="16115" max="16115" width="14.7109375" style="95" customWidth="1"/>
    <col min="16116" max="16116" width="38" style="95" customWidth="1"/>
    <col min="16117" max="16117" width="11.42578125" style="95" customWidth="1"/>
    <col min="16118" max="16118" width="10.42578125" style="95" customWidth="1"/>
    <col min="16119" max="16119" width="11.42578125" style="95" customWidth="1"/>
    <col min="16120" max="16120" width="9.140625" style="95"/>
    <col min="16121" max="16121" width="17.28515625" style="95" customWidth="1"/>
    <col min="16122" max="16122" width="11.28515625" style="95" customWidth="1"/>
    <col min="16123" max="16123" width="11.140625" style="95" customWidth="1"/>
    <col min="16124" max="16124" width="8.140625" style="95" customWidth="1"/>
    <col min="16125" max="16125" width="12" style="95" customWidth="1"/>
    <col min="16126" max="16126" width="11" style="95" customWidth="1"/>
    <col min="16127" max="16127" width="11.7109375" style="95" customWidth="1"/>
    <col min="16128" max="16128" width="8.5703125" style="95" customWidth="1"/>
    <col min="16129" max="16129" width="10.85546875" style="95" customWidth="1"/>
    <col min="16130" max="16130" width="12.85546875" style="95" customWidth="1"/>
    <col min="16131" max="16131" width="12.140625" style="95" customWidth="1"/>
    <col min="16132" max="16132" width="11.28515625" style="95" customWidth="1"/>
    <col min="16133" max="16384" width="9.140625" style="95"/>
  </cols>
  <sheetData>
    <row r="1" spans="1:11" x14ac:dyDescent="0.2">
      <c r="C1" s="573" t="s">
        <v>2078</v>
      </c>
      <c r="D1" s="573"/>
      <c r="E1" s="573"/>
      <c r="F1" s="573"/>
    </row>
    <row r="2" spans="1:11" ht="15.75" customHeight="1" x14ac:dyDescent="0.2">
      <c r="A2" s="568" t="s">
        <v>2077</v>
      </c>
      <c r="B2" s="568"/>
      <c r="C2" s="568"/>
      <c r="D2" s="568"/>
      <c r="E2" s="568"/>
      <c r="F2" s="568"/>
      <c r="G2" s="95"/>
      <c r="H2" s="95"/>
      <c r="I2" s="95"/>
      <c r="J2" s="95"/>
      <c r="K2" s="95"/>
    </row>
    <row r="3" spans="1:11" ht="10.5" customHeight="1" x14ac:dyDescent="0.2">
      <c r="A3" s="574"/>
      <c r="B3" s="574"/>
      <c r="C3" s="574"/>
      <c r="D3" s="574"/>
      <c r="E3" s="574"/>
      <c r="F3" s="574"/>
      <c r="G3" s="95"/>
      <c r="H3" s="95"/>
      <c r="I3" s="95"/>
      <c r="J3" s="95"/>
      <c r="K3" s="95"/>
    </row>
    <row r="4" spans="1:11" ht="35.25" customHeight="1" x14ac:dyDescent="0.2">
      <c r="A4" s="569" t="s">
        <v>174</v>
      </c>
      <c r="B4" s="569"/>
      <c r="C4" s="529" t="s">
        <v>1984</v>
      </c>
      <c r="D4" s="570" t="s">
        <v>1985</v>
      </c>
      <c r="E4" s="527" t="s">
        <v>175</v>
      </c>
      <c r="F4" s="571" t="s">
        <v>1981</v>
      </c>
      <c r="G4" s="95"/>
      <c r="H4" s="95"/>
      <c r="I4" s="95"/>
      <c r="J4" s="95"/>
      <c r="K4" s="95"/>
    </row>
    <row r="5" spans="1:11" ht="90.75" customHeight="1" x14ac:dyDescent="0.2">
      <c r="A5" s="52" t="s">
        <v>176</v>
      </c>
      <c r="B5" s="52" t="s">
        <v>177</v>
      </c>
      <c r="C5" s="530"/>
      <c r="D5" s="570"/>
      <c r="E5" s="528"/>
      <c r="F5" s="572"/>
      <c r="G5" s="95"/>
      <c r="H5" s="95"/>
      <c r="I5" s="95"/>
      <c r="J5" s="95"/>
      <c r="K5" s="95"/>
    </row>
    <row r="6" spans="1:11" ht="15" customHeight="1" x14ac:dyDescent="0.2">
      <c r="A6" s="50"/>
      <c r="B6" s="157"/>
      <c r="C6" s="157"/>
      <c r="D6" s="157"/>
      <c r="E6" s="157"/>
      <c r="F6" s="63"/>
      <c r="G6" s="95"/>
      <c r="H6" s="95"/>
      <c r="I6" s="95"/>
      <c r="J6" s="95"/>
      <c r="K6" s="95"/>
    </row>
    <row r="7" spans="1:11" ht="15.75" x14ac:dyDescent="0.25">
      <c r="A7" s="137" t="s">
        <v>1113</v>
      </c>
      <c r="B7" s="138"/>
      <c r="C7" s="138"/>
      <c r="D7" s="138"/>
      <c r="E7" s="138"/>
      <c r="F7" s="332"/>
    </row>
    <row r="8" spans="1:11" ht="19.5" customHeight="1" x14ac:dyDescent="0.25">
      <c r="A8" s="525" t="s">
        <v>1114</v>
      </c>
      <c r="B8" s="525" t="s">
        <v>1115</v>
      </c>
      <c r="C8" s="53"/>
      <c r="D8" s="53"/>
      <c r="E8" s="333"/>
      <c r="F8" s="332"/>
    </row>
    <row r="9" spans="1:11" ht="19.5" customHeight="1" x14ac:dyDescent="0.25">
      <c r="A9" s="531"/>
      <c r="B9" s="531"/>
      <c r="C9" s="145">
        <v>106</v>
      </c>
      <c r="D9" s="53">
        <v>108</v>
      </c>
      <c r="E9" s="333">
        <v>1977</v>
      </c>
      <c r="F9" s="338">
        <f>2019-E9</f>
        <v>42</v>
      </c>
    </row>
    <row r="10" spans="1:11" ht="19.5" customHeight="1" x14ac:dyDescent="0.25">
      <c r="A10" s="526"/>
      <c r="B10" s="526"/>
      <c r="C10" s="53">
        <v>106</v>
      </c>
      <c r="D10" s="53">
        <v>57</v>
      </c>
      <c r="E10" s="333">
        <v>1977</v>
      </c>
      <c r="F10" s="338">
        <f>2019-E10</f>
        <v>42</v>
      </c>
    </row>
    <row r="11" spans="1:11" ht="19.5" customHeight="1" x14ac:dyDescent="0.25">
      <c r="A11" s="525" t="s">
        <v>1116</v>
      </c>
      <c r="B11" s="525" t="s">
        <v>1117</v>
      </c>
      <c r="C11" s="53"/>
      <c r="D11" s="53"/>
      <c r="E11" s="317"/>
      <c r="F11" s="332"/>
    </row>
    <row r="12" spans="1:11" ht="19.5" customHeight="1" x14ac:dyDescent="0.25">
      <c r="A12" s="531"/>
      <c r="B12" s="531"/>
      <c r="C12" s="145">
        <v>30</v>
      </c>
      <c r="D12" s="53">
        <v>89</v>
      </c>
      <c r="E12" s="317">
        <v>1999</v>
      </c>
      <c r="F12" s="338">
        <f t="shared" ref="F12:F21" si="0">2019-E12</f>
        <v>20</v>
      </c>
      <c r="G12" s="95"/>
      <c r="H12" s="95"/>
      <c r="I12" s="95"/>
      <c r="J12" s="95"/>
      <c r="K12" s="95"/>
    </row>
    <row r="13" spans="1:11" ht="19.5" customHeight="1" x14ac:dyDescent="0.25">
      <c r="A13" s="526"/>
      <c r="B13" s="526"/>
      <c r="C13" s="53">
        <v>30</v>
      </c>
      <c r="D13" s="53">
        <v>57</v>
      </c>
      <c r="E13" s="317">
        <v>1999</v>
      </c>
      <c r="F13" s="338">
        <f t="shared" si="0"/>
        <v>20</v>
      </c>
      <c r="G13" s="95"/>
      <c r="H13" s="95"/>
      <c r="I13" s="95"/>
      <c r="J13" s="95"/>
      <c r="K13" s="95"/>
    </row>
    <row r="14" spans="1:11" ht="19.5" customHeight="1" x14ac:dyDescent="0.25">
      <c r="A14" s="525" t="s">
        <v>1118</v>
      </c>
      <c r="B14" s="525" t="s">
        <v>1119</v>
      </c>
      <c r="C14" s="145">
        <v>71</v>
      </c>
      <c r="D14" s="53">
        <v>108</v>
      </c>
      <c r="E14" s="317">
        <v>2001</v>
      </c>
      <c r="F14" s="338">
        <f t="shared" si="0"/>
        <v>18</v>
      </c>
      <c r="G14" s="95"/>
      <c r="H14" s="95"/>
      <c r="I14" s="95"/>
      <c r="J14" s="95"/>
      <c r="K14" s="95"/>
    </row>
    <row r="15" spans="1:11" ht="19.5" customHeight="1" x14ac:dyDescent="0.25">
      <c r="A15" s="531"/>
      <c r="B15" s="531"/>
      <c r="C15" s="53">
        <v>71</v>
      </c>
      <c r="D15" s="53">
        <v>57</v>
      </c>
      <c r="E15" s="317">
        <v>2001</v>
      </c>
      <c r="F15" s="338">
        <f t="shared" si="0"/>
        <v>18</v>
      </c>
      <c r="G15" s="95"/>
      <c r="H15" s="95"/>
      <c r="I15" s="95"/>
      <c r="J15" s="95"/>
      <c r="K15" s="95"/>
    </row>
    <row r="16" spans="1:11" ht="19.5" customHeight="1" x14ac:dyDescent="0.25">
      <c r="A16" s="525" t="s">
        <v>1120</v>
      </c>
      <c r="B16" s="525" t="s">
        <v>1121</v>
      </c>
      <c r="C16" s="145">
        <v>22</v>
      </c>
      <c r="D16" s="53">
        <v>108</v>
      </c>
      <c r="E16" s="317">
        <v>2001</v>
      </c>
      <c r="F16" s="338">
        <f t="shared" si="0"/>
        <v>18</v>
      </c>
      <c r="G16" s="95"/>
      <c r="H16" s="95"/>
      <c r="I16" s="95"/>
      <c r="J16" s="95"/>
      <c r="K16" s="95"/>
    </row>
    <row r="17" spans="1:11" ht="19.5" customHeight="1" x14ac:dyDescent="0.25">
      <c r="A17" s="526"/>
      <c r="B17" s="526"/>
      <c r="C17" s="53">
        <v>22</v>
      </c>
      <c r="D17" s="53">
        <v>57</v>
      </c>
      <c r="E17" s="317">
        <v>2001</v>
      </c>
      <c r="F17" s="338">
        <f t="shared" si="0"/>
        <v>18</v>
      </c>
      <c r="G17" s="95"/>
      <c r="H17" s="95"/>
      <c r="I17" s="95"/>
      <c r="J17" s="95"/>
      <c r="K17" s="95"/>
    </row>
    <row r="18" spans="1:11" ht="19.5" customHeight="1" x14ac:dyDescent="0.25">
      <c r="A18" s="525" t="s">
        <v>1122</v>
      </c>
      <c r="B18" s="525" t="s">
        <v>1123</v>
      </c>
      <c r="C18" s="145">
        <v>15</v>
      </c>
      <c r="D18" s="53">
        <v>89</v>
      </c>
      <c r="E18" s="317">
        <v>2001</v>
      </c>
      <c r="F18" s="338">
        <f t="shared" si="0"/>
        <v>18</v>
      </c>
      <c r="G18" s="95"/>
      <c r="H18" s="95"/>
      <c r="I18" s="95"/>
      <c r="J18" s="95"/>
      <c r="K18" s="95"/>
    </row>
    <row r="19" spans="1:11" ht="19.5" customHeight="1" x14ac:dyDescent="0.25">
      <c r="A19" s="526"/>
      <c r="B19" s="526"/>
      <c r="C19" s="53">
        <v>15</v>
      </c>
      <c r="D19" s="53">
        <v>57</v>
      </c>
      <c r="E19" s="317">
        <v>2001</v>
      </c>
      <c r="F19" s="338">
        <f t="shared" si="0"/>
        <v>18</v>
      </c>
      <c r="G19" s="95"/>
      <c r="H19" s="95"/>
      <c r="I19" s="95"/>
      <c r="J19" s="95"/>
      <c r="K19" s="95"/>
    </row>
    <row r="20" spans="1:11" ht="19.5" customHeight="1" x14ac:dyDescent="0.25">
      <c r="A20" s="525" t="s">
        <v>1124</v>
      </c>
      <c r="B20" s="525" t="s">
        <v>1125</v>
      </c>
      <c r="C20" s="145">
        <v>31</v>
      </c>
      <c r="D20" s="53">
        <v>89</v>
      </c>
      <c r="E20" s="317">
        <v>1977</v>
      </c>
      <c r="F20" s="338">
        <f t="shared" si="0"/>
        <v>42</v>
      </c>
      <c r="G20" s="95"/>
      <c r="H20" s="95"/>
      <c r="I20" s="95"/>
      <c r="J20" s="95"/>
      <c r="K20" s="95"/>
    </row>
    <row r="21" spans="1:11" ht="19.5" customHeight="1" x14ac:dyDescent="0.25">
      <c r="A21" s="526"/>
      <c r="B21" s="526"/>
      <c r="C21" s="53">
        <v>31</v>
      </c>
      <c r="D21" s="53">
        <v>89</v>
      </c>
      <c r="E21" s="317">
        <v>1977</v>
      </c>
      <c r="F21" s="338">
        <f t="shared" si="0"/>
        <v>42</v>
      </c>
      <c r="G21" s="95"/>
      <c r="H21" s="95"/>
      <c r="I21" s="95"/>
      <c r="J21" s="95"/>
      <c r="K21" s="95"/>
    </row>
    <row r="22" spans="1:11" ht="19.5" customHeight="1" x14ac:dyDescent="0.25">
      <c r="A22" s="525" t="s">
        <v>276</v>
      </c>
      <c r="B22" s="525" t="s">
        <v>1126</v>
      </c>
      <c r="C22" s="53"/>
      <c r="D22" s="53"/>
      <c r="E22" s="317"/>
      <c r="F22" s="332"/>
      <c r="G22" s="95"/>
      <c r="H22" s="95"/>
      <c r="I22" s="95"/>
      <c r="J22" s="95"/>
      <c r="K22" s="95"/>
    </row>
    <row r="23" spans="1:11" ht="19.5" customHeight="1" x14ac:dyDescent="0.25">
      <c r="A23" s="531"/>
      <c r="B23" s="531"/>
      <c r="C23" s="145">
        <v>8</v>
      </c>
      <c r="D23" s="145">
        <v>133</v>
      </c>
      <c r="E23" s="317">
        <v>1999</v>
      </c>
      <c r="F23" s="338">
        <f>2019-E23</f>
        <v>20</v>
      </c>
      <c r="G23" s="95"/>
      <c r="H23" s="95"/>
      <c r="I23" s="95"/>
      <c r="J23" s="95"/>
      <c r="K23" s="95"/>
    </row>
    <row r="24" spans="1:11" ht="19.5" customHeight="1" x14ac:dyDescent="0.25">
      <c r="A24" s="525" t="s">
        <v>1127</v>
      </c>
      <c r="B24" s="525" t="s">
        <v>1128</v>
      </c>
      <c r="C24" s="53"/>
      <c r="D24" s="53"/>
      <c r="E24" s="317"/>
      <c r="F24" s="332"/>
      <c r="G24" s="95"/>
      <c r="H24" s="95"/>
      <c r="I24" s="95"/>
      <c r="J24" s="95"/>
      <c r="K24" s="95"/>
    </row>
    <row r="25" spans="1:11" ht="19.5" customHeight="1" x14ac:dyDescent="0.25">
      <c r="A25" s="531"/>
      <c r="B25" s="531"/>
      <c r="C25" s="145">
        <v>54</v>
      </c>
      <c r="D25" s="53">
        <v>108</v>
      </c>
      <c r="E25" s="317">
        <v>1977</v>
      </c>
      <c r="F25" s="338">
        <f t="shared" ref="F25:F26" si="1">2019-E25</f>
        <v>42</v>
      </c>
      <c r="G25" s="95"/>
      <c r="H25" s="95"/>
      <c r="I25" s="95"/>
      <c r="J25" s="95"/>
      <c r="K25" s="95"/>
    </row>
    <row r="26" spans="1:11" ht="19.5" customHeight="1" x14ac:dyDescent="0.25">
      <c r="A26" s="526"/>
      <c r="B26" s="526"/>
      <c r="C26" s="53">
        <v>54</v>
      </c>
      <c r="D26" s="53">
        <v>76</v>
      </c>
      <c r="E26" s="317">
        <v>1977</v>
      </c>
      <c r="F26" s="338">
        <f t="shared" si="1"/>
        <v>42</v>
      </c>
      <c r="G26" s="95"/>
      <c r="H26" s="95"/>
      <c r="I26" s="95"/>
      <c r="J26" s="95"/>
      <c r="K26" s="95"/>
    </row>
    <row r="27" spans="1:11" ht="19.5" customHeight="1" x14ac:dyDescent="0.25">
      <c r="A27" s="525" t="s">
        <v>1127</v>
      </c>
      <c r="B27" s="525" t="s">
        <v>1129</v>
      </c>
      <c r="C27" s="53"/>
      <c r="D27" s="53"/>
      <c r="E27" s="317"/>
      <c r="F27" s="332"/>
      <c r="G27" s="95"/>
      <c r="H27" s="95"/>
      <c r="I27" s="95"/>
      <c r="J27" s="95"/>
      <c r="K27" s="95"/>
    </row>
    <row r="28" spans="1:11" ht="19.5" customHeight="1" x14ac:dyDescent="0.25">
      <c r="A28" s="531"/>
      <c r="B28" s="531"/>
      <c r="C28" s="145">
        <v>16</v>
      </c>
      <c r="D28" s="53">
        <v>133</v>
      </c>
      <c r="E28" s="317">
        <v>1977</v>
      </c>
      <c r="F28" s="338">
        <f t="shared" ref="F28:F29" si="2">2019-E28</f>
        <v>42</v>
      </c>
      <c r="G28" s="95"/>
      <c r="H28" s="95"/>
      <c r="I28" s="95"/>
      <c r="J28" s="95"/>
      <c r="K28" s="95"/>
    </row>
    <row r="29" spans="1:11" ht="19.5" customHeight="1" x14ac:dyDescent="0.25">
      <c r="A29" s="526"/>
      <c r="B29" s="526"/>
      <c r="C29" s="53">
        <v>16</v>
      </c>
      <c r="D29" s="53">
        <v>76</v>
      </c>
      <c r="E29" s="317">
        <v>1977</v>
      </c>
      <c r="F29" s="338">
        <f t="shared" si="2"/>
        <v>42</v>
      </c>
      <c r="G29" s="95"/>
      <c r="H29" s="95"/>
      <c r="I29" s="95"/>
      <c r="J29" s="95"/>
      <c r="K29" s="95"/>
    </row>
    <row r="30" spans="1:11" ht="19.5" customHeight="1" x14ac:dyDescent="0.25">
      <c r="A30" s="525" t="s">
        <v>1114</v>
      </c>
      <c r="B30" s="525" t="s">
        <v>1130</v>
      </c>
      <c r="C30" s="53"/>
      <c r="D30" s="53"/>
      <c r="E30" s="317"/>
      <c r="F30" s="332"/>
      <c r="G30" s="95"/>
      <c r="H30" s="95"/>
      <c r="I30" s="95"/>
      <c r="J30" s="95"/>
      <c r="K30" s="95"/>
    </row>
    <row r="31" spans="1:11" ht="19.5" customHeight="1" x14ac:dyDescent="0.25">
      <c r="A31" s="531"/>
      <c r="B31" s="531"/>
      <c r="C31" s="145">
        <v>91</v>
      </c>
      <c r="D31" s="53">
        <v>108</v>
      </c>
      <c r="E31" s="317">
        <v>1978</v>
      </c>
      <c r="F31" s="338">
        <f t="shared" ref="F31:F32" si="3">2019-E31</f>
        <v>41</v>
      </c>
      <c r="G31" s="95"/>
      <c r="H31" s="95"/>
      <c r="I31" s="95"/>
      <c r="J31" s="95"/>
      <c r="K31" s="95"/>
    </row>
    <row r="32" spans="1:11" ht="19.5" customHeight="1" x14ac:dyDescent="0.25">
      <c r="A32" s="526"/>
      <c r="B32" s="526"/>
      <c r="C32" s="53">
        <v>91</v>
      </c>
      <c r="D32" s="53">
        <v>57</v>
      </c>
      <c r="E32" s="317">
        <v>1978</v>
      </c>
      <c r="F32" s="338">
        <f t="shared" si="3"/>
        <v>41</v>
      </c>
      <c r="G32" s="95"/>
      <c r="H32" s="95"/>
      <c r="I32" s="95"/>
      <c r="J32" s="95"/>
      <c r="K32" s="95"/>
    </row>
    <row r="33" spans="1:11" ht="19.5" customHeight="1" x14ac:dyDescent="0.25">
      <c r="A33" s="525" t="s">
        <v>1131</v>
      </c>
      <c r="B33" s="525" t="s">
        <v>1132</v>
      </c>
      <c r="C33" s="53"/>
      <c r="D33" s="53"/>
      <c r="E33" s="317"/>
      <c r="F33" s="332"/>
      <c r="G33" s="95"/>
      <c r="H33" s="95"/>
      <c r="I33" s="95"/>
      <c r="J33" s="95"/>
      <c r="K33" s="95"/>
    </row>
    <row r="34" spans="1:11" ht="19.5" customHeight="1" x14ac:dyDescent="0.25">
      <c r="A34" s="531"/>
      <c r="B34" s="531"/>
      <c r="C34" s="145">
        <v>64</v>
      </c>
      <c r="D34" s="53">
        <v>76</v>
      </c>
      <c r="E34" s="317">
        <v>1977</v>
      </c>
      <c r="F34" s="338">
        <f t="shared" ref="F34:F35" si="4">2019-E34</f>
        <v>42</v>
      </c>
      <c r="G34" s="95"/>
      <c r="H34" s="95"/>
      <c r="I34" s="95"/>
      <c r="J34" s="95"/>
      <c r="K34" s="95"/>
    </row>
    <row r="35" spans="1:11" ht="19.5" customHeight="1" x14ac:dyDescent="0.25">
      <c r="A35" s="526"/>
      <c r="B35" s="526"/>
      <c r="C35" s="53">
        <v>64</v>
      </c>
      <c r="D35" s="53">
        <v>57</v>
      </c>
      <c r="E35" s="317">
        <v>1977</v>
      </c>
      <c r="F35" s="338">
        <f t="shared" si="4"/>
        <v>42</v>
      </c>
      <c r="G35" s="95"/>
      <c r="H35" s="95"/>
      <c r="I35" s="95"/>
      <c r="J35" s="95"/>
      <c r="K35" s="95"/>
    </row>
    <row r="36" spans="1:11" ht="19.5" customHeight="1" x14ac:dyDescent="0.25">
      <c r="A36" s="525" t="s">
        <v>1114</v>
      </c>
      <c r="B36" s="525" t="s">
        <v>1133</v>
      </c>
      <c r="C36" s="53"/>
      <c r="D36" s="53"/>
      <c r="E36" s="317"/>
      <c r="F36" s="332"/>
      <c r="G36" s="95"/>
      <c r="H36" s="95"/>
      <c r="I36" s="95"/>
      <c r="J36" s="95"/>
      <c r="K36" s="95"/>
    </row>
    <row r="37" spans="1:11" ht="19.5" customHeight="1" x14ac:dyDescent="0.25">
      <c r="A37" s="531"/>
      <c r="B37" s="531"/>
      <c r="C37" s="145">
        <v>14</v>
      </c>
      <c r="D37" s="53">
        <v>89</v>
      </c>
      <c r="E37" s="317">
        <v>1978</v>
      </c>
      <c r="F37" s="338">
        <f t="shared" ref="F37:F38" si="5">2019-E37</f>
        <v>41</v>
      </c>
      <c r="G37" s="95"/>
      <c r="H37" s="95"/>
      <c r="I37" s="95"/>
      <c r="J37" s="95"/>
      <c r="K37" s="95"/>
    </row>
    <row r="38" spans="1:11" ht="19.5" customHeight="1" x14ac:dyDescent="0.25">
      <c r="A38" s="526"/>
      <c r="B38" s="526"/>
      <c r="C38" s="53">
        <v>14</v>
      </c>
      <c r="D38" s="53">
        <v>57</v>
      </c>
      <c r="E38" s="317">
        <v>1978</v>
      </c>
      <c r="F38" s="338">
        <f t="shared" si="5"/>
        <v>41</v>
      </c>
      <c r="G38" s="95"/>
      <c r="H38" s="95"/>
      <c r="I38" s="95"/>
      <c r="J38" s="95"/>
      <c r="K38" s="95"/>
    </row>
    <row r="39" spans="1:11" ht="19.5" customHeight="1" x14ac:dyDescent="0.25">
      <c r="A39" s="525" t="s">
        <v>1134</v>
      </c>
      <c r="B39" s="525" t="s">
        <v>1135</v>
      </c>
      <c r="C39" s="53"/>
      <c r="D39" s="53"/>
      <c r="E39" s="317"/>
      <c r="F39" s="332"/>
      <c r="G39" s="95"/>
      <c r="H39" s="95"/>
      <c r="I39" s="95"/>
      <c r="J39" s="95"/>
      <c r="K39" s="95"/>
    </row>
    <row r="40" spans="1:11" ht="19.5" customHeight="1" x14ac:dyDescent="0.25">
      <c r="A40" s="531"/>
      <c r="B40" s="531"/>
      <c r="C40" s="145">
        <v>90</v>
      </c>
      <c r="D40" s="53">
        <v>76</v>
      </c>
      <c r="E40" s="317">
        <v>1978</v>
      </c>
      <c r="F40" s="338">
        <f t="shared" ref="F40:F41" si="6">2019-E40</f>
        <v>41</v>
      </c>
      <c r="G40" s="95"/>
      <c r="H40" s="95"/>
      <c r="I40" s="95"/>
      <c r="J40" s="95"/>
      <c r="K40" s="95"/>
    </row>
    <row r="41" spans="1:11" ht="19.5" customHeight="1" x14ac:dyDescent="0.25">
      <c r="A41" s="526"/>
      <c r="B41" s="526"/>
      <c r="C41" s="53">
        <v>90</v>
      </c>
      <c r="D41" s="53">
        <v>57</v>
      </c>
      <c r="E41" s="317">
        <v>2008</v>
      </c>
      <c r="F41" s="338">
        <f t="shared" si="6"/>
        <v>11</v>
      </c>
      <c r="G41" s="95"/>
      <c r="H41" s="95"/>
      <c r="I41" s="95"/>
      <c r="J41" s="95"/>
      <c r="K41" s="95"/>
    </row>
    <row r="42" spans="1:11" ht="19.5" customHeight="1" x14ac:dyDescent="0.25">
      <c r="A42" s="525" t="s">
        <v>1136</v>
      </c>
      <c r="B42" s="525" t="s">
        <v>1137</v>
      </c>
      <c r="C42" s="53"/>
      <c r="D42" s="53"/>
      <c r="E42" s="317"/>
      <c r="F42" s="332"/>
      <c r="G42" s="95"/>
      <c r="H42" s="95"/>
      <c r="I42" s="95"/>
      <c r="J42" s="95"/>
      <c r="K42" s="95"/>
    </row>
    <row r="43" spans="1:11" ht="19.5" customHeight="1" x14ac:dyDescent="0.25">
      <c r="A43" s="531"/>
      <c r="B43" s="531"/>
      <c r="C43" s="145">
        <v>121</v>
      </c>
      <c r="D43" s="53">
        <v>89</v>
      </c>
      <c r="E43" s="317">
        <v>1979</v>
      </c>
      <c r="F43" s="338">
        <f t="shared" ref="F43:F44" si="7">2019-E43</f>
        <v>40</v>
      </c>
      <c r="G43" s="95"/>
      <c r="H43" s="95"/>
      <c r="I43" s="95"/>
      <c r="J43" s="95"/>
      <c r="K43" s="95"/>
    </row>
    <row r="44" spans="1:11" ht="19.5" customHeight="1" x14ac:dyDescent="0.25">
      <c r="A44" s="526"/>
      <c r="B44" s="526"/>
      <c r="C44" s="53">
        <v>121</v>
      </c>
      <c r="D44" s="53">
        <v>57</v>
      </c>
      <c r="E44" s="317">
        <v>1979</v>
      </c>
      <c r="F44" s="338">
        <f t="shared" si="7"/>
        <v>40</v>
      </c>
      <c r="G44" s="95"/>
      <c r="H44" s="95"/>
      <c r="I44" s="95"/>
      <c r="J44" s="95"/>
      <c r="K44" s="95"/>
    </row>
    <row r="45" spans="1:11" ht="15.75" x14ac:dyDescent="0.25">
      <c r="A45" s="146"/>
      <c r="B45" s="147"/>
      <c r="C45" s="147">
        <f>SUM(C8:C44)</f>
        <v>1458</v>
      </c>
      <c r="D45" s="147"/>
      <c r="E45" s="147"/>
      <c r="F45" s="332"/>
      <c r="G45" s="95"/>
      <c r="H45" s="95"/>
      <c r="I45" s="95"/>
      <c r="J45" s="95"/>
      <c r="K45" s="95"/>
    </row>
    <row r="46" spans="1:11" ht="15.75" x14ac:dyDescent="0.25">
      <c r="A46" s="137" t="s">
        <v>1138</v>
      </c>
      <c r="B46" s="138"/>
      <c r="C46" s="138"/>
      <c r="D46" s="138"/>
      <c r="E46" s="138"/>
      <c r="F46" s="332"/>
      <c r="G46" s="95"/>
      <c r="H46" s="95"/>
      <c r="I46" s="95"/>
      <c r="J46" s="95"/>
      <c r="K46" s="95"/>
    </row>
    <row r="47" spans="1:11" ht="21.75" customHeight="1" x14ac:dyDescent="0.25">
      <c r="A47" s="525" t="s">
        <v>246</v>
      </c>
      <c r="B47" s="525" t="s">
        <v>1139</v>
      </c>
      <c r="C47" s="145">
        <v>19</v>
      </c>
      <c r="D47" s="53">
        <v>133</v>
      </c>
      <c r="E47" s="317">
        <v>1985</v>
      </c>
      <c r="F47" s="338">
        <f t="shared" ref="F47:F48" si="8">2019-E47</f>
        <v>34</v>
      </c>
      <c r="G47" s="95"/>
      <c r="H47" s="95"/>
      <c r="I47" s="95"/>
      <c r="J47" s="95"/>
      <c r="K47" s="95"/>
    </row>
    <row r="48" spans="1:11" ht="21.75" customHeight="1" x14ac:dyDescent="0.25">
      <c r="A48" s="526"/>
      <c r="B48" s="526"/>
      <c r="C48" s="53">
        <v>19</v>
      </c>
      <c r="D48" s="53">
        <v>89</v>
      </c>
      <c r="E48" s="317">
        <v>1985</v>
      </c>
      <c r="F48" s="338">
        <f t="shared" si="8"/>
        <v>34</v>
      </c>
      <c r="G48" s="95"/>
      <c r="H48" s="95"/>
      <c r="I48" s="95"/>
      <c r="J48" s="95"/>
      <c r="K48" s="95"/>
    </row>
    <row r="49" spans="1:11" ht="21.75" customHeight="1" x14ac:dyDescent="0.25">
      <c r="A49" s="96" t="s">
        <v>235</v>
      </c>
      <c r="B49" s="96" t="s">
        <v>1140</v>
      </c>
      <c r="C49" s="53"/>
      <c r="D49" s="53"/>
      <c r="E49" s="317"/>
      <c r="F49" s="332"/>
      <c r="G49" s="95"/>
      <c r="H49" s="95"/>
      <c r="I49" s="95"/>
      <c r="J49" s="95"/>
      <c r="K49" s="95"/>
    </row>
    <row r="50" spans="1:11" ht="36.75" customHeight="1" x14ac:dyDescent="0.25">
      <c r="A50" s="91" t="s">
        <v>1141</v>
      </c>
      <c r="B50" s="91" t="s">
        <v>1142</v>
      </c>
      <c r="C50" s="53"/>
      <c r="D50" s="53"/>
      <c r="E50" s="317"/>
      <c r="F50" s="332"/>
      <c r="G50" s="95"/>
      <c r="H50" s="95"/>
      <c r="I50" s="95"/>
      <c r="J50" s="95"/>
      <c r="K50" s="95"/>
    </row>
    <row r="51" spans="1:11" ht="27" customHeight="1" x14ac:dyDescent="0.25">
      <c r="A51" s="525" t="s">
        <v>1143</v>
      </c>
      <c r="B51" s="525" t="s">
        <v>1144</v>
      </c>
      <c r="C51" s="145">
        <v>75</v>
      </c>
      <c r="D51" s="53">
        <v>133</v>
      </c>
      <c r="E51" s="317">
        <v>1985</v>
      </c>
      <c r="F51" s="338">
        <f t="shared" ref="F51:F52" si="9">2019-E51</f>
        <v>34</v>
      </c>
      <c r="G51" s="95"/>
      <c r="H51" s="95"/>
      <c r="I51" s="95"/>
      <c r="J51" s="95"/>
      <c r="K51" s="95"/>
    </row>
    <row r="52" spans="1:11" ht="27" customHeight="1" x14ac:dyDescent="0.25">
      <c r="A52" s="526"/>
      <c r="B52" s="526"/>
      <c r="C52" s="53">
        <v>75</v>
      </c>
      <c r="D52" s="53">
        <v>89</v>
      </c>
      <c r="E52" s="317">
        <v>1985</v>
      </c>
      <c r="F52" s="338">
        <f t="shared" si="9"/>
        <v>34</v>
      </c>
      <c r="G52" s="95"/>
      <c r="H52" s="95"/>
      <c r="I52" s="95"/>
      <c r="J52" s="95"/>
      <c r="K52" s="95"/>
    </row>
    <row r="53" spans="1:11" ht="21.75" customHeight="1" x14ac:dyDescent="0.25">
      <c r="A53" s="525" t="s">
        <v>1145</v>
      </c>
      <c r="B53" s="525" t="s">
        <v>1146</v>
      </c>
      <c r="C53" s="53"/>
      <c r="D53" s="53"/>
      <c r="E53" s="317"/>
      <c r="F53" s="332"/>
      <c r="G53" s="95"/>
      <c r="H53" s="95"/>
      <c r="I53" s="95"/>
      <c r="J53" s="95"/>
      <c r="K53" s="95"/>
    </row>
    <row r="54" spans="1:11" ht="21.75" customHeight="1" x14ac:dyDescent="0.25">
      <c r="A54" s="531"/>
      <c r="B54" s="531"/>
      <c r="C54" s="145">
        <v>61</v>
      </c>
      <c r="D54" s="53">
        <v>89</v>
      </c>
      <c r="E54" s="317">
        <v>1985</v>
      </c>
      <c r="F54" s="338">
        <f t="shared" ref="F54:F55" si="10">2019-E54</f>
        <v>34</v>
      </c>
      <c r="G54" s="95"/>
      <c r="H54" s="95"/>
      <c r="I54" s="95"/>
      <c r="J54" s="95"/>
      <c r="K54" s="95"/>
    </row>
    <row r="55" spans="1:11" ht="21.75" customHeight="1" x14ac:dyDescent="0.25">
      <c r="A55" s="526"/>
      <c r="B55" s="526"/>
      <c r="C55" s="53">
        <v>61</v>
      </c>
      <c r="D55" s="53">
        <v>57</v>
      </c>
      <c r="E55" s="317">
        <v>1985</v>
      </c>
      <c r="F55" s="338">
        <f t="shared" si="10"/>
        <v>34</v>
      </c>
      <c r="G55" s="95"/>
      <c r="H55" s="95"/>
      <c r="I55" s="95"/>
      <c r="J55" s="95"/>
      <c r="K55" s="95"/>
    </row>
    <row r="56" spans="1:11" ht="21.75" customHeight="1" x14ac:dyDescent="0.25">
      <c r="A56" s="525" t="s">
        <v>1147</v>
      </c>
      <c r="B56" s="525" t="s">
        <v>1148</v>
      </c>
      <c r="C56" s="53"/>
      <c r="D56" s="53"/>
      <c r="E56" s="317"/>
      <c r="F56" s="332"/>
      <c r="G56" s="95"/>
      <c r="H56" s="95"/>
      <c r="I56" s="95"/>
      <c r="J56" s="95"/>
      <c r="K56" s="95"/>
    </row>
    <row r="57" spans="1:11" ht="21.75" customHeight="1" x14ac:dyDescent="0.25">
      <c r="A57" s="531"/>
      <c r="B57" s="531"/>
      <c r="C57" s="145">
        <v>43</v>
      </c>
      <c r="D57" s="53">
        <v>89</v>
      </c>
      <c r="E57" s="317">
        <v>1985</v>
      </c>
      <c r="F57" s="338">
        <f t="shared" ref="F57:F58" si="11">2019-E57</f>
        <v>34</v>
      </c>
      <c r="G57" s="95"/>
      <c r="H57" s="95"/>
      <c r="I57" s="95"/>
      <c r="J57" s="95"/>
      <c r="K57" s="95"/>
    </row>
    <row r="58" spans="1:11" ht="21.75" customHeight="1" x14ac:dyDescent="0.25">
      <c r="A58" s="526"/>
      <c r="B58" s="526"/>
      <c r="C58" s="53">
        <v>43</v>
      </c>
      <c r="D58" s="53">
        <v>57</v>
      </c>
      <c r="E58" s="317">
        <v>1985</v>
      </c>
      <c r="F58" s="338">
        <f t="shared" si="11"/>
        <v>34</v>
      </c>
      <c r="G58" s="95"/>
      <c r="H58" s="95"/>
      <c r="I58" s="95"/>
      <c r="J58" s="95"/>
      <c r="K58" s="95"/>
    </row>
    <row r="59" spans="1:11" ht="21.75" customHeight="1" x14ac:dyDescent="0.25">
      <c r="A59" s="525" t="s">
        <v>1149</v>
      </c>
      <c r="B59" s="525" t="s">
        <v>1150</v>
      </c>
      <c r="C59" s="53"/>
      <c r="D59" s="53"/>
      <c r="E59" s="317"/>
      <c r="F59" s="332"/>
      <c r="G59" s="95"/>
      <c r="H59" s="95"/>
      <c r="I59" s="95"/>
      <c r="J59" s="95"/>
      <c r="K59" s="95"/>
    </row>
    <row r="60" spans="1:11" ht="21.75" customHeight="1" x14ac:dyDescent="0.25">
      <c r="A60" s="531"/>
      <c r="B60" s="531"/>
      <c r="C60" s="145">
        <v>84</v>
      </c>
      <c r="D60" s="53">
        <v>89</v>
      </c>
      <c r="E60" s="317">
        <v>1985</v>
      </c>
      <c r="F60" s="338">
        <f t="shared" ref="F60:F61" si="12">2019-E60</f>
        <v>34</v>
      </c>
      <c r="G60" s="95"/>
      <c r="H60" s="95"/>
      <c r="I60" s="95"/>
      <c r="J60" s="95"/>
      <c r="K60" s="95"/>
    </row>
    <row r="61" spans="1:11" ht="21.75" customHeight="1" x14ac:dyDescent="0.25">
      <c r="A61" s="526"/>
      <c r="B61" s="526"/>
      <c r="C61" s="53">
        <v>84</v>
      </c>
      <c r="D61" s="53">
        <v>57</v>
      </c>
      <c r="E61" s="317">
        <v>1985</v>
      </c>
      <c r="F61" s="338">
        <f t="shared" si="12"/>
        <v>34</v>
      </c>
      <c r="G61" s="95"/>
      <c r="H61" s="95"/>
      <c r="I61" s="95"/>
      <c r="J61" s="95"/>
      <c r="K61" s="95"/>
    </row>
    <row r="62" spans="1:11" ht="21.75" customHeight="1" x14ac:dyDescent="0.25">
      <c r="A62" s="525" t="s">
        <v>256</v>
      </c>
      <c r="B62" s="525" t="s">
        <v>1151</v>
      </c>
      <c r="C62" s="53"/>
      <c r="D62" s="53"/>
      <c r="E62" s="317"/>
      <c r="F62" s="332"/>
      <c r="G62" s="95"/>
      <c r="H62" s="95"/>
      <c r="I62" s="95"/>
      <c r="J62" s="95"/>
      <c r="K62" s="95"/>
    </row>
    <row r="63" spans="1:11" ht="21.75" customHeight="1" x14ac:dyDescent="0.25">
      <c r="A63" s="531"/>
      <c r="B63" s="531"/>
      <c r="C63" s="145">
        <v>26</v>
      </c>
      <c r="D63" s="53">
        <v>159</v>
      </c>
      <c r="E63" s="317">
        <v>1985</v>
      </c>
      <c r="F63" s="338">
        <f t="shared" ref="F63:F64" si="13">2019-E63</f>
        <v>34</v>
      </c>
      <c r="G63" s="95"/>
      <c r="H63" s="95"/>
      <c r="I63" s="95"/>
      <c r="J63" s="95"/>
      <c r="K63" s="95"/>
    </row>
    <row r="64" spans="1:11" ht="21.75" customHeight="1" x14ac:dyDescent="0.25">
      <c r="A64" s="526"/>
      <c r="B64" s="526"/>
      <c r="C64" s="53">
        <v>26</v>
      </c>
      <c r="D64" s="53">
        <v>89</v>
      </c>
      <c r="E64" s="317">
        <v>1985</v>
      </c>
      <c r="F64" s="338">
        <f t="shared" si="13"/>
        <v>34</v>
      </c>
      <c r="G64" s="95"/>
      <c r="H64" s="95"/>
      <c r="I64" s="95"/>
      <c r="J64" s="95"/>
      <c r="K64" s="95"/>
    </row>
    <row r="65" spans="1:11" ht="21.75" customHeight="1" x14ac:dyDescent="0.25">
      <c r="A65" s="91" t="s">
        <v>276</v>
      </c>
      <c r="B65" s="91" t="s">
        <v>1152</v>
      </c>
      <c r="C65" s="53"/>
      <c r="D65" s="53"/>
      <c r="E65" s="317"/>
      <c r="F65" s="332"/>
      <c r="G65" s="95"/>
      <c r="H65" s="95"/>
      <c r="I65" s="95"/>
      <c r="J65" s="95"/>
      <c r="K65" s="95"/>
    </row>
    <row r="66" spans="1:11" ht="21.75" customHeight="1" x14ac:dyDescent="0.25">
      <c r="A66" s="525" t="s">
        <v>235</v>
      </c>
      <c r="B66" s="525" t="s">
        <v>1153</v>
      </c>
      <c r="C66" s="145">
        <v>30</v>
      </c>
      <c r="D66" s="53">
        <v>133</v>
      </c>
      <c r="E66" s="317">
        <v>1985</v>
      </c>
      <c r="F66" s="338">
        <f t="shared" ref="F66:F67" si="14">2019-E66</f>
        <v>34</v>
      </c>
      <c r="G66" s="95"/>
      <c r="H66" s="95"/>
      <c r="I66" s="95"/>
      <c r="J66" s="95"/>
      <c r="K66" s="95"/>
    </row>
    <row r="67" spans="1:11" ht="21.75" customHeight="1" x14ac:dyDescent="0.25">
      <c r="A67" s="526"/>
      <c r="B67" s="526"/>
      <c r="C67" s="53">
        <v>30</v>
      </c>
      <c r="D67" s="53">
        <v>89</v>
      </c>
      <c r="E67" s="317">
        <v>1985</v>
      </c>
      <c r="F67" s="338">
        <f t="shared" si="14"/>
        <v>34</v>
      </c>
      <c r="G67" s="95"/>
      <c r="H67" s="95"/>
      <c r="I67" s="95"/>
      <c r="J67" s="95"/>
      <c r="K67" s="95"/>
    </row>
    <row r="68" spans="1:11" ht="21.75" customHeight="1" x14ac:dyDescent="0.25">
      <c r="A68" s="525" t="s">
        <v>1152</v>
      </c>
      <c r="B68" s="525" t="s">
        <v>1154</v>
      </c>
      <c r="C68" s="53"/>
      <c r="D68" s="53"/>
      <c r="E68" s="317"/>
      <c r="F68" s="332"/>
      <c r="G68" s="95"/>
      <c r="H68" s="95"/>
      <c r="I68" s="95"/>
      <c r="J68" s="95"/>
      <c r="K68" s="95"/>
    </row>
    <row r="69" spans="1:11" ht="21.75" customHeight="1" x14ac:dyDescent="0.25">
      <c r="A69" s="526"/>
      <c r="B69" s="526"/>
      <c r="C69" s="145">
        <f>9*2</f>
        <v>18</v>
      </c>
      <c r="D69" s="145">
        <v>89</v>
      </c>
      <c r="E69" s="317">
        <v>1985</v>
      </c>
      <c r="F69" s="338">
        <f>2019-E69</f>
        <v>34</v>
      </c>
      <c r="G69" s="95"/>
      <c r="H69" s="95"/>
      <c r="I69" s="95"/>
      <c r="J69" s="95"/>
      <c r="K69" s="95"/>
    </row>
    <row r="70" spans="1:11" ht="21.75" customHeight="1" x14ac:dyDescent="0.25">
      <c r="A70" s="525" t="s">
        <v>612</v>
      </c>
      <c r="B70" s="525" t="s">
        <v>1155</v>
      </c>
      <c r="C70" s="53"/>
      <c r="D70" s="53"/>
      <c r="E70" s="317"/>
      <c r="F70" s="332"/>
      <c r="G70" s="95"/>
      <c r="H70" s="95"/>
      <c r="I70" s="95"/>
      <c r="J70" s="95"/>
      <c r="K70" s="95"/>
    </row>
    <row r="71" spans="1:11" ht="21.75" customHeight="1" x14ac:dyDescent="0.25">
      <c r="A71" s="526"/>
      <c r="B71" s="526"/>
      <c r="C71" s="145">
        <f>29*2</f>
        <v>58</v>
      </c>
      <c r="D71" s="145">
        <v>89</v>
      </c>
      <c r="E71" s="317">
        <v>1987</v>
      </c>
      <c r="F71" s="338">
        <f>2019-E71</f>
        <v>32</v>
      </c>
      <c r="G71" s="95"/>
      <c r="H71" s="95"/>
      <c r="I71" s="95"/>
      <c r="J71" s="95"/>
      <c r="K71" s="95"/>
    </row>
    <row r="72" spans="1:11" ht="21.75" customHeight="1" x14ac:dyDescent="0.25">
      <c r="A72" s="525" t="s">
        <v>1156</v>
      </c>
      <c r="B72" s="525" t="s">
        <v>1157</v>
      </c>
      <c r="C72" s="53"/>
      <c r="D72" s="53"/>
      <c r="E72" s="317"/>
      <c r="F72" s="332"/>
      <c r="G72" s="95"/>
      <c r="H72" s="95"/>
      <c r="I72" s="95"/>
      <c r="J72" s="95"/>
      <c r="K72" s="95"/>
    </row>
    <row r="73" spans="1:11" ht="21.75" customHeight="1" x14ac:dyDescent="0.25">
      <c r="A73" s="531"/>
      <c r="B73" s="531"/>
      <c r="C73" s="145">
        <v>22</v>
      </c>
      <c r="D73" s="53">
        <v>32</v>
      </c>
      <c r="E73" s="317">
        <v>1985</v>
      </c>
      <c r="F73" s="338">
        <f t="shared" ref="F73:F74" si="15">2019-E73</f>
        <v>34</v>
      </c>
      <c r="G73" s="95"/>
      <c r="H73" s="95"/>
      <c r="I73" s="95"/>
      <c r="J73" s="95"/>
      <c r="K73" s="95"/>
    </row>
    <row r="74" spans="1:11" ht="21.75" customHeight="1" x14ac:dyDescent="0.25">
      <c r="A74" s="526"/>
      <c r="B74" s="526"/>
      <c r="C74" s="53">
        <v>22</v>
      </c>
      <c r="D74" s="53">
        <v>25</v>
      </c>
      <c r="E74" s="317">
        <v>1985</v>
      </c>
      <c r="F74" s="338">
        <f t="shared" si="15"/>
        <v>34</v>
      </c>
      <c r="G74" s="95"/>
      <c r="H74" s="95"/>
      <c r="I74" s="95"/>
      <c r="J74" s="95"/>
      <c r="K74" s="95"/>
    </row>
    <row r="75" spans="1:11" ht="21.75" customHeight="1" x14ac:dyDescent="0.25">
      <c r="A75" s="525" t="s">
        <v>1158</v>
      </c>
      <c r="B75" s="525" t="s">
        <v>1159</v>
      </c>
      <c r="C75" s="53"/>
      <c r="D75" s="53"/>
      <c r="E75" s="317"/>
      <c r="F75" s="332"/>
      <c r="G75" s="95"/>
      <c r="H75" s="95"/>
      <c r="I75" s="95"/>
      <c r="J75" s="95"/>
      <c r="K75" s="95"/>
    </row>
    <row r="76" spans="1:11" ht="21.75" customHeight="1" x14ac:dyDescent="0.25">
      <c r="A76" s="531"/>
      <c r="B76" s="531"/>
      <c r="C76" s="145">
        <f>25*2</f>
        <v>50</v>
      </c>
      <c r="D76" s="145">
        <v>57</v>
      </c>
      <c r="E76" s="317">
        <v>1985</v>
      </c>
      <c r="F76" s="338">
        <f>2019-E76</f>
        <v>34</v>
      </c>
      <c r="G76" s="95"/>
      <c r="H76" s="95"/>
      <c r="I76" s="95"/>
      <c r="J76" s="95"/>
      <c r="K76" s="95"/>
    </row>
    <row r="77" spans="1:11" ht="21.75" customHeight="1" x14ac:dyDescent="0.25">
      <c r="A77" s="525" t="s">
        <v>422</v>
      </c>
      <c r="B77" s="525" t="s">
        <v>1160</v>
      </c>
      <c r="C77" s="53"/>
      <c r="D77" s="53"/>
      <c r="E77" s="317"/>
      <c r="F77" s="332"/>
      <c r="G77" s="95"/>
      <c r="H77" s="95"/>
      <c r="I77" s="95"/>
      <c r="J77" s="95"/>
      <c r="K77" s="95"/>
    </row>
    <row r="78" spans="1:11" ht="21.75" customHeight="1" x14ac:dyDescent="0.25">
      <c r="A78" s="526"/>
      <c r="B78" s="526"/>
      <c r="C78" s="145">
        <f>16*2</f>
        <v>32</v>
      </c>
      <c r="D78" s="145">
        <v>57</v>
      </c>
      <c r="E78" s="317">
        <v>1987</v>
      </c>
      <c r="F78" s="338">
        <f>2019-E78</f>
        <v>32</v>
      </c>
      <c r="G78" s="95"/>
      <c r="H78" s="95"/>
      <c r="I78" s="95"/>
      <c r="J78" s="95"/>
      <c r="K78" s="95"/>
    </row>
    <row r="79" spans="1:11" ht="21.75" customHeight="1" x14ac:dyDescent="0.25">
      <c r="A79" s="525" t="s">
        <v>1161</v>
      </c>
      <c r="B79" s="525" t="s">
        <v>1162</v>
      </c>
      <c r="C79" s="53"/>
      <c r="D79" s="53"/>
      <c r="E79" s="317"/>
      <c r="F79" s="332"/>
      <c r="G79" s="95"/>
      <c r="H79" s="95"/>
      <c r="I79" s="95"/>
      <c r="J79" s="95"/>
      <c r="K79" s="95"/>
    </row>
    <row r="80" spans="1:11" ht="21.75" customHeight="1" x14ac:dyDescent="0.25">
      <c r="A80" s="531"/>
      <c r="B80" s="531"/>
      <c r="C80" s="145">
        <v>50</v>
      </c>
      <c r="D80" s="53">
        <v>76</v>
      </c>
      <c r="E80" s="317">
        <v>2015</v>
      </c>
      <c r="F80" s="338">
        <f t="shared" ref="F80:F81" si="16">2019-E80</f>
        <v>4</v>
      </c>
      <c r="G80" s="95"/>
      <c r="H80" s="95"/>
      <c r="I80" s="95"/>
      <c r="J80" s="95"/>
      <c r="K80" s="95"/>
    </row>
    <row r="81" spans="1:11" ht="21.75" customHeight="1" x14ac:dyDescent="0.25">
      <c r="A81" s="526"/>
      <c r="B81" s="526"/>
      <c r="C81" s="53">
        <v>50</v>
      </c>
      <c r="D81" s="53">
        <v>40</v>
      </c>
      <c r="E81" s="317">
        <v>2015</v>
      </c>
      <c r="F81" s="338">
        <f t="shared" si="16"/>
        <v>4</v>
      </c>
      <c r="G81" s="95"/>
      <c r="H81" s="95"/>
      <c r="I81" s="95"/>
      <c r="J81" s="95"/>
      <c r="K81" s="95"/>
    </row>
    <row r="82" spans="1:11" ht="21.75" customHeight="1" x14ac:dyDescent="0.25">
      <c r="A82" s="525" t="s">
        <v>1154</v>
      </c>
      <c r="B82" s="525" t="s">
        <v>1163</v>
      </c>
      <c r="C82" s="53"/>
      <c r="D82" s="53"/>
      <c r="E82" s="317"/>
      <c r="F82" s="332"/>
      <c r="G82" s="95"/>
      <c r="H82" s="95"/>
      <c r="I82" s="95"/>
      <c r="J82" s="95"/>
      <c r="K82" s="95"/>
    </row>
    <row r="83" spans="1:11" ht="21.75" customHeight="1" x14ac:dyDescent="0.25">
      <c r="A83" s="526"/>
      <c r="B83" s="526"/>
      <c r="C83" s="145">
        <f>13*2</f>
        <v>26</v>
      </c>
      <c r="D83" s="145">
        <v>89</v>
      </c>
      <c r="E83" s="317">
        <v>1985</v>
      </c>
      <c r="F83" s="338">
        <f>2019-E83</f>
        <v>34</v>
      </c>
      <c r="G83" s="95"/>
      <c r="H83" s="95"/>
      <c r="I83" s="95"/>
      <c r="J83" s="95"/>
      <c r="K83" s="95"/>
    </row>
    <row r="84" spans="1:11" ht="21.75" customHeight="1" x14ac:dyDescent="0.25">
      <c r="A84" s="525" t="s">
        <v>1164</v>
      </c>
      <c r="B84" s="525" t="s">
        <v>1158</v>
      </c>
      <c r="C84" s="53"/>
      <c r="D84" s="53"/>
      <c r="E84" s="317"/>
      <c r="F84" s="332"/>
      <c r="G84" s="95"/>
      <c r="H84" s="95"/>
      <c r="I84" s="95"/>
      <c r="J84" s="95"/>
      <c r="K84" s="95"/>
    </row>
    <row r="85" spans="1:11" ht="21.75" customHeight="1" x14ac:dyDescent="0.25">
      <c r="A85" s="531"/>
      <c r="B85" s="531"/>
      <c r="C85" s="145">
        <v>20</v>
      </c>
      <c r="D85" s="53">
        <v>108</v>
      </c>
      <c r="E85" s="317">
        <v>1985</v>
      </c>
      <c r="F85" s="338">
        <f t="shared" ref="F85:F86" si="17">2019-E85</f>
        <v>34</v>
      </c>
      <c r="G85" s="95"/>
      <c r="H85" s="95"/>
      <c r="I85" s="95"/>
      <c r="J85" s="95"/>
      <c r="K85" s="95"/>
    </row>
    <row r="86" spans="1:11" ht="21.75" customHeight="1" x14ac:dyDescent="0.25">
      <c r="A86" s="526"/>
      <c r="B86" s="526"/>
      <c r="C86" s="53">
        <v>20</v>
      </c>
      <c r="D86" s="53">
        <v>57</v>
      </c>
      <c r="E86" s="317">
        <v>1985</v>
      </c>
      <c r="F86" s="338">
        <f t="shared" si="17"/>
        <v>34</v>
      </c>
      <c r="G86" s="95"/>
      <c r="H86" s="95"/>
      <c r="I86" s="95"/>
      <c r="J86" s="95"/>
      <c r="K86" s="95"/>
    </row>
    <row r="87" spans="1:11" ht="21.75" customHeight="1" x14ac:dyDescent="0.25">
      <c r="A87" s="525" t="s">
        <v>1165</v>
      </c>
      <c r="B87" s="525" t="s">
        <v>422</v>
      </c>
      <c r="C87" s="53"/>
      <c r="D87" s="53"/>
      <c r="E87" s="317"/>
      <c r="F87" s="332"/>
      <c r="G87" s="95"/>
      <c r="H87" s="95"/>
      <c r="I87" s="95"/>
      <c r="J87" s="95"/>
      <c r="K87" s="95"/>
    </row>
    <row r="88" spans="1:11" ht="21.75" customHeight="1" x14ac:dyDescent="0.25">
      <c r="A88" s="526"/>
      <c r="B88" s="526"/>
      <c r="C88" s="145">
        <f>49*2</f>
        <v>98</v>
      </c>
      <c r="D88" s="145">
        <v>89</v>
      </c>
      <c r="E88" s="317">
        <v>2006</v>
      </c>
      <c r="F88" s="338">
        <f>2019-E88</f>
        <v>13</v>
      </c>
      <c r="G88" s="95"/>
      <c r="H88" s="95"/>
      <c r="I88" s="95"/>
      <c r="J88" s="95"/>
      <c r="K88" s="95"/>
    </row>
    <row r="89" spans="1:11" ht="21.75" customHeight="1" x14ac:dyDescent="0.25">
      <c r="A89" s="525" t="s">
        <v>1166</v>
      </c>
      <c r="B89" s="525" t="s">
        <v>1167</v>
      </c>
      <c r="C89" s="53"/>
      <c r="D89" s="53"/>
      <c r="E89" s="317"/>
      <c r="F89" s="332"/>
      <c r="G89" s="95"/>
      <c r="H89" s="95"/>
      <c r="I89" s="95"/>
      <c r="J89" s="95"/>
      <c r="K89" s="95"/>
    </row>
    <row r="90" spans="1:11" ht="21.75" customHeight="1" x14ac:dyDescent="0.25">
      <c r="A90" s="531"/>
      <c r="B90" s="531"/>
      <c r="C90" s="145">
        <v>40</v>
      </c>
      <c r="D90" s="53">
        <v>89</v>
      </c>
      <c r="E90" s="317">
        <v>2009</v>
      </c>
      <c r="F90" s="338">
        <f t="shared" ref="F90:F91" si="18">2019-E90</f>
        <v>10</v>
      </c>
      <c r="G90" s="95"/>
      <c r="H90" s="95"/>
      <c r="I90" s="95"/>
      <c r="J90" s="95"/>
      <c r="K90" s="95"/>
    </row>
    <row r="91" spans="1:11" ht="21.75" customHeight="1" x14ac:dyDescent="0.25">
      <c r="A91" s="526"/>
      <c r="B91" s="526"/>
      <c r="C91" s="53">
        <v>40</v>
      </c>
      <c r="D91" s="53">
        <v>57</v>
      </c>
      <c r="E91" s="317">
        <v>2009</v>
      </c>
      <c r="F91" s="338">
        <f t="shared" si="18"/>
        <v>10</v>
      </c>
      <c r="G91" s="95"/>
      <c r="H91" s="95"/>
      <c r="I91" s="95"/>
      <c r="J91" s="95"/>
      <c r="K91" s="95"/>
    </row>
    <row r="92" spans="1:11" ht="21.75" customHeight="1" x14ac:dyDescent="0.25">
      <c r="A92" s="525" t="s">
        <v>1168</v>
      </c>
      <c r="B92" s="525" t="s">
        <v>1169</v>
      </c>
      <c r="C92" s="53"/>
      <c r="D92" s="53"/>
      <c r="E92" s="317"/>
      <c r="F92" s="332"/>
      <c r="G92" s="95"/>
      <c r="H92" s="95"/>
      <c r="I92" s="95"/>
      <c r="J92" s="95"/>
      <c r="K92" s="95"/>
    </row>
    <row r="93" spans="1:11" ht="21.75" customHeight="1" x14ac:dyDescent="0.25">
      <c r="A93" s="526"/>
      <c r="B93" s="526"/>
      <c r="C93" s="145">
        <f>39*2</f>
        <v>78</v>
      </c>
      <c r="D93" s="145">
        <v>89</v>
      </c>
      <c r="E93" s="317">
        <v>1986</v>
      </c>
      <c r="F93" s="338">
        <f>2019-E93</f>
        <v>33</v>
      </c>
      <c r="G93" s="95"/>
      <c r="H93" s="95"/>
      <c r="I93" s="95"/>
      <c r="J93" s="95"/>
      <c r="K93" s="95"/>
    </row>
    <row r="94" spans="1:11" ht="15.75" x14ac:dyDescent="0.25">
      <c r="A94" s="146"/>
      <c r="B94" s="147"/>
      <c r="C94" s="147">
        <f>SUM(C47:C93)</f>
        <v>1300</v>
      </c>
      <c r="D94" s="148"/>
      <c r="E94" s="149"/>
      <c r="F94" s="332"/>
      <c r="G94" s="95"/>
      <c r="H94" s="95"/>
      <c r="I94" s="95"/>
      <c r="J94" s="95"/>
      <c r="K94" s="95"/>
    </row>
    <row r="95" spans="1:11" ht="15.75" x14ac:dyDescent="0.25">
      <c r="A95" s="137" t="s">
        <v>1170</v>
      </c>
      <c r="B95" s="138"/>
      <c r="C95" s="138"/>
      <c r="D95" s="138"/>
      <c r="E95" s="138"/>
      <c r="F95" s="332"/>
      <c r="G95" s="95"/>
      <c r="H95" s="95"/>
      <c r="I95" s="95"/>
      <c r="J95" s="95"/>
      <c r="K95" s="95"/>
    </row>
    <row r="96" spans="1:11" ht="18" customHeight="1" x14ac:dyDescent="0.25">
      <c r="A96" s="525" t="s">
        <v>391</v>
      </c>
      <c r="B96" s="525" t="s">
        <v>1171</v>
      </c>
      <c r="C96" s="53"/>
      <c r="D96" s="53"/>
      <c r="E96" s="317"/>
      <c r="F96" s="332"/>
      <c r="G96" s="95"/>
      <c r="H96" s="95"/>
      <c r="I96" s="95"/>
      <c r="J96" s="95"/>
      <c r="K96" s="95"/>
    </row>
    <row r="97" spans="1:11" ht="18" customHeight="1" x14ac:dyDescent="0.25">
      <c r="A97" s="531"/>
      <c r="B97" s="531"/>
      <c r="C97" s="145">
        <v>60</v>
      </c>
      <c r="D97" s="53">
        <v>159</v>
      </c>
      <c r="E97" s="317">
        <v>1977</v>
      </c>
      <c r="F97" s="338">
        <f t="shared" ref="F97:F98" si="19">2019-E97</f>
        <v>42</v>
      </c>
      <c r="G97" s="95"/>
      <c r="H97" s="95"/>
      <c r="I97" s="95"/>
      <c r="J97" s="95"/>
      <c r="K97" s="95"/>
    </row>
    <row r="98" spans="1:11" ht="18" customHeight="1" x14ac:dyDescent="0.25">
      <c r="A98" s="526"/>
      <c r="B98" s="526"/>
      <c r="C98" s="53">
        <v>60</v>
      </c>
      <c r="D98" s="53">
        <v>108</v>
      </c>
      <c r="E98" s="317">
        <v>1977</v>
      </c>
      <c r="F98" s="338">
        <f t="shared" si="19"/>
        <v>42</v>
      </c>
      <c r="G98" s="95"/>
      <c r="H98" s="95"/>
      <c r="I98" s="95"/>
      <c r="J98" s="95"/>
      <c r="K98" s="95"/>
    </row>
    <row r="99" spans="1:11" ht="18" customHeight="1" x14ac:dyDescent="0.25">
      <c r="A99" s="525" t="s">
        <v>1172</v>
      </c>
      <c r="B99" s="525" t="s">
        <v>1173</v>
      </c>
      <c r="C99" s="53"/>
      <c r="D99" s="53"/>
      <c r="E99" s="317"/>
      <c r="F99" s="332"/>
      <c r="G99" s="95"/>
      <c r="H99" s="95"/>
      <c r="I99" s="95"/>
      <c r="J99" s="95"/>
      <c r="K99" s="95"/>
    </row>
    <row r="100" spans="1:11" ht="18" customHeight="1" x14ac:dyDescent="0.25">
      <c r="A100" s="531"/>
      <c r="B100" s="531"/>
      <c r="C100" s="145">
        <v>20</v>
      </c>
      <c r="D100" s="53">
        <v>76</v>
      </c>
      <c r="E100" s="317">
        <v>1977</v>
      </c>
      <c r="F100" s="338">
        <f t="shared" ref="F100:F101" si="20">2019-E100</f>
        <v>42</v>
      </c>
      <c r="G100" s="95"/>
      <c r="H100" s="95"/>
      <c r="I100" s="95"/>
      <c r="J100" s="95"/>
      <c r="K100" s="95"/>
    </row>
    <row r="101" spans="1:11" ht="18" customHeight="1" x14ac:dyDescent="0.25">
      <c r="A101" s="526"/>
      <c r="B101" s="526"/>
      <c r="C101" s="53">
        <v>20</v>
      </c>
      <c r="D101" s="53">
        <v>57</v>
      </c>
      <c r="E101" s="317">
        <v>1977</v>
      </c>
      <c r="F101" s="338">
        <f t="shared" si="20"/>
        <v>42</v>
      </c>
      <c r="G101" s="95"/>
      <c r="H101" s="95"/>
      <c r="I101" s="95"/>
      <c r="J101" s="95"/>
      <c r="K101" s="95"/>
    </row>
    <row r="102" spans="1:11" ht="18" customHeight="1" x14ac:dyDescent="0.25">
      <c r="A102" s="525" t="s">
        <v>1174</v>
      </c>
      <c r="B102" s="525" t="s">
        <v>1175</v>
      </c>
      <c r="C102" s="53"/>
      <c r="D102" s="53"/>
      <c r="E102" s="317"/>
      <c r="F102" s="332"/>
      <c r="G102" s="95"/>
      <c r="H102" s="95"/>
      <c r="I102" s="95"/>
      <c r="J102" s="95"/>
      <c r="K102" s="95"/>
    </row>
    <row r="103" spans="1:11" ht="18" customHeight="1" x14ac:dyDescent="0.25">
      <c r="A103" s="531"/>
      <c r="B103" s="531"/>
      <c r="C103" s="145">
        <v>178</v>
      </c>
      <c r="D103" s="53">
        <v>76</v>
      </c>
      <c r="E103" s="317">
        <v>1979</v>
      </c>
      <c r="F103" s="338">
        <f t="shared" ref="F103:F104" si="21">2019-E103</f>
        <v>40</v>
      </c>
      <c r="G103" s="95"/>
      <c r="H103" s="95"/>
      <c r="I103" s="95"/>
      <c r="J103" s="95"/>
      <c r="K103" s="95"/>
    </row>
    <row r="104" spans="1:11" ht="18" customHeight="1" x14ac:dyDescent="0.25">
      <c r="A104" s="526"/>
      <c r="B104" s="526"/>
      <c r="C104" s="53">
        <v>178</v>
      </c>
      <c r="D104" s="53">
        <v>57</v>
      </c>
      <c r="E104" s="317">
        <v>1979</v>
      </c>
      <c r="F104" s="338">
        <f t="shared" si="21"/>
        <v>40</v>
      </c>
      <c r="G104" s="95"/>
      <c r="H104" s="95"/>
      <c r="I104" s="95"/>
      <c r="J104" s="95"/>
      <c r="K104" s="95"/>
    </row>
    <row r="105" spans="1:11" ht="18" customHeight="1" x14ac:dyDescent="0.25">
      <c r="A105" s="525" t="s">
        <v>1176</v>
      </c>
      <c r="B105" s="525" t="s">
        <v>1177</v>
      </c>
      <c r="C105" s="53"/>
      <c r="D105" s="53"/>
      <c r="E105" s="317"/>
      <c r="F105" s="332"/>
      <c r="G105" s="95"/>
      <c r="H105" s="95"/>
      <c r="I105" s="95"/>
      <c r="J105" s="95"/>
      <c r="K105" s="95"/>
    </row>
    <row r="106" spans="1:11" ht="18" customHeight="1" x14ac:dyDescent="0.25">
      <c r="A106" s="531"/>
      <c r="B106" s="531"/>
      <c r="C106" s="145">
        <v>10</v>
      </c>
      <c r="D106" s="53">
        <v>108</v>
      </c>
      <c r="E106" s="317">
        <v>1978</v>
      </c>
      <c r="F106" s="338">
        <f t="shared" ref="F106:F107" si="22">2019-E106</f>
        <v>41</v>
      </c>
      <c r="G106" s="95"/>
      <c r="H106" s="95"/>
      <c r="I106" s="95"/>
      <c r="J106" s="95"/>
      <c r="K106" s="95"/>
    </row>
    <row r="107" spans="1:11" ht="18" customHeight="1" x14ac:dyDescent="0.25">
      <c r="A107" s="526"/>
      <c r="B107" s="526"/>
      <c r="C107" s="53">
        <v>10</v>
      </c>
      <c r="D107" s="53">
        <v>89</v>
      </c>
      <c r="E107" s="317">
        <v>1978</v>
      </c>
      <c r="F107" s="338">
        <f t="shared" si="22"/>
        <v>41</v>
      </c>
      <c r="G107" s="95"/>
      <c r="H107" s="95"/>
      <c r="I107" s="95"/>
      <c r="J107" s="95"/>
      <c r="K107" s="95"/>
    </row>
    <row r="108" spans="1:11" ht="18" customHeight="1" x14ac:dyDescent="0.25">
      <c r="A108" s="525" t="s">
        <v>1178</v>
      </c>
      <c r="B108" s="525" t="s">
        <v>1179</v>
      </c>
      <c r="C108" s="53"/>
      <c r="D108" s="53"/>
      <c r="E108" s="317"/>
      <c r="F108" s="332"/>
      <c r="G108" s="95"/>
      <c r="H108" s="95"/>
      <c r="I108" s="95"/>
      <c r="J108" s="95"/>
      <c r="K108" s="95"/>
    </row>
    <row r="109" spans="1:11" ht="18" customHeight="1" x14ac:dyDescent="0.25">
      <c r="A109" s="531"/>
      <c r="B109" s="531"/>
      <c r="C109" s="145">
        <v>16</v>
      </c>
      <c r="D109" s="53">
        <v>108</v>
      </c>
      <c r="E109" s="317">
        <v>1978</v>
      </c>
      <c r="F109" s="338">
        <f t="shared" ref="F109:F110" si="23">2019-E109</f>
        <v>41</v>
      </c>
      <c r="G109" s="95"/>
      <c r="H109" s="95"/>
      <c r="I109" s="95"/>
      <c r="J109" s="95"/>
      <c r="K109" s="95"/>
    </row>
    <row r="110" spans="1:11" ht="18" customHeight="1" x14ac:dyDescent="0.25">
      <c r="A110" s="526"/>
      <c r="B110" s="526"/>
      <c r="C110" s="53">
        <v>16</v>
      </c>
      <c r="D110" s="53">
        <v>89</v>
      </c>
      <c r="E110" s="317">
        <v>1978</v>
      </c>
      <c r="F110" s="338">
        <f t="shared" si="23"/>
        <v>41</v>
      </c>
      <c r="G110" s="95"/>
      <c r="H110" s="95"/>
      <c r="I110" s="95"/>
      <c r="J110" s="95"/>
      <c r="K110" s="95"/>
    </row>
    <row r="111" spans="1:11" ht="18" customHeight="1" x14ac:dyDescent="0.25">
      <c r="A111" s="525" t="s">
        <v>1177</v>
      </c>
      <c r="B111" s="525" t="s">
        <v>919</v>
      </c>
      <c r="C111" s="53"/>
      <c r="D111" s="53"/>
      <c r="E111" s="317"/>
      <c r="F111" s="332"/>
      <c r="G111" s="95"/>
      <c r="H111" s="95"/>
      <c r="I111" s="95"/>
      <c r="J111" s="95"/>
      <c r="K111" s="95"/>
    </row>
    <row r="112" spans="1:11" ht="18" customHeight="1" x14ac:dyDescent="0.25">
      <c r="A112" s="531"/>
      <c r="B112" s="531"/>
      <c r="C112" s="145">
        <v>71</v>
      </c>
      <c r="D112" s="53">
        <v>108</v>
      </c>
      <c r="E112" s="317">
        <v>1977</v>
      </c>
      <c r="F112" s="338">
        <f t="shared" ref="F112:F113" si="24">2019-E112</f>
        <v>42</v>
      </c>
      <c r="G112" s="95"/>
      <c r="H112" s="95"/>
      <c r="I112" s="95"/>
      <c r="J112" s="95"/>
      <c r="K112" s="95"/>
    </row>
    <row r="113" spans="1:11" ht="18" customHeight="1" x14ac:dyDescent="0.25">
      <c r="A113" s="526"/>
      <c r="B113" s="526"/>
      <c r="C113" s="53">
        <v>71</v>
      </c>
      <c r="D113" s="53">
        <v>89</v>
      </c>
      <c r="E113" s="317">
        <v>1977</v>
      </c>
      <c r="F113" s="338">
        <f t="shared" si="24"/>
        <v>42</v>
      </c>
      <c r="G113" s="95"/>
      <c r="H113" s="95"/>
      <c r="I113" s="95"/>
      <c r="J113" s="95"/>
      <c r="K113" s="95"/>
    </row>
    <row r="114" spans="1:11" ht="18" customHeight="1" x14ac:dyDescent="0.25">
      <c r="A114" s="525" t="s">
        <v>1180</v>
      </c>
      <c r="B114" s="525" t="s">
        <v>1173</v>
      </c>
      <c r="C114" s="53"/>
      <c r="D114" s="53"/>
      <c r="E114" s="317"/>
      <c r="F114" s="332"/>
      <c r="G114" s="95"/>
      <c r="H114" s="95"/>
      <c r="I114" s="95"/>
      <c r="J114" s="95"/>
      <c r="K114" s="95"/>
    </row>
    <row r="115" spans="1:11" ht="18" customHeight="1" x14ac:dyDescent="0.25">
      <c r="A115" s="531"/>
      <c r="B115" s="531"/>
      <c r="C115" s="145">
        <v>29</v>
      </c>
      <c r="D115" s="53">
        <v>108</v>
      </c>
      <c r="E115" s="317">
        <v>1977</v>
      </c>
      <c r="F115" s="338">
        <f t="shared" ref="F115:F116" si="25">2019-E115</f>
        <v>42</v>
      </c>
      <c r="G115" s="95"/>
      <c r="H115" s="95"/>
      <c r="I115" s="95"/>
      <c r="J115" s="95"/>
      <c r="K115" s="95"/>
    </row>
    <row r="116" spans="1:11" ht="18" customHeight="1" x14ac:dyDescent="0.25">
      <c r="A116" s="526"/>
      <c r="B116" s="526"/>
      <c r="C116" s="53">
        <v>29</v>
      </c>
      <c r="D116" s="53">
        <v>89</v>
      </c>
      <c r="E116" s="317">
        <v>1977</v>
      </c>
      <c r="F116" s="338">
        <f t="shared" si="25"/>
        <v>42</v>
      </c>
      <c r="G116" s="95"/>
      <c r="H116" s="95"/>
      <c r="I116" s="95"/>
      <c r="J116" s="95"/>
      <c r="K116" s="95"/>
    </row>
    <row r="117" spans="1:11" ht="18" customHeight="1" x14ac:dyDescent="0.25">
      <c r="A117" s="525" t="s">
        <v>256</v>
      </c>
      <c r="B117" s="525" t="s">
        <v>391</v>
      </c>
      <c r="C117" s="53"/>
      <c r="D117" s="53"/>
      <c r="E117" s="317"/>
      <c r="F117" s="332"/>
      <c r="G117" s="95"/>
      <c r="H117" s="95"/>
      <c r="I117" s="95"/>
      <c r="J117" s="95"/>
      <c r="K117" s="95"/>
    </row>
    <row r="118" spans="1:11" ht="18" customHeight="1" x14ac:dyDescent="0.25">
      <c r="A118" s="531"/>
      <c r="B118" s="531"/>
      <c r="C118" s="145">
        <f>14</f>
        <v>14</v>
      </c>
      <c r="D118" s="53">
        <v>159</v>
      </c>
      <c r="E118" s="317">
        <v>1977</v>
      </c>
      <c r="F118" s="338">
        <f t="shared" ref="F118:F119" si="26">2019-E118</f>
        <v>42</v>
      </c>
      <c r="G118" s="95"/>
      <c r="H118" s="95"/>
      <c r="I118" s="95"/>
      <c r="J118" s="95"/>
      <c r="K118" s="95"/>
    </row>
    <row r="119" spans="1:11" ht="18" customHeight="1" x14ac:dyDescent="0.25">
      <c r="A119" s="526"/>
      <c r="B119" s="526"/>
      <c r="C119" s="53">
        <v>14</v>
      </c>
      <c r="D119" s="53">
        <v>108</v>
      </c>
      <c r="E119" s="317">
        <v>1977</v>
      </c>
      <c r="F119" s="338">
        <f t="shared" si="26"/>
        <v>42</v>
      </c>
      <c r="G119" s="95"/>
      <c r="H119" s="95"/>
      <c r="I119" s="95"/>
      <c r="J119" s="95"/>
      <c r="K119" s="95"/>
    </row>
    <row r="120" spans="1:11" ht="18" customHeight="1" x14ac:dyDescent="0.25">
      <c r="A120" s="525" t="s">
        <v>1181</v>
      </c>
      <c r="B120" s="525" t="s">
        <v>918</v>
      </c>
      <c r="C120" s="53"/>
      <c r="D120" s="53"/>
      <c r="E120" s="317"/>
      <c r="F120" s="332"/>
      <c r="G120" s="95"/>
      <c r="H120" s="95"/>
      <c r="I120" s="95"/>
      <c r="J120" s="95"/>
      <c r="K120" s="95"/>
    </row>
    <row r="121" spans="1:11" ht="18" customHeight="1" x14ac:dyDescent="0.25">
      <c r="A121" s="531"/>
      <c r="B121" s="531"/>
      <c r="C121" s="145">
        <v>9</v>
      </c>
      <c r="D121" s="53">
        <v>108</v>
      </c>
      <c r="E121" s="317">
        <v>1977</v>
      </c>
      <c r="F121" s="338">
        <f t="shared" ref="F121:F122" si="27">2019-E121</f>
        <v>42</v>
      </c>
      <c r="G121" s="95"/>
      <c r="H121" s="95"/>
      <c r="I121" s="95"/>
      <c r="J121" s="95"/>
      <c r="K121" s="95"/>
    </row>
    <row r="122" spans="1:11" ht="18" customHeight="1" x14ac:dyDescent="0.25">
      <c r="A122" s="526"/>
      <c r="B122" s="526"/>
      <c r="C122" s="53">
        <v>9</v>
      </c>
      <c r="D122" s="53">
        <v>89</v>
      </c>
      <c r="E122" s="317">
        <v>1977</v>
      </c>
      <c r="F122" s="338">
        <f t="shared" si="27"/>
        <v>42</v>
      </c>
      <c r="G122" s="95"/>
      <c r="H122" s="95"/>
      <c r="I122" s="95"/>
      <c r="J122" s="95"/>
      <c r="K122" s="95"/>
    </row>
    <row r="123" spans="1:11" ht="18" customHeight="1" x14ac:dyDescent="0.25">
      <c r="A123" s="525" t="s">
        <v>1181</v>
      </c>
      <c r="B123" s="525" t="s">
        <v>1182</v>
      </c>
      <c r="C123" s="53"/>
      <c r="D123" s="53"/>
      <c r="E123" s="317"/>
      <c r="F123" s="332"/>
      <c r="G123" s="95"/>
      <c r="H123" s="95"/>
      <c r="I123" s="95"/>
      <c r="J123" s="95"/>
      <c r="K123" s="95"/>
    </row>
    <row r="124" spans="1:11" ht="18" customHeight="1" x14ac:dyDescent="0.25">
      <c r="A124" s="526"/>
      <c r="B124" s="526"/>
      <c r="C124" s="145">
        <v>32</v>
      </c>
      <c r="D124" s="145">
        <v>108</v>
      </c>
      <c r="E124" s="317">
        <v>1977</v>
      </c>
      <c r="F124" s="338">
        <f>2019-E124</f>
        <v>42</v>
      </c>
      <c r="G124" s="95"/>
      <c r="H124" s="95"/>
      <c r="I124" s="95"/>
      <c r="J124" s="95"/>
      <c r="K124" s="95"/>
    </row>
    <row r="125" spans="1:11" ht="18" customHeight="1" x14ac:dyDescent="0.25">
      <c r="A125" s="525" t="s">
        <v>1183</v>
      </c>
      <c r="B125" s="525" t="s">
        <v>376</v>
      </c>
      <c r="C125" s="53"/>
      <c r="D125" s="53"/>
      <c r="E125" s="317"/>
      <c r="F125" s="332"/>
      <c r="G125" s="95"/>
      <c r="H125" s="95"/>
      <c r="I125" s="95"/>
      <c r="J125" s="95"/>
      <c r="K125" s="95"/>
    </row>
    <row r="126" spans="1:11" ht="18" customHeight="1" x14ac:dyDescent="0.25">
      <c r="A126" s="526"/>
      <c r="B126" s="526"/>
      <c r="C126" s="145">
        <v>20</v>
      </c>
      <c r="D126" s="145">
        <v>108</v>
      </c>
      <c r="E126" s="317">
        <v>1978</v>
      </c>
      <c r="F126" s="338">
        <f>2019-E126</f>
        <v>41</v>
      </c>
      <c r="G126" s="95"/>
      <c r="H126" s="95"/>
      <c r="I126" s="95"/>
      <c r="J126" s="95"/>
      <c r="K126" s="95"/>
    </row>
    <row r="127" spans="1:11" ht="18" customHeight="1" x14ac:dyDescent="0.25">
      <c r="A127" s="525" t="s">
        <v>1184</v>
      </c>
      <c r="B127" s="525" t="s">
        <v>193</v>
      </c>
      <c r="C127" s="53"/>
      <c r="D127" s="53"/>
      <c r="E127" s="317"/>
      <c r="F127" s="332"/>
      <c r="G127" s="95"/>
      <c r="H127" s="95"/>
      <c r="I127" s="95"/>
      <c r="J127" s="95"/>
      <c r="K127" s="95"/>
    </row>
    <row r="128" spans="1:11" ht="18" customHeight="1" x14ac:dyDescent="0.25">
      <c r="A128" s="531"/>
      <c r="B128" s="531"/>
      <c r="C128" s="145">
        <v>149</v>
      </c>
      <c r="D128" s="53">
        <v>89</v>
      </c>
      <c r="E128" s="317">
        <v>2000</v>
      </c>
      <c r="F128" s="338">
        <f t="shared" ref="F128:F129" si="28">2019-E128</f>
        <v>19</v>
      </c>
      <c r="G128" s="95"/>
      <c r="H128" s="95"/>
      <c r="I128" s="95"/>
      <c r="J128" s="95"/>
      <c r="K128" s="95"/>
    </row>
    <row r="129" spans="1:11" ht="18" customHeight="1" x14ac:dyDescent="0.25">
      <c r="A129" s="526"/>
      <c r="B129" s="526"/>
      <c r="C129" s="53">
        <v>149</v>
      </c>
      <c r="D129" s="53">
        <v>57</v>
      </c>
      <c r="E129" s="317">
        <v>2000</v>
      </c>
      <c r="F129" s="338">
        <f t="shared" si="28"/>
        <v>19</v>
      </c>
      <c r="G129" s="95"/>
      <c r="H129" s="95"/>
      <c r="I129" s="95"/>
      <c r="J129" s="95"/>
      <c r="K129" s="95"/>
    </row>
    <row r="130" spans="1:11" ht="15.75" x14ac:dyDescent="0.25">
      <c r="A130" s="150"/>
      <c r="B130" s="86"/>
      <c r="C130" s="147">
        <f>SUM(C96:C129)</f>
        <v>1164</v>
      </c>
      <c r="D130" s="148"/>
      <c r="E130" s="149"/>
      <c r="F130" s="332"/>
      <c r="G130" s="95"/>
      <c r="H130" s="95"/>
      <c r="I130" s="95"/>
      <c r="J130" s="95"/>
      <c r="K130" s="95"/>
    </row>
    <row r="131" spans="1:11" ht="15.75" x14ac:dyDescent="0.25">
      <c r="A131" s="137" t="s">
        <v>1185</v>
      </c>
      <c r="B131" s="138"/>
      <c r="C131" s="138"/>
      <c r="D131" s="138"/>
      <c r="E131" s="138"/>
      <c r="F131" s="332"/>
      <c r="G131" s="95"/>
      <c r="H131" s="95"/>
      <c r="I131" s="95"/>
      <c r="J131" s="95"/>
      <c r="K131" s="95"/>
    </row>
    <row r="132" spans="1:11" ht="18.75" customHeight="1" x14ac:dyDescent="0.25">
      <c r="A132" s="525" t="s">
        <v>1186</v>
      </c>
      <c r="B132" s="525" t="s">
        <v>1187</v>
      </c>
      <c r="C132" s="53"/>
      <c r="D132" s="53"/>
      <c r="E132" s="317"/>
      <c r="F132" s="332"/>
      <c r="G132" s="95"/>
      <c r="H132" s="95"/>
      <c r="I132" s="95"/>
      <c r="J132" s="95"/>
      <c r="K132" s="95"/>
    </row>
    <row r="133" spans="1:11" ht="18.75" customHeight="1" x14ac:dyDescent="0.25">
      <c r="A133" s="531"/>
      <c r="B133" s="531"/>
      <c r="C133" s="145">
        <v>6</v>
      </c>
      <c r="D133" s="53">
        <v>133</v>
      </c>
      <c r="E133" s="317">
        <v>1977</v>
      </c>
      <c r="F133" s="338">
        <f t="shared" ref="F133:F134" si="29">2019-E133</f>
        <v>42</v>
      </c>
      <c r="G133" s="95"/>
      <c r="H133" s="95"/>
      <c r="I133" s="95"/>
      <c r="J133" s="95"/>
      <c r="K133" s="95"/>
    </row>
    <row r="134" spans="1:11" ht="18.75" customHeight="1" x14ac:dyDescent="0.25">
      <c r="A134" s="526"/>
      <c r="B134" s="526"/>
      <c r="C134" s="53">
        <v>6</v>
      </c>
      <c r="D134" s="53">
        <v>76</v>
      </c>
      <c r="E134" s="317">
        <v>1977</v>
      </c>
      <c r="F134" s="338">
        <f t="shared" si="29"/>
        <v>42</v>
      </c>
      <c r="G134" s="95"/>
      <c r="H134" s="95"/>
      <c r="I134" s="95"/>
      <c r="J134" s="95"/>
      <c r="K134" s="95"/>
    </row>
    <row r="135" spans="1:11" ht="18.75" customHeight="1" x14ac:dyDescent="0.25">
      <c r="A135" s="525" t="s">
        <v>1188</v>
      </c>
      <c r="B135" s="525" t="s">
        <v>1189</v>
      </c>
      <c r="C135" s="53"/>
      <c r="D135" s="53"/>
      <c r="E135" s="317"/>
      <c r="F135" s="332"/>
      <c r="G135" s="95"/>
      <c r="H135" s="95"/>
      <c r="I135" s="95"/>
      <c r="J135" s="95"/>
      <c r="K135" s="95"/>
    </row>
    <row r="136" spans="1:11" ht="18.75" customHeight="1" x14ac:dyDescent="0.25">
      <c r="A136" s="531"/>
      <c r="B136" s="531"/>
      <c r="C136" s="145">
        <v>34</v>
      </c>
      <c r="D136" s="53">
        <v>89</v>
      </c>
      <c r="E136" s="317">
        <v>1977</v>
      </c>
      <c r="F136" s="338">
        <f t="shared" ref="F136:F137" si="30">2019-E136</f>
        <v>42</v>
      </c>
      <c r="G136" s="95"/>
      <c r="H136" s="95"/>
      <c r="I136" s="95"/>
      <c r="J136" s="95"/>
      <c r="K136" s="95"/>
    </row>
    <row r="137" spans="1:11" ht="18.75" customHeight="1" x14ac:dyDescent="0.25">
      <c r="A137" s="526"/>
      <c r="B137" s="526"/>
      <c r="C137" s="53">
        <v>34</v>
      </c>
      <c r="D137" s="53">
        <v>57</v>
      </c>
      <c r="E137" s="317">
        <v>1977</v>
      </c>
      <c r="F137" s="338">
        <f t="shared" si="30"/>
        <v>42</v>
      </c>
      <c r="G137" s="95"/>
      <c r="H137" s="95"/>
      <c r="I137" s="95"/>
      <c r="J137" s="95"/>
      <c r="K137" s="95"/>
    </row>
    <row r="138" spans="1:11" ht="18.75" customHeight="1" x14ac:dyDescent="0.25">
      <c r="A138" s="525" t="s">
        <v>1190</v>
      </c>
      <c r="B138" s="525" t="s">
        <v>1088</v>
      </c>
      <c r="C138" s="53"/>
      <c r="D138" s="53"/>
      <c r="E138" s="317"/>
      <c r="F138" s="332"/>
      <c r="G138" s="95"/>
      <c r="H138" s="95"/>
      <c r="I138" s="95"/>
      <c r="J138" s="95"/>
      <c r="K138" s="95"/>
    </row>
    <row r="139" spans="1:11" ht="18.75" customHeight="1" x14ac:dyDescent="0.25">
      <c r="A139" s="531"/>
      <c r="B139" s="531"/>
      <c r="C139" s="145">
        <v>32</v>
      </c>
      <c r="D139" s="53">
        <v>133</v>
      </c>
      <c r="E139" s="317">
        <v>1977</v>
      </c>
      <c r="F139" s="338">
        <f t="shared" ref="F139:F140" si="31">2019-E139</f>
        <v>42</v>
      </c>
      <c r="G139" s="95"/>
      <c r="H139" s="95"/>
      <c r="I139" s="95"/>
      <c r="J139" s="95"/>
      <c r="K139" s="95"/>
    </row>
    <row r="140" spans="1:11" ht="18.75" customHeight="1" x14ac:dyDescent="0.25">
      <c r="A140" s="526"/>
      <c r="B140" s="526"/>
      <c r="C140" s="53">
        <v>32</v>
      </c>
      <c r="D140" s="53">
        <v>76</v>
      </c>
      <c r="E140" s="317">
        <v>1977</v>
      </c>
      <c r="F140" s="338">
        <f t="shared" si="31"/>
        <v>42</v>
      </c>
      <c r="G140" s="95"/>
      <c r="H140" s="95"/>
      <c r="I140" s="95"/>
      <c r="J140" s="95"/>
      <c r="K140" s="95"/>
    </row>
    <row r="141" spans="1:11" ht="18.75" customHeight="1" x14ac:dyDescent="0.25">
      <c r="A141" s="525" t="s">
        <v>276</v>
      </c>
      <c r="B141" s="525" t="s">
        <v>1191</v>
      </c>
      <c r="C141" s="53"/>
      <c r="D141" s="53"/>
      <c r="E141" s="317"/>
      <c r="F141" s="332"/>
      <c r="G141" s="95"/>
      <c r="H141" s="95"/>
      <c r="I141" s="95"/>
      <c r="J141" s="95"/>
      <c r="K141" s="95"/>
    </row>
    <row r="142" spans="1:11" ht="18.75" customHeight="1" x14ac:dyDescent="0.25">
      <c r="A142" s="531"/>
      <c r="B142" s="531"/>
      <c r="C142" s="145">
        <v>74</v>
      </c>
      <c r="D142" s="53">
        <v>133</v>
      </c>
      <c r="E142" s="317">
        <v>1977</v>
      </c>
      <c r="F142" s="338">
        <f t="shared" ref="F142:F143" si="32">2019-E142</f>
        <v>42</v>
      </c>
      <c r="G142" s="95"/>
      <c r="H142" s="95"/>
      <c r="I142" s="95"/>
      <c r="J142" s="95"/>
      <c r="K142" s="95"/>
    </row>
    <row r="143" spans="1:11" ht="18.75" customHeight="1" x14ac:dyDescent="0.25">
      <c r="A143" s="526"/>
      <c r="B143" s="526"/>
      <c r="C143" s="53">
        <v>74</v>
      </c>
      <c r="D143" s="53">
        <v>108</v>
      </c>
      <c r="E143" s="317">
        <v>1977</v>
      </c>
      <c r="F143" s="338">
        <f t="shared" si="32"/>
        <v>42</v>
      </c>
      <c r="G143" s="95"/>
      <c r="H143" s="95"/>
      <c r="I143" s="95"/>
      <c r="J143" s="95"/>
      <c r="K143" s="95"/>
    </row>
    <row r="144" spans="1:11" ht="18.75" customHeight="1" x14ac:dyDescent="0.25">
      <c r="A144" s="525" t="s">
        <v>276</v>
      </c>
      <c r="B144" s="525" t="s">
        <v>1192</v>
      </c>
      <c r="C144" s="53"/>
      <c r="D144" s="53"/>
      <c r="E144" s="317"/>
      <c r="F144" s="332"/>
      <c r="G144" s="95"/>
      <c r="H144" s="95"/>
      <c r="I144" s="95"/>
      <c r="J144" s="95"/>
      <c r="K144" s="95"/>
    </row>
    <row r="145" spans="1:11" ht="18.75" customHeight="1" x14ac:dyDescent="0.25">
      <c r="A145" s="531"/>
      <c r="B145" s="531"/>
      <c r="C145" s="145">
        <v>44</v>
      </c>
      <c r="D145" s="53">
        <v>108</v>
      </c>
      <c r="E145" s="317">
        <v>1977</v>
      </c>
      <c r="F145" s="338">
        <f t="shared" ref="F145:F146" si="33">2019-E145</f>
        <v>42</v>
      </c>
      <c r="G145" s="95"/>
      <c r="H145" s="95"/>
      <c r="I145" s="95"/>
      <c r="J145" s="95"/>
      <c r="K145" s="95"/>
    </row>
    <row r="146" spans="1:11" ht="18.75" customHeight="1" x14ac:dyDescent="0.25">
      <c r="A146" s="526"/>
      <c r="B146" s="526"/>
      <c r="C146" s="53">
        <v>44</v>
      </c>
      <c r="D146" s="53">
        <v>89</v>
      </c>
      <c r="E146" s="317">
        <v>1977</v>
      </c>
      <c r="F146" s="338">
        <f t="shared" si="33"/>
        <v>42</v>
      </c>
      <c r="G146" s="95"/>
      <c r="H146" s="95"/>
      <c r="I146" s="95"/>
      <c r="J146" s="95"/>
      <c r="K146" s="95"/>
    </row>
    <row r="147" spans="1:11" ht="18.75" customHeight="1" x14ac:dyDescent="0.25">
      <c r="A147" s="525" t="s">
        <v>1193</v>
      </c>
      <c r="B147" s="525" t="s">
        <v>1194</v>
      </c>
      <c r="C147" s="53"/>
      <c r="D147" s="53"/>
      <c r="E147" s="317"/>
      <c r="F147" s="332"/>
      <c r="G147" s="95"/>
      <c r="H147" s="95"/>
      <c r="I147" s="95"/>
      <c r="J147" s="95"/>
      <c r="K147" s="95"/>
    </row>
    <row r="148" spans="1:11" ht="18.75" customHeight="1" x14ac:dyDescent="0.25">
      <c r="A148" s="531"/>
      <c r="B148" s="531"/>
      <c r="C148" s="145">
        <v>105</v>
      </c>
      <c r="D148" s="53">
        <v>108</v>
      </c>
      <c r="E148" s="317">
        <v>1977</v>
      </c>
      <c r="F148" s="338">
        <f t="shared" ref="F148:F149" si="34">2019-E148</f>
        <v>42</v>
      </c>
      <c r="G148" s="95"/>
      <c r="H148" s="95"/>
      <c r="I148" s="95"/>
      <c r="J148" s="95"/>
      <c r="K148" s="95"/>
    </row>
    <row r="149" spans="1:11" ht="18.75" customHeight="1" x14ac:dyDescent="0.25">
      <c r="A149" s="526"/>
      <c r="B149" s="526"/>
      <c r="C149" s="53">
        <v>105</v>
      </c>
      <c r="D149" s="53">
        <v>76</v>
      </c>
      <c r="E149" s="317">
        <v>1977</v>
      </c>
      <c r="F149" s="338">
        <f t="shared" si="34"/>
        <v>42</v>
      </c>
      <c r="G149" s="95"/>
      <c r="H149" s="95"/>
      <c r="I149" s="95"/>
      <c r="J149" s="95"/>
      <c r="K149" s="95"/>
    </row>
    <row r="150" spans="1:11" ht="18.75" customHeight="1" x14ac:dyDescent="0.25">
      <c r="A150" s="525" t="s">
        <v>1195</v>
      </c>
      <c r="B150" s="525" t="s">
        <v>1196</v>
      </c>
      <c r="C150" s="53"/>
      <c r="D150" s="53"/>
      <c r="E150" s="317"/>
      <c r="F150" s="332"/>
      <c r="G150" s="95"/>
      <c r="H150" s="95"/>
      <c r="I150" s="95"/>
      <c r="J150" s="95"/>
      <c r="K150" s="95"/>
    </row>
    <row r="151" spans="1:11" ht="18.75" customHeight="1" x14ac:dyDescent="0.25">
      <c r="A151" s="531"/>
      <c r="B151" s="531"/>
      <c r="C151" s="145">
        <v>70</v>
      </c>
      <c r="D151" s="53">
        <v>108</v>
      </c>
      <c r="E151" s="317">
        <v>1977</v>
      </c>
      <c r="F151" s="338">
        <f t="shared" ref="F151:F152" si="35">2019-E151</f>
        <v>42</v>
      </c>
      <c r="G151" s="95"/>
      <c r="H151" s="95"/>
      <c r="I151" s="95"/>
      <c r="J151" s="95"/>
      <c r="K151" s="95"/>
    </row>
    <row r="152" spans="1:11" ht="18.75" customHeight="1" x14ac:dyDescent="0.25">
      <c r="A152" s="526"/>
      <c r="B152" s="526"/>
      <c r="C152" s="53">
        <v>70</v>
      </c>
      <c r="D152" s="53">
        <v>89</v>
      </c>
      <c r="E152" s="317">
        <v>1977</v>
      </c>
      <c r="F152" s="338">
        <f t="shared" si="35"/>
        <v>42</v>
      </c>
      <c r="G152" s="95"/>
      <c r="H152" s="95"/>
      <c r="I152" s="95"/>
      <c r="J152" s="95"/>
      <c r="K152" s="95"/>
    </row>
    <row r="153" spans="1:11" ht="18.75" customHeight="1" x14ac:dyDescent="0.25">
      <c r="A153" s="525" t="s">
        <v>1190</v>
      </c>
      <c r="B153" s="525" t="s">
        <v>1197</v>
      </c>
      <c r="C153" s="53"/>
      <c r="D153" s="53"/>
      <c r="E153" s="317"/>
      <c r="F153" s="332"/>
      <c r="G153" s="95"/>
      <c r="H153" s="95"/>
      <c r="I153" s="95"/>
      <c r="J153" s="95"/>
      <c r="K153" s="95"/>
    </row>
    <row r="154" spans="1:11" ht="18.75" customHeight="1" x14ac:dyDescent="0.25">
      <c r="A154" s="531"/>
      <c r="B154" s="531"/>
      <c r="C154" s="145">
        <v>31</v>
      </c>
      <c r="D154" s="53">
        <v>76</v>
      </c>
      <c r="E154" s="317">
        <v>1979</v>
      </c>
      <c r="F154" s="338">
        <f t="shared" ref="F154:F155" si="36">2019-E154</f>
        <v>40</v>
      </c>
      <c r="G154" s="95"/>
      <c r="H154" s="95"/>
      <c r="I154" s="95"/>
      <c r="J154" s="95"/>
      <c r="K154" s="95"/>
    </row>
    <row r="155" spans="1:11" ht="18.75" customHeight="1" x14ac:dyDescent="0.25">
      <c r="A155" s="526"/>
      <c r="B155" s="526"/>
      <c r="C155" s="53">
        <v>31</v>
      </c>
      <c r="D155" s="53">
        <v>40</v>
      </c>
      <c r="E155" s="317">
        <v>1979</v>
      </c>
      <c r="F155" s="338">
        <f t="shared" si="36"/>
        <v>40</v>
      </c>
      <c r="G155" s="95"/>
      <c r="H155" s="95"/>
      <c r="I155" s="95"/>
      <c r="J155" s="95"/>
      <c r="K155" s="95"/>
    </row>
    <row r="156" spans="1:11" ht="18.75" customHeight="1" x14ac:dyDescent="0.25">
      <c r="A156" s="525" t="s">
        <v>1188</v>
      </c>
      <c r="B156" s="525" t="s">
        <v>1198</v>
      </c>
      <c r="C156" s="53"/>
      <c r="D156" s="53"/>
      <c r="E156" s="317"/>
      <c r="F156" s="332"/>
      <c r="G156" s="95"/>
      <c r="H156" s="95"/>
      <c r="I156" s="95"/>
      <c r="J156" s="95"/>
      <c r="K156" s="95"/>
    </row>
    <row r="157" spans="1:11" ht="18.75" customHeight="1" x14ac:dyDescent="0.25">
      <c r="A157" s="531"/>
      <c r="B157" s="531"/>
      <c r="C157" s="145">
        <v>70</v>
      </c>
      <c r="D157" s="53">
        <v>89</v>
      </c>
      <c r="E157" s="317">
        <v>1978</v>
      </c>
      <c r="F157" s="338">
        <f t="shared" ref="F157:F158" si="37">2019-E157</f>
        <v>41</v>
      </c>
      <c r="G157" s="95"/>
      <c r="H157" s="95"/>
      <c r="I157" s="95"/>
      <c r="J157" s="95"/>
      <c r="K157" s="95"/>
    </row>
    <row r="158" spans="1:11" ht="18.75" customHeight="1" x14ac:dyDescent="0.25">
      <c r="A158" s="526"/>
      <c r="B158" s="526"/>
      <c r="C158" s="53">
        <v>70</v>
      </c>
      <c r="D158" s="53">
        <v>57</v>
      </c>
      <c r="E158" s="317">
        <v>1978</v>
      </c>
      <c r="F158" s="338">
        <f t="shared" si="37"/>
        <v>41</v>
      </c>
      <c r="G158" s="95"/>
      <c r="H158" s="95"/>
      <c r="I158" s="95"/>
      <c r="J158" s="95"/>
      <c r="K158" s="95"/>
    </row>
    <row r="159" spans="1:11" ht="18.75" customHeight="1" x14ac:dyDescent="0.25">
      <c r="A159" s="525" t="s">
        <v>611</v>
      </c>
      <c r="B159" s="525" t="s">
        <v>1199</v>
      </c>
      <c r="C159" s="53"/>
      <c r="D159" s="53"/>
      <c r="E159" s="317"/>
      <c r="F159" s="332"/>
      <c r="G159" s="95"/>
      <c r="H159" s="95"/>
      <c r="I159" s="95"/>
      <c r="J159" s="95"/>
      <c r="K159" s="95"/>
    </row>
    <row r="160" spans="1:11" ht="18.75" customHeight="1" x14ac:dyDescent="0.25">
      <c r="A160" s="531"/>
      <c r="B160" s="531"/>
      <c r="C160" s="145">
        <v>52</v>
      </c>
      <c r="D160" s="53">
        <v>108</v>
      </c>
      <c r="E160" s="317">
        <v>1978</v>
      </c>
      <c r="F160" s="338">
        <f t="shared" ref="F160:F161" si="38">2019-E160</f>
        <v>41</v>
      </c>
      <c r="G160" s="95"/>
      <c r="H160" s="95"/>
      <c r="I160" s="95"/>
      <c r="J160" s="95"/>
      <c r="K160" s="95"/>
    </row>
    <row r="161" spans="1:11" ht="18.75" customHeight="1" x14ac:dyDescent="0.25">
      <c r="A161" s="526"/>
      <c r="B161" s="526"/>
      <c r="C161" s="53">
        <v>52</v>
      </c>
      <c r="D161" s="53">
        <v>76</v>
      </c>
      <c r="E161" s="317">
        <v>1978</v>
      </c>
      <c r="F161" s="338">
        <f t="shared" si="38"/>
        <v>41</v>
      </c>
      <c r="G161" s="95"/>
      <c r="H161" s="95"/>
      <c r="I161" s="95"/>
      <c r="J161" s="95"/>
      <c r="K161" s="95"/>
    </row>
    <row r="162" spans="1:11" ht="18.75" customHeight="1" x14ac:dyDescent="0.25">
      <c r="A162" s="525" t="s">
        <v>1200</v>
      </c>
      <c r="B162" s="525" t="s">
        <v>1087</v>
      </c>
      <c r="C162" s="53"/>
      <c r="D162" s="53"/>
      <c r="E162" s="317"/>
      <c r="F162" s="332"/>
      <c r="G162" s="95"/>
      <c r="H162" s="95"/>
      <c r="I162" s="95"/>
      <c r="J162" s="95"/>
      <c r="K162" s="95"/>
    </row>
    <row r="163" spans="1:11" ht="18.75" customHeight="1" x14ac:dyDescent="0.25">
      <c r="A163" s="531"/>
      <c r="B163" s="531"/>
      <c r="C163" s="145">
        <v>26</v>
      </c>
      <c r="D163" s="53">
        <v>133</v>
      </c>
      <c r="E163" s="317">
        <v>2008</v>
      </c>
      <c r="F163" s="338">
        <f t="shared" ref="F163:F164" si="39">2019-E163</f>
        <v>11</v>
      </c>
      <c r="G163" s="95"/>
      <c r="H163" s="95"/>
      <c r="I163" s="95"/>
      <c r="J163" s="95"/>
      <c r="K163" s="95"/>
    </row>
    <row r="164" spans="1:11" ht="18.75" customHeight="1" x14ac:dyDescent="0.25">
      <c r="A164" s="526"/>
      <c r="B164" s="526"/>
      <c r="C164" s="53">
        <v>26</v>
      </c>
      <c r="D164" s="53">
        <v>76</v>
      </c>
      <c r="E164" s="317">
        <v>2008</v>
      </c>
      <c r="F164" s="338">
        <f t="shared" si="39"/>
        <v>11</v>
      </c>
      <c r="G164" s="95"/>
      <c r="H164" s="95"/>
      <c r="I164" s="95"/>
      <c r="J164" s="95"/>
      <c r="K164" s="95"/>
    </row>
    <row r="165" spans="1:11" ht="18.75" customHeight="1" x14ac:dyDescent="0.25">
      <c r="A165" s="525" t="s">
        <v>360</v>
      </c>
      <c r="B165" s="525" t="s">
        <v>1201</v>
      </c>
      <c r="C165" s="53"/>
      <c r="D165" s="53"/>
      <c r="E165" s="317"/>
      <c r="F165" s="332"/>
      <c r="G165" s="95"/>
      <c r="H165" s="95"/>
      <c r="I165" s="95"/>
      <c r="J165" s="95"/>
      <c r="K165" s="95"/>
    </row>
    <row r="166" spans="1:11" ht="18.75" customHeight="1" x14ac:dyDescent="0.25">
      <c r="A166" s="531"/>
      <c r="B166" s="531"/>
      <c r="C166" s="145">
        <v>21</v>
      </c>
      <c r="D166" s="53">
        <v>89</v>
      </c>
      <c r="E166" s="317">
        <v>1977</v>
      </c>
      <c r="F166" s="338">
        <f t="shared" ref="F166:F167" si="40">2019-E166</f>
        <v>42</v>
      </c>
      <c r="G166" s="95"/>
      <c r="H166" s="95"/>
      <c r="I166" s="95"/>
      <c r="J166" s="95"/>
      <c r="K166" s="95"/>
    </row>
    <row r="167" spans="1:11" ht="18.75" customHeight="1" x14ac:dyDescent="0.25">
      <c r="A167" s="526"/>
      <c r="B167" s="526"/>
      <c r="C167" s="53">
        <v>21</v>
      </c>
      <c r="D167" s="53">
        <v>57</v>
      </c>
      <c r="E167" s="317">
        <v>1977</v>
      </c>
      <c r="F167" s="338">
        <f t="shared" si="40"/>
        <v>42</v>
      </c>
      <c r="G167" s="95"/>
      <c r="H167" s="95"/>
      <c r="I167" s="95"/>
      <c r="J167" s="95"/>
      <c r="K167" s="95"/>
    </row>
    <row r="168" spans="1:11" ht="15.75" x14ac:dyDescent="0.25">
      <c r="A168" s="150"/>
      <c r="B168" s="86"/>
      <c r="C168" s="147">
        <f>SUM(C132:C167)</f>
        <v>1130</v>
      </c>
      <c r="D168" s="148"/>
      <c r="E168" s="149"/>
      <c r="F168" s="332"/>
      <c r="G168" s="95"/>
      <c r="H168" s="95"/>
      <c r="I168" s="95"/>
      <c r="J168" s="95"/>
      <c r="K168" s="95"/>
    </row>
    <row r="169" spans="1:11" ht="15.75" x14ac:dyDescent="0.25">
      <c r="A169" s="137" t="s">
        <v>1202</v>
      </c>
      <c r="B169" s="138"/>
      <c r="C169" s="138"/>
      <c r="D169" s="138"/>
      <c r="E169" s="138"/>
      <c r="F169" s="332"/>
      <c r="G169" s="95"/>
      <c r="H169" s="95"/>
      <c r="I169" s="95"/>
      <c r="J169" s="95"/>
      <c r="K169" s="95"/>
    </row>
    <row r="170" spans="1:11" ht="20.25" customHeight="1" x14ac:dyDescent="0.25">
      <c r="A170" s="525" t="s">
        <v>276</v>
      </c>
      <c r="B170" s="525" t="s">
        <v>385</v>
      </c>
      <c r="C170" s="53"/>
      <c r="D170" s="53"/>
      <c r="E170" s="317"/>
      <c r="F170" s="332"/>
      <c r="G170" s="95"/>
      <c r="H170" s="95"/>
      <c r="I170" s="95"/>
      <c r="J170" s="95"/>
      <c r="K170" s="95"/>
    </row>
    <row r="171" spans="1:11" ht="20.25" customHeight="1" x14ac:dyDescent="0.25">
      <c r="A171" s="531"/>
      <c r="B171" s="531"/>
      <c r="C171" s="145">
        <v>66</v>
      </c>
      <c r="D171" s="53">
        <v>159</v>
      </c>
      <c r="E171" s="317">
        <v>1983</v>
      </c>
      <c r="F171" s="338">
        <f t="shared" ref="F171:F172" si="41">2019-E171</f>
        <v>36</v>
      </c>
      <c r="G171" s="95"/>
      <c r="H171" s="95"/>
      <c r="I171" s="95"/>
      <c r="J171" s="95"/>
      <c r="K171" s="95"/>
    </row>
    <row r="172" spans="1:11" ht="20.25" customHeight="1" x14ac:dyDescent="0.25">
      <c r="A172" s="526"/>
      <c r="B172" s="526"/>
      <c r="C172" s="53">
        <v>66</v>
      </c>
      <c r="D172" s="53">
        <v>108</v>
      </c>
      <c r="E172" s="317">
        <v>1983</v>
      </c>
      <c r="F172" s="338">
        <f t="shared" si="41"/>
        <v>36</v>
      </c>
      <c r="G172" s="95"/>
      <c r="H172" s="95"/>
      <c r="I172" s="95"/>
      <c r="J172" s="95"/>
      <c r="K172" s="95"/>
    </row>
    <row r="173" spans="1:11" ht="20.25" customHeight="1" x14ac:dyDescent="0.25">
      <c r="A173" s="525" t="s">
        <v>611</v>
      </c>
      <c r="B173" s="525" t="s">
        <v>1203</v>
      </c>
      <c r="C173" s="53"/>
      <c r="D173" s="53"/>
      <c r="E173" s="317"/>
      <c r="F173" s="332"/>
      <c r="G173" s="95"/>
      <c r="H173" s="95"/>
      <c r="I173" s="95"/>
      <c r="J173" s="95"/>
      <c r="K173" s="95"/>
    </row>
    <row r="174" spans="1:11" ht="20.25" customHeight="1" x14ac:dyDescent="0.25">
      <c r="A174" s="531"/>
      <c r="B174" s="531"/>
      <c r="C174" s="145">
        <v>55</v>
      </c>
      <c r="D174" s="53">
        <v>159</v>
      </c>
      <c r="E174" s="317">
        <v>1983</v>
      </c>
      <c r="F174" s="338">
        <f t="shared" ref="F174:F175" si="42">2019-E174</f>
        <v>36</v>
      </c>
      <c r="G174" s="95"/>
      <c r="H174" s="95"/>
      <c r="I174" s="95"/>
      <c r="J174" s="95"/>
      <c r="K174" s="95"/>
    </row>
    <row r="175" spans="1:11" ht="20.25" customHeight="1" x14ac:dyDescent="0.25">
      <c r="A175" s="526"/>
      <c r="B175" s="526"/>
      <c r="C175" s="53">
        <v>55</v>
      </c>
      <c r="D175" s="53">
        <v>108</v>
      </c>
      <c r="E175" s="317">
        <v>1983</v>
      </c>
      <c r="F175" s="338">
        <f t="shared" si="42"/>
        <v>36</v>
      </c>
      <c r="G175" s="95"/>
      <c r="H175" s="95"/>
      <c r="I175" s="95"/>
      <c r="J175" s="95"/>
      <c r="K175" s="95"/>
    </row>
    <row r="176" spans="1:11" ht="20.25" customHeight="1" x14ac:dyDescent="0.25">
      <c r="A176" s="525" t="s">
        <v>1204</v>
      </c>
      <c r="B176" s="525" t="s">
        <v>1087</v>
      </c>
      <c r="C176" s="53"/>
      <c r="D176" s="53"/>
      <c r="E176" s="317"/>
      <c r="F176" s="332"/>
      <c r="G176" s="95"/>
      <c r="H176" s="95"/>
      <c r="I176" s="95"/>
      <c r="J176" s="95"/>
      <c r="K176" s="95"/>
    </row>
    <row r="177" spans="1:11" ht="20.25" customHeight="1" x14ac:dyDescent="0.25">
      <c r="A177" s="531"/>
      <c r="B177" s="531"/>
      <c r="C177" s="145">
        <v>85</v>
      </c>
      <c r="D177" s="53">
        <v>76</v>
      </c>
      <c r="E177" s="317">
        <v>1983</v>
      </c>
      <c r="F177" s="338">
        <f t="shared" ref="F177:F178" si="43">2019-E177</f>
        <v>36</v>
      </c>
      <c r="G177" s="95"/>
      <c r="H177" s="95"/>
      <c r="I177" s="95"/>
      <c r="J177" s="95"/>
      <c r="K177" s="95"/>
    </row>
    <row r="178" spans="1:11" ht="20.25" customHeight="1" x14ac:dyDescent="0.25">
      <c r="A178" s="526"/>
      <c r="B178" s="526"/>
      <c r="C178" s="53">
        <v>85</v>
      </c>
      <c r="D178" s="53">
        <v>57</v>
      </c>
      <c r="E178" s="317">
        <v>1983</v>
      </c>
      <c r="F178" s="338">
        <f t="shared" si="43"/>
        <v>36</v>
      </c>
      <c r="G178" s="95"/>
      <c r="H178" s="95"/>
      <c r="I178" s="95"/>
      <c r="J178" s="95"/>
      <c r="K178" s="95"/>
    </row>
    <row r="179" spans="1:11" ht="20.25" customHeight="1" x14ac:dyDescent="0.25">
      <c r="A179" s="525" t="s">
        <v>1205</v>
      </c>
      <c r="B179" s="525" t="s">
        <v>1206</v>
      </c>
      <c r="C179" s="53"/>
      <c r="D179" s="53"/>
      <c r="E179" s="317"/>
      <c r="F179" s="332"/>
      <c r="G179" s="95"/>
      <c r="H179" s="95"/>
      <c r="I179" s="95"/>
      <c r="J179" s="95"/>
      <c r="K179" s="95"/>
    </row>
    <row r="180" spans="1:11" ht="20.25" customHeight="1" x14ac:dyDescent="0.25">
      <c r="A180" s="531"/>
      <c r="B180" s="531"/>
      <c r="C180" s="145">
        <f>257</f>
        <v>257</v>
      </c>
      <c r="D180" s="53">
        <v>76</v>
      </c>
      <c r="E180" s="317">
        <v>1983</v>
      </c>
      <c r="F180" s="338">
        <f>2019-E180</f>
        <v>36</v>
      </c>
      <c r="G180" s="95"/>
      <c r="H180" s="95"/>
      <c r="I180" s="95"/>
      <c r="J180" s="95"/>
      <c r="K180" s="95"/>
    </row>
    <row r="181" spans="1:11" ht="20.25" customHeight="1" x14ac:dyDescent="0.25">
      <c r="A181" s="531"/>
      <c r="B181" s="531"/>
      <c r="C181" s="53"/>
      <c r="D181" s="53"/>
      <c r="E181" s="317"/>
      <c r="F181" s="332"/>
      <c r="G181" s="95"/>
      <c r="H181" s="95"/>
      <c r="I181" s="95"/>
      <c r="J181" s="95"/>
      <c r="K181" s="95"/>
    </row>
    <row r="182" spans="1:11" ht="20.25" customHeight="1" x14ac:dyDescent="0.25">
      <c r="A182" s="526"/>
      <c r="B182" s="526"/>
      <c r="C182" s="145">
        <v>61</v>
      </c>
      <c r="D182" s="53">
        <v>57</v>
      </c>
      <c r="E182" s="317">
        <v>1983</v>
      </c>
      <c r="F182" s="338">
        <f t="shared" ref="F182:F183" si="44">2019-E182</f>
        <v>36</v>
      </c>
      <c r="G182" s="95"/>
      <c r="H182" s="95"/>
      <c r="I182" s="95"/>
      <c r="J182" s="95"/>
      <c r="K182" s="95"/>
    </row>
    <row r="183" spans="1:11" ht="20.25" customHeight="1" x14ac:dyDescent="0.25">
      <c r="A183" s="91" t="s">
        <v>1205</v>
      </c>
      <c r="B183" s="91" t="s">
        <v>1206</v>
      </c>
      <c r="C183" s="53">
        <v>318</v>
      </c>
      <c r="D183" s="53">
        <v>40</v>
      </c>
      <c r="E183" s="317">
        <v>1983</v>
      </c>
      <c r="F183" s="338">
        <f t="shared" si="44"/>
        <v>36</v>
      </c>
      <c r="G183" s="95"/>
      <c r="H183" s="95"/>
      <c r="I183" s="95"/>
      <c r="J183" s="95"/>
      <c r="K183" s="95"/>
    </row>
    <row r="184" spans="1:11" ht="20.25" customHeight="1" x14ac:dyDescent="0.25">
      <c r="A184" s="525" t="s">
        <v>186</v>
      </c>
      <c r="B184" s="525" t="s">
        <v>1207</v>
      </c>
      <c r="C184" s="53"/>
      <c r="D184" s="53"/>
      <c r="E184" s="317"/>
      <c r="F184" s="332"/>
      <c r="G184" s="95"/>
      <c r="H184" s="95"/>
      <c r="I184" s="95"/>
      <c r="J184" s="95"/>
      <c r="K184" s="95"/>
    </row>
    <row r="185" spans="1:11" ht="20.25" customHeight="1" x14ac:dyDescent="0.25">
      <c r="A185" s="526"/>
      <c r="B185" s="526"/>
      <c r="C185" s="145">
        <f>23*2</f>
        <v>46</v>
      </c>
      <c r="D185" s="145">
        <v>57</v>
      </c>
      <c r="E185" s="317">
        <v>1983</v>
      </c>
      <c r="F185" s="338">
        <f>2019-E185</f>
        <v>36</v>
      </c>
      <c r="G185" s="95"/>
      <c r="H185" s="95"/>
      <c r="I185" s="95"/>
      <c r="J185" s="95"/>
      <c r="K185" s="95"/>
    </row>
    <row r="186" spans="1:11" ht="20.25" customHeight="1" x14ac:dyDescent="0.25">
      <c r="A186" s="525" t="s">
        <v>337</v>
      </c>
      <c r="B186" s="525" t="s">
        <v>1208</v>
      </c>
      <c r="C186" s="53"/>
      <c r="D186" s="53"/>
      <c r="E186" s="317"/>
      <c r="F186" s="332"/>
      <c r="G186" s="95"/>
      <c r="H186" s="95"/>
      <c r="I186" s="95"/>
      <c r="J186" s="95"/>
      <c r="K186" s="95"/>
    </row>
    <row r="187" spans="1:11" ht="20.25" customHeight="1" x14ac:dyDescent="0.25">
      <c r="A187" s="531"/>
      <c r="B187" s="531"/>
      <c r="C187" s="145">
        <v>188</v>
      </c>
      <c r="D187" s="53">
        <v>159</v>
      </c>
      <c r="E187" s="317">
        <v>2006</v>
      </c>
      <c r="F187" s="338">
        <f t="shared" ref="F187:F188" si="45">2019-E187</f>
        <v>13</v>
      </c>
      <c r="G187" s="95"/>
      <c r="H187" s="95"/>
      <c r="I187" s="95"/>
      <c r="J187" s="95"/>
      <c r="K187" s="95"/>
    </row>
    <row r="188" spans="1:11" ht="20.25" customHeight="1" x14ac:dyDescent="0.25">
      <c r="A188" s="526"/>
      <c r="B188" s="526"/>
      <c r="C188" s="53">
        <v>188</v>
      </c>
      <c r="D188" s="53">
        <v>108</v>
      </c>
      <c r="E188" s="317">
        <v>2006</v>
      </c>
      <c r="F188" s="338">
        <f t="shared" si="45"/>
        <v>13</v>
      </c>
      <c r="G188" s="95"/>
      <c r="H188" s="95"/>
      <c r="I188" s="95"/>
      <c r="J188" s="95"/>
      <c r="K188" s="95"/>
    </row>
    <row r="189" spans="1:11" ht="20.25" customHeight="1" x14ac:dyDescent="0.25">
      <c r="A189" s="525" t="s">
        <v>1209</v>
      </c>
      <c r="B189" s="525" t="s">
        <v>1210</v>
      </c>
      <c r="C189" s="53"/>
      <c r="D189" s="53"/>
      <c r="E189" s="317"/>
      <c r="F189" s="332"/>
      <c r="G189" s="95"/>
      <c r="H189" s="95"/>
      <c r="I189" s="95"/>
      <c r="J189" s="95"/>
      <c r="K189" s="95"/>
    </row>
    <row r="190" spans="1:11" ht="20.25" customHeight="1" x14ac:dyDescent="0.25">
      <c r="A190" s="531"/>
      <c r="B190" s="531"/>
      <c r="C190" s="145">
        <v>10</v>
      </c>
      <c r="D190" s="53">
        <v>89</v>
      </c>
      <c r="E190" s="317">
        <v>1983</v>
      </c>
      <c r="F190" s="338">
        <f t="shared" ref="F190:F191" si="46">2019-E190</f>
        <v>36</v>
      </c>
      <c r="G190" s="95"/>
      <c r="H190" s="95"/>
      <c r="I190" s="95"/>
      <c r="J190" s="95"/>
      <c r="K190" s="95"/>
    </row>
    <row r="191" spans="1:11" ht="20.25" customHeight="1" x14ac:dyDescent="0.25">
      <c r="A191" s="526"/>
      <c r="B191" s="526"/>
      <c r="C191" s="53">
        <v>10</v>
      </c>
      <c r="D191" s="53">
        <v>57</v>
      </c>
      <c r="E191" s="317">
        <v>1983</v>
      </c>
      <c r="F191" s="338">
        <f t="shared" si="46"/>
        <v>36</v>
      </c>
      <c r="G191" s="95"/>
      <c r="H191" s="95"/>
      <c r="I191" s="95"/>
      <c r="J191" s="95"/>
      <c r="K191" s="95"/>
    </row>
    <row r="192" spans="1:11" ht="40.5" customHeight="1" x14ac:dyDescent="0.25">
      <c r="A192" s="91" t="s">
        <v>1211</v>
      </c>
      <c r="B192" s="91" t="s">
        <v>1212</v>
      </c>
      <c r="C192" s="53"/>
      <c r="D192" s="53"/>
      <c r="E192" s="317"/>
      <c r="F192" s="332"/>
      <c r="G192" s="95"/>
      <c r="H192" s="95"/>
      <c r="I192" s="95"/>
      <c r="J192" s="95"/>
      <c r="K192" s="95"/>
    </row>
    <row r="193" spans="1:11" ht="20.25" customHeight="1" x14ac:dyDescent="0.25">
      <c r="A193" s="91" t="s">
        <v>1213</v>
      </c>
      <c r="B193" s="91" t="s">
        <v>887</v>
      </c>
      <c r="C193" s="53"/>
      <c r="D193" s="53"/>
      <c r="E193" s="317"/>
      <c r="F193" s="332"/>
      <c r="G193" s="95"/>
      <c r="H193" s="95"/>
      <c r="I193" s="95"/>
      <c r="J193" s="95"/>
      <c r="K193" s="95"/>
    </row>
    <row r="194" spans="1:11" ht="20.25" customHeight="1" x14ac:dyDescent="0.25">
      <c r="A194" s="525" t="s">
        <v>250</v>
      </c>
      <c r="B194" s="525" t="s">
        <v>1214</v>
      </c>
      <c r="C194" s="53"/>
      <c r="D194" s="53"/>
      <c r="E194" s="317"/>
      <c r="F194" s="332"/>
      <c r="G194" s="95"/>
      <c r="H194" s="95"/>
      <c r="I194" s="95"/>
      <c r="J194" s="95"/>
      <c r="K194" s="95"/>
    </row>
    <row r="195" spans="1:11" ht="20.25" customHeight="1" x14ac:dyDescent="0.25">
      <c r="A195" s="526"/>
      <c r="B195" s="526"/>
      <c r="C195" s="145">
        <f>20*2</f>
        <v>40</v>
      </c>
      <c r="D195" s="145">
        <v>57</v>
      </c>
      <c r="E195" s="317">
        <v>2006</v>
      </c>
      <c r="F195" s="338">
        <f>2019-E195</f>
        <v>13</v>
      </c>
      <c r="G195" s="95"/>
      <c r="H195" s="95"/>
      <c r="I195" s="95"/>
      <c r="J195" s="95"/>
      <c r="K195" s="95"/>
    </row>
    <row r="196" spans="1:11" ht="20.25" customHeight="1" x14ac:dyDescent="0.25">
      <c r="A196" s="525" t="s">
        <v>391</v>
      </c>
      <c r="B196" s="525" t="s">
        <v>1215</v>
      </c>
      <c r="C196" s="53"/>
      <c r="D196" s="53"/>
      <c r="E196" s="317"/>
      <c r="F196" s="332"/>
      <c r="G196" s="95"/>
      <c r="H196" s="95"/>
      <c r="I196" s="95"/>
      <c r="J196" s="95"/>
      <c r="K196" s="95"/>
    </row>
    <row r="197" spans="1:11" ht="20.25" customHeight="1" x14ac:dyDescent="0.25">
      <c r="A197" s="531"/>
      <c r="B197" s="531"/>
      <c r="C197" s="145">
        <v>8</v>
      </c>
      <c r="D197" s="53">
        <v>76</v>
      </c>
      <c r="E197" s="317">
        <v>1983</v>
      </c>
      <c r="F197" s="338">
        <f t="shared" ref="F197:F198" si="47">2019-E197</f>
        <v>36</v>
      </c>
      <c r="G197" s="95"/>
      <c r="H197" s="95"/>
      <c r="I197" s="95"/>
      <c r="J197" s="95"/>
      <c r="K197" s="95"/>
    </row>
    <row r="198" spans="1:11" ht="20.25" customHeight="1" x14ac:dyDescent="0.25">
      <c r="A198" s="526"/>
      <c r="B198" s="526"/>
      <c r="C198" s="53">
        <v>8</v>
      </c>
      <c r="D198" s="53">
        <v>57</v>
      </c>
      <c r="E198" s="317">
        <v>1983</v>
      </c>
      <c r="F198" s="338">
        <f t="shared" si="47"/>
        <v>36</v>
      </c>
      <c r="G198" s="95"/>
      <c r="H198" s="95"/>
      <c r="I198" s="95"/>
      <c r="J198" s="95"/>
      <c r="K198" s="95"/>
    </row>
    <row r="199" spans="1:11" ht="20.25" customHeight="1" x14ac:dyDescent="0.25">
      <c r="A199" s="525" t="s">
        <v>1216</v>
      </c>
      <c r="B199" s="525" t="s">
        <v>1217</v>
      </c>
      <c r="C199" s="53"/>
      <c r="D199" s="53"/>
      <c r="E199" s="317"/>
      <c r="F199" s="332"/>
      <c r="G199" s="95"/>
      <c r="H199" s="95"/>
      <c r="I199" s="95"/>
      <c r="J199" s="95"/>
      <c r="K199" s="95"/>
    </row>
    <row r="200" spans="1:11" ht="20.25" customHeight="1" x14ac:dyDescent="0.25">
      <c r="A200" s="531"/>
      <c r="B200" s="531"/>
      <c r="C200" s="145">
        <v>94</v>
      </c>
      <c r="D200" s="53">
        <v>57</v>
      </c>
      <c r="E200" s="317">
        <v>1983</v>
      </c>
      <c r="F200" s="338">
        <f t="shared" ref="F200:F201" si="48">2019-E200</f>
        <v>36</v>
      </c>
      <c r="G200" s="95"/>
      <c r="H200" s="95"/>
      <c r="I200" s="95"/>
      <c r="J200" s="95"/>
      <c r="K200" s="95"/>
    </row>
    <row r="201" spans="1:11" ht="20.25" customHeight="1" x14ac:dyDescent="0.25">
      <c r="A201" s="526"/>
      <c r="B201" s="526"/>
      <c r="C201" s="53">
        <v>94</v>
      </c>
      <c r="D201" s="53">
        <v>40</v>
      </c>
      <c r="E201" s="317">
        <v>1983</v>
      </c>
      <c r="F201" s="338">
        <f t="shared" si="48"/>
        <v>36</v>
      </c>
      <c r="G201" s="95"/>
      <c r="H201" s="95"/>
      <c r="I201" s="95"/>
      <c r="J201" s="95"/>
      <c r="K201" s="95"/>
    </row>
    <row r="202" spans="1:11" ht="39.75" customHeight="1" x14ac:dyDescent="0.25">
      <c r="A202" s="91" t="s">
        <v>1218</v>
      </c>
      <c r="B202" s="91" t="s">
        <v>772</v>
      </c>
      <c r="C202" s="53"/>
      <c r="D202" s="53"/>
      <c r="E202" s="317"/>
      <c r="F202" s="332"/>
      <c r="G202" s="95"/>
      <c r="H202" s="95"/>
      <c r="I202" s="95"/>
      <c r="J202" s="95"/>
      <c r="K202" s="95"/>
    </row>
    <row r="203" spans="1:11" ht="20.25" customHeight="1" x14ac:dyDescent="0.25">
      <c r="A203" s="525" t="s">
        <v>632</v>
      </c>
      <c r="B203" s="525" t="s">
        <v>1219</v>
      </c>
      <c r="C203" s="53"/>
      <c r="D203" s="53"/>
      <c r="E203" s="317"/>
      <c r="F203" s="332"/>
      <c r="G203" s="95"/>
      <c r="H203" s="95"/>
      <c r="I203" s="95"/>
      <c r="J203" s="95"/>
      <c r="K203" s="95"/>
    </row>
    <row r="204" spans="1:11" ht="20.25" customHeight="1" x14ac:dyDescent="0.25">
      <c r="A204" s="526"/>
      <c r="B204" s="526"/>
      <c r="C204" s="145">
        <f>13*2</f>
        <v>26</v>
      </c>
      <c r="D204" s="145">
        <v>57</v>
      </c>
      <c r="E204" s="317">
        <v>1984</v>
      </c>
      <c r="F204" s="338">
        <f>2019-E204</f>
        <v>35</v>
      </c>
      <c r="G204" s="95"/>
      <c r="H204" s="95"/>
      <c r="I204" s="95"/>
      <c r="J204" s="95"/>
      <c r="K204" s="95"/>
    </row>
    <row r="205" spans="1:11" ht="20.25" customHeight="1" x14ac:dyDescent="0.25">
      <c r="A205" s="525" t="s">
        <v>276</v>
      </c>
      <c r="B205" s="525" t="s">
        <v>682</v>
      </c>
      <c r="C205" s="53"/>
      <c r="D205" s="53"/>
      <c r="E205" s="317"/>
      <c r="F205" s="332"/>
      <c r="G205" s="95"/>
      <c r="H205" s="95"/>
      <c r="I205" s="95"/>
      <c r="J205" s="95"/>
      <c r="K205" s="95"/>
    </row>
    <row r="206" spans="1:11" ht="20.25" customHeight="1" x14ac:dyDescent="0.25">
      <c r="A206" s="531"/>
      <c r="B206" s="531"/>
      <c r="C206" s="145">
        <v>104</v>
      </c>
      <c r="D206" s="53">
        <v>89</v>
      </c>
      <c r="E206" s="317">
        <v>1983</v>
      </c>
      <c r="F206" s="338">
        <f t="shared" ref="F206:F207" si="49">2019-E206</f>
        <v>36</v>
      </c>
      <c r="G206" s="95"/>
      <c r="H206" s="95"/>
      <c r="I206" s="95"/>
      <c r="J206" s="95"/>
      <c r="K206" s="95"/>
    </row>
    <row r="207" spans="1:11" ht="20.25" customHeight="1" x14ac:dyDescent="0.25">
      <c r="A207" s="526"/>
      <c r="B207" s="526"/>
      <c r="C207" s="53">
        <v>104</v>
      </c>
      <c r="D207" s="53">
        <v>57</v>
      </c>
      <c r="E207" s="317">
        <v>1983</v>
      </c>
      <c r="F207" s="338">
        <f t="shared" si="49"/>
        <v>36</v>
      </c>
      <c r="G207" s="95"/>
      <c r="H207" s="95"/>
      <c r="I207" s="95"/>
      <c r="J207" s="95"/>
      <c r="K207" s="95"/>
    </row>
    <row r="208" spans="1:11" ht="20.25" customHeight="1" x14ac:dyDescent="0.25">
      <c r="A208" s="525" t="s">
        <v>1220</v>
      </c>
      <c r="B208" s="525" t="s">
        <v>1221</v>
      </c>
      <c r="C208" s="53"/>
      <c r="D208" s="53"/>
      <c r="E208" s="317"/>
      <c r="F208" s="332"/>
      <c r="G208" s="95"/>
      <c r="H208" s="95"/>
      <c r="I208" s="95"/>
      <c r="J208" s="95"/>
      <c r="K208" s="95"/>
    </row>
    <row r="209" spans="1:11" ht="20.25" customHeight="1" x14ac:dyDescent="0.25">
      <c r="A209" s="526"/>
      <c r="B209" s="526"/>
      <c r="C209" s="145">
        <f>51*2</f>
        <v>102</v>
      </c>
      <c r="D209" s="145">
        <v>25</v>
      </c>
      <c r="E209" s="317">
        <v>1985</v>
      </c>
      <c r="F209" s="338">
        <f>2019-E209</f>
        <v>34</v>
      </c>
      <c r="G209" s="95"/>
      <c r="H209" s="95"/>
      <c r="I209" s="95"/>
      <c r="J209" s="95"/>
      <c r="K209" s="95"/>
    </row>
    <row r="210" spans="1:11" ht="20.25" customHeight="1" x14ac:dyDescent="0.25">
      <c r="A210" s="525" t="s">
        <v>1036</v>
      </c>
      <c r="B210" s="525" t="s">
        <v>1222</v>
      </c>
      <c r="C210" s="53"/>
      <c r="D210" s="53"/>
      <c r="E210" s="317"/>
      <c r="F210" s="332"/>
      <c r="G210" s="95"/>
      <c r="H210" s="95"/>
      <c r="I210" s="95"/>
      <c r="J210" s="95"/>
      <c r="K210" s="95"/>
    </row>
    <row r="211" spans="1:11" ht="20.25" customHeight="1" x14ac:dyDescent="0.25">
      <c r="A211" s="531"/>
      <c r="B211" s="531"/>
      <c r="C211" s="145">
        <v>13</v>
      </c>
      <c r="D211" s="53">
        <v>89</v>
      </c>
      <c r="E211" s="317">
        <v>1983</v>
      </c>
      <c r="F211" s="338">
        <f t="shared" ref="F211:F212" si="50">2019-E211</f>
        <v>36</v>
      </c>
      <c r="G211" s="95"/>
      <c r="H211" s="95"/>
      <c r="I211" s="95"/>
      <c r="J211" s="95"/>
      <c r="K211" s="95"/>
    </row>
    <row r="212" spans="1:11" ht="20.25" customHeight="1" x14ac:dyDescent="0.25">
      <c r="A212" s="526"/>
      <c r="B212" s="526"/>
      <c r="C212" s="53">
        <v>13</v>
      </c>
      <c r="D212" s="53">
        <v>40</v>
      </c>
      <c r="E212" s="317">
        <v>1983</v>
      </c>
      <c r="F212" s="338">
        <f t="shared" si="50"/>
        <v>36</v>
      </c>
      <c r="G212" s="95"/>
      <c r="H212" s="95"/>
      <c r="I212" s="95"/>
      <c r="J212" s="95"/>
      <c r="K212" s="95"/>
    </row>
    <row r="213" spans="1:11" ht="20.25" customHeight="1" x14ac:dyDescent="0.25">
      <c r="A213" s="525" t="s">
        <v>950</v>
      </c>
      <c r="B213" s="525" t="s">
        <v>1223</v>
      </c>
      <c r="C213" s="53"/>
      <c r="D213" s="53"/>
      <c r="E213" s="317"/>
      <c r="F213" s="332"/>
      <c r="G213" s="95"/>
      <c r="H213" s="95"/>
      <c r="I213" s="95"/>
      <c r="J213" s="95"/>
      <c r="K213" s="95"/>
    </row>
    <row r="214" spans="1:11" ht="20.25" customHeight="1" x14ac:dyDescent="0.25">
      <c r="A214" s="526"/>
      <c r="B214" s="526"/>
      <c r="C214" s="145">
        <f>5*2</f>
        <v>10</v>
      </c>
      <c r="D214" s="145">
        <v>25</v>
      </c>
      <c r="E214" s="317">
        <v>1985</v>
      </c>
      <c r="F214" s="338">
        <f>2019-E214</f>
        <v>34</v>
      </c>
      <c r="G214" s="95"/>
      <c r="H214" s="95"/>
      <c r="I214" s="95"/>
      <c r="J214" s="95"/>
      <c r="K214" s="95"/>
    </row>
    <row r="215" spans="1:11" ht="15.75" x14ac:dyDescent="0.25">
      <c r="A215" s="150"/>
      <c r="B215" s="86"/>
      <c r="C215" s="147">
        <f>SUM(C170:C214)</f>
        <v>2106</v>
      </c>
      <c r="D215" s="148"/>
      <c r="E215" s="149"/>
      <c r="F215" s="332"/>
      <c r="G215" s="95"/>
      <c r="H215" s="95"/>
      <c r="I215" s="95"/>
      <c r="J215" s="95"/>
      <c r="K215" s="95"/>
    </row>
    <row r="216" spans="1:11" ht="15.75" x14ac:dyDescent="0.25">
      <c r="A216" s="137" t="s">
        <v>1224</v>
      </c>
      <c r="B216" s="138"/>
      <c r="C216" s="138"/>
      <c r="D216" s="138"/>
      <c r="E216" s="138"/>
      <c r="F216" s="332"/>
      <c r="G216" s="95"/>
      <c r="H216" s="95"/>
      <c r="I216" s="95"/>
      <c r="J216" s="95"/>
      <c r="K216" s="95"/>
    </row>
    <row r="217" spans="1:11" ht="17.25" customHeight="1" x14ac:dyDescent="0.25">
      <c r="A217" s="525" t="s">
        <v>276</v>
      </c>
      <c r="B217" s="525" t="s">
        <v>444</v>
      </c>
      <c r="C217" s="53"/>
      <c r="D217" s="53"/>
      <c r="E217" s="317"/>
      <c r="F217" s="332"/>
      <c r="G217" s="95"/>
      <c r="H217" s="95"/>
      <c r="I217" s="95"/>
      <c r="J217" s="95"/>
      <c r="K217" s="95"/>
    </row>
    <row r="218" spans="1:11" ht="17.25" customHeight="1" x14ac:dyDescent="0.25">
      <c r="A218" s="531"/>
      <c r="B218" s="531"/>
      <c r="C218" s="145">
        <v>58</v>
      </c>
      <c r="D218" s="53">
        <v>133</v>
      </c>
      <c r="E218" s="317">
        <v>1980</v>
      </c>
      <c r="F218" s="338">
        <f t="shared" ref="F218:F219" si="51">2019-E218</f>
        <v>39</v>
      </c>
      <c r="G218" s="95"/>
      <c r="H218" s="95"/>
      <c r="I218" s="95"/>
      <c r="J218" s="95"/>
      <c r="K218" s="95"/>
    </row>
    <row r="219" spans="1:11" ht="17.25" customHeight="1" x14ac:dyDescent="0.25">
      <c r="A219" s="526"/>
      <c r="B219" s="526"/>
      <c r="C219" s="53">
        <v>58</v>
      </c>
      <c r="D219" s="53">
        <v>108</v>
      </c>
      <c r="E219" s="317">
        <v>1980</v>
      </c>
      <c r="F219" s="338">
        <f t="shared" si="51"/>
        <v>39</v>
      </c>
      <c r="G219" s="95"/>
      <c r="H219" s="95"/>
      <c r="I219" s="95"/>
      <c r="J219" s="95"/>
      <c r="K219" s="95"/>
    </row>
    <row r="220" spans="1:11" ht="17.25" customHeight="1" x14ac:dyDescent="0.25">
      <c r="A220" s="525" t="s">
        <v>256</v>
      </c>
      <c r="B220" s="525" t="s">
        <v>748</v>
      </c>
      <c r="C220" s="53"/>
      <c r="D220" s="53"/>
      <c r="E220" s="317"/>
      <c r="F220" s="332"/>
      <c r="G220" s="95"/>
      <c r="H220" s="95"/>
      <c r="I220" s="95"/>
      <c r="J220" s="95"/>
      <c r="K220" s="95"/>
    </row>
    <row r="221" spans="1:11" ht="17.25" customHeight="1" x14ac:dyDescent="0.25">
      <c r="A221" s="531"/>
      <c r="B221" s="531"/>
      <c r="C221" s="145">
        <v>243</v>
      </c>
      <c r="D221" s="53">
        <v>159</v>
      </c>
      <c r="E221" s="317">
        <v>2011</v>
      </c>
      <c r="F221" s="338">
        <f t="shared" ref="F221:F222" si="52">2019-E221</f>
        <v>8</v>
      </c>
      <c r="G221" s="95"/>
      <c r="H221" s="95"/>
      <c r="I221" s="95"/>
      <c r="J221" s="95"/>
      <c r="K221" s="95"/>
    </row>
    <row r="222" spans="1:11" ht="17.25" customHeight="1" x14ac:dyDescent="0.25">
      <c r="A222" s="526"/>
      <c r="B222" s="526"/>
      <c r="C222" s="53">
        <v>243</v>
      </c>
      <c r="D222" s="53">
        <v>108</v>
      </c>
      <c r="E222" s="317">
        <v>2011</v>
      </c>
      <c r="F222" s="338">
        <f t="shared" si="52"/>
        <v>8</v>
      </c>
      <c r="G222" s="95"/>
      <c r="H222" s="95"/>
      <c r="I222" s="95"/>
      <c r="J222" s="95"/>
      <c r="K222" s="95"/>
    </row>
    <row r="223" spans="1:11" ht="17.25" customHeight="1" x14ac:dyDescent="0.25">
      <c r="A223" s="525" t="s">
        <v>511</v>
      </c>
      <c r="B223" s="525" t="s">
        <v>1225</v>
      </c>
      <c r="C223" s="53"/>
      <c r="D223" s="53"/>
      <c r="E223" s="317"/>
      <c r="F223" s="332"/>
      <c r="G223" s="95"/>
      <c r="H223" s="95"/>
      <c r="I223" s="95"/>
      <c r="J223" s="95"/>
      <c r="K223" s="95"/>
    </row>
    <row r="224" spans="1:11" ht="17.25" customHeight="1" x14ac:dyDescent="0.25">
      <c r="A224" s="531"/>
      <c r="B224" s="531"/>
      <c r="C224" s="145">
        <v>30</v>
      </c>
      <c r="D224" s="53">
        <v>108</v>
      </c>
      <c r="E224" s="317">
        <v>1980</v>
      </c>
      <c r="F224" s="338">
        <f t="shared" ref="F224:F225" si="53">2019-E224</f>
        <v>39</v>
      </c>
      <c r="G224" s="95"/>
      <c r="H224" s="95"/>
      <c r="I224" s="95"/>
      <c r="J224" s="95"/>
      <c r="K224" s="95"/>
    </row>
    <row r="225" spans="1:11" ht="17.25" customHeight="1" x14ac:dyDescent="0.25">
      <c r="A225" s="526"/>
      <c r="B225" s="526"/>
      <c r="C225" s="53">
        <v>30</v>
      </c>
      <c r="D225" s="53">
        <v>57</v>
      </c>
      <c r="E225" s="317">
        <v>1980</v>
      </c>
      <c r="F225" s="338">
        <f t="shared" si="53"/>
        <v>39</v>
      </c>
      <c r="G225" s="95"/>
      <c r="H225" s="95"/>
      <c r="I225" s="95"/>
      <c r="J225" s="95"/>
      <c r="K225" s="95"/>
    </row>
    <row r="226" spans="1:11" ht="17.25" customHeight="1" x14ac:dyDescent="0.25">
      <c r="A226" s="525" t="s">
        <v>564</v>
      </c>
      <c r="B226" s="525" t="s">
        <v>1226</v>
      </c>
      <c r="C226" s="53"/>
      <c r="D226" s="53"/>
      <c r="E226" s="317"/>
      <c r="F226" s="332"/>
      <c r="G226" s="95"/>
      <c r="H226" s="95"/>
      <c r="I226" s="95"/>
      <c r="J226" s="95"/>
      <c r="K226" s="95"/>
    </row>
    <row r="227" spans="1:11" ht="17.25" customHeight="1" x14ac:dyDescent="0.25">
      <c r="A227" s="531"/>
      <c r="B227" s="531"/>
      <c r="C227" s="145">
        <v>4</v>
      </c>
      <c r="D227" s="53">
        <v>89</v>
      </c>
      <c r="E227" s="317">
        <v>1980</v>
      </c>
      <c r="F227" s="338">
        <f t="shared" ref="F227:F228" si="54">2019-E227</f>
        <v>39</v>
      </c>
      <c r="G227" s="95"/>
      <c r="H227" s="95"/>
      <c r="I227" s="95"/>
      <c r="J227" s="95"/>
      <c r="K227" s="95"/>
    </row>
    <row r="228" spans="1:11" ht="17.25" customHeight="1" x14ac:dyDescent="0.25">
      <c r="A228" s="526"/>
      <c r="B228" s="526"/>
      <c r="C228" s="53">
        <v>4</v>
      </c>
      <c r="D228" s="53">
        <v>57</v>
      </c>
      <c r="E228" s="317">
        <v>1980</v>
      </c>
      <c r="F228" s="338">
        <f t="shared" si="54"/>
        <v>39</v>
      </c>
      <c r="G228" s="95"/>
      <c r="H228" s="95"/>
      <c r="I228" s="95"/>
      <c r="J228" s="95"/>
      <c r="K228" s="95"/>
    </row>
    <row r="229" spans="1:11" ht="17.25" customHeight="1" x14ac:dyDescent="0.25">
      <c r="A229" s="525" t="s">
        <v>1000</v>
      </c>
      <c r="B229" s="525" t="s">
        <v>1227</v>
      </c>
      <c r="C229" s="53"/>
      <c r="D229" s="53"/>
      <c r="E229" s="317"/>
      <c r="F229" s="332"/>
      <c r="G229" s="95"/>
      <c r="H229" s="95"/>
      <c r="I229" s="95"/>
      <c r="J229" s="95"/>
      <c r="K229" s="95"/>
    </row>
    <row r="230" spans="1:11" ht="17.25" customHeight="1" x14ac:dyDescent="0.25">
      <c r="A230" s="531"/>
      <c r="B230" s="531"/>
      <c r="C230" s="145">
        <f>84*2</f>
        <v>168</v>
      </c>
      <c r="D230" s="145">
        <v>108</v>
      </c>
      <c r="E230" s="317">
        <v>1980</v>
      </c>
      <c r="F230" s="338">
        <f>2019-E230</f>
        <v>39</v>
      </c>
      <c r="G230" s="95"/>
      <c r="H230" s="95"/>
      <c r="I230" s="95"/>
      <c r="J230" s="95"/>
      <c r="K230" s="95"/>
    </row>
    <row r="231" spans="1:11" ht="35.25" customHeight="1" x14ac:dyDescent="0.25">
      <c r="A231" s="91" t="s">
        <v>1228</v>
      </c>
      <c r="B231" s="91" t="s">
        <v>1229</v>
      </c>
      <c r="C231" s="53"/>
      <c r="D231" s="53"/>
      <c r="E231" s="317"/>
      <c r="F231" s="332"/>
      <c r="G231" s="95"/>
      <c r="H231" s="95"/>
      <c r="I231" s="95"/>
      <c r="J231" s="95"/>
      <c r="K231" s="95"/>
    </row>
    <row r="232" spans="1:11" ht="17.25" customHeight="1" x14ac:dyDescent="0.25">
      <c r="A232" s="91" t="s">
        <v>959</v>
      </c>
      <c r="B232" s="91" t="s">
        <v>1230</v>
      </c>
      <c r="C232" s="53"/>
      <c r="D232" s="53"/>
      <c r="E232" s="317"/>
      <c r="F232" s="332"/>
      <c r="G232" s="95"/>
      <c r="H232" s="95"/>
      <c r="I232" s="95"/>
      <c r="J232" s="95"/>
      <c r="K232" s="95"/>
    </row>
    <row r="233" spans="1:11" ht="17.25" customHeight="1" x14ac:dyDescent="0.25">
      <c r="A233" s="525" t="s">
        <v>748</v>
      </c>
      <c r="B233" s="525" t="s">
        <v>1231</v>
      </c>
      <c r="C233" s="53"/>
      <c r="D233" s="53"/>
      <c r="E233" s="317"/>
      <c r="F233" s="332"/>
      <c r="G233" s="95"/>
      <c r="H233" s="95"/>
      <c r="I233" s="95"/>
      <c r="J233" s="95"/>
      <c r="K233" s="95"/>
    </row>
    <row r="234" spans="1:11" ht="17.25" customHeight="1" x14ac:dyDescent="0.25">
      <c r="A234" s="531"/>
      <c r="B234" s="531"/>
      <c r="C234" s="145">
        <v>261</v>
      </c>
      <c r="D234" s="53">
        <v>159</v>
      </c>
      <c r="E234" s="317">
        <v>1980</v>
      </c>
      <c r="F234" s="338">
        <f t="shared" ref="F234:F235" si="55">2019-E234</f>
        <v>39</v>
      </c>
      <c r="G234" s="95"/>
      <c r="H234" s="95"/>
      <c r="I234" s="95"/>
      <c r="J234" s="95"/>
      <c r="K234" s="95"/>
    </row>
    <row r="235" spans="1:11" ht="17.25" customHeight="1" x14ac:dyDescent="0.25">
      <c r="A235" s="526"/>
      <c r="B235" s="526"/>
      <c r="C235" s="53">
        <v>261</v>
      </c>
      <c r="D235" s="53">
        <v>108</v>
      </c>
      <c r="E235" s="317">
        <v>1980</v>
      </c>
      <c r="F235" s="338">
        <f t="shared" si="55"/>
        <v>39</v>
      </c>
      <c r="G235" s="95"/>
      <c r="H235" s="95"/>
      <c r="I235" s="95"/>
      <c r="J235" s="95"/>
      <c r="K235" s="95"/>
    </row>
    <row r="236" spans="1:11" ht="17.25" customHeight="1" x14ac:dyDescent="0.25">
      <c r="A236" s="525" t="s">
        <v>1041</v>
      </c>
      <c r="B236" s="525" t="s">
        <v>1232</v>
      </c>
      <c r="C236" s="53"/>
      <c r="D236" s="53"/>
      <c r="E236" s="317"/>
      <c r="F236" s="332"/>
      <c r="G236" s="95"/>
      <c r="H236" s="95"/>
      <c r="I236" s="95"/>
      <c r="J236" s="95"/>
      <c r="K236" s="95"/>
    </row>
    <row r="237" spans="1:11" ht="17.25" customHeight="1" x14ac:dyDescent="0.25">
      <c r="A237" s="531"/>
      <c r="B237" s="531"/>
      <c r="C237" s="145">
        <v>45</v>
      </c>
      <c r="D237" s="53">
        <v>89</v>
      </c>
      <c r="E237" s="317">
        <v>1980</v>
      </c>
      <c r="F237" s="338">
        <f t="shared" ref="F237:F238" si="56">2019-E237</f>
        <v>39</v>
      </c>
      <c r="G237" s="95"/>
      <c r="H237" s="95"/>
      <c r="I237" s="95"/>
      <c r="J237" s="95"/>
      <c r="K237" s="95"/>
    </row>
    <row r="238" spans="1:11" ht="17.25" customHeight="1" x14ac:dyDescent="0.25">
      <c r="A238" s="526"/>
      <c r="B238" s="526"/>
      <c r="C238" s="53">
        <v>45</v>
      </c>
      <c r="D238" s="53">
        <v>57</v>
      </c>
      <c r="E238" s="317">
        <v>1980</v>
      </c>
      <c r="F238" s="338">
        <f t="shared" si="56"/>
        <v>39</v>
      </c>
      <c r="G238" s="95"/>
      <c r="H238" s="95"/>
      <c r="I238" s="95"/>
      <c r="J238" s="95"/>
      <c r="K238" s="95"/>
    </row>
    <row r="239" spans="1:11" ht="17.25" customHeight="1" x14ac:dyDescent="0.25">
      <c r="A239" s="525" t="s">
        <v>920</v>
      </c>
      <c r="B239" s="525" t="s">
        <v>1233</v>
      </c>
      <c r="C239" s="53"/>
      <c r="D239" s="53"/>
      <c r="E239" s="317"/>
      <c r="F239" s="332"/>
      <c r="G239" s="95"/>
      <c r="H239" s="95"/>
      <c r="I239" s="95"/>
      <c r="J239" s="95"/>
      <c r="K239" s="95"/>
    </row>
    <row r="240" spans="1:11" ht="17.25" customHeight="1" x14ac:dyDescent="0.25">
      <c r="A240" s="531"/>
      <c r="B240" s="531"/>
      <c r="C240" s="145">
        <v>5</v>
      </c>
      <c r="D240" s="53">
        <v>89</v>
      </c>
      <c r="E240" s="317">
        <v>1981</v>
      </c>
      <c r="F240" s="338">
        <f t="shared" ref="F240:F241" si="57">2019-E240</f>
        <v>38</v>
      </c>
      <c r="G240" s="95"/>
      <c r="H240" s="95"/>
      <c r="I240" s="95"/>
      <c r="J240" s="95"/>
      <c r="K240" s="95"/>
    </row>
    <row r="241" spans="1:11" ht="17.25" customHeight="1" x14ac:dyDescent="0.25">
      <c r="A241" s="526"/>
      <c r="B241" s="526"/>
      <c r="C241" s="53">
        <v>5</v>
      </c>
      <c r="D241" s="53">
        <v>57</v>
      </c>
      <c r="E241" s="317">
        <v>1981</v>
      </c>
      <c r="F241" s="338">
        <f t="shared" si="57"/>
        <v>38</v>
      </c>
      <c r="G241" s="95"/>
      <c r="H241" s="95"/>
      <c r="I241" s="95"/>
      <c r="J241" s="95"/>
      <c r="K241" s="95"/>
    </row>
    <row r="242" spans="1:11" ht="17.25" customHeight="1" x14ac:dyDescent="0.25">
      <c r="A242" s="525" t="s">
        <v>1234</v>
      </c>
      <c r="B242" s="525" t="s">
        <v>1235</v>
      </c>
      <c r="C242" s="53"/>
      <c r="D242" s="53"/>
      <c r="E242" s="317"/>
      <c r="F242" s="332"/>
      <c r="G242" s="95"/>
      <c r="H242" s="95"/>
      <c r="I242" s="95"/>
      <c r="J242" s="95"/>
      <c r="K242" s="95"/>
    </row>
    <row r="243" spans="1:11" ht="17.25" customHeight="1" x14ac:dyDescent="0.25">
      <c r="A243" s="526"/>
      <c r="B243" s="526"/>
      <c r="C243" s="145">
        <v>30</v>
      </c>
      <c r="D243" s="145">
        <v>89</v>
      </c>
      <c r="E243" s="317">
        <v>1980</v>
      </c>
      <c r="F243" s="338">
        <f>2019-E243</f>
        <v>39</v>
      </c>
      <c r="G243" s="95"/>
      <c r="H243" s="95"/>
      <c r="I243" s="95"/>
      <c r="J243" s="95"/>
      <c r="K243" s="95"/>
    </row>
    <row r="244" spans="1:11" ht="17.25" customHeight="1" x14ac:dyDescent="0.25">
      <c r="A244" s="525" t="s">
        <v>1236</v>
      </c>
      <c r="B244" s="525" t="s">
        <v>1237</v>
      </c>
      <c r="C244" s="53"/>
      <c r="D244" s="53"/>
      <c r="E244" s="317"/>
      <c r="F244" s="332"/>
      <c r="G244" s="95"/>
      <c r="H244" s="95"/>
      <c r="I244" s="95"/>
      <c r="J244" s="95"/>
      <c r="K244" s="95"/>
    </row>
    <row r="245" spans="1:11" ht="17.25" customHeight="1" x14ac:dyDescent="0.25">
      <c r="A245" s="531"/>
      <c r="B245" s="531"/>
      <c r="C245" s="145">
        <v>55</v>
      </c>
      <c r="D245" s="53">
        <v>89</v>
      </c>
      <c r="E245" s="317">
        <v>1981</v>
      </c>
      <c r="F245" s="338">
        <f t="shared" ref="F245:F246" si="58">2019-E245</f>
        <v>38</v>
      </c>
      <c r="G245" s="95"/>
      <c r="H245" s="95"/>
      <c r="I245" s="95"/>
      <c r="J245" s="95"/>
      <c r="K245" s="95"/>
    </row>
    <row r="246" spans="1:11" ht="17.25" customHeight="1" x14ac:dyDescent="0.25">
      <c r="A246" s="526"/>
      <c r="B246" s="526"/>
      <c r="C246" s="53">
        <v>55</v>
      </c>
      <c r="D246" s="53">
        <v>57</v>
      </c>
      <c r="E246" s="317">
        <v>1981</v>
      </c>
      <c r="F246" s="338">
        <f t="shared" si="58"/>
        <v>38</v>
      </c>
      <c r="G246" s="95"/>
      <c r="H246" s="95"/>
      <c r="I246" s="95"/>
      <c r="J246" s="95"/>
      <c r="K246" s="95"/>
    </row>
    <row r="247" spans="1:11" ht="17.25" customHeight="1" x14ac:dyDescent="0.25">
      <c r="A247" s="525" t="s">
        <v>1238</v>
      </c>
      <c r="B247" s="525" t="s">
        <v>1239</v>
      </c>
      <c r="C247" s="53"/>
      <c r="D247" s="53"/>
      <c r="E247" s="317"/>
      <c r="F247" s="332"/>
      <c r="G247" s="95"/>
      <c r="H247" s="95"/>
      <c r="I247" s="95"/>
      <c r="J247" s="95"/>
      <c r="K247" s="95"/>
    </row>
    <row r="248" spans="1:11" ht="17.25" customHeight="1" x14ac:dyDescent="0.25">
      <c r="A248" s="526"/>
      <c r="B248" s="526"/>
      <c r="C248" s="145">
        <f>50*2</f>
        <v>100</v>
      </c>
      <c r="D248" s="145">
        <v>57</v>
      </c>
      <c r="E248" s="317">
        <v>1982</v>
      </c>
      <c r="F248" s="338">
        <f>2019-E248</f>
        <v>37</v>
      </c>
      <c r="G248" s="95"/>
      <c r="H248" s="95"/>
      <c r="I248" s="95"/>
      <c r="J248" s="95"/>
      <c r="K248" s="95"/>
    </row>
    <row r="249" spans="1:11" ht="17.25" customHeight="1" x14ac:dyDescent="0.25">
      <c r="A249" s="525" t="s">
        <v>638</v>
      </c>
      <c r="B249" s="525" t="s">
        <v>1240</v>
      </c>
      <c r="C249" s="53"/>
      <c r="D249" s="53"/>
      <c r="E249" s="317"/>
      <c r="F249" s="332"/>
      <c r="G249" s="95"/>
      <c r="H249" s="95"/>
      <c r="I249" s="95"/>
      <c r="J249" s="95"/>
      <c r="K249" s="95"/>
    </row>
    <row r="250" spans="1:11" ht="17.25" customHeight="1" x14ac:dyDescent="0.25">
      <c r="A250" s="531"/>
      <c r="B250" s="531"/>
      <c r="C250" s="145">
        <v>44</v>
      </c>
      <c r="D250" s="53">
        <v>89</v>
      </c>
      <c r="E250" s="317">
        <v>1980</v>
      </c>
      <c r="F250" s="338">
        <f t="shared" ref="F250:F251" si="59">2019-E250</f>
        <v>39</v>
      </c>
      <c r="G250" s="95"/>
      <c r="H250" s="95"/>
      <c r="I250" s="95"/>
      <c r="J250" s="95"/>
      <c r="K250" s="95"/>
    </row>
    <row r="251" spans="1:11" ht="17.25" customHeight="1" x14ac:dyDescent="0.25">
      <c r="A251" s="526"/>
      <c r="B251" s="526"/>
      <c r="C251" s="53">
        <v>44</v>
      </c>
      <c r="D251" s="53">
        <v>57</v>
      </c>
      <c r="E251" s="317">
        <v>1980</v>
      </c>
      <c r="F251" s="338">
        <f t="shared" si="59"/>
        <v>39</v>
      </c>
      <c r="G251" s="95"/>
      <c r="H251" s="95"/>
      <c r="I251" s="95"/>
      <c r="J251" s="95"/>
      <c r="K251" s="95"/>
    </row>
    <row r="252" spans="1:11" ht="15.75" x14ac:dyDescent="0.25">
      <c r="A252" s="150"/>
      <c r="B252" s="86"/>
      <c r="C252" s="147">
        <f>SUM(C217:C251)</f>
        <v>1788</v>
      </c>
      <c r="D252" s="147"/>
      <c r="E252" s="147"/>
      <c r="F252" s="332"/>
      <c r="G252" s="95"/>
      <c r="H252" s="95"/>
      <c r="I252" s="95"/>
      <c r="J252" s="95"/>
      <c r="K252" s="95"/>
    </row>
    <row r="253" spans="1:11" ht="15.75" x14ac:dyDescent="0.25">
      <c r="A253" s="137" t="s">
        <v>1241</v>
      </c>
      <c r="B253" s="138"/>
      <c r="C253" s="138"/>
      <c r="D253" s="138"/>
      <c r="E253" s="138"/>
      <c r="F253" s="332"/>
      <c r="G253" s="95"/>
      <c r="H253" s="95"/>
      <c r="I253" s="95"/>
      <c r="J253" s="95"/>
      <c r="K253" s="95"/>
    </row>
    <row r="254" spans="1:11" ht="18.75" customHeight="1" x14ac:dyDescent="0.25">
      <c r="A254" s="525" t="s">
        <v>422</v>
      </c>
      <c r="B254" s="525" t="s">
        <v>1242</v>
      </c>
      <c r="C254" s="145">
        <v>75</v>
      </c>
      <c r="D254" s="53">
        <v>108</v>
      </c>
      <c r="E254" s="317">
        <v>1986</v>
      </c>
      <c r="F254" s="338">
        <f t="shared" ref="F254:F255" si="60">2019-E254</f>
        <v>33</v>
      </c>
      <c r="G254" s="95"/>
      <c r="H254" s="95"/>
      <c r="I254" s="95"/>
      <c r="J254" s="95"/>
      <c r="K254" s="95"/>
    </row>
    <row r="255" spans="1:11" ht="18.75" customHeight="1" x14ac:dyDescent="0.25">
      <c r="A255" s="526"/>
      <c r="B255" s="526"/>
      <c r="C255" s="53">
        <v>75</v>
      </c>
      <c r="D255" s="53">
        <v>40</v>
      </c>
      <c r="E255" s="317">
        <v>1986</v>
      </c>
      <c r="F255" s="338">
        <f t="shared" si="60"/>
        <v>33</v>
      </c>
      <c r="G255" s="95"/>
      <c r="H255" s="95"/>
      <c r="I255" s="95"/>
      <c r="J255" s="95"/>
      <c r="K255" s="95"/>
    </row>
    <row r="256" spans="1:11" ht="18.75" customHeight="1" x14ac:dyDescent="0.25">
      <c r="A256" s="525" t="s">
        <v>276</v>
      </c>
      <c r="B256" s="525" t="s">
        <v>1194</v>
      </c>
      <c r="C256" s="53"/>
      <c r="D256" s="53"/>
      <c r="E256" s="317"/>
      <c r="F256" s="332"/>
      <c r="G256" s="95"/>
      <c r="H256" s="95"/>
      <c r="I256" s="95"/>
      <c r="J256" s="95"/>
      <c r="K256" s="95"/>
    </row>
    <row r="257" spans="1:11" ht="18.75" customHeight="1" x14ac:dyDescent="0.25">
      <c r="A257" s="531"/>
      <c r="B257" s="531"/>
      <c r="C257" s="145">
        <v>47</v>
      </c>
      <c r="D257" s="53">
        <v>219</v>
      </c>
      <c r="E257" s="317">
        <v>1985</v>
      </c>
      <c r="F257" s="338">
        <f t="shared" ref="F257:F258" si="61">2019-E257</f>
        <v>34</v>
      </c>
      <c r="G257" s="95"/>
      <c r="H257" s="95"/>
      <c r="I257" s="95"/>
      <c r="J257" s="95"/>
      <c r="K257" s="95"/>
    </row>
    <row r="258" spans="1:11" ht="18.75" customHeight="1" x14ac:dyDescent="0.25">
      <c r="A258" s="526"/>
      <c r="B258" s="526"/>
      <c r="C258" s="53">
        <v>47</v>
      </c>
      <c r="D258" s="53">
        <v>108</v>
      </c>
      <c r="E258" s="317">
        <v>1985</v>
      </c>
      <c r="F258" s="338">
        <f t="shared" si="61"/>
        <v>34</v>
      </c>
      <c r="G258" s="95"/>
      <c r="H258" s="95"/>
      <c r="I258" s="95"/>
      <c r="J258" s="95"/>
      <c r="K258" s="95"/>
    </row>
    <row r="259" spans="1:11" ht="18.75" customHeight="1" x14ac:dyDescent="0.25">
      <c r="A259" s="525" t="s">
        <v>250</v>
      </c>
      <c r="B259" s="525" t="s">
        <v>723</v>
      </c>
      <c r="C259" s="53"/>
      <c r="D259" s="53"/>
      <c r="E259" s="317"/>
      <c r="F259" s="332"/>
      <c r="G259" s="95"/>
      <c r="H259" s="95"/>
      <c r="I259" s="95"/>
      <c r="J259" s="95"/>
      <c r="K259" s="95"/>
    </row>
    <row r="260" spans="1:11" ht="18.75" customHeight="1" x14ac:dyDescent="0.25">
      <c r="A260" s="531"/>
      <c r="B260" s="531"/>
      <c r="C260" s="145">
        <v>116</v>
      </c>
      <c r="D260" s="53">
        <v>219</v>
      </c>
      <c r="E260" s="317">
        <v>1985</v>
      </c>
      <c r="F260" s="338">
        <f t="shared" ref="F260:F261" si="62">2019-E260</f>
        <v>34</v>
      </c>
      <c r="G260" s="95"/>
      <c r="H260" s="95"/>
      <c r="I260" s="95"/>
      <c r="J260" s="95"/>
      <c r="K260" s="95"/>
    </row>
    <row r="261" spans="1:11" ht="18.75" customHeight="1" x14ac:dyDescent="0.25">
      <c r="A261" s="526"/>
      <c r="B261" s="526"/>
      <c r="C261" s="53">
        <v>116</v>
      </c>
      <c r="D261" s="53">
        <v>108</v>
      </c>
      <c r="E261" s="317">
        <v>1985</v>
      </c>
      <c r="F261" s="338">
        <f t="shared" si="62"/>
        <v>34</v>
      </c>
      <c r="G261" s="95"/>
      <c r="H261" s="95"/>
      <c r="I261" s="95"/>
      <c r="J261" s="95"/>
      <c r="K261" s="95"/>
    </row>
    <row r="262" spans="1:11" ht="18.75" customHeight="1" x14ac:dyDescent="0.25">
      <c r="A262" s="525" t="s">
        <v>1243</v>
      </c>
      <c r="B262" s="525" t="s">
        <v>1244</v>
      </c>
      <c r="C262" s="53"/>
      <c r="D262" s="53"/>
      <c r="E262" s="317"/>
      <c r="F262" s="332"/>
      <c r="G262" s="95"/>
      <c r="H262" s="95"/>
      <c r="I262" s="95"/>
      <c r="J262" s="95"/>
      <c r="K262" s="95"/>
    </row>
    <row r="263" spans="1:11" ht="18.75" customHeight="1" x14ac:dyDescent="0.25">
      <c r="A263" s="531"/>
      <c r="B263" s="531"/>
      <c r="C263" s="145">
        <v>178</v>
      </c>
      <c r="D263" s="53">
        <v>133</v>
      </c>
      <c r="E263" s="317">
        <v>1985</v>
      </c>
      <c r="F263" s="338">
        <f t="shared" ref="F263:F264" si="63">2019-E263</f>
        <v>34</v>
      </c>
      <c r="G263" s="95"/>
      <c r="H263" s="95"/>
      <c r="I263" s="95"/>
      <c r="J263" s="95"/>
      <c r="K263" s="95"/>
    </row>
    <row r="264" spans="1:11" ht="18.75" customHeight="1" x14ac:dyDescent="0.25">
      <c r="A264" s="526"/>
      <c r="B264" s="526"/>
      <c r="C264" s="53">
        <v>178</v>
      </c>
      <c r="D264" s="53">
        <v>108</v>
      </c>
      <c r="E264" s="317">
        <v>1985</v>
      </c>
      <c r="F264" s="338">
        <f t="shared" si="63"/>
        <v>34</v>
      </c>
      <c r="G264" s="95"/>
      <c r="H264" s="95"/>
      <c r="I264" s="95"/>
      <c r="J264" s="95"/>
      <c r="K264" s="95"/>
    </row>
    <row r="265" spans="1:11" ht="18.75" customHeight="1" x14ac:dyDescent="0.25">
      <c r="A265" s="525" t="s">
        <v>1245</v>
      </c>
      <c r="B265" s="525" t="s">
        <v>1246</v>
      </c>
      <c r="C265" s="53"/>
      <c r="D265" s="53"/>
      <c r="E265" s="317"/>
      <c r="F265" s="332"/>
      <c r="G265" s="95"/>
      <c r="H265" s="95"/>
      <c r="I265" s="95"/>
      <c r="J265" s="95"/>
      <c r="K265" s="95"/>
    </row>
    <row r="266" spans="1:11" ht="18.75" customHeight="1" x14ac:dyDescent="0.25">
      <c r="A266" s="531"/>
      <c r="B266" s="531"/>
      <c r="C266" s="145">
        <v>40</v>
      </c>
      <c r="D266" s="53">
        <v>57</v>
      </c>
      <c r="E266" s="317">
        <v>1985</v>
      </c>
      <c r="F266" s="338">
        <f t="shared" ref="F266:F267" si="64">2019-E266</f>
        <v>34</v>
      </c>
      <c r="G266" s="95"/>
      <c r="H266" s="95"/>
      <c r="I266" s="95"/>
      <c r="J266" s="95"/>
      <c r="K266" s="95"/>
    </row>
    <row r="267" spans="1:11" ht="18.75" customHeight="1" x14ac:dyDescent="0.25">
      <c r="A267" s="526"/>
      <c r="B267" s="526"/>
      <c r="C267" s="53">
        <v>40</v>
      </c>
      <c r="D267" s="53">
        <v>32</v>
      </c>
      <c r="E267" s="317">
        <v>1985</v>
      </c>
      <c r="F267" s="338">
        <f t="shared" si="64"/>
        <v>34</v>
      </c>
      <c r="G267" s="95"/>
      <c r="H267" s="95"/>
      <c r="I267" s="95"/>
      <c r="J267" s="95"/>
      <c r="K267" s="95"/>
    </row>
    <row r="268" spans="1:11" ht="18.75" customHeight="1" x14ac:dyDescent="0.25">
      <c r="A268" s="525" t="s">
        <v>920</v>
      </c>
      <c r="B268" s="525" t="s">
        <v>1197</v>
      </c>
      <c r="C268" s="53"/>
      <c r="D268" s="53"/>
      <c r="E268" s="317"/>
      <c r="F268" s="332"/>
      <c r="G268" s="95"/>
      <c r="H268" s="95"/>
      <c r="I268" s="95"/>
      <c r="J268" s="95"/>
      <c r="K268" s="95"/>
    </row>
    <row r="269" spans="1:11" ht="18.75" customHeight="1" x14ac:dyDescent="0.25">
      <c r="A269" s="531"/>
      <c r="B269" s="531"/>
      <c r="C269" s="145">
        <v>289</v>
      </c>
      <c r="D269" s="53">
        <v>108</v>
      </c>
      <c r="E269" s="317">
        <v>1985</v>
      </c>
      <c r="F269" s="338">
        <f t="shared" ref="F269:F270" si="65">2019-E269</f>
        <v>34</v>
      </c>
      <c r="G269" s="95"/>
      <c r="H269" s="95"/>
      <c r="I269" s="95"/>
      <c r="J269" s="95"/>
      <c r="K269" s="95"/>
    </row>
    <row r="270" spans="1:11" ht="18.75" customHeight="1" x14ac:dyDescent="0.25">
      <c r="A270" s="526"/>
      <c r="B270" s="526"/>
      <c r="C270" s="53">
        <v>289</v>
      </c>
      <c r="D270" s="53">
        <v>76</v>
      </c>
      <c r="E270" s="317">
        <v>1985</v>
      </c>
      <c r="F270" s="338">
        <f t="shared" si="65"/>
        <v>34</v>
      </c>
      <c r="G270" s="95"/>
      <c r="H270" s="95"/>
      <c r="I270" s="95"/>
      <c r="J270" s="95"/>
      <c r="K270" s="95"/>
    </row>
    <row r="271" spans="1:11" ht="18.75" customHeight="1" x14ac:dyDescent="0.25">
      <c r="A271" s="525" t="s">
        <v>931</v>
      </c>
      <c r="B271" s="525" t="s">
        <v>1247</v>
      </c>
      <c r="C271" s="53"/>
      <c r="D271" s="53"/>
      <c r="E271" s="317"/>
      <c r="F271" s="332"/>
      <c r="G271" s="95"/>
      <c r="H271" s="95"/>
      <c r="I271" s="95"/>
      <c r="J271" s="95"/>
      <c r="K271" s="95"/>
    </row>
    <row r="272" spans="1:11" ht="18.75" customHeight="1" x14ac:dyDescent="0.25">
      <c r="A272" s="531"/>
      <c r="B272" s="531"/>
      <c r="C272" s="145">
        <v>563</v>
      </c>
      <c r="D272" s="53">
        <v>133</v>
      </c>
      <c r="E272" s="317">
        <v>1985</v>
      </c>
      <c r="F272" s="338">
        <f t="shared" ref="F272:F273" si="66">2019-E272</f>
        <v>34</v>
      </c>
      <c r="G272" s="95"/>
      <c r="H272" s="95"/>
      <c r="I272" s="95"/>
      <c r="J272" s="95"/>
      <c r="K272" s="95"/>
    </row>
    <row r="273" spans="1:11" ht="18.75" customHeight="1" x14ac:dyDescent="0.25">
      <c r="A273" s="526"/>
      <c r="B273" s="526"/>
      <c r="C273" s="53">
        <v>563</v>
      </c>
      <c r="D273" s="53">
        <v>108</v>
      </c>
      <c r="E273" s="317">
        <v>1985</v>
      </c>
      <c r="F273" s="338">
        <f t="shared" si="66"/>
        <v>34</v>
      </c>
      <c r="G273" s="95"/>
      <c r="H273" s="95"/>
      <c r="I273" s="95"/>
      <c r="J273" s="95"/>
      <c r="K273" s="95"/>
    </row>
    <row r="274" spans="1:11" ht="18.75" customHeight="1" x14ac:dyDescent="0.25">
      <c r="A274" s="525" t="s">
        <v>1248</v>
      </c>
      <c r="B274" s="525" t="s">
        <v>1249</v>
      </c>
      <c r="C274" s="53"/>
      <c r="D274" s="53"/>
      <c r="E274" s="317"/>
      <c r="F274" s="332"/>
      <c r="G274" s="95"/>
      <c r="H274" s="95"/>
      <c r="I274" s="95"/>
      <c r="J274" s="95"/>
      <c r="K274" s="95"/>
    </row>
    <row r="275" spans="1:11" ht="18.75" customHeight="1" x14ac:dyDescent="0.25">
      <c r="A275" s="531"/>
      <c r="B275" s="531"/>
      <c r="C275" s="145">
        <v>57</v>
      </c>
      <c r="D275" s="53">
        <v>89</v>
      </c>
      <c r="E275" s="317">
        <v>2015</v>
      </c>
      <c r="F275" s="338">
        <f t="shared" ref="F275:F276" si="67">2019-E275</f>
        <v>4</v>
      </c>
      <c r="G275" s="95"/>
      <c r="H275" s="95"/>
      <c r="I275" s="95"/>
      <c r="J275" s="95"/>
      <c r="K275" s="95"/>
    </row>
    <row r="276" spans="1:11" ht="18.75" customHeight="1" x14ac:dyDescent="0.25">
      <c r="A276" s="526"/>
      <c r="B276" s="526"/>
      <c r="C276" s="53">
        <v>57</v>
      </c>
      <c r="D276" s="53">
        <v>57</v>
      </c>
      <c r="E276" s="317">
        <v>2015</v>
      </c>
      <c r="F276" s="338">
        <f t="shared" si="67"/>
        <v>4</v>
      </c>
      <c r="G276" s="95"/>
      <c r="H276" s="95"/>
      <c r="I276" s="95"/>
      <c r="J276" s="95"/>
      <c r="K276" s="95"/>
    </row>
    <row r="277" spans="1:11" ht="18.75" customHeight="1" x14ac:dyDescent="0.25">
      <c r="A277" s="525" t="s">
        <v>727</v>
      </c>
      <c r="B277" s="525" t="s">
        <v>1250</v>
      </c>
      <c r="C277" s="53"/>
      <c r="D277" s="53"/>
      <c r="E277" s="317"/>
      <c r="F277" s="332"/>
      <c r="G277" s="95"/>
      <c r="H277" s="95"/>
      <c r="I277" s="95"/>
      <c r="J277" s="95"/>
      <c r="K277" s="95"/>
    </row>
    <row r="278" spans="1:11" ht="18.75" customHeight="1" x14ac:dyDescent="0.25">
      <c r="A278" s="531"/>
      <c r="B278" s="531"/>
      <c r="C278" s="145">
        <v>73</v>
      </c>
      <c r="D278" s="53">
        <v>108</v>
      </c>
      <c r="E278" s="317">
        <v>1985</v>
      </c>
      <c r="F278" s="338">
        <f t="shared" ref="F278:F279" si="68">2019-E278</f>
        <v>34</v>
      </c>
      <c r="G278" s="95"/>
      <c r="H278" s="95"/>
      <c r="I278" s="95"/>
      <c r="J278" s="95"/>
      <c r="K278" s="95"/>
    </row>
    <row r="279" spans="1:11" ht="18.75" customHeight="1" x14ac:dyDescent="0.25">
      <c r="A279" s="526"/>
      <c r="B279" s="526"/>
      <c r="C279" s="53">
        <v>73</v>
      </c>
      <c r="D279" s="53">
        <v>89</v>
      </c>
      <c r="E279" s="317">
        <v>1985</v>
      </c>
      <c r="F279" s="338">
        <f t="shared" si="68"/>
        <v>34</v>
      </c>
      <c r="G279" s="95"/>
      <c r="H279" s="95"/>
      <c r="I279" s="95"/>
      <c r="J279" s="95"/>
      <c r="K279" s="95"/>
    </row>
    <row r="280" spans="1:11" ht="18.75" customHeight="1" x14ac:dyDescent="0.25">
      <c r="A280" s="525" t="s">
        <v>1251</v>
      </c>
      <c r="B280" s="525" t="s">
        <v>1252</v>
      </c>
      <c r="C280" s="53"/>
      <c r="D280" s="53"/>
      <c r="E280" s="317"/>
      <c r="F280" s="332"/>
      <c r="G280" s="95"/>
      <c r="H280" s="95"/>
      <c r="I280" s="95"/>
      <c r="J280" s="95"/>
      <c r="K280" s="95"/>
    </row>
    <row r="281" spans="1:11" ht="18.75" customHeight="1" x14ac:dyDescent="0.25">
      <c r="A281" s="531"/>
      <c r="B281" s="531"/>
      <c r="C281" s="145">
        <v>18</v>
      </c>
      <c r="D281" s="53">
        <v>133</v>
      </c>
      <c r="E281" s="317">
        <v>1985</v>
      </c>
      <c r="F281" s="338">
        <f t="shared" ref="F281:F282" si="69">2019-E281</f>
        <v>34</v>
      </c>
      <c r="G281" s="95"/>
      <c r="H281" s="95"/>
      <c r="I281" s="95"/>
      <c r="J281" s="95"/>
      <c r="K281" s="95"/>
    </row>
    <row r="282" spans="1:11" ht="18.75" customHeight="1" x14ac:dyDescent="0.25">
      <c r="A282" s="526"/>
      <c r="B282" s="526"/>
      <c r="C282" s="53">
        <v>18</v>
      </c>
      <c r="D282" s="53">
        <v>76</v>
      </c>
      <c r="E282" s="317">
        <v>1985</v>
      </c>
      <c r="F282" s="338">
        <f t="shared" si="69"/>
        <v>34</v>
      </c>
      <c r="G282" s="95"/>
      <c r="H282" s="95"/>
      <c r="I282" s="95"/>
      <c r="J282" s="95"/>
      <c r="K282" s="95"/>
    </row>
    <row r="283" spans="1:11" ht="18.75" customHeight="1" x14ac:dyDescent="0.25">
      <c r="A283" s="525" t="s">
        <v>1251</v>
      </c>
      <c r="B283" s="525" t="s">
        <v>1253</v>
      </c>
      <c r="C283" s="53"/>
      <c r="D283" s="53"/>
      <c r="E283" s="317"/>
      <c r="F283" s="332"/>
      <c r="G283" s="95"/>
      <c r="H283" s="95"/>
      <c r="I283" s="95"/>
      <c r="J283" s="95"/>
      <c r="K283" s="95"/>
    </row>
    <row r="284" spans="1:11" ht="18.75" customHeight="1" x14ac:dyDescent="0.25">
      <c r="A284" s="531"/>
      <c r="B284" s="531"/>
      <c r="C284" s="145">
        <v>18</v>
      </c>
      <c r="D284" s="53">
        <v>57</v>
      </c>
      <c r="E284" s="317">
        <v>1985</v>
      </c>
      <c r="F284" s="338">
        <f t="shared" ref="F284:F285" si="70">2019-E284</f>
        <v>34</v>
      </c>
      <c r="G284" s="95"/>
      <c r="H284" s="95"/>
      <c r="I284" s="95"/>
      <c r="J284" s="95"/>
      <c r="K284" s="95"/>
    </row>
    <row r="285" spans="1:11" ht="18.75" customHeight="1" x14ac:dyDescent="0.25">
      <c r="A285" s="526"/>
      <c r="B285" s="526"/>
      <c r="C285" s="53">
        <v>18</v>
      </c>
      <c r="D285" s="53">
        <v>40</v>
      </c>
      <c r="E285" s="317">
        <v>1985</v>
      </c>
      <c r="F285" s="338">
        <f t="shared" si="70"/>
        <v>34</v>
      </c>
      <c r="G285" s="95"/>
      <c r="H285" s="95"/>
      <c r="I285" s="95"/>
      <c r="J285" s="95"/>
      <c r="K285" s="95"/>
    </row>
    <row r="286" spans="1:11" ht="18.75" customHeight="1" x14ac:dyDescent="0.25">
      <c r="A286" s="525" t="s">
        <v>909</v>
      </c>
      <c r="B286" s="525" t="s">
        <v>1254</v>
      </c>
      <c r="C286" s="53"/>
      <c r="D286" s="53"/>
      <c r="E286" s="317"/>
      <c r="F286" s="332"/>
      <c r="G286" s="95"/>
      <c r="H286" s="95"/>
      <c r="I286" s="95"/>
      <c r="J286" s="95"/>
      <c r="K286" s="95"/>
    </row>
    <row r="287" spans="1:11" ht="18.75" customHeight="1" x14ac:dyDescent="0.25">
      <c r="A287" s="531"/>
      <c r="B287" s="531"/>
      <c r="C287" s="145">
        <v>99</v>
      </c>
      <c r="D287" s="53">
        <v>108</v>
      </c>
      <c r="E287" s="317">
        <v>1985</v>
      </c>
      <c r="F287" s="338">
        <f t="shared" ref="F287:F288" si="71">2019-E287</f>
        <v>34</v>
      </c>
      <c r="G287" s="95"/>
      <c r="H287" s="95"/>
      <c r="I287" s="95"/>
      <c r="J287" s="95"/>
      <c r="K287" s="95"/>
    </row>
    <row r="288" spans="1:11" ht="18.75" customHeight="1" x14ac:dyDescent="0.25">
      <c r="A288" s="526"/>
      <c r="B288" s="526"/>
      <c r="C288" s="53">
        <v>99</v>
      </c>
      <c r="D288" s="53">
        <v>76</v>
      </c>
      <c r="E288" s="317">
        <v>1985</v>
      </c>
      <c r="F288" s="338">
        <f t="shared" si="71"/>
        <v>34</v>
      </c>
      <c r="G288" s="95"/>
      <c r="H288" s="95"/>
      <c r="I288" s="95"/>
      <c r="J288" s="95"/>
      <c r="K288" s="95"/>
    </row>
    <row r="289" spans="1:11" ht="18.75" customHeight="1" x14ac:dyDescent="0.25">
      <c r="A289" s="525" t="s">
        <v>1255</v>
      </c>
      <c r="B289" s="525" t="s">
        <v>816</v>
      </c>
      <c r="C289" s="53"/>
      <c r="D289" s="53"/>
      <c r="E289" s="317"/>
      <c r="F289" s="332"/>
      <c r="G289" s="95"/>
      <c r="H289" s="95"/>
      <c r="I289" s="95"/>
      <c r="J289" s="95"/>
      <c r="K289" s="95"/>
    </row>
    <row r="290" spans="1:11" ht="18.75" customHeight="1" x14ac:dyDescent="0.25">
      <c r="A290" s="531"/>
      <c r="B290" s="531"/>
      <c r="C290" s="145">
        <v>527</v>
      </c>
      <c r="D290" s="53">
        <v>89</v>
      </c>
      <c r="E290" s="317">
        <v>1985</v>
      </c>
      <c r="F290" s="338">
        <f t="shared" ref="F290:F291" si="72">2019-E290</f>
        <v>34</v>
      </c>
      <c r="G290" s="95"/>
      <c r="H290" s="95"/>
      <c r="I290" s="95"/>
      <c r="J290" s="95"/>
      <c r="K290" s="95"/>
    </row>
    <row r="291" spans="1:11" ht="18.75" customHeight="1" x14ac:dyDescent="0.25">
      <c r="A291" s="526"/>
      <c r="B291" s="526"/>
      <c r="C291" s="53">
        <v>527</v>
      </c>
      <c r="D291" s="53">
        <v>57</v>
      </c>
      <c r="E291" s="317">
        <v>1985</v>
      </c>
      <c r="F291" s="338">
        <f t="shared" si="72"/>
        <v>34</v>
      </c>
      <c r="G291" s="95"/>
      <c r="H291" s="95"/>
      <c r="I291" s="95"/>
      <c r="J291" s="95"/>
      <c r="K291" s="95"/>
    </row>
    <row r="292" spans="1:11" ht="18.75" customHeight="1" x14ac:dyDescent="0.25">
      <c r="A292" s="525" t="s">
        <v>1036</v>
      </c>
      <c r="B292" s="525" t="s">
        <v>1256</v>
      </c>
      <c r="C292" s="53"/>
      <c r="D292" s="53"/>
      <c r="E292" s="317"/>
      <c r="F292" s="332"/>
      <c r="G292" s="95"/>
      <c r="H292" s="95"/>
      <c r="I292" s="95"/>
      <c r="J292" s="95"/>
      <c r="K292" s="95"/>
    </row>
    <row r="293" spans="1:11" ht="18.75" customHeight="1" x14ac:dyDescent="0.25">
      <c r="A293" s="531"/>
      <c r="B293" s="531"/>
      <c r="C293" s="145">
        <v>232</v>
      </c>
      <c r="D293" s="53">
        <v>40</v>
      </c>
      <c r="E293" s="317">
        <v>1985</v>
      </c>
      <c r="F293" s="338">
        <f t="shared" ref="F293:F294" si="73">2019-E293</f>
        <v>34</v>
      </c>
      <c r="G293" s="95"/>
      <c r="H293" s="95"/>
      <c r="I293" s="95"/>
      <c r="J293" s="95"/>
      <c r="K293" s="95"/>
    </row>
    <row r="294" spans="1:11" ht="18.75" customHeight="1" x14ac:dyDescent="0.25">
      <c r="A294" s="526"/>
      <c r="B294" s="526"/>
      <c r="C294" s="53">
        <v>232</v>
      </c>
      <c r="D294" s="53">
        <v>32</v>
      </c>
      <c r="E294" s="317">
        <v>1985</v>
      </c>
      <c r="F294" s="338">
        <f t="shared" si="73"/>
        <v>34</v>
      </c>
      <c r="G294" s="95"/>
      <c r="H294" s="95"/>
      <c r="I294" s="95"/>
      <c r="J294" s="95"/>
      <c r="K294" s="95"/>
    </row>
    <row r="295" spans="1:11" ht="18.75" customHeight="1" x14ac:dyDescent="0.25">
      <c r="A295" s="525" t="s">
        <v>1257</v>
      </c>
      <c r="B295" s="525" t="s">
        <v>1258</v>
      </c>
      <c r="C295" s="53"/>
      <c r="D295" s="53"/>
      <c r="E295" s="317"/>
      <c r="F295" s="332"/>
      <c r="G295" s="95"/>
      <c r="H295" s="95"/>
      <c r="I295" s="95"/>
      <c r="J295" s="95"/>
      <c r="K295" s="95"/>
    </row>
    <row r="296" spans="1:11" ht="18.75" customHeight="1" x14ac:dyDescent="0.25">
      <c r="A296" s="531"/>
      <c r="B296" s="531"/>
      <c r="C296" s="145">
        <v>111</v>
      </c>
      <c r="D296" s="53">
        <v>40</v>
      </c>
      <c r="E296" s="317">
        <v>1986</v>
      </c>
      <c r="F296" s="338">
        <f t="shared" ref="F296:F297" si="74">2019-E296</f>
        <v>33</v>
      </c>
      <c r="G296" s="95"/>
      <c r="H296" s="95"/>
      <c r="I296" s="95"/>
      <c r="J296" s="95"/>
      <c r="K296" s="95"/>
    </row>
    <row r="297" spans="1:11" ht="18.75" customHeight="1" x14ac:dyDescent="0.25">
      <c r="A297" s="526"/>
      <c r="B297" s="526"/>
      <c r="C297" s="53">
        <v>111</v>
      </c>
      <c r="D297" s="53">
        <v>32</v>
      </c>
      <c r="E297" s="317">
        <v>1986</v>
      </c>
      <c r="F297" s="338">
        <f t="shared" si="74"/>
        <v>33</v>
      </c>
      <c r="G297" s="95"/>
      <c r="H297" s="95"/>
      <c r="I297" s="95"/>
      <c r="J297" s="95"/>
      <c r="K297" s="95"/>
    </row>
    <row r="298" spans="1:11" ht="18.75" customHeight="1" x14ac:dyDescent="0.25">
      <c r="A298" s="525" t="s">
        <v>498</v>
      </c>
      <c r="B298" s="525" t="s">
        <v>918</v>
      </c>
      <c r="C298" s="53"/>
      <c r="D298" s="53"/>
      <c r="E298" s="317"/>
      <c r="F298" s="332"/>
      <c r="G298" s="95"/>
      <c r="H298" s="95"/>
      <c r="I298" s="95"/>
      <c r="J298" s="95"/>
      <c r="K298" s="95"/>
    </row>
    <row r="299" spans="1:11" ht="18.75" customHeight="1" x14ac:dyDescent="0.25">
      <c r="A299" s="531"/>
      <c r="B299" s="531"/>
      <c r="C299" s="145">
        <v>87</v>
      </c>
      <c r="D299" s="53">
        <v>108</v>
      </c>
      <c r="E299" s="317">
        <v>1985</v>
      </c>
      <c r="F299" s="338">
        <f t="shared" ref="F299:F300" si="75">2019-E299</f>
        <v>34</v>
      </c>
      <c r="G299" s="95"/>
      <c r="H299" s="95"/>
      <c r="I299" s="95"/>
      <c r="J299" s="95"/>
      <c r="K299" s="95"/>
    </row>
    <row r="300" spans="1:11" ht="18.75" customHeight="1" x14ac:dyDescent="0.25">
      <c r="A300" s="526"/>
      <c r="B300" s="526"/>
      <c r="C300" s="53">
        <v>87</v>
      </c>
      <c r="D300" s="53">
        <v>89</v>
      </c>
      <c r="E300" s="317">
        <v>1985</v>
      </c>
      <c r="F300" s="338">
        <f t="shared" si="75"/>
        <v>34</v>
      </c>
      <c r="G300" s="95"/>
      <c r="H300" s="95"/>
      <c r="I300" s="95"/>
      <c r="J300" s="95"/>
      <c r="K300" s="95"/>
    </row>
    <row r="301" spans="1:11" ht="18.75" customHeight="1" x14ac:dyDescent="0.25">
      <c r="A301" s="91" t="s">
        <v>422</v>
      </c>
      <c r="B301" s="91" t="s">
        <v>1242</v>
      </c>
      <c r="C301" s="53"/>
      <c r="D301" s="53"/>
      <c r="E301" s="317"/>
      <c r="F301" s="332"/>
      <c r="G301" s="95"/>
      <c r="H301" s="95"/>
      <c r="I301" s="95"/>
      <c r="J301" s="95"/>
      <c r="K301" s="95"/>
    </row>
    <row r="302" spans="1:11" ht="18.75" customHeight="1" x14ac:dyDescent="0.25">
      <c r="A302" s="91" t="s">
        <v>422</v>
      </c>
      <c r="B302" s="91" t="s">
        <v>1259</v>
      </c>
      <c r="C302" s="53">
        <v>19</v>
      </c>
      <c r="D302" s="53">
        <v>40</v>
      </c>
      <c r="E302" s="317">
        <v>1987</v>
      </c>
      <c r="F302" s="338">
        <f>2019-E302</f>
        <v>32</v>
      </c>
      <c r="G302" s="95"/>
      <c r="H302" s="95"/>
      <c r="I302" s="95"/>
      <c r="J302" s="95"/>
      <c r="K302" s="95"/>
    </row>
    <row r="303" spans="1:11" ht="18.75" customHeight="1" x14ac:dyDescent="0.25">
      <c r="A303" s="525" t="s">
        <v>1260</v>
      </c>
      <c r="B303" s="525" t="s">
        <v>1261</v>
      </c>
      <c r="C303" s="53"/>
      <c r="D303" s="53"/>
      <c r="E303" s="317"/>
      <c r="F303" s="332"/>
      <c r="G303" s="95"/>
      <c r="H303" s="95"/>
      <c r="I303" s="95"/>
      <c r="J303" s="95"/>
      <c r="K303" s="95"/>
    </row>
    <row r="304" spans="1:11" ht="18.75" customHeight="1" x14ac:dyDescent="0.25">
      <c r="A304" s="526"/>
      <c r="B304" s="526"/>
      <c r="C304" s="145">
        <v>19</v>
      </c>
      <c r="D304" s="53">
        <v>76</v>
      </c>
      <c r="E304" s="317">
        <v>1987</v>
      </c>
      <c r="F304" s="338">
        <f>2019-E304</f>
        <v>32</v>
      </c>
      <c r="G304" s="95"/>
      <c r="H304" s="95"/>
      <c r="I304" s="95"/>
      <c r="J304" s="95"/>
      <c r="K304" s="95"/>
    </row>
    <row r="305" spans="1:11" ht="15.75" x14ac:dyDescent="0.25">
      <c r="A305" s="150"/>
      <c r="B305" s="86"/>
      <c r="C305" s="147">
        <f>SUM(C254:C304)</f>
        <v>5098</v>
      </c>
      <c r="D305" s="148"/>
      <c r="E305" s="149"/>
      <c r="F305" s="332"/>
      <c r="G305" s="95"/>
      <c r="H305" s="95"/>
      <c r="I305" s="95"/>
      <c r="J305" s="95"/>
      <c r="K305" s="95"/>
    </row>
    <row r="306" spans="1:11" ht="15.75" x14ac:dyDescent="0.25">
      <c r="A306" s="137" t="s">
        <v>1262</v>
      </c>
      <c r="B306" s="138"/>
      <c r="C306" s="138"/>
      <c r="D306" s="138"/>
      <c r="E306" s="138"/>
      <c r="F306" s="332"/>
      <c r="G306" s="95"/>
      <c r="H306" s="95"/>
      <c r="I306" s="95"/>
      <c r="J306" s="95"/>
      <c r="K306" s="95"/>
    </row>
    <row r="307" spans="1:11" ht="18" customHeight="1" x14ac:dyDescent="0.25">
      <c r="A307" s="525" t="s">
        <v>385</v>
      </c>
      <c r="B307" s="525" t="s">
        <v>1087</v>
      </c>
      <c r="C307" s="53"/>
      <c r="D307" s="53"/>
      <c r="E307" s="317"/>
      <c r="F307" s="332"/>
      <c r="G307" s="95"/>
      <c r="H307" s="95"/>
      <c r="I307" s="95"/>
      <c r="J307" s="95"/>
      <c r="K307" s="95"/>
    </row>
    <row r="308" spans="1:11" ht="18" customHeight="1" x14ac:dyDescent="0.25">
      <c r="A308" s="526"/>
      <c r="B308" s="526"/>
      <c r="C308" s="145">
        <v>220</v>
      </c>
      <c r="D308" s="53">
        <v>159</v>
      </c>
      <c r="E308" s="317">
        <v>2012</v>
      </c>
      <c r="F308" s="338">
        <f t="shared" ref="F308:F309" si="76">2019-E308</f>
        <v>7</v>
      </c>
      <c r="G308" s="95"/>
      <c r="H308" s="95"/>
      <c r="I308" s="95"/>
      <c r="J308" s="95"/>
      <c r="K308" s="95"/>
    </row>
    <row r="309" spans="1:11" ht="18" customHeight="1" x14ac:dyDescent="0.25">
      <c r="A309" s="91" t="s">
        <v>385</v>
      </c>
      <c r="B309" s="91" t="s">
        <v>1263</v>
      </c>
      <c r="C309" s="53">
        <v>220</v>
      </c>
      <c r="D309" s="53">
        <v>108</v>
      </c>
      <c r="E309" s="317">
        <v>2012</v>
      </c>
      <c r="F309" s="338">
        <f t="shared" si="76"/>
        <v>7</v>
      </c>
      <c r="G309" s="95"/>
      <c r="H309" s="95"/>
      <c r="I309" s="95"/>
      <c r="J309" s="95"/>
      <c r="K309" s="95"/>
    </row>
    <row r="310" spans="1:11" ht="18" customHeight="1" x14ac:dyDescent="0.25">
      <c r="A310" s="525" t="s">
        <v>256</v>
      </c>
      <c r="B310" s="525" t="s">
        <v>913</v>
      </c>
      <c r="C310" s="53"/>
      <c r="D310" s="53"/>
      <c r="E310" s="317"/>
      <c r="F310" s="332"/>
      <c r="G310" s="95"/>
      <c r="H310" s="95"/>
      <c r="I310" s="95"/>
      <c r="J310" s="95"/>
      <c r="K310" s="95"/>
    </row>
    <row r="311" spans="1:11" ht="18" customHeight="1" x14ac:dyDescent="0.25">
      <c r="A311" s="526"/>
      <c r="B311" s="526"/>
      <c r="C311" s="145">
        <v>28</v>
      </c>
      <c r="D311" s="145">
        <v>273</v>
      </c>
      <c r="E311" s="317">
        <v>1985</v>
      </c>
      <c r="F311" s="338">
        <f>2019-E311</f>
        <v>34</v>
      </c>
      <c r="G311" s="95"/>
      <c r="H311" s="95"/>
      <c r="I311" s="95"/>
      <c r="J311" s="95"/>
      <c r="K311" s="95"/>
    </row>
    <row r="312" spans="1:11" ht="18" customHeight="1" x14ac:dyDescent="0.25">
      <c r="A312" s="525" t="s">
        <v>391</v>
      </c>
      <c r="B312" s="525" t="s">
        <v>422</v>
      </c>
      <c r="C312" s="53"/>
      <c r="D312" s="53"/>
      <c r="E312" s="317"/>
      <c r="F312" s="332"/>
      <c r="G312" s="95"/>
      <c r="H312" s="95"/>
      <c r="I312" s="95"/>
      <c r="J312" s="95"/>
      <c r="K312" s="95"/>
    </row>
    <row r="313" spans="1:11" ht="18" customHeight="1" x14ac:dyDescent="0.25">
      <c r="A313" s="526"/>
      <c r="B313" s="526"/>
      <c r="C313" s="145">
        <f>71</f>
        <v>71</v>
      </c>
      <c r="D313" s="53">
        <v>133</v>
      </c>
      <c r="E313" s="317">
        <v>2007</v>
      </c>
      <c r="F313" s="338">
        <f>2019-E313</f>
        <v>12</v>
      </c>
      <c r="G313" s="95"/>
      <c r="H313" s="95"/>
      <c r="I313" s="95"/>
      <c r="J313" s="95"/>
      <c r="K313" s="95"/>
    </row>
    <row r="314" spans="1:11" ht="18" customHeight="1" x14ac:dyDescent="0.25">
      <c r="A314" s="525" t="s">
        <v>186</v>
      </c>
      <c r="B314" s="525" t="s">
        <v>1264</v>
      </c>
      <c r="C314" s="53"/>
      <c r="D314" s="53"/>
      <c r="E314" s="317"/>
      <c r="F314" s="332"/>
      <c r="G314" s="95"/>
      <c r="H314" s="95"/>
      <c r="I314" s="95"/>
      <c r="J314" s="95"/>
      <c r="K314" s="95"/>
    </row>
    <row r="315" spans="1:11" ht="18" customHeight="1" x14ac:dyDescent="0.25">
      <c r="A315" s="531"/>
      <c r="B315" s="531"/>
      <c r="C315" s="145">
        <v>17</v>
      </c>
      <c r="D315" s="53">
        <v>89</v>
      </c>
      <c r="E315" s="317">
        <v>1985</v>
      </c>
      <c r="F315" s="338">
        <f t="shared" ref="F315:F316" si="77">2019-E315</f>
        <v>34</v>
      </c>
      <c r="G315" s="95"/>
      <c r="H315" s="95"/>
      <c r="I315" s="95"/>
      <c r="J315" s="95"/>
      <c r="K315" s="95"/>
    </row>
    <row r="316" spans="1:11" ht="18" customHeight="1" x14ac:dyDescent="0.25">
      <c r="A316" s="526"/>
      <c r="B316" s="526"/>
      <c r="C316" s="53">
        <v>17</v>
      </c>
      <c r="D316" s="53">
        <v>57</v>
      </c>
      <c r="E316" s="317">
        <v>1985</v>
      </c>
      <c r="F316" s="338">
        <f t="shared" si="77"/>
        <v>34</v>
      </c>
      <c r="G316" s="95"/>
      <c r="H316" s="95"/>
      <c r="I316" s="95"/>
      <c r="J316" s="95"/>
      <c r="K316" s="95"/>
    </row>
    <row r="317" spans="1:11" ht="18" customHeight="1" x14ac:dyDescent="0.25">
      <c r="A317" s="525" t="s">
        <v>959</v>
      </c>
      <c r="B317" s="525" t="s">
        <v>1265</v>
      </c>
      <c r="C317" s="53"/>
      <c r="D317" s="53"/>
      <c r="E317" s="317"/>
      <c r="F317" s="332"/>
      <c r="G317" s="95"/>
      <c r="H317" s="95"/>
      <c r="I317" s="95"/>
      <c r="J317" s="95"/>
      <c r="K317" s="95"/>
    </row>
    <row r="318" spans="1:11" ht="18" customHeight="1" x14ac:dyDescent="0.25">
      <c r="A318" s="531"/>
      <c r="B318" s="531"/>
      <c r="C318" s="145">
        <v>9</v>
      </c>
      <c r="D318" s="53">
        <v>76</v>
      </c>
      <c r="E318" s="317">
        <v>1985</v>
      </c>
      <c r="F318" s="338">
        <f t="shared" ref="F318:F319" si="78">2019-E318</f>
        <v>34</v>
      </c>
      <c r="G318" s="95"/>
      <c r="H318" s="95"/>
      <c r="I318" s="95"/>
      <c r="J318" s="95"/>
      <c r="K318" s="95"/>
    </row>
    <row r="319" spans="1:11" ht="18" customHeight="1" x14ac:dyDescent="0.25">
      <c r="A319" s="526"/>
      <c r="B319" s="526"/>
      <c r="C319" s="53">
        <v>9</v>
      </c>
      <c r="D319" s="53">
        <v>57</v>
      </c>
      <c r="E319" s="317">
        <v>1985</v>
      </c>
      <c r="F319" s="338">
        <f t="shared" si="78"/>
        <v>34</v>
      </c>
      <c r="G319" s="95"/>
      <c r="H319" s="95"/>
      <c r="I319" s="95"/>
      <c r="J319" s="95"/>
      <c r="K319" s="95"/>
    </row>
    <row r="320" spans="1:11" ht="18" customHeight="1" x14ac:dyDescent="0.25">
      <c r="A320" s="525" t="s">
        <v>1213</v>
      </c>
      <c r="B320" s="525" t="s">
        <v>1266</v>
      </c>
      <c r="C320" s="53"/>
      <c r="D320" s="53"/>
      <c r="E320" s="317"/>
      <c r="F320" s="332"/>
      <c r="G320" s="95"/>
      <c r="H320" s="95"/>
      <c r="I320" s="95"/>
      <c r="J320" s="95"/>
      <c r="K320" s="95"/>
    </row>
    <row r="321" spans="1:11" ht="18" customHeight="1" x14ac:dyDescent="0.25">
      <c r="A321" s="531"/>
      <c r="B321" s="531"/>
      <c r="C321" s="145">
        <v>90</v>
      </c>
      <c r="D321" s="53">
        <v>108</v>
      </c>
      <c r="E321" s="317">
        <v>1987</v>
      </c>
      <c r="F321" s="338">
        <f t="shared" ref="F321:F322" si="79">2019-E321</f>
        <v>32</v>
      </c>
      <c r="G321" s="95"/>
      <c r="H321" s="95"/>
      <c r="I321" s="95"/>
      <c r="J321" s="95"/>
      <c r="K321" s="95"/>
    </row>
    <row r="322" spans="1:11" ht="18" customHeight="1" x14ac:dyDescent="0.25">
      <c r="A322" s="526"/>
      <c r="B322" s="526"/>
      <c r="C322" s="53">
        <v>90</v>
      </c>
      <c r="D322" s="53">
        <v>57</v>
      </c>
      <c r="E322" s="317">
        <v>1987</v>
      </c>
      <c r="F322" s="338">
        <f t="shared" si="79"/>
        <v>32</v>
      </c>
      <c r="G322" s="95"/>
      <c r="H322" s="95"/>
      <c r="I322" s="95"/>
      <c r="J322" s="95"/>
      <c r="K322" s="95"/>
    </row>
    <row r="323" spans="1:11" ht="18" customHeight="1" x14ac:dyDescent="0.25">
      <c r="A323" s="525" t="s">
        <v>472</v>
      </c>
      <c r="B323" s="525" t="s">
        <v>1267</v>
      </c>
      <c r="C323" s="53"/>
      <c r="D323" s="53"/>
      <c r="E323" s="317"/>
      <c r="F323" s="332"/>
      <c r="G323" s="95"/>
      <c r="H323" s="95"/>
      <c r="I323" s="95"/>
      <c r="J323" s="95"/>
      <c r="K323" s="95"/>
    </row>
    <row r="324" spans="1:11" ht="18" customHeight="1" x14ac:dyDescent="0.25">
      <c r="A324" s="531"/>
      <c r="B324" s="531"/>
      <c r="C324" s="145">
        <v>5</v>
      </c>
      <c r="D324" s="53">
        <v>89</v>
      </c>
      <c r="E324" s="317">
        <v>1985</v>
      </c>
      <c r="F324" s="338">
        <f t="shared" ref="F324:F325" si="80">2019-E324</f>
        <v>34</v>
      </c>
      <c r="G324" s="95"/>
      <c r="H324" s="95"/>
      <c r="I324" s="95"/>
      <c r="J324" s="95"/>
      <c r="K324" s="95"/>
    </row>
    <row r="325" spans="1:11" ht="18" customHeight="1" x14ac:dyDescent="0.25">
      <c r="A325" s="526"/>
      <c r="B325" s="526"/>
      <c r="C325" s="53">
        <v>5</v>
      </c>
      <c r="D325" s="53">
        <v>57</v>
      </c>
      <c r="E325" s="317">
        <v>1985</v>
      </c>
      <c r="F325" s="338">
        <f t="shared" si="80"/>
        <v>34</v>
      </c>
      <c r="G325" s="95"/>
      <c r="H325" s="95"/>
      <c r="I325" s="95"/>
      <c r="J325" s="95"/>
      <c r="K325" s="95"/>
    </row>
    <row r="326" spans="1:11" ht="18" customHeight="1" x14ac:dyDescent="0.25">
      <c r="A326" s="525" t="s">
        <v>193</v>
      </c>
      <c r="B326" s="525" t="s">
        <v>1269</v>
      </c>
      <c r="C326" s="145">
        <v>47</v>
      </c>
      <c r="D326" s="53">
        <v>219</v>
      </c>
      <c r="E326" s="317">
        <v>1985</v>
      </c>
      <c r="F326" s="338">
        <f t="shared" ref="F326:F329" si="81">2019-E326</f>
        <v>34</v>
      </c>
      <c r="G326" s="95"/>
      <c r="H326" s="95"/>
      <c r="I326" s="95"/>
      <c r="J326" s="95"/>
      <c r="K326" s="95"/>
    </row>
    <row r="327" spans="1:11" ht="18" customHeight="1" x14ac:dyDescent="0.25">
      <c r="A327" s="526"/>
      <c r="B327" s="526"/>
      <c r="C327" s="53">
        <v>47</v>
      </c>
      <c r="D327" s="53">
        <v>133</v>
      </c>
      <c r="E327" s="317">
        <v>1985</v>
      </c>
      <c r="F327" s="338">
        <f t="shared" si="81"/>
        <v>34</v>
      </c>
      <c r="G327" s="95"/>
      <c r="H327" s="95"/>
      <c r="I327" s="95"/>
      <c r="J327" s="95"/>
      <c r="K327" s="95"/>
    </row>
    <row r="328" spans="1:11" ht="18" customHeight="1" x14ac:dyDescent="0.25">
      <c r="A328" s="525" t="s">
        <v>991</v>
      </c>
      <c r="B328" s="525" t="s">
        <v>1036</v>
      </c>
      <c r="C328" s="145">
        <v>92</v>
      </c>
      <c r="D328" s="53">
        <v>133</v>
      </c>
      <c r="E328" s="317">
        <v>2013</v>
      </c>
      <c r="F328" s="338">
        <f t="shared" si="81"/>
        <v>6</v>
      </c>
      <c r="G328" s="95"/>
      <c r="H328" s="95"/>
      <c r="I328" s="95"/>
      <c r="J328" s="95"/>
      <c r="K328" s="95"/>
    </row>
    <row r="329" spans="1:11" ht="18" customHeight="1" x14ac:dyDescent="0.25">
      <c r="A329" s="526"/>
      <c r="B329" s="526"/>
      <c r="C329" s="53">
        <v>92</v>
      </c>
      <c r="D329" s="53">
        <v>89</v>
      </c>
      <c r="E329" s="317">
        <v>2013</v>
      </c>
      <c r="F329" s="338">
        <f t="shared" si="81"/>
        <v>6</v>
      </c>
      <c r="G329" s="95"/>
      <c r="H329" s="95"/>
      <c r="I329" s="95"/>
      <c r="J329" s="95"/>
      <c r="K329" s="95"/>
    </row>
    <row r="330" spans="1:11" ht="18" customHeight="1" x14ac:dyDescent="0.25">
      <c r="A330" s="525" t="s">
        <v>1270</v>
      </c>
      <c r="B330" s="525" t="s">
        <v>1271</v>
      </c>
      <c r="C330" s="53"/>
      <c r="D330" s="53"/>
      <c r="E330" s="317"/>
      <c r="F330" s="332"/>
      <c r="G330" s="95"/>
      <c r="H330" s="95"/>
      <c r="I330" s="95"/>
      <c r="J330" s="95"/>
      <c r="K330" s="95"/>
    </row>
    <row r="331" spans="1:11" ht="18" customHeight="1" x14ac:dyDescent="0.25">
      <c r="A331" s="526"/>
      <c r="B331" s="526"/>
      <c r="C331" s="145">
        <v>57</v>
      </c>
      <c r="D331" s="53">
        <v>219</v>
      </c>
      <c r="E331" s="317">
        <v>2014</v>
      </c>
      <c r="F331" s="338">
        <f t="shared" ref="F331:F332" si="82">2019-E331</f>
        <v>5</v>
      </c>
      <c r="G331" s="95"/>
      <c r="H331" s="95"/>
      <c r="I331" s="95"/>
      <c r="J331" s="95"/>
      <c r="K331" s="95"/>
    </row>
    <row r="332" spans="1:11" ht="18" customHeight="1" x14ac:dyDescent="0.25">
      <c r="A332" s="91" t="s">
        <v>1260</v>
      </c>
      <c r="B332" s="91" t="s">
        <v>1244</v>
      </c>
      <c r="C332" s="53">
        <v>42</v>
      </c>
      <c r="D332" s="53">
        <v>89</v>
      </c>
      <c r="E332" s="317">
        <v>1985</v>
      </c>
      <c r="F332" s="338">
        <f t="shared" si="82"/>
        <v>34</v>
      </c>
      <c r="G332" s="95"/>
      <c r="H332" s="95"/>
      <c r="I332" s="95"/>
      <c r="J332" s="95"/>
      <c r="K332" s="95"/>
    </row>
    <row r="333" spans="1:11" ht="18" customHeight="1" x14ac:dyDescent="0.25">
      <c r="A333" s="525" t="s">
        <v>422</v>
      </c>
      <c r="B333" s="525" t="s">
        <v>1272</v>
      </c>
      <c r="C333" s="53"/>
      <c r="D333" s="53"/>
      <c r="E333" s="317"/>
      <c r="F333" s="332"/>
      <c r="G333" s="95"/>
      <c r="H333" s="95"/>
      <c r="I333" s="95"/>
      <c r="J333" s="95"/>
      <c r="K333" s="95"/>
    </row>
    <row r="334" spans="1:11" ht="18" customHeight="1" x14ac:dyDescent="0.25">
      <c r="A334" s="526"/>
      <c r="B334" s="526"/>
      <c r="C334" s="145">
        <v>42</v>
      </c>
      <c r="D334" s="53">
        <v>108</v>
      </c>
      <c r="E334" s="317">
        <v>1985</v>
      </c>
      <c r="F334" s="338">
        <f>2019-E334</f>
        <v>34</v>
      </c>
      <c r="G334" s="95"/>
      <c r="H334" s="95"/>
      <c r="I334" s="95"/>
      <c r="J334" s="95"/>
      <c r="K334" s="95"/>
    </row>
    <row r="335" spans="1:11" ht="18" customHeight="1" x14ac:dyDescent="0.25">
      <c r="A335" s="525" t="s">
        <v>1273</v>
      </c>
      <c r="B335" s="525" t="s">
        <v>1274</v>
      </c>
      <c r="C335" s="53"/>
      <c r="D335" s="53"/>
      <c r="E335" s="317"/>
      <c r="F335" s="332"/>
      <c r="G335" s="95"/>
      <c r="H335" s="95"/>
      <c r="I335" s="95"/>
      <c r="J335" s="95"/>
      <c r="K335" s="95"/>
    </row>
    <row r="336" spans="1:11" ht="18" customHeight="1" x14ac:dyDescent="0.25">
      <c r="A336" s="526"/>
      <c r="B336" s="526"/>
      <c r="C336" s="145">
        <v>10</v>
      </c>
      <c r="D336" s="53">
        <v>133</v>
      </c>
      <c r="E336" s="317">
        <v>1987</v>
      </c>
      <c r="F336" s="338">
        <f t="shared" ref="F336:F338" si="83">2019-E336</f>
        <v>32</v>
      </c>
      <c r="G336" s="95"/>
      <c r="H336" s="95"/>
      <c r="I336" s="95"/>
      <c r="J336" s="95"/>
      <c r="K336" s="95"/>
    </row>
    <row r="337" spans="1:11" ht="18" customHeight="1" x14ac:dyDescent="0.25">
      <c r="A337" s="91" t="s">
        <v>1273</v>
      </c>
      <c r="B337" s="91" t="s">
        <v>1275</v>
      </c>
      <c r="C337" s="53">
        <v>10</v>
      </c>
      <c r="D337" s="53">
        <v>89</v>
      </c>
      <c r="E337" s="317">
        <v>1987</v>
      </c>
      <c r="F337" s="338">
        <f t="shared" si="83"/>
        <v>32</v>
      </c>
      <c r="G337" s="95"/>
      <c r="H337" s="95"/>
      <c r="I337" s="95"/>
      <c r="J337" s="95"/>
      <c r="K337" s="95"/>
    </row>
    <row r="338" spans="1:11" ht="18" customHeight="1" x14ac:dyDescent="0.25">
      <c r="A338" s="91" t="s">
        <v>1276</v>
      </c>
      <c r="B338" s="91" t="s">
        <v>816</v>
      </c>
      <c r="C338" s="53">
        <v>57</v>
      </c>
      <c r="D338" s="53">
        <v>133</v>
      </c>
      <c r="E338" s="317">
        <v>2014</v>
      </c>
      <c r="F338" s="338">
        <f t="shared" si="83"/>
        <v>5</v>
      </c>
      <c r="G338" s="95"/>
      <c r="H338" s="95"/>
      <c r="I338" s="95"/>
      <c r="J338" s="95"/>
      <c r="K338" s="95"/>
    </row>
    <row r="339" spans="1:11" ht="18" customHeight="1" x14ac:dyDescent="0.25">
      <c r="A339" s="525" t="s">
        <v>315</v>
      </c>
      <c r="B339" s="525" t="s">
        <v>558</v>
      </c>
      <c r="C339" s="53"/>
      <c r="D339" s="53"/>
      <c r="E339" s="317"/>
      <c r="F339" s="332"/>
      <c r="G339" s="95"/>
      <c r="H339" s="95"/>
      <c r="I339" s="95"/>
      <c r="J339" s="95"/>
      <c r="K339" s="95"/>
    </row>
    <row r="340" spans="1:11" ht="18" customHeight="1" x14ac:dyDescent="0.25">
      <c r="A340" s="526"/>
      <c r="B340" s="526"/>
      <c r="C340" s="145">
        <v>81</v>
      </c>
      <c r="D340" s="53">
        <v>219</v>
      </c>
      <c r="E340" s="317">
        <v>1985</v>
      </c>
      <c r="F340" s="338">
        <f>2019-E340</f>
        <v>34</v>
      </c>
      <c r="G340" s="95"/>
      <c r="H340" s="95"/>
      <c r="I340" s="95"/>
      <c r="J340" s="95"/>
      <c r="K340" s="95"/>
    </row>
    <row r="341" spans="1:11" ht="18" customHeight="1" x14ac:dyDescent="0.25">
      <c r="A341" s="525" t="s">
        <v>816</v>
      </c>
      <c r="B341" s="525" t="s">
        <v>1277</v>
      </c>
      <c r="C341" s="53"/>
      <c r="D341" s="53"/>
      <c r="E341" s="317"/>
      <c r="F341" s="332"/>
      <c r="G341" s="95"/>
      <c r="H341" s="95"/>
      <c r="I341" s="95"/>
      <c r="J341" s="95"/>
      <c r="K341" s="95"/>
    </row>
    <row r="342" spans="1:11" ht="18" customHeight="1" x14ac:dyDescent="0.25">
      <c r="A342" s="531"/>
      <c r="B342" s="531"/>
      <c r="C342" s="145">
        <v>66</v>
      </c>
      <c r="D342" s="53">
        <v>133</v>
      </c>
      <c r="E342" s="317">
        <v>2013</v>
      </c>
      <c r="F342" s="338">
        <f t="shared" ref="F342:F346" si="84">2019-E342</f>
        <v>6</v>
      </c>
      <c r="G342" s="95"/>
      <c r="H342" s="95"/>
      <c r="I342" s="95"/>
      <c r="J342" s="95"/>
      <c r="K342" s="95"/>
    </row>
    <row r="343" spans="1:11" ht="18" customHeight="1" x14ac:dyDescent="0.25">
      <c r="A343" s="526"/>
      <c r="B343" s="526"/>
      <c r="C343" s="53">
        <v>66</v>
      </c>
      <c r="D343" s="53">
        <v>89</v>
      </c>
      <c r="E343" s="317">
        <v>2013</v>
      </c>
      <c r="F343" s="338">
        <f t="shared" si="84"/>
        <v>6</v>
      </c>
      <c r="G343" s="95"/>
      <c r="H343" s="95"/>
      <c r="I343" s="95"/>
      <c r="J343" s="95"/>
      <c r="K343" s="95"/>
    </row>
    <row r="344" spans="1:11" ht="18" customHeight="1" x14ac:dyDescent="0.25">
      <c r="A344" s="91" t="s">
        <v>315</v>
      </c>
      <c r="B344" s="91" t="s">
        <v>1278</v>
      </c>
      <c r="C344" s="145">
        <v>75</v>
      </c>
      <c r="D344" s="53">
        <v>57</v>
      </c>
      <c r="E344" s="317">
        <v>1987</v>
      </c>
      <c r="F344" s="338">
        <f t="shared" si="84"/>
        <v>32</v>
      </c>
      <c r="G344" s="95"/>
      <c r="H344" s="95"/>
      <c r="I344" s="95"/>
      <c r="J344" s="95"/>
      <c r="K344" s="95"/>
    </row>
    <row r="345" spans="1:11" ht="18" customHeight="1" x14ac:dyDescent="0.25">
      <c r="A345" s="91" t="s">
        <v>315</v>
      </c>
      <c r="B345" s="91" t="s">
        <v>1278</v>
      </c>
      <c r="C345" s="53">
        <v>75</v>
      </c>
      <c r="D345" s="53">
        <v>76</v>
      </c>
      <c r="E345" s="317">
        <v>1987</v>
      </c>
      <c r="F345" s="338">
        <f t="shared" si="84"/>
        <v>32</v>
      </c>
      <c r="G345" s="95"/>
      <c r="H345" s="95"/>
      <c r="I345" s="95"/>
      <c r="J345" s="95"/>
      <c r="K345" s="95"/>
    </row>
    <row r="346" spans="1:11" ht="18" customHeight="1" x14ac:dyDescent="0.25">
      <c r="A346" s="91" t="s">
        <v>315</v>
      </c>
      <c r="B346" s="91" t="s">
        <v>1279</v>
      </c>
      <c r="C346" s="53">
        <v>81</v>
      </c>
      <c r="D346" s="53">
        <v>133</v>
      </c>
      <c r="E346" s="317">
        <v>1985</v>
      </c>
      <c r="F346" s="338">
        <f t="shared" si="84"/>
        <v>34</v>
      </c>
      <c r="G346" s="95"/>
      <c r="H346" s="95"/>
      <c r="I346" s="95"/>
      <c r="J346" s="95"/>
      <c r="K346" s="95"/>
    </row>
    <row r="347" spans="1:11" ht="18" customHeight="1" x14ac:dyDescent="0.25">
      <c r="A347" s="525" t="s">
        <v>557</v>
      </c>
      <c r="B347" s="525" t="s">
        <v>1280</v>
      </c>
      <c r="C347" s="53"/>
      <c r="D347" s="53"/>
      <c r="E347" s="317"/>
      <c r="F347" s="332"/>
      <c r="G347" s="95"/>
      <c r="H347" s="95"/>
      <c r="I347" s="95"/>
      <c r="J347" s="95"/>
      <c r="K347" s="95"/>
    </row>
    <row r="348" spans="1:11" ht="18" customHeight="1" x14ac:dyDescent="0.25">
      <c r="A348" s="531"/>
      <c r="B348" s="531"/>
      <c r="C348" s="145">
        <v>32</v>
      </c>
      <c r="D348" s="53">
        <v>219</v>
      </c>
      <c r="E348" s="317">
        <v>1985</v>
      </c>
      <c r="F348" s="338">
        <f t="shared" ref="F348:F349" si="85">2019-E348</f>
        <v>34</v>
      </c>
      <c r="G348" s="95"/>
      <c r="H348" s="95"/>
      <c r="I348" s="95"/>
      <c r="J348" s="95"/>
      <c r="K348" s="95"/>
    </row>
    <row r="349" spans="1:11" ht="18" customHeight="1" x14ac:dyDescent="0.25">
      <c r="A349" s="526"/>
      <c r="B349" s="526"/>
      <c r="C349" s="53">
        <v>32</v>
      </c>
      <c r="D349" s="53">
        <v>133</v>
      </c>
      <c r="E349" s="317">
        <v>1985</v>
      </c>
      <c r="F349" s="338">
        <f t="shared" si="85"/>
        <v>34</v>
      </c>
      <c r="G349" s="95"/>
      <c r="H349" s="95"/>
      <c r="I349" s="95"/>
      <c r="J349" s="95"/>
      <c r="K349" s="95"/>
    </row>
    <row r="350" spans="1:11" ht="18" customHeight="1" x14ac:dyDescent="0.25">
      <c r="A350" s="525" t="s">
        <v>959</v>
      </c>
      <c r="B350" s="525" t="s">
        <v>1197</v>
      </c>
      <c r="C350" s="53"/>
      <c r="D350" s="53"/>
      <c r="E350" s="317"/>
      <c r="F350" s="332"/>
      <c r="G350" s="95"/>
      <c r="H350" s="95"/>
      <c r="I350" s="95"/>
      <c r="J350" s="95"/>
      <c r="K350" s="95"/>
    </row>
    <row r="351" spans="1:11" ht="18" customHeight="1" x14ac:dyDescent="0.25">
      <c r="A351" s="526"/>
      <c r="B351" s="526"/>
      <c r="C351" s="145">
        <v>42</v>
      </c>
      <c r="D351" s="53">
        <v>159</v>
      </c>
      <c r="E351" s="317">
        <v>1985</v>
      </c>
      <c r="F351" s="338">
        <f>2019-E351</f>
        <v>34</v>
      </c>
      <c r="G351" s="95"/>
      <c r="H351" s="95"/>
      <c r="I351" s="95"/>
      <c r="J351" s="95"/>
      <c r="K351" s="95"/>
    </row>
    <row r="352" spans="1:11" ht="18" customHeight="1" x14ac:dyDescent="0.25">
      <c r="A352" s="525" t="s">
        <v>564</v>
      </c>
      <c r="B352" s="525" t="s">
        <v>926</v>
      </c>
      <c r="C352" s="53"/>
      <c r="D352" s="53"/>
      <c r="E352" s="317"/>
      <c r="F352" s="332"/>
      <c r="G352" s="95"/>
      <c r="H352" s="95"/>
      <c r="I352" s="95"/>
      <c r="J352" s="95"/>
      <c r="K352" s="95"/>
    </row>
    <row r="353" spans="1:11" ht="18" customHeight="1" x14ac:dyDescent="0.25">
      <c r="A353" s="531"/>
      <c r="B353" s="531"/>
      <c r="C353" s="145">
        <v>38</v>
      </c>
      <c r="D353" s="53">
        <v>159</v>
      </c>
      <c r="E353" s="317">
        <v>1985</v>
      </c>
      <c r="F353" s="338">
        <f>2019-E353</f>
        <v>34</v>
      </c>
      <c r="G353" s="95"/>
      <c r="H353" s="95"/>
      <c r="I353" s="95"/>
      <c r="J353" s="95"/>
      <c r="K353" s="95"/>
    </row>
    <row r="354" spans="1:11" ht="18" customHeight="1" x14ac:dyDescent="0.25">
      <c r="A354" s="525" t="s">
        <v>926</v>
      </c>
      <c r="B354" s="525" t="s">
        <v>1281</v>
      </c>
      <c r="C354" s="53"/>
      <c r="D354" s="53"/>
      <c r="E354" s="317"/>
      <c r="F354" s="332"/>
      <c r="G354" s="95"/>
      <c r="H354" s="95"/>
      <c r="I354" s="95"/>
      <c r="J354" s="95"/>
      <c r="K354" s="95"/>
    </row>
    <row r="355" spans="1:11" ht="18" customHeight="1" x14ac:dyDescent="0.25">
      <c r="A355" s="531"/>
      <c r="B355" s="531"/>
      <c r="C355" s="145">
        <v>25</v>
      </c>
      <c r="D355" s="53">
        <v>133</v>
      </c>
      <c r="E355" s="317">
        <v>1985</v>
      </c>
      <c r="F355" s="338">
        <f t="shared" ref="F355:F357" si="86">2019-E355</f>
        <v>34</v>
      </c>
      <c r="G355" s="95"/>
      <c r="H355" s="95"/>
      <c r="I355" s="95"/>
      <c r="J355" s="95"/>
      <c r="K355" s="95"/>
    </row>
    <row r="356" spans="1:11" ht="18" customHeight="1" x14ac:dyDescent="0.25">
      <c r="A356" s="526"/>
      <c r="B356" s="526"/>
      <c r="C356" s="53">
        <v>25</v>
      </c>
      <c r="D356" s="53">
        <v>89</v>
      </c>
      <c r="E356" s="317">
        <v>1985</v>
      </c>
      <c r="F356" s="338">
        <f t="shared" si="86"/>
        <v>34</v>
      </c>
      <c r="G356" s="95"/>
      <c r="H356" s="95"/>
      <c r="I356" s="95"/>
      <c r="J356" s="95"/>
      <c r="K356" s="95"/>
    </row>
    <row r="357" spans="1:11" ht="18" customHeight="1" x14ac:dyDescent="0.25">
      <c r="A357" s="91" t="s">
        <v>385</v>
      </c>
      <c r="B357" s="91" t="s">
        <v>918</v>
      </c>
      <c r="C357" s="53">
        <v>71</v>
      </c>
      <c r="D357" s="53">
        <v>108</v>
      </c>
      <c r="E357" s="317">
        <v>2007</v>
      </c>
      <c r="F357" s="338">
        <f t="shared" si="86"/>
        <v>12</v>
      </c>
      <c r="G357" s="95"/>
      <c r="H357" s="95"/>
      <c r="I357" s="95"/>
      <c r="J357" s="95"/>
      <c r="K357" s="95"/>
    </row>
    <row r="358" spans="1:11" ht="18" customHeight="1" x14ac:dyDescent="0.25">
      <c r="A358" s="525" t="s">
        <v>250</v>
      </c>
      <c r="B358" s="525" t="s">
        <v>1282</v>
      </c>
      <c r="C358" s="53"/>
      <c r="D358" s="53"/>
      <c r="E358" s="317"/>
      <c r="F358" s="332"/>
      <c r="G358" s="95"/>
      <c r="H358" s="95"/>
      <c r="I358" s="95"/>
      <c r="J358" s="95"/>
      <c r="K358" s="95"/>
    </row>
    <row r="359" spans="1:11" ht="18" customHeight="1" x14ac:dyDescent="0.25">
      <c r="A359" s="531"/>
      <c r="B359" s="531"/>
      <c r="C359" s="145">
        <v>13</v>
      </c>
      <c r="D359" s="53">
        <v>89</v>
      </c>
      <c r="E359" s="317">
        <v>1985</v>
      </c>
      <c r="F359" s="338">
        <f t="shared" ref="F359:F360" si="87">2019-E359</f>
        <v>34</v>
      </c>
      <c r="G359" s="95"/>
      <c r="H359" s="95"/>
      <c r="I359" s="95"/>
      <c r="J359" s="95"/>
      <c r="K359" s="95"/>
    </row>
    <row r="360" spans="1:11" ht="18" customHeight="1" x14ac:dyDescent="0.25">
      <c r="A360" s="526"/>
      <c r="B360" s="526"/>
      <c r="C360" s="53">
        <v>13</v>
      </c>
      <c r="D360" s="53">
        <v>57</v>
      </c>
      <c r="E360" s="317">
        <v>1985</v>
      </c>
      <c r="F360" s="338">
        <f t="shared" si="87"/>
        <v>34</v>
      </c>
      <c r="G360" s="95"/>
      <c r="H360" s="95"/>
      <c r="I360" s="95"/>
      <c r="J360" s="95"/>
      <c r="K360" s="95"/>
    </row>
    <row r="361" spans="1:11" ht="18" customHeight="1" x14ac:dyDescent="0.25">
      <c r="A361" s="525" t="s">
        <v>727</v>
      </c>
      <c r="B361" s="525" t="s">
        <v>1283</v>
      </c>
      <c r="C361" s="53"/>
      <c r="D361" s="53"/>
      <c r="E361" s="317"/>
      <c r="F361" s="332"/>
      <c r="G361" s="95"/>
      <c r="H361" s="95"/>
      <c r="I361" s="95"/>
      <c r="J361" s="95"/>
      <c r="K361" s="95"/>
    </row>
    <row r="362" spans="1:11" ht="18" customHeight="1" x14ac:dyDescent="0.25">
      <c r="A362" s="531"/>
      <c r="B362" s="531"/>
      <c r="C362" s="145">
        <v>29</v>
      </c>
      <c r="D362" s="53">
        <v>108</v>
      </c>
      <c r="E362" s="317">
        <v>1987</v>
      </c>
      <c r="F362" s="338">
        <f t="shared" ref="F362:F363" si="88">2019-E362</f>
        <v>32</v>
      </c>
      <c r="G362" s="95"/>
      <c r="H362" s="95"/>
      <c r="I362" s="95"/>
      <c r="J362" s="95"/>
      <c r="K362" s="95"/>
    </row>
    <row r="363" spans="1:11" ht="18" customHeight="1" x14ac:dyDescent="0.25">
      <c r="A363" s="526"/>
      <c r="B363" s="526"/>
      <c r="C363" s="53">
        <v>29</v>
      </c>
      <c r="D363" s="53">
        <v>57</v>
      </c>
      <c r="E363" s="317">
        <v>1987</v>
      </c>
      <c r="F363" s="338">
        <f t="shared" si="88"/>
        <v>32</v>
      </c>
      <c r="G363" s="95"/>
      <c r="H363" s="95"/>
      <c r="I363" s="95"/>
      <c r="J363" s="95"/>
      <c r="K363" s="95"/>
    </row>
    <row r="364" spans="1:11" ht="18" customHeight="1" x14ac:dyDescent="0.25">
      <c r="A364" s="525" t="s">
        <v>385</v>
      </c>
      <c r="B364" s="525" t="s">
        <v>1284</v>
      </c>
      <c r="C364" s="53"/>
      <c r="D364" s="53"/>
      <c r="E364" s="317"/>
      <c r="F364" s="332"/>
      <c r="G364" s="95"/>
      <c r="H364" s="95"/>
      <c r="I364" s="95"/>
      <c r="J364" s="95"/>
      <c r="K364" s="95"/>
    </row>
    <row r="365" spans="1:11" ht="18" customHeight="1" x14ac:dyDescent="0.25">
      <c r="A365" s="526"/>
      <c r="B365" s="526"/>
      <c r="C365" s="145">
        <v>24</v>
      </c>
      <c r="D365" s="145">
        <v>89</v>
      </c>
      <c r="E365" s="317">
        <v>1985</v>
      </c>
      <c r="F365" s="338">
        <f t="shared" ref="F365:F366" si="89">2019-E365</f>
        <v>34</v>
      </c>
      <c r="G365" s="95"/>
      <c r="H365" s="95"/>
      <c r="I365" s="95"/>
      <c r="J365" s="95"/>
      <c r="K365" s="95"/>
    </row>
    <row r="366" spans="1:11" ht="18" customHeight="1" x14ac:dyDescent="0.25">
      <c r="A366" s="91" t="s">
        <v>256</v>
      </c>
      <c r="B366" s="91" t="s">
        <v>913</v>
      </c>
      <c r="C366" s="53">
        <v>28</v>
      </c>
      <c r="D366" s="53">
        <v>159</v>
      </c>
      <c r="E366" s="317">
        <v>1985</v>
      </c>
      <c r="F366" s="338">
        <f t="shared" si="89"/>
        <v>34</v>
      </c>
      <c r="G366" s="95"/>
      <c r="H366" s="95"/>
      <c r="I366" s="95"/>
      <c r="J366" s="95"/>
      <c r="K366" s="95"/>
    </row>
    <row r="367" spans="1:11" ht="18" customHeight="1" x14ac:dyDescent="0.25">
      <c r="A367" s="525" t="s">
        <v>422</v>
      </c>
      <c r="B367" s="525" t="s">
        <v>1285</v>
      </c>
      <c r="C367" s="53"/>
      <c r="D367" s="53"/>
      <c r="E367" s="317"/>
      <c r="F367" s="332"/>
      <c r="G367" s="95"/>
      <c r="H367" s="95"/>
      <c r="I367" s="95"/>
      <c r="J367" s="95"/>
      <c r="K367" s="95"/>
    </row>
    <row r="368" spans="1:11" ht="18" customHeight="1" x14ac:dyDescent="0.25">
      <c r="A368" s="531"/>
      <c r="B368" s="531"/>
      <c r="C368" s="145">
        <v>12</v>
      </c>
      <c r="D368" s="53">
        <v>89</v>
      </c>
      <c r="E368" s="317">
        <v>1986</v>
      </c>
      <c r="F368" s="338">
        <f t="shared" ref="F368:F369" si="90">2019-E368</f>
        <v>33</v>
      </c>
      <c r="G368" s="95"/>
      <c r="H368" s="95"/>
      <c r="I368" s="95"/>
      <c r="J368" s="95"/>
      <c r="K368" s="95"/>
    </row>
    <row r="369" spans="1:11" ht="18" customHeight="1" x14ac:dyDescent="0.25">
      <c r="A369" s="526"/>
      <c r="B369" s="526"/>
      <c r="C369" s="53">
        <v>12</v>
      </c>
      <c r="D369" s="53">
        <v>76</v>
      </c>
      <c r="E369" s="317">
        <v>1986</v>
      </c>
      <c r="F369" s="338">
        <f t="shared" si="90"/>
        <v>33</v>
      </c>
      <c r="G369" s="95"/>
      <c r="H369" s="95"/>
      <c r="I369" s="95"/>
      <c r="J369" s="95"/>
      <c r="K369" s="95"/>
    </row>
    <row r="370" spans="1:11" ht="18" customHeight="1" x14ac:dyDescent="0.25">
      <c r="A370" s="525" t="s">
        <v>1243</v>
      </c>
      <c r="B370" s="525" t="s">
        <v>1286</v>
      </c>
      <c r="C370" s="53"/>
      <c r="D370" s="53"/>
      <c r="E370" s="317"/>
      <c r="F370" s="332"/>
      <c r="G370" s="95"/>
      <c r="H370" s="95"/>
      <c r="I370" s="95"/>
      <c r="J370" s="95"/>
      <c r="K370" s="95"/>
    </row>
    <row r="371" spans="1:11" ht="18" customHeight="1" x14ac:dyDescent="0.25">
      <c r="A371" s="526"/>
      <c r="B371" s="526"/>
      <c r="C371" s="53">
        <v>55</v>
      </c>
      <c r="D371" s="53">
        <v>76</v>
      </c>
      <c r="E371" s="317">
        <v>1985</v>
      </c>
      <c r="F371" s="338">
        <f t="shared" ref="F371:F374" si="91">2019-E371</f>
        <v>34</v>
      </c>
      <c r="G371" s="95"/>
      <c r="H371" s="95"/>
      <c r="I371" s="95"/>
      <c r="J371" s="95"/>
      <c r="K371" s="95"/>
    </row>
    <row r="372" spans="1:11" ht="18" customHeight="1" x14ac:dyDescent="0.25">
      <c r="A372" s="91" t="s">
        <v>723</v>
      </c>
      <c r="B372" s="91" t="s">
        <v>1287</v>
      </c>
      <c r="C372" s="145">
        <v>55</v>
      </c>
      <c r="D372" s="53">
        <v>108</v>
      </c>
      <c r="E372" s="317">
        <v>1985</v>
      </c>
      <c r="F372" s="338">
        <f t="shared" si="91"/>
        <v>34</v>
      </c>
      <c r="G372" s="95"/>
      <c r="H372" s="95"/>
      <c r="I372" s="95"/>
      <c r="J372" s="95"/>
      <c r="K372" s="95"/>
    </row>
    <row r="373" spans="1:11" ht="18" customHeight="1" x14ac:dyDescent="0.25">
      <c r="A373" s="91" t="s">
        <v>1245</v>
      </c>
      <c r="B373" s="91" t="s">
        <v>1288</v>
      </c>
      <c r="C373" s="53">
        <v>41</v>
      </c>
      <c r="D373" s="53">
        <v>76</v>
      </c>
      <c r="E373" s="317">
        <v>1985</v>
      </c>
      <c r="F373" s="338">
        <f t="shared" si="91"/>
        <v>34</v>
      </c>
      <c r="G373" s="95"/>
      <c r="H373" s="95"/>
      <c r="I373" s="95"/>
      <c r="J373" s="95"/>
      <c r="K373" s="95"/>
    </row>
    <row r="374" spans="1:11" ht="18" customHeight="1" x14ac:dyDescent="0.25">
      <c r="A374" s="91" t="s">
        <v>1251</v>
      </c>
      <c r="B374" s="91" t="s">
        <v>1289</v>
      </c>
      <c r="C374" s="145">
        <v>41</v>
      </c>
      <c r="D374" s="53">
        <v>89</v>
      </c>
      <c r="E374" s="317">
        <v>1985</v>
      </c>
      <c r="F374" s="338">
        <f t="shared" si="91"/>
        <v>34</v>
      </c>
      <c r="G374" s="95"/>
      <c r="H374" s="95"/>
      <c r="I374" s="95"/>
      <c r="J374" s="95"/>
      <c r="K374" s="95"/>
    </row>
    <row r="375" spans="1:11" ht="18" customHeight="1" x14ac:dyDescent="0.25">
      <c r="A375" s="525" t="s">
        <v>723</v>
      </c>
      <c r="B375" s="525" t="s">
        <v>1290</v>
      </c>
      <c r="C375" s="53"/>
      <c r="D375" s="53"/>
      <c r="E375" s="317"/>
      <c r="F375" s="332"/>
      <c r="G375" s="95"/>
      <c r="H375" s="95"/>
      <c r="I375" s="95"/>
      <c r="J375" s="95"/>
      <c r="K375" s="95"/>
    </row>
    <row r="376" spans="1:11" ht="18" customHeight="1" x14ac:dyDescent="0.25">
      <c r="A376" s="526"/>
      <c r="B376" s="526"/>
      <c r="C376" s="53">
        <v>40</v>
      </c>
      <c r="D376" s="53">
        <v>76</v>
      </c>
      <c r="E376" s="317">
        <v>2013</v>
      </c>
      <c r="F376" s="338">
        <f>2019-E376</f>
        <v>6</v>
      </c>
      <c r="G376" s="95"/>
      <c r="H376" s="95"/>
      <c r="I376" s="95"/>
      <c r="J376" s="95"/>
      <c r="K376" s="95"/>
    </row>
    <row r="377" spans="1:11" ht="18" customHeight="1" x14ac:dyDescent="0.25">
      <c r="A377" s="91" t="s">
        <v>723</v>
      </c>
      <c r="B377" s="91" t="s">
        <v>1291</v>
      </c>
      <c r="C377" s="145">
        <v>40</v>
      </c>
      <c r="D377" s="53">
        <v>108</v>
      </c>
      <c r="E377" s="317">
        <v>1986</v>
      </c>
      <c r="F377" s="338">
        <f t="shared" ref="F377:F378" si="92">2019-E377</f>
        <v>33</v>
      </c>
      <c r="G377" s="95"/>
      <c r="H377" s="95"/>
      <c r="I377" s="95"/>
      <c r="J377" s="95"/>
      <c r="K377" s="95"/>
    </row>
    <row r="378" spans="1:11" ht="18" customHeight="1" x14ac:dyDescent="0.25">
      <c r="A378" s="91" t="s">
        <v>1292</v>
      </c>
      <c r="B378" s="91" t="s">
        <v>1000</v>
      </c>
      <c r="C378" s="53">
        <v>80</v>
      </c>
      <c r="D378" s="53">
        <v>108</v>
      </c>
      <c r="E378" s="317">
        <v>1985</v>
      </c>
      <c r="F378" s="338">
        <f t="shared" si="92"/>
        <v>34</v>
      </c>
      <c r="G378" s="95"/>
      <c r="H378" s="95"/>
      <c r="I378" s="95"/>
      <c r="J378" s="95"/>
      <c r="K378" s="95"/>
    </row>
    <row r="379" spans="1:11" ht="18" customHeight="1" x14ac:dyDescent="0.25">
      <c r="A379" s="525" t="s">
        <v>1276</v>
      </c>
      <c r="B379" s="525" t="s">
        <v>1293</v>
      </c>
      <c r="C379" s="53"/>
      <c r="D379" s="53"/>
      <c r="E379" s="317"/>
      <c r="F379" s="332"/>
      <c r="G379" s="95"/>
      <c r="H379" s="95"/>
      <c r="I379" s="95"/>
      <c r="J379" s="95"/>
      <c r="K379" s="95"/>
    </row>
    <row r="380" spans="1:11" ht="18" customHeight="1" x14ac:dyDescent="0.25">
      <c r="A380" s="531"/>
      <c r="B380" s="531"/>
      <c r="C380" s="145">
        <v>16</v>
      </c>
      <c r="D380" s="53">
        <v>108</v>
      </c>
      <c r="E380" s="317">
        <v>1986</v>
      </c>
      <c r="F380" s="338">
        <f t="shared" ref="F380:F383" si="93">2019-E380</f>
        <v>33</v>
      </c>
      <c r="G380" s="95"/>
      <c r="H380" s="95"/>
      <c r="I380" s="95"/>
      <c r="J380" s="95"/>
      <c r="K380" s="95"/>
    </row>
    <row r="381" spans="1:11" ht="18" customHeight="1" x14ac:dyDescent="0.25">
      <c r="A381" s="526"/>
      <c r="B381" s="526"/>
      <c r="C381" s="53">
        <v>16</v>
      </c>
      <c r="D381" s="53">
        <v>76</v>
      </c>
      <c r="E381" s="317">
        <v>1986</v>
      </c>
      <c r="F381" s="338">
        <f t="shared" si="93"/>
        <v>33</v>
      </c>
      <c r="G381" s="95"/>
      <c r="H381" s="95"/>
      <c r="I381" s="95"/>
      <c r="J381" s="95"/>
      <c r="K381" s="95"/>
    </row>
    <row r="382" spans="1:11" ht="18" customHeight="1" x14ac:dyDescent="0.25">
      <c r="A382" s="525" t="s">
        <v>1089</v>
      </c>
      <c r="B382" s="525" t="s">
        <v>1294</v>
      </c>
      <c r="C382" s="145">
        <v>18</v>
      </c>
      <c r="D382" s="53">
        <v>89</v>
      </c>
      <c r="E382" s="317">
        <v>1985</v>
      </c>
      <c r="F382" s="338">
        <f t="shared" si="93"/>
        <v>34</v>
      </c>
      <c r="G382" s="95"/>
      <c r="H382" s="95"/>
      <c r="I382" s="95"/>
      <c r="J382" s="95"/>
      <c r="K382" s="95"/>
    </row>
    <row r="383" spans="1:11" ht="18" customHeight="1" x14ac:dyDescent="0.25">
      <c r="A383" s="526"/>
      <c r="B383" s="526"/>
      <c r="C383" s="53">
        <v>18</v>
      </c>
      <c r="D383" s="53">
        <v>57</v>
      </c>
      <c r="E383" s="317">
        <v>1985</v>
      </c>
      <c r="F383" s="338">
        <f t="shared" si="93"/>
        <v>34</v>
      </c>
      <c r="G383" s="95"/>
      <c r="H383" s="95"/>
      <c r="I383" s="95"/>
      <c r="J383" s="95"/>
      <c r="K383" s="95"/>
    </row>
    <row r="384" spans="1:11" ht="15.75" x14ac:dyDescent="0.25">
      <c r="A384" s="150"/>
      <c r="B384" s="86"/>
      <c r="C384" s="147">
        <f>SUM(C307:C383)</f>
        <v>2566</v>
      </c>
      <c r="D384" s="148"/>
      <c r="E384" s="149"/>
      <c r="F384" s="332"/>
      <c r="G384" s="95"/>
      <c r="H384" s="95"/>
      <c r="I384" s="95"/>
      <c r="J384" s="95"/>
      <c r="K384" s="95"/>
    </row>
    <row r="385" spans="1:11" ht="15.75" x14ac:dyDescent="0.25">
      <c r="A385" s="137" t="s">
        <v>1295</v>
      </c>
      <c r="B385" s="138"/>
      <c r="C385" s="138"/>
      <c r="D385" s="138"/>
      <c r="E385" s="138"/>
      <c r="F385" s="332"/>
      <c r="G385" s="95"/>
      <c r="H385" s="95"/>
      <c r="I385" s="95"/>
      <c r="J385" s="95"/>
      <c r="K385" s="95"/>
    </row>
    <row r="386" spans="1:11" ht="15.75" x14ac:dyDescent="0.25">
      <c r="A386" s="537" t="s">
        <v>909</v>
      </c>
      <c r="B386" s="537" t="s">
        <v>1296</v>
      </c>
      <c r="C386" s="145">
        <v>27</v>
      </c>
      <c r="D386" s="53">
        <v>76</v>
      </c>
      <c r="E386" s="317">
        <v>1991</v>
      </c>
      <c r="F386" s="338">
        <f t="shared" ref="F386:F387" si="94">2019-E386</f>
        <v>28</v>
      </c>
      <c r="G386" s="95"/>
      <c r="H386" s="95"/>
      <c r="I386" s="95"/>
      <c r="J386" s="95"/>
      <c r="K386" s="95"/>
    </row>
    <row r="387" spans="1:11" ht="15.75" x14ac:dyDescent="0.25">
      <c r="A387" s="539"/>
      <c r="B387" s="539"/>
      <c r="C387" s="53">
        <v>27</v>
      </c>
      <c r="D387" s="53">
        <v>57</v>
      </c>
      <c r="E387" s="317">
        <v>1991</v>
      </c>
      <c r="F387" s="338">
        <f t="shared" si="94"/>
        <v>28</v>
      </c>
      <c r="G387" s="95"/>
      <c r="H387" s="95"/>
      <c r="I387" s="95"/>
      <c r="J387" s="95"/>
      <c r="K387" s="95"/>
    </row>
    <row r="388" spans="1:11" ht="15.75" x14ac:dyDescent="0.25">
      <c r="A388" s="537" t="s">
        <v>498</v>
      </c>
      <c r="B388" s="537" t="s">
        <v>250</v>
      </c>
      <c r="C388" s="145">
        <v>100</v>
      </c>
      <c r="D388" s="53">
        <v>133</v>
      </c>
      <c r="E388" s="317">
        <v>1991</v>
      </c>
      <c r="F388" s="338">
        <f t="shared" ref="F388:F389" si="95">2019-E388</f>
        <v>28</v>
      </c>
      <c r="G388" s="95"/>
      <c r="H388" s="95"/>
      <c r="I388" s="95"/>
      <c r="J388" s="95"/>
      <c r="K388" s="95"/>
    </row>
    <row r="389" spans="1:11" ht="15.75" x14ac:dyDescent="0.25">
      <c r="A389" s="539"/>
      <c r="B389" s="539"/>
      <c r="C389" s="53">
        <v>100</v>
      </c>
      <c r="D389" s="53">
        <v>89</v>
      </c>
      <c r="E389" s="317">
        <v>1991</v>
      </c>
      <c r="F389" s="338">
        <f t="shared" si="95"/>
        <v>28</v>
      </c>
      <c r="G389" s="95"/>
      <c r="H389" s="95"/>
      <c r="I389" s="95"/>
      <c r="J389" s="95"/>
      <c r="K389" s="95"/>
    </row>
    <row r="390" spans="1:11" ht="15.75" x14ac:dyDescent="0.25">
      <c r="A390" s="537" t="s">
        <v>315</v>
      </c>
      <c r="B390" s="537" t="s">
        <v>1298</v>
      </c>
      <c r="C390" s="53"/>
      <c r="D390" s="53"/>
      <c r="E390" s="317"/>
      <c r="F390" s="332"/>
      <c r="G390" s="95"/>
      <c r="H390" s="95"/>
      <c r="I390" s="95"/>
      <c r="J390" s="95"/>
      <c r="K390" s="95"/>
    </row>
    <row r="391" spans="1:11" ht="15.75" x14ac:dyDescent="0.25">
      <c r="A391" s="538"/>
      <c r="B391" s="538"/>
      <c r="C391" s="145">
        <v>10</v>
      </c>
      <c r="D391" s="53">
        <v>57</v>
      </c>
      <c r="E391" s="317">
        <v>1991</v>
      </c>
      <c r="F391" s="338">
        <f t="shared" ref="F391:F394" si="96">2019-E391</f>
        <v>28</v>
      </c>
      <c r="G391" s="95"/>
      <c r="H391" s="95"/>
      <c r="I391" s="95"/>
      <c r="J391" s="95"/>
      <c r="K391" s="95"/>
    </row>
    <row r="392" spans="1:11" ht="15.75" x14ac:dyDescent="0.25">
      <c r="A392" s="539"/>
      <c r="B392" s="539"/>
      <c r="C392" s="53">
        <v>10</v>
      </c>
      <c r="D392" s="53">
        <v>32</v>
      </c>
      <c r="E392" s="317">
        <v>1991</v>
      </c>
      <c r="F392" s="338">
        <f t="shared" si="96"/>
        <v>28</v>
      </c>
      <c r="G392" s="95"/>
      <c r="H392" s="95"/>
      <c r="I392" s="95"/>
      <c r="J392" s="95"/>
      <c r="K392" s="95"/>
    </row>
    <row r="393" spans="1:11" ht="15.75" x14ac:dyDescent="0.25">
      <c r="A393" s="142" t="s">
        <v>959</v>
      </c>
      <c r="B393" s="142" t="s">
        <v>1299</v>
      </c>
      <c r="C393" s="53">
        <v>10</v>
      </c>
      <c r="D393" s="53">
        <v>40</v>
      </c>
      <c r="E393" s="317">
        <v>1991</v>
      </c>
      <c r="F393" s="338">
        <f t="shared" si="96"/>
        <v>28</v>
      </c>
      <c r="G393" s="95"/>
      <c r="H393" s="95"/>
      <c r="I393" s="95"/>
      <c r="J393" s="95"/>
      <c r="K393" s="95"/>
    </row>
    <row r="394" spans="1:11" ht="15.75" x14ac:dyDescent="0.25">
      <c r="A394" s="142" t="s">
        <v>959</v>
      </c>
      <c r="B394" s="142" t="s">
        <v>1300</v>
      </c>
      <c r="C394" s="145">
        <v>10</v>
      </c>
      <c r="D394" s="53">
        <v>57</v>
      </c>
      <c r="E394" s="317">
        <v>1991</v>
      </c>
      <c r="F394" s="338">
        <f t="shared" si="96"/>
        <v>28</v>
      </c>
      <c r="G394" s="95"/>
      <c r="H394" s="95"/>
      <c r="I394" s="95"/>
      <c r="J394" s="95"/>
      <c r="K394" s="95"/>
    </row>
    <row r="395" spans="1:11" ht="15.75" x14ac:dyDescent="0.25">
      <c r="A395" s="91" t="s">
        <v>614</v>
      </c>
      <c r="B395" s="91" t="s">
        <v>1088</v>
      </c>
      <c r="C395" s="145">
        <v>75</v>
      </c>
      <c r="D395" s="53">
        <v>133</v>
      </c>
      <c r="E395" s="317">
        <v>1991</v>
      </c>
      <c r="F395" s="338">
        <f t="shared" ref="F395:F396" si="97">2019-E395</f>
        <v>28</v>
      </c>
      <c r="G395" s="95"/>
      <c r="H395" s="95"/>
      <c r="I395" s="95"/>
      <c r="J395" s="95"/>
      <c r="K395" s="95"/>
    </row>
    <row r="396" spans="1:11" ht="15.75" x14ac:dyDescent="0.25">
      <c r="A396" s="91" t="s">
        <v>748</v>
      </c>
      <c r="B396" s="91" t="s">
        <v>1088</v>
      </c>
      <c r="C396" s="53">
        <v>75</v>
      </c>
      <c r="D396" s="53">
        <v>89</v>
      </c>
      <c r="E396" s="317">
        <v>1991</v>
      </c>
      <c r="F396" s="338">
        <f t="shared" si="97"/>
        <v>28</v>
      </c>
      <c r="G396" s="95"/>
      <c r="H396" s="95"/>
      <c r="I396" s="95"/>
      <c r="J396" s="95"/>
      <c r="K396" s="95"/>
    </row>
    <row r="397" spans="1:11" ht="15.75" x14ac:dyDescent="0.25">
      <c r="A397" s="91" t="s">
        <v>250</v>
      </c>
      <c r="B397" s="91" t="s">
        <v>186</v>
      </c>
      <c r="C397" s="145">
        <v>14</v>
      </c>
      <c r="D397" s="53">
        <v>133</v>
      </c>
      <c r="E397" s="317">
        <v>1991</v>
      </c>
      <c r="F397" s="338">
        <f t="shared" ref="F397:F400" si="98">2019-E397</f>
        <v>28</v>
      </c>
      <c r="G397" s="95"/>
      <c r="H397" s="95"/>
      <c r="I397" s="95"/>
      <c r="J397" s="95"/>
      <c r="K397" s="95"/>
    </row>
    <row r="398" spans="1:11" ht="15.75" x14ac:dyDescent="0.25">
      <c r="A398" s="91" t="s">
        <v>250</v>
      </c>
      <c r="B398" s="91" t="s">
        <v>376</v>
      </c>
      <c r="C398" s="53">
        <v>14</v>
      </c>
      <c r="D398" s="53">
        <v>89</v>
      </c>
      <c r="E398" s="317">
        <v>1991</v>
      </c>
      <c r="F398" s="338">
        <f t="shared" si="98"/>
        <v>28</v>
      </c>
      <c r="G398" s="95"/>
      <c r="H398" s="95"/>
      <c r="I398" s="95"/>
      <c r="J398" s="95"/>
      <c r="K398" s="95"/>
    </row>
    <row r="399" spans="1:11" ht="15.75" x14ac:dyDescent="0.25">
      <c r="A399" s="142" t="s">
        <v>186</v>
      </c>
      <c r="B399" s="142" t="s">
        <v>1301</v>
      </c>
      <c r="C399" s="145">
        <v>5</v>
      </c>
      <c r="D399" s="53">
        <v>57</v>
      </c>
      <c r="E399" s="317">
        <v>1991</v>
      </c>
      <c r="F399" s="338">
        <f t="shared" si="98"/>
        <v>28</v>
      </c>
      <c r="G399" s="95"/>
      <c r="H399" s="95"/>
      <c r="I399" s="95"/>
      <c r="J399" s="95"/>
      <c r="K399" s="95"/>
    </row>
    <row r="400" spans="1:11" ht="15.75" x14ac:dyDescent="0.25">
      <c r="A400" s="142" t="s">
        <v>1182</v>
      </c>
      <c r="B400" s="142" t="s">
        <v>1301</v>
      </c>
      <c r="C400" s="53">
        <v>5</v>
      </c>
      <c r="D400" s="53">
        <v>40</v>
      </c>
      <c r="E400" s="317">
        <v>1991</v>
      </c>
      <c r="F400" s="338">
        <f t="shared" si="98"/>
        <v>28</v>
      </c>
      <c r="G400" s="95"/>
      <c r="H400" s="95"/>
      <c r="I400" s="95"/>
      <c r="J400" s="95"/>
      <c r="K400" s="95"/>
    </row>
    <row r="401" spans="1:11" ht="15.75" x14ac:dyDescent="0.25">
      <c r="A401" s="91" t="s">
        <v>1089</v>
      </c>
      <c r="B401" s="91" t="s">
        <v>1302</v>
      </c>
      <c r="C401" s="53">
        <v>9</v>
      </c>
      <c r="D401" s="53">
        <v>25</v>
      </c>
      <c r="E401" s="317">
        <v>1992</v>
      </c>
      <c r="F401" s="338">
        <f t="shared" ref="F401:F402" si="99">2019-E401</f>
        <v>27</v>
      </c>
      <c r="G401" s="95"/>
      <c r="H401" s="95"/>
      <c r="I401" s="95"/>
      <c r="J401" s="95"/>
      <c r="K401" s="95"/>
    </row>
    <row r="402" spans="1:11" ht="15.75" x14ac:dyDescent="0.25">
      <c r="A402" s="91" t="s">
        <v>1090</v>
      </c>
      <c r="B402" s="91" t="s">
        <v>1303</v>
      </c>
      <c r="C402" s="145">
        <v>9</v>
      </c>
      <c r="D402" s="53">
        <v>57</v>
      </c>
      <c r="E402" s="317">
        <v>1992</v>
      </c>
      <c r="F402" s="338">
        <f t="shared" si="99"/>
        <v>27</v>
      </c>
      <c r="G402" s="95"/>
      <c r="H402" s="95"/>
      <c r="I402" s="95"/>
      <c r="J402" s="95"/>
      <c r="K402" s="95"/>
    </row>
    <row r="403" spans="1:11" ht="15.75" x14ac:dyDescent="0.25">
      <c r="A403" s="142" t="s">
        <v>950</v>
      </c>
      <c r="B403" s="142" t="s">
        <v>1304</v>
      </c>
      <c r="C403" s="145">
        <v>45</v>
      </c>
      <c r="D403" s="53">
        <v>76</v>
      </c>
      <c r="E403" s="317">
        <v>1991</v>
      </c>
      <c r="F403" s="338">
        <f t="shared" ref="F403:F404" si="100">2019-E403</f>
        <v>28</v>
      </c>
      <c r="G403" s="95"/>
      <c r="H403" s="95"/>
      <c r="I403" s="95"/>
      <c r="J403" s="95"/>
      <c r="K403" s="95"/>
    </row>
    <row r="404" spans="1:11" ht="15.75" x14ac:dyDescent="0.25">
      <c r="A404" s="142" t="s">
        <v>1220</v>
      </c>
      <c r="B404" s="142" t="s">
        <v>557</v>
      </c>
      <c r="C404" s="53">
        <v>45</v>
      </c>
      <c r="D404" s="53">
        <v>40</v>
      </c>
      <c r="E404" s="317">
        <v>1991</v>
      </c>
      <c r="F404" s="338">
        <f t="shared" si="100"/>
        <v>28</v>
      </c>
      <c r="G404" s="95"/>
      <c r="H404" s="95"/>
      <c r="I404" s="95"/>
      <c r="J404" s="95"/>
      <c r="K404" s="95"/>
    </row>
    <row r="405" spans="1:11" ht="15.75" x14ac:dyDescent="0.25">
      <c r="A405" s="142" t="s">
        <v>1213</v>
      </c>
      <c r="B405" s="142" t="s">
        <v>1247</v>
      </c>
      <c r="C405" s="145">
        <v>88</v>
      </c>
      <c r="D405" s="53">
        <v>76</v>
      </c>
      <c r="E405" s="317">
        <v>1991</v>
      </c>
      <c r="F405" s="338">
        <f t="shared" ref="F405:F408" si="101">2019-E405</f>
        <v>28</v>
      </c>
      <c r="G405" s="95"/>
      <c r="H405" s="95"/>
      <c r="I405" s="95"/>
      <c r="J405" s="95"/>
      <c r="K405" s="95"/>
    </row>
    <row r="406" spans="1:11" ht="15.75" x14ac:dyDescent="0.25">
      <c r="A406" s="142" t="s">
        <v>1212</v>
      </c>
      <c r="B406" s="142" t="s">
        <v>1305</v>
      </c>
      <c r="C406" s="53">
        <v>88</v>
      </c>
      <c r="D406" s="53">
        <v>57</v>
      </c>
      <c r="E406" s="317">
        <v>1991</v>
      </c>
      <c r="F406" s="338">
        <f t="shared" si="101"/>
        <v>28</v>
      </c>
      <c r="G406" s="95"/>
      <c r="H406" s="95"/>
      <c r="I406" s="95"/>
      <c r="J406" s="95"/>
      <c r="K406" s="95"/>
    </row>
    <row r="407" spans="1:11" ht="15.75" x14ac:dyDescent="0.25">
      <c r="A407" s="537" t="s">
        <v>850</v>
      </c>
      <c r="B407" s="537" t="s">
        <v>1306</v>
      </c>
      <c r="C407" s="145">
        <v>9</v>
      </c>
      <c r="D407" s="53">
        <v>57</v>
      </c>
      <c r="E407" s="317">
        <v>1991</v>
      </c>
      <c r="F407" s="338">
        <f t="shared" si="101"/>
        <v>28</v>
      </c>
      <c r="G407" s="95"/>
      <c r="H407" s="95"/>
      <c r="I407" s="95"/>
      <c r="J407" s="95"/>
      <c r="K407" s="95"/>
    </row>
    <row r="408" spans="1:11" ht="15.75" x14ac:dyDescent="0.25">
      <c r="A408" s="539"/>
      <c r="B408" s="539"/>
      <c r="C408" s="53">
        <v>9</v>
      </c>
      <c r="D408" s="53">
        <v>40</v>
      </c>
      <c r="E408" s="317">
        <v>1991</v>
      </c>
      <c r="F408" s="338">
        <f t="shared" si="101"/>
        <v>28</v>
      </c>
      <c r="G408" s="95"/>
      <c r="H408" s="95"/>
      <c r="I408" s="95"/>
      <c r="J408" s="95"/>
      <c r="K408" s="95"/>
    </row>
    <row r="409" spans="1:11" ht="15.75" x14ac:dyDescent="0.25">
      <c r="A409" s="142" t="s">
        <v>256</v>
      </c>
      <c r="B409" s="142" t="s">
        <v>391</v>
      </c>
      <c r="C409" s="53">
        <v>8</v>
      </c>
      <c r="D409" s="53">
        <v>133</v>
      </c>
      <c r="E409" s="317">
        <v>1991</v>
      </c>
      <c r="F409" s="338">
        <f t="shared" ref="F409:F410" si="102">2019-E409</f>
        <v>28</v>
      </c>
      <c r="G409" s="95"/>
      <c r="H409" s="95"/>
      <c r="I409" s="95"/>
      <c r="J409" s="95"/>
      <c r="K409" s="95"/>
    </row>
    <row r="410" spans="1:11" ht="15.75" x14ac:dyDescent="0.25">
      <c r="A410" s="142" t="s">
        <v>193</v>
      </c>
      <c r="B410" s="142" t="s">
        <v>913</v>
      </c>
      <c r="C410" s="145">
        <v>8</v>
      </c>
      <c r="D410" s="53">
        <v>219</v>
      </c>
      <c r="E410" s="317">
        <v>1991</v>
      </c>
      <c r="F410" s="338">
        <f t="shared" si="102"/>
        <v>28</v>
      </c>
      <c r="G410" s="95"/>
      <c r="H410" s="95"/>
      <c r="I410" s="95"/>
      <c r="J410" s="95"/>
      <c r="K410" s="95"/>
    </row>
    <row r="411" spans="1:11" ht="15.75" x14ac:dyDescent="0.25">
      <c r="A411" s="537" t="s">
        <v>849</v>
      </c>
      <c r="B411" s="537" t="s">
        <v>1307</v>
      </c>
      <c r="C411" s="53"/>
      <c r="D411" s="53"/>
      <c r="E411" s="317"/>
      <c r="F411" s="332"/>
      <c r="G411" s="95"/>
      <c r="H411" s="95"/>
      <c r="I411" s="95"/>
      <c r="J411" s="95"/>
      <c r="K411" s="95"/>
    </row>
    <row r="412" spans="1:11" ht="15.75" x14ac:dyDescent="0.25">
      <c r="A412" s="538"/>
      <c r="B412" s="538"/>
      <c r="C412" s="145">
        <v>43</v>
      </c>
      <c r="D412" s="53">
        <v>57</v>
      </c>
      <c r="E412" s="317">
        <v>1993</v>
      </c>
      <c r="F412" s="338">
        <f t="shared" ref="F412:F413" si="103">2019-E412</f>
        <v>26</v>
      </c>
      <c r="G412" s="95"/>
      <c r="H412" s="95"/>
      <c r="I412" s="95"/>
      <c r="J412" s="95"/>
      <c r="K412" s="95"/>
    </row>
    <row r="413" spans="1:11" ht="15.75" x14ac:dyDescent="0.25">
      <c r="A413" s="539"/>
      <c r="B413" s="539"/>
      <c r="C413" s="53">
        <v>43</v>
      </c>
      <c r="D413" s="53">
        <v>40</v>
      </c>
      <c r="E413" s="317">
        <v>1993</v>
      </c>
      <c r="F413" s="338">
        <f t="shared" si="103"/>
        <v>26</v>
      </c>
      <c r="G413" s="95"/>
      <c r="H413" s="95"/>
      <c r="I413" s="95"/>
      <c r="J413" s="95"/>
      <c r="K413" s="95"/>
    </row>
    <row r="414" spans="1:11" ht="15.75" x14ac:dyDescent="0.25">
      <c r="A414" s="537" t="s">
        <v>919</v>
      </c>
      <c r="B414" s="537" t="s">
        <v>1308</v>
      </c>
      <c r="C414" s="53"/>
      <c r="D414" s="53"/>
      <c r="E414" s="317"/>
      <c r="F414" s="332"/>
      <c r="G414" s="95"/>
      <c r="H414" s="95"/>
      <c r="I414" s="95"/>
      <c r="J414" s="95"/>
      <c r="K414" s="95"/>
    </row>
    <row r="415" spans="1:11" ht="15.75" x14ac:dyDescent="0.25">
      <c r="A415" s="538"/>
      <c r="B415" s="538"/>
      <c r="C415" s="145">
        <v>4</v>
      </c>
      <c r="D415" s="53">
        <v>57</v>
      </c>
      <c r="E415" s="317">
        <v>1991</v>
      </c>
      <c r="F415" s="338">
        <f t="shared" ref="F415:F418" si="104">2019-E415</f>
        <v>28</v>
      </c>
      <c r="G415" s="95"/>
      <c r="H415" s="95"/>
      <c r="I415" s="95"/>
      <c r="J415" s="95"/>
      <c r="K415" s="95"/>
    </row>
    <row r="416" spans="1:11" ht="15.75" x14ac:dyDescent="0.25">
      <c r="A416" s="539"/>
      <c r="B416" s="539"/>
      <c r="C416" s="53">
        <v>4</v>
      </c>
      <c r="D416" s="53">
        <v>40</v>
      </c>
      <c r="E416" s="317">
        <v>1991</v>
      </c>
      <c r="F416" s="338">
        <f t="shared" si="104"/>
        <v>28</v>
      </c>
      <c r="G416" s="95"/>
      <c r="H416" s="95"/>
      <c r="I416" s="95"/>
      <c r="J416" s="95"/>
      <c r="K416" s="95"/>
    </row>
    <row r="417" spans="1:11" ht="15.75" x14ac:dyDescent="0.25">
      <c r="A417" s="91" t="s">
        <v>1309</v>
      </c>
      <c r="B417" s="91" t="s">
        <v>1310</v>
      </c>
      <c r="C417" s="145">
        <v>10</v>
      </c>
      <c r="D417" s="53">
        <v>40</v>
      </c>
      <c r="E417" s="317">
        <v>1991</v>
      </c>
      <c r="F417" s="338">
        <f t="shared" si="104"/>
        <v>28</v>
      </c>
      <c r="G417" s="95"/>
      <c r="H417" s="95"/>
      <c r="I417" s="95"/>
      <c r="J417" s="95"/>
      <c r="K417" s="95"/>
    </row>
    <row r="418" spans="1:11" ht="15.75" x14ac:dyDescent="0.25">
      <c r="A418" s="91" t="s">
        <v>1309</v>
      </c>
      <c r="B418" s="91" t="s">
        <v>1297</v>
      </c>
      <c r="C418" s="53">
        <v>10</v>
      </c>
      <c r="D418" s="53">
        <v>32</v>
      </c>
      <c r="E418" s="317">
        <v>1991</v>
      </c>
      <c r="F418" s="338">
        <f t="shared" si="104"/>
        <v>28</v>
      </c>
      <c r="G418" s="95"/>
      <c r="H418" s="95"/>
      <c r="I418" s="95"/>
      <c r="J418" s="95"/>
      <c r="K418" s="95"/>
    </row>
    <row r="419" spans="1:11" ht="15.75" x14ac:dyDescent="0.25">
      <c r="A419" s="537" t="s">
        <v>1309</v>
      </c>
      <c r="B419" s="537" t="s">
        <v>1255</v>
      </c>
      <c r="C419" s="53"/>
      <c r="D419" s="53"/>
      <c r="E419" s="317"/>
      <c r="F419" s="332"/>
      <c r="G419" s="95"/>
      <c r="H419" s="95"/>
      <c r="I419" s="95"/>
      <c r="J419" s="95"/>
      <c r="K419" s="95"/>
    </row>
    <row r="420" spans="1:11" ht="15.75" x14ac:dyDescent="0.25">
      <c r="A420" s="538"/>
      <c r="B420" s="538"/>
      <c r="C420" s="145">
        <v>27</v>
      </c>
      <c r="D420" s="53">
        <v>108</v>
      </c>
      <c r="E420" s="317">
        <v>1991</v>
      </c>
      <c r="F420" s="338">
        <f t="shared" ref="F420:F425" si="105">2019-E420</f>
        <v>28</v>
      </c>
      <c r="G420" s="95"/>
      <c r="H420" s="95"/>
      <c r="I420" s="95"/>
      <c r="J420" s="95"/>
      <c r="K420" s="95"/>
    </row>
    <row r="421" spans="1:11" ht="15.75" x14ac:dyDescent="0.25">
      <c r="A421" s="539"/>
      <c r="B421" s="539"/>
      <c r="C421" s="53">
        <v>27</v>
      </c>
      <c r="D421" s="53">
        <v>76</v>
      </c>
      <c r="E421" s="317">
        <v>1991</v>
      </c>
      <c r="F421" s="338">
        <f t="shared" si="105"/>
        <v>28</v>
      </c>
      <c r="G421" s="95"/>
      <c r="H421" s="95"/>
      <c r="I421" s="95"/>
      <c r="J421" s="95"/>
      <c r="K421" s="95"/>
    </row>
    <row r="422" spans="1:11" ht="15.75" x14ac:dyDescent="0.25">
      <c r="A422" s="537" t="s">
        <v>337</v>
      </c>
      <c r="B422" s="537" t="s">
        <v>682</v>
      </c>
      <c r="C422" s="145">
        <v>40</v>
      </c>
      <c r="D422" s="53">
        <v>219</v>
      </c>
      <c r="E422" s="317">
        <v>1991</v>
      </c>
      <c r="F422" s="338">
        <f t="shared" si="105"/>
        <v>28</v>
      </c>
      <c r="G422" s="95"/>
      <c r="H422" s="95"/>
      <c r="I422" s="95"/>
      <c r="J422" s="95"/>
      <c r="K422" s="95"/>
    </row>
    <row r="423" spans="1:11" ht="15.75" x14ac:dyDescent="0.25">
      <c r="A423" s="539"/>
      <c r="B423" s="539"/>
      <c r="C423" s="53">
        <v>40</v>
      </c>
      <c r="D423" s="53">
        <v>133</v>
      </c>
      <c r="E423" s="317">
        <v>1991</v>
      </c>
      <c r="F423" s="338">
        <f t="shared" si="105"/>
        <v>28</v>
      </c>
      <c r="G423" s="95"/>
      <c r="H423" s="95"/>
      <c r="I423" s="95"/>
      <c r="J423" s="95"/>
      <c r="K423" s="95"/>
    </row>
    <row r="424" spans="1:11" ht="15.75" x14ac:dyDescent="0.25">
      <c r="A424" s="537" t="s">
        <v>950</v>
      </c>
      <c r="B424" s="537" t="s">
        <v>1213</v>
      </c>
      <c r="C424" s="145">
        <v>158</v>
      </c>
      <c r="D424" s="53">
        <v>159</v>
      </c>
      <c r="E424" s="317">
        <v>1991</v>
      </c>
      <c r="F424" s="338">
        <f t="shared" si="105"/>
        <v>28</v>
      </c>
      <c r="G424" s="95"/>
      <c r="H424" s="95"/>
      <c r="I424" s="95"/>
      <c r="J424" s="95"/>
      <c r="K424" s="95"/>
    </row>
    <row r="425" spans="1:11" ht="15.75" x14ac:dyDescent="0.25">
      <c r="A425" s="539"/>
      <c r="B425" s="539"/>
      <c r="C425" s="53">
        <v>158</v>
      </c>
      <c r="D425" s="53">
        <v>108</v>
      </c>
      <c r="E425" s="317">
        <v>1991</v>
      </c>
      <c r="F425" s="338">
        <f t="shared" si="105"/>
        <v>28</v>
      </c>
      <c r="G425" s="95"/>
      <c r="H425" s="95"/>
      <c r="I425" s="95"/>
      <c r="J425" s="95"/>
      <c r="K425" s="95"/>
    </row>
    <row r="426" spans="1:11" ht="15.75" x14ac:dyDescent="0.25">
      <c r="A426" s="537" t="s">
        <v>1311</v>
      </c>
      <c r="B426" s="537" t="s">
        <v>1312</v>
      </c>
      <c r="C426" s="53"/>
      <c r="D426" s="53"/>
      <c r="E426" s="317"/>
      <c r="F426" s="332"/>
      <c r="G426" s="95"/>
      <c r="H426" s="95"/>
      <c r="I426" s="95"/>
      <c r="J426" s="95"/>
      <c r="K426" s="95"/>
    </row>
    <row r="427" spans="1:11" ht="15.75" x14ac:dyDescent="0.25">
      <c r="A427" s="538"/>
      <c r="B427" s="538"/>
      <c r="C427" s="145">
        <v>67</v>
      </c>
      <c r="D427" s="53">
        <v>89</v>
      </c>
      <c r="E427" s="317">
        <v>1991</v>
      </c>
      <c r="F427" s="338">
        <f t="shared" ref="F427:F428" si="106">2019-E427</f>
        <v>28</v>
      </c>
      <c r="G427" s="95"/>
      <c r="H427" s="95"/>
      <c r="I427" s="95"/>
      <c r="J427" s="95"/>
      <c r="K427" s="95"/>
    </row>
    <row r="428" spans="1:11" ht="15.75" x14ac:dyDescent="0.25">
      <c r="A428" s="539"/>
      <c r="B428" s="539"/>
      <c r="C428" s="53">
        <v>67</v>
      </c>
      <c r="D428" s="53">
        <v>76</v>
      </c>
      <c r="E428" s="317">
        <v>1991</v>
      </c>
      <c r="F428" s="338">
        <f t="shared" si="106"/>
        <v>28</v>
      </c>
      <c r="G428" s="95"/>
      <c r="H428" s="95"/>
      <c r="I428" s="95"/>
      <c r="J428" s="95"/>
      <c r="K428" s="95"/>
    </row>
    <row r="429" spans="1:11" ht="15.75" x14ac:dyDescent="0.25">
      <c r="A429" s="537" t="s">
        <v>1313</v>
      </c>
      <c r="B429" s="537" t="s">
        <v>1314</v>
      </c>
      <c r="C429" s="53"/>
      <c r="D429" s="53"/>
      <c r="E429" s="317"/>
      <c r="F429" s="332"/>
      <c r="G429" s="95"/>
      <c r="H429" s="95"/>
      <c r="I429" s="95"/>
      <c r="J429" s="95"/>
      <c r="K429" s="95"/>
    </row>
    <row r="430" spans="1:11" ht="15.75" x14ac:dyDescent="0.25">
      <c r="A430" s="538"/>
      <c r="B430" s="538"/>
      <c r="C430" s="145">
        <v>44</v>
      </c>
      <c r="D430" s="53">
        <v>57</v>
      </c>
      <c r="E430" s="317">
        <v>1993</v>
      </c>
      <c r="F430" s="338">
        <f t="shared" ref="F430:F431" si="107">2019-E430</f>
        <v>26</v>
      </c>
      <c r="G430" s="95"/>
      <c r="H430" s="95"/>
      <c r="I430" s="95"/>
      <c r="J430" s="95"/>
      <c r="K430" s="95"/>
    </row>
    <row r="431" spans="1:11" ht="15.75" x14ac:dyDescent="0.25">
      <c r="A431" s="539"/>
      <c r="B431" s="539"/>
      <c r="C431" s="53">
        <v>44</v>
      </c>
      <c r="D431" s="53">
        <v>32</v>
      </c>
      <c r="E431" s="317">
        <v>1993</v>
      </c>
      <c r="F431" s="338">
        <f t="shared" si="107"/>
        <v>26</v>
      </c>
      <c r="G431" s="95"/>
      <c r="H431" s="95"/>
      <c r="I431" s="95"/>
      <c r="J431" s="95"/>
      <c r="K431" s="95"/>
    </row>
    <row r="432" spans="1:11" ht="15.75" x14ac:dyDescent="0.25">
      <c r="A432" s="537" t="s">
        <v>1315</v>
      </c>
      <c r="B432" s="537" t="s">
        <v>1316</v>
      </c>
      <c r="C432" s="53"/>
      <c r="D432" s="53"/>
      <c r="E432" s="317"/>
      <c r="F432" s="332"/>
      <c r="G432" s="95"/>
      <c r="H432" s="95"/>
      <c r="I432" s="95"/>
      <c r="J432" s="95"/>
      <c r="K432" s="95"/>
    </row>
    <row r="433" spans="1:11" ht="15.75" x14ac:dyDescent="0.25">
      <c r="A433" s="538"/>
      <c r="B433" s="538"/>
      <c r="C433" s="145">
        <v>32</v>
      </c>
      <c r="D433" s="53">
        <v>133</v>
      </c>
      <c r="E433" s="317">
        <v>1991</v>
      </c>
      <c r="F433" s="338">
        <f t="shared" ref="F433:F434" si="108">2019-E433</f>
        <v>28</v>
      </c>
      <c r="G433" s="95"/>
      <c r="H433" s="95"/>
      <c r="I433" s="95"/>
      <c r="J433" s="95"/>
      <c r="K433" s="95"/>
    </row>
    <row r="434" spans="1:11" ht="15.75" x14ac:dyDescent="0.25">
      <c r="A434" s="539"/>
      <c r="B434" s="539"/>
      <c r="C434" s="53">
        <v>32</v>
      </c>
      <c r="D434" s="53">
        <v>89</v>
      </c>
      <c r="E434" s="317">
        <v>1991</v>
      </c>
      <c r="F434" s="338">
        <f t="shared" si="108"/>
        <v>28</v>
      </c>
      <c r="G434" s="95"/>
      <c r="H434" s="95"/>
      <c r="I434" s="95"/>
      <c r="J434" s="95"/>
      <c r="K434" s="95"/>
    </row>
    <row r="435" spans="1:11" ht="15.75" x14ac:dyDescent="0.25">
      <c r="A435" s="537" t="s">
        <v>887</v>
      </c>
      <c r="B435" s="537" t="s">
        <v>1317</v>
      </c>
      <c r="C435" s="53"/>
      <c r="D435" s="53"/>
      <c r="E435" s="317"/>
      <c r="F435" s="332"/>
      <c r="G435" s="95"/>
      <c r="H435" s="95"/>
      <c r="I435" s="95"/>
      <c r="J435" s="95"/>
      <c r="K435" s="95"/>
    </row>
    <row r="436" spans="1:11" ht="15.75" x14ac:dyDescent="0.25">
      <c r="A436" s="538"/>
      <c r="B436" s="538"/>
      <c r="C436" s="145">
        <v>14</v>
      </c>
      <c r="D436" s="53">
        <v>57</v>
      </c>
      <c r="E436" s="317">
        <v>1991</v>
      </c>
      <c r="F436" s="338">
        <f t="shared" ref="F436:F437" si="109">2019-E436</f>
        <v>28</v>
      </c>
      <c r="G436" s="95"/>
      <c r="H436" s="95"/>
      <c r="I436" s="95"/>
      <c r="J436" s="95"/>
      <c r="K436" s="95"/>
    </row>
    <row r="437" spans="1:11" ht="15.75" x14ac:dyDescent="0.25">
      <c r="A437" s="539"/>
      <c r="B437" s="539"/>
      <c r="C437" s="53">
        <v>14</v>
      </c>
      <c r="D437" s="53">
        <v>32</v>
      </c>
      <c r="E437" s="317">
        <v>1991</v>
      </c>
      <c r="F437" s="338">
        <f t="shared" si="109"/>
        <v>28</v>
      </c>
      <c r="G437" s="95"/>
      <c r="H437" s="95"/>
      <c r="I437" s="95"/>
      <c r="J437" s="95"/>
      <c r="K437" s="95"/>
    </row>
    <row r="438" spans="1:11" ht="15.75" x14ac:dyDescent="0.25">
      <c r="A438" s="537" t="s">
        <v>1318</v>
      </c>
      <c r="B438" s="537" t="s">
        <v>1315</v>
      </c>
      <c r="C438" s="53"/>
      <c r="D438" s="53"/>
      <c r="E438" s="317"/>
      <c r="F438" s="332"/>
      <c r="G438" s="95"/>
      <c r="H438" s="95"/>
      <c r="I438" s="95"/>
      <c r="J438" s="95"/>
      <c r="K438" s="95"/>
    </row>
    <row r="439" spans="1:11" ht="15.75" x14ac:dyDescent="0.25">
      <c r="A439" s="538"/>
      <c r="B439" s="538"/>
      <c r="C439" s="145">
        <v>27</v>
      </c>
      <c r="D439" s="53">
        <v>133</v>
      </c>
      <c r="E439" s="317">
        <v>1991</v>
      </c>
      <c r="F439" s="338">
        <f t="shared" ref="F439:F440" si="110">2019-E439</f>
        <v>28</v>
      </c>
      <c r="G439" s="95"/>
      <c r="H439" s="95"/>
      <c r="I439" s="95"/>
      <c r="J439" s="95"/>
      <c r="K439" s="95"/>
    </row>
    <row r="440" spans="1:11" ht="15.75" x14ac:dyDescent="0.25">
      <c r="A440" s="539"/>
      <c r="B440" s="539"/>
      <c r="C440" s="53">
        <v>27</v>
      </c>
      <c r="D440" s="53">
        <v>89</v>
      </c>
      <c r="E440" s="317">
        <v>1991</v>
      </c>
      <c r="F440" s="338">
        <f t="shared" si="110"/>
        <v>28</v>
      </c>
      <c r="G440" s="95"/>
      <c r="H440" s="95"/>
      <c r="I440" s="95"/>
      <c r="J440" s="95"/>
      <c r="K440" s="95"/>
    </row>
    <row r="441" spans="1:11" ht="15.75" x14ac:dyDescent="0.25">
      <c r="A441" s="537" t="s">
        <v>1319</v>
      </c>
      <c r="B441" s="537" t="s">
        <v>494</v>
      </c>
      <c r="C441" s="53"/>
      <c r="D441" s="53"/>
      <c r="E441" s="317"/>
      <c r="F441" s="332"/>
      <c r="G441" s="95"/>
      <c r="H441" s="95"/>
      <c r="I441" s="95"/>
      <c r="J441" s="95"/>
      <c r="K441" s="95"/>
    </row>
    <row r="442" spans="1:11" ht="15.75" x14ac:dyDescent="0.25">
      <c r="A442" s="538"/>
      <c r="B442" s="538"/>
      <c r="C442" s="145">
        <v>36</v>
      </c>
      <c r="D442" s="53">
        <v>133</v>
      </c>
      <c r="E442" s="317">
        <v>1991</v>
      </c>
      <c r="F442" s="338">
        <f t="shared" ref="F442:F443" si="111">2019-E442</f>
        <v>28</v>
      </c>
      <c r="G442" s="95"/>
      <c r="H442" s="95"/>
      <c r="I442" s="95"/>
      <c r="J442" s="95"/>
      <c r="K442" s="95"/>
    </row>
    <row r="443" spans="1:11" ht="15.75" x14ac:dyDescent="0.25">
      <c r="A443" s="539"/>
      <c r="B443" s="539"/>
      <c r="C443" s="53">
        <v>36</v>
      </c>
      <c r="D443" s="53">
        <v>89</v>
      </c>
      <c r="E443" s="317">
        <v>1991</v>
      </c>
      <c r="F443" s="338">
        <f t="shared" si="111"/>
        <v>28</v>
      </c>
      <c r="G443" s="95"/>
      <c r="H443" s="95"/>
      <c r="I443" s="95"/>
      <c r="J443" s="95"/>
      <c r="K443" s="95"/>
    </row>
    <row r="444" spans="1:11" ht="15.75" x14ac:dyDescent="0.25">
      <c r="A444" s="537" t="s">
        <v>1251</v>
      </c>
      <c r="B444" s="537" t="s">
        <v>1320</v>
      </c>
      <c r="C444" s="53"/>
      <c r="D444" s="53"/>
      <c r="E444" s="317"/>
      <c r="F444" s="332"/>
      <c r="G444" s="95"/>
      <c r="H444" s="95"/>
      <c r="I444" s="95"/>
      <c r="J444" s="95"/>
      <c r="K444" s="95"/>
    </row>
    <row r="445" spans="1:11" ht="15.75" x14ac:dyDescent="0.25">
      <c r="A445" s="538"/>
      <c r="B445" s="538"/>
      <c r="C445" s="145">
        <v>14</v>
      </c>
      <c r="D445" s="53">
        <v>57</v>
      </c>
      <c r="E445" s="317">
        <v>1993</v>
      </c>
      <c r="F445" s="338">
        <f t="shared" ref="F445:F446" si="112">2019-E445</f>
        <v>26</v>
      </c>
      <c r="G445" s="95"/>
      <c r="H445" s="95"/>
      <c r="I445" s="95"/>
      <c r="J445" s="95"/>
      <c r="K445" s="95"/>
    </row>
    <row r="446" spans="1:11" ht="15.75" x14ac:dyDescent="0.25">
      <c r="A446" s="539"/>
      <c r="B446" s="539"/>
      <c r="C446" s="53">
        <v>14</v>
      </c>
      <c r="D446" s="53">
        <v>40</v>
      </c>
      <c r="E446" s="317">
        <v>1993</v>
      </c>
      <c r="F446" s="338">
        <f t="shared" si="112"/>
        <v>26</v>
      </c>
      <c r="G446" s="95"/>
      <c r="H446" s="95"/>
      <c r="I446" s="95"/>
      <c r="J446" s="95"/>
      <c r="K446" s="95"/>
    </row>
    <row r="447" spans="1:11" ht="15.75" x14ac:dyDescent="0.25">
      <c r="A447" s="537" t="s">
        <v>727</v>
      </c>
      <c r="B447" s="537" t="s">
        <v>1272</v>
      </c>
      <c r="C447" s="53"/>
      <c r="D447" s="53"/>
      <c r="E447" s="317"/>
      <c r="F447" s="332"/>
      <c r="G447" s="95"/>
      <c r="H447" s="95"/>
      <c r="I447" s="95"/>
      <c r="J447" s="95"/>
      <c r="K447" s="95"/>
    </row>
    <row r="448" spans="1:11" ht="15.75" x14ac:dyDescent="0.25">
      <c r="A448" s="538"/>
      <c r="B448" s="538"/>
      <c r="C448" s="145">
        <v>45</v>
      </c>
      <c r="D448" s="53">
        <v>133</v>
      </c>
      <c r="E448" s="317">
        <v>1991</v>
      </c>
      <c r="F448" s="338">
        <f t="shared" ref="F448:F449" si="113">2019-E448</f>
        <v>28</v>
      </c>
      <c r="G448" s="95"/>
      <c r="H448" s="95"/>
      <c r="I448" s="95"/>
      <c r="J448" s="95"/>
      <c r="K448" s="95"/>
    </row>
    <row r="449" spans="1:11" ht="15.75" x14ac:dyDescent="0.25">
      <c r="A449" s="539"/>
      <c r="B449" s="539"/>
      <c r="C449" s="53">
        <v>45</v>
      </c>
      <c r="D449" s="53">
        <v>89</v>
      </c>
      <c r="E449" s="317">
        <v>1991</v>
      </c>
      <c r="F449" s="338">
        <f t="shared" si="113"/>
        <v>28</v>
      </c>
      <c r="G449" s="95"/>
      <c r="H449" s="95"/>
      <c r="I449" s="95"/>
      <c r="J449" s="95"/>
      <c r="K449" s="95"/>
    </row>
    <row r="450" spans="1:11" ht="15.75" x14ac:dyDescent="0.25">
      <c r="A450" s="142" t="s">
        <v>959</v>
      </c>
      <c r="B450" s="142" t="s">
        <v>1321</v>
      </c>
      <c r="C450" s="53"/>
      <c r="D450" s="53"/>
      <c r="E450" s="317"/>
      <c r="F450" s="332"/>
      <c r="G450" s="95"/>
      <c r="H450" s="95"/>
      <c r="I450" s="95"/>
      <c r="J450" s="95"/>
      <c r="K450" s="95"/>
    </row>
    <row r="451" spans="1:11" ht="15.75" x14ac:dyDescent="0.25">
      <c r="A451" s="537" t="s">
        <v>250</v>
      </c>
      <c r="B451" s="537" t="s">
        <v>1322</v>
      </c>
      <c r="C451" s="145">
        <v>298</v>
      </c>
      <c r="D451" s="53">
        <v>89</v>
      </c>
      <c r="E451" s="317">
        <v>1991</v>
      </c>
      <c r="F451" s="338">
        <f t="shared" ref="F451:F454" si="114">2019-E451</f>
        <v>28</v>
      </c>
      <c r="G451" s="95"/>
      <c r="H451" s="95"/>
      <c r="I451" s="95"/>
      <c r="J451" s="95"/>
      <c r="K451" s="95"/>
    </row>
    <row r="452" spans="1:11" ht="15.75" x14ac:dyDescent="0.25">
      <c r="A452" s="539"/>
      <c r="B452" s="539"/>
      <c r="C452" s="53">
        <v>298</v>
      </c>
      <c r="D452" s="53">
        <v>57</v>
      </c>
      <c r="E452" s="317">
        <v>1991</v>
      </c>
      <c r="F452" s="338">
        <f t="shared" si="114"/>
        <v>28</v>
      </c>
      <c r="G452" s="95"/>
      <c r="H452" s="95"/>
      <c r="I452" s="95"/>
      <c r="J452" s="95"/>
      <c r="K452" s="95"/>
    </row>
    <row r="453" spans="1:11" ht="15.75" x14ac:dyDescent="0.25">
      <c r="A453" s="537" t="s">
        <v>1323</v>
      </c>
      <c r="B453" s="537" t="s">
        <v>1324</v>
      </c>
      <c r="C453" s="145">
        <v>36</v>
      </c>
      <c r="D453" s="53">
        <v>89</v>
      </c>
      <c r="E453" s="317">
        <v>1991</v>
      </c>
      <c r="F453" s="338">
        <f t="shared" si="114"/>
        <v>28</v>
      </c>
      <c r="G453" s="95"/>
      <c r="H453" s="95"/>
      <c r="I453" s="95"/>
      <c r="J453" s="95"/>
      <c r="K453" s="95"/>
    </row>
    <row r="454" spans="1:11" ht="15.75" x14ac:dyDescent="0.25">
      <c r="A454" s="539"/>
      <c r="B454" s="539"/>
      <c r="C454" s="53">
        <v>36</v>
      </c>
      <c r="D454" s="53">
        <v>57</v>
      </c>
      <c r="E454" s="317">
        <v>1991</v>
      </c>
      <c r="F454" s="338">
        <f t="shared" si="114"/>
        <v>28</v>
      </c>
      <c r="G454" s="95"/>
      <c r="H454" s="95"/>
      <c r="I454" s="95"/>
      <c r="J454" s="95"/>
      <c r="K454" s="95"/>
    </row>
    <row r="455" spans="1:11" ht="15.75" x14ac:dyDescent="0.25">
      <c r="A455" s="537" t="s">
        <v>1220</v>
      </c>
      <c r="B455" s="537" t="s">
        <v>1325</v>
      </c>
      <c r="C455" s="53"/>
      <c r="D455" s="53"/>
      <c r="E455" s="317"/>
      <c r="F455" s="332"/>
      <c r="G455" s="95"/>
      <c r="H455" s="95"/>
      <c r="I455" s="95"/>
      <c r="J455" s="95"/>
      <c r="K455" s="95"/>
    </row>
    <row r="456" spans="1:11" ht="15.75" x14ac:dyDescent="0.25">
      <c r="A456" s="538"/>
      <c r="B456" s="538"/>
      <c r="C456" s="145">
        <v>16</v>
      </c>
      <c r="D456" s="53">
        <v>108</v>
      </c>
      <c r="E456" s="317">
        <v>1993</v>
      </c>
      <c r="F456" s="338">
        <f t="shared" ref="F456:F457" si="115">2019-E456</f>
        <v>26</v>
      </c>
      <c r="G456" s="95"/>
      <c r="H456" s="95"/>
      <c r="I456" s="95"/>
      <c r="J456" s="95"/>
      <c r="K456" s="95"/>
    </row>
    <row r="457" spans="1:11" ht="15.75" x14ac:dyDescent="0.25">
      <c r="A457" s="539"/>
      <c r="B457" s="539"/>
      <c r="C457" s="53">
        <v>16</v>
      </c>
      <c r="D457" s="53">
        <v>76</v>
      </c>
      <c r="E457" s="317">
        <v>1993</v>
      </c>
      <c r="F457" s="338">
        <f t="shared" si="115"/>
        <v>26</v>
      </c>
      <c r="G457" s="95"/>
      <c r="H457" s="95"/>
      <c r="I457" s="95"/>
      <c r="J457" s="95"/>
      <c r="K457" s="95"/>
    </row>
    <row r="458" spans="1:11" ht="15.75" x14ac:dyDescent="0.25">
      <c r="A458" s="537" t="s">
        <v>782</v>
      </c>
      <c r="B458" s="537" t="s">
        <v>1326</v>
      </c>
      <c r="C458" s="53"/>
      <c r="D458" s="53"/>
      <c r="E458" s="317"/>
      <c r="F458" s="332"/>
      <c r="G458" s="95"/>
      <c r="H458" s="95"/>
      <c r="I458" s="95"/>
      <c r="J458" s="95"/>
      <c r="K458" s="95"/>
    </row>
    <row r="459" spans="1:11" ht="15.75" x14ac:dyDescent="0.25">
      <c r="A459" s="538"/>
      <c r="B459" s="538"/>
      <c r="C459" s="145">
        <v>29</v>
      </c>
      <c r="D459" s="53">
        <v>57</v>
      </c>
      <c r="E459" s="317">
        <v>1991</v>
      </c>
      <c r="F459" s="338">
        <f t="shared" ref="F459:F460" si="116">2019-E459</f>
        <v>28</v>
      </c>
      <c r="G459" s="95"/>
      <c r="H459" s="95"/>
      <c r="I459" s="95"/>
      <c r="J459" s="95"/>
      <c r="K459" s="95"/>
    </row>
    <row r="460" spans="1:11" ht="15.75" x14ac:dyDescent="0.25">
      <c r="A460" s="539"/>
      <c r="B460" s="539"/>
      <c r="C460" s="53">
        <v>29</v>
      </c>
      <c r="D460" s="53">
        <v>40</v>
      </c>
      <c r="E460" s="317">
        <v>1991</v>
      </c>
      <c r="F460" s="338">
        <f t="shared" si="116"/>
        <v>28</v>
      </c>
      <c r="G460" s="95"/>
      <c r="H460" s="95"/>
      <c r="I460" s="95"/>
      <c r="J460" s="95"/>
      <c r="K460" s="95"/>
    </row>
    <row r="461" spans="1:11" ht="15.75" x14ac:dyDescent="0.25">
      <c r="A461" s="537" t="s">
        <v>1213</v>
      </c>
      <c r="B461" s="537" t="s">
        <v>1327</v>
      </c>
      <c r="C461" s="53"/>
      <c r="D461" s="53"/>
      <c r="E461" s="317"/>
      <c r="F461" s="332"/>
      <c r="G461" s="95"/>
      <c r="H461" s="95"/>
      <c r="I461" s="95"/>
      <c r="J461" s="95"/>
      <c r="K461" s="95"/>
    </row>
    <row r="462" spans="1:11" ht="15.75" x14ac:dyDescent="0.25">
      <c r="A462" s="538"/>
      <c r="B462" s="538"/>
      <c r="C462" s="145">
        <v>71</v>
      </c>
      <c r="D462" s="53">
        <v>159</v>
      </c>
      <c r="E462" s="317">
        <v>1991</v>
      </c>
      <c r="F462" s="338">
        <f t="shared" ref="F462:F463" si="117">2019-E462</f>
        <v>28</v>
      </c>
      <c r="G462" s="95"/>
      <c r="H462" s="95"/>
      <c r="I462" s="95"/>
      <c r="J462" s="95"/>
      <c r="K462" s="95"/>
    </row>
    <row r="463" spans="1:11" ht="15.75" x14ac:dyDescent="0.25">
      <c r="A463" s="539"/>
      <c r="B463" s="539"/>
      <c r="C463" s="53">
        <v>71</v>
      </c>
      <c r="D463" s="53">
        <v>108</v>
      </c>
      <c r="E463" s="317">
        <v>1991</v>
      </c>
      <c r="F463" s="338">
        <f t="shared" si="117"/>
        <v>28</v>
      </c>
      <c r="G463" s="95"/>
      <c r="H463" s="95"/>
      <c r="I463" s="95"/>
      <c r="J463" s="95"/>
      <c r="K463" s="95"/>
    </row>
    <row r="464" spans="1:11" ht="15.75" x14ac:dyDescent="0.25">
      <c r="A464" s="537" t="s">
        <v>1246</v>
      </c>
      <c r="B464" s="537" t="s">
        <v>1328</v>
      </c>
      <c r="C464" s="53"/>
      <c r="D464" s="53"/>
      <c r="E464" s="317"/>
      <c r="F464" s="332"/>
      <c r="G464" s="95"/>
      <c r="H464" s="95"/>
      <c r="I464" s="95"/>
      <c r="J464" s="95"/>
      <c r="K464" s="95"/>
    </row>
    <row r="465" spans="1:11" ht="15.75" x14ac:dyDescent="0.25">
      <c r="A465" s="538"/>
      <c r="B465" s="538"/>
      <c r="C465" s="145">
        <v>38</v>
      </c>
      <c r="D465" s="53">
        <v>76</v>
      </c>
      <c r="E465" s="317">
        <v>1993</v>
      </c>
      <c r="F465" s="338">
        <f t="shared" ref="F465:F466" si="118">2019-E465</f>
        <v>26</v>
      </c>
      <c r="G465" s="95"/>
      <c r="H465" s="95"/>
      <c r="I465" s="95"/>
      <c r="J465" s="95"/>
      <c r="K465" s="95"/>
    </row>
    <row r="466" spans="1:11" ht="15.75" x14ac:dyDescent="0.25">
      <c r="A466" s="539"/>
      <c r="B466" s="539"/>
      <c r="C466" s="53">
        <v>38</v>
      </c>
      <c r="D466" s="53">
        <v>40</v>
      </c>
      <c r="E466" s="317">
        <v>1993</v>
      </c>
      <c r="F466" s="338">
        <f t="shared" si="118"/>
        <v>26</v>
      </c>
      <c r="G466" s="95"/>
      <c r="H466" s="95"/>
      <c r="I466" s="95"/>
      <c r="J466" s="95"/>
      <c r="K466" s="95"/>
    </row>
    <row r="467" spans="1:11" ht="15.75" x14ac:dyDescent="0.25">
      <c r="A467" s="537" t="s">
        <v>1329</v>
      </c>
      <c r="B467" s="537" t="s">
        <v>1330</v>
      </c>
      <c r="C467" s="53"/>
      <c r="D467" s="53"/>
      <c r="E467" s="317"/>
      <c r="F467" s="332"/>
      <c r="G467" s="95"/>
      <c r="H467" s="95"/>
      <c r="I467" s="95"/>
      <c r="J467" s="95"/>
      <c r="K467" s="95"/>
    </row>
    <row r="468" spans="1:11" ht="15.75" x14ac:dyDescent="0.25">
      <c r="A468" s="538"/>
      <c r="B468" s="538"/>
      <c r="C468" s="145">
        <v>36</v>
      </c>
      <c r="D468" s="53">
        <v>76</v>
      </c>
      <c r="E468" s="317">
        <v>1991</v>
      </c>
      <c r="F468" s="338">
        <f t="shared" ref="F468:F469" si="119">2019-E468</f>
        <v>28</v>
      </c>
      <c r="G468" s="95"/>
      <c r="H468" s="95"/>
      <c r="I468" s="95"/>
      <c r="J468" s="95"/>
      <c r="K468" s="95"/>
    </row>
    <row r="469" spans="1:11" ht="15.75" x14ac:dyDescent="0.25">
      <c r="A469" s="539"/>
      <c r="B469" s="539"/>
      <c r="C469" s="53">
        <v>36</v>
      </c>
      <c r="D469" s="53">
        <v>40</v>
      </c>
      <c r="E469" s="317">
        <v>1991</v>
      </c>
      <c r="F469" s="338">
        <f t="shared" si="119"/>
        <v>28</v>
      </c>
      <c r="G469" s="95"/>
      <c r="H469" s="95"/>
      <c r="I469" s="95"/>
      <c r="J469" s="95"/>
      <c r="K469" s="95"/>
    </row>
    <row r="470" spans="1:11" ht="15.75" x14ac:dyDescent="0.25">
      <c r="A470" s="537" t="s">
        <v>867</v>
      </c>
      <c r="B470" s="537" t="s">
        <v>1329</v>
      </c>
      <c r="C470" s="53"/>
      <c r="D470" s="53"/>
      <c r="E470" s="317"/>
      <c r="F470" s="332"/>
      <c r="G470" s="95"/>
      <c r="H470" s="95"/>
      <c r="I470" s="95"/>
      <c r="J470" s="95"/>
      <c r="K470" s="95"/>
    </row>
    <row r="471" spans="1:11" ht="15.75" x14ac:dyDescent="0.25">
      <c r="A471" s="538"/>
      <c r="B471" s="538"/>
      <c r="C471" s="145">
        <v>70</v>
      </c>
      <c r="D471" s="53">
        <v>76</v>
      </c>
      <c r="E471" s="317">
        <v>1991</v>
      </c>
      <c r="F471" s="338">
        <f t="shared" ref="F471:F472" si="120">2019-E471</f>
        <v>28</v>
      </c>
      <c r="G471" s="95"/>
      <c r="H471" s="95"/>
      <c r="I471" s="95"/>
      <c r="J471" s="95"/>
      <c r="K471" s="95"/>
    </row>
    <row r="472" spans="1:11" ht="15.75" x14ac:dyDescent="0.25">
      <c r="A472" s="539"/>
      <c r="B472" s="539"/>
      <c r="C472" s="53">
        <v>70</v>
      </c>
      <c r="D472" s="53">
        <v>40</v>
      </c>
      <c r="E472" s="317">
        <v>1991</v>
      </c>
      <c r="F472" s="338">
        <f t="shared" si="120"/>
        <v>28</v>
      </c>
      <c r="G472" s="95"/>
      <c r="H472" s="95"/>
      <c r="I472" s="95"/>
      <c r="J472" s="95"/>
      <c r="K472" s="95"/>
    </row>
    <row r="473" spans="1:11" ht="15.75" x14ac:dyDescent="0.25">
      <c r="A473" s="537" t="s">
        <v>867</v>
      </c>
      <c r="B473" s="537" t="s">
        <v>1331</v>
      </c>
      <c r="C473" s="53"/>
      <c r="D473" s="53"/>
      <c r="E473" s="317"/>
      <c r="F473" s="332"/>
      <c r="G473" s="95"/>
      <c r="H473" s="95"/>
      <c r="I473" s="95"/>
      <c r="J473" s="95"/>
      <c r="K473" s="95"/>
    </row>
    <row r="474" spans="1:11" ht="15.75" x14ac:dyDescent="0.25">
      <c r="A474" s="538"/>
      <c r="B474" s="538"/>
      <c r="C474" s="145">
        <v>10</v>
      </c>
      <c r="D474" s="53">
        <v>40</v>
      </c>
      <c r="E474" s="317">
        <v>1991</v>
      </c>
      <c r="F474" s="338">
        <f t="shared" ref="F474:F475" si="121">2019-E474</f>
        <v>28</v>
      </c>
      <c r="G474" s="95"/>
      <c r="H474" s="95"/>
      <c r="I474" s="95"/>
      <c r="J474" s="95"/>
      <c r="K474" s="95"/>
    </row>
    <row r="475" spans="1:11" ht="15.75" x14ac:dyDescent="0.25">
      <c r="A475" s="539"/>
      <c r="B475" s="539"/>
      <c r="C475" s="53">
        <v>10</v>
      </c>
      <c r="D475" s="53">
        <v>32</v>
      </c>
      <c r="E475" s="317">
        <v>1991</v>
      </c>
      <c r="F475" s="338">
        <f t="shared" si="121"/>
        <v>28</v>
      </c>
      <c r="G475" s="95"/>
      <c r="H475" s="95"/>
      <c r="I475" s="95"/>
      <c r="J475" s="95"/>
      <c r="K475" s="95"/>
    </row>
    <row r="476" spans="1:11" ht="15.75" x14ac:dyDescent="0.25">
      <c r="A476" s="537" t="s">
        <v>1255</v>
      </c>
      <c r="B476" s="537" t="s">
        <v>867</v>
      </c>
      <c r="C476" s="53"/>
      <c r="D476" s="53"/>
      <c r="E476" s="317"/>
      <c r="F476" s="332"/>
      <c r="G476" s="95"/>
      <c r="H476" s="95"/>
      <c r="I476" s="95"/>
      <c r="J476" s="95"/>
      <c r="K476" s="95"/>
    </row>
    <row r="477" spans="1:11" ht="15.75" x14ac:dyDescent="0.25">
      <c r="A477" s="538"/>
      <c r="B477" s="538"/>
      <c r="C477" s="145">
        <v>28</v>
      </c>
      <c r="D477" s="53">
        <v>108</v>
      </c>
      <c r="E477" s="317">
        <v>1991</v>
      </c>
      <c r="F477" s="338">
        <f t="shared" ref="F477:F482" si="122">2019-E477</f>
        <v>28</v>
      </c>
      <c r="G477" s="95"/>
      <c r="H477" s="95"/>
      <c r="I477" s="95"/>
      <c r="J477" s="95"/>
      <c r="K477" s="95"/>
    </row>
    <row r="478" spans="1:11" ht="15.75" x14ac:dyDescent="0.25">
      <c r="A478" s="539"/>
      <c r="B478" s="539"/>
      <c r="C478" s="53">
        <v>28</v>
      </c>
      <c r="D478" s="53">
        <v>76</v>
      </c>
      <c r="E478" s="317">
        <v>1991</v>
      </c>
      <c r="F478" s="338">
        <f t="shared" si="122"/>
        <v>28</v>
      </c>
      <c r="G478" s="95"/>
      <c r="H478" s="95"/>
      <c r="I478" s="95"/>
      <c r="J478" s="95"/>
      <c r="K478" s="95"/>
    </row>
    <row r="479" spans="1:11" ht="15.75" x14ac:dyDescent="0.25">
      <c r="A479" s="142" t="s">
        <v>564</v>
      </c>
      <c r="B479" s="142" t="s">
        <v>1332</v>
      </c>
      <c r="C479" s="145">
        <v>25</v>
      </c>
      <c r="D479" s="53">
        <v>133</v>
      </c>
      <c r="E479" s="317">
        <v>1991</v>
      </c>
      <c r="F479" s="338">
        <f t="shared" si="122"/>
        <v>28</v>
      </c>
      <c r="G479" s="95"/>
      <c r="H479" s="95"/>
      <c r="I479" s="95"/>
      <c r="J479" s="95"/>
      <c r="K479" s="95"/>
    </row>
    <row r="480" spans="1:11" ht="15.75" x14ac:dyDescent="0.25">
      <c r="A480" s="142" t="s">
        <v>926</v>
      </c>
      <c r="B480" s="142" t="s">
        <v>1333</v>
      </c>
      <c r="C480" s="145">
        <v>33</v>
      </c>
      <c r="D480" s="53">
        <v>108</v>
      </c>
      <c r="E480" s="317">
        <v>1991</v>
      </c>
      <c r="F480" s="338">
        <f t="shared" si="122"/>
        <v>28</v>
      </c>
      <c r="G480" s="95"/>
      <c r="H480" s="95"/>
      <c r="I480" s="95"/>
      <c r="J480" s="95"/>
      <c r="K480" s="95"/>
    </row>
    <row r="481" spans="1:11" ht="15.75" x14ac:dyDescent="0.25">
      <c r="A481" s="142" t="s">
        <v>1090</v>
      </c>
      <c r="B481" s="142" t="s">
        <v>921</v>
      </c>
      <c r="C481" s="53">
        <v>25</v>
      </c>
      <c r="D481" s="53">
        <v>89</v>
      </c>
      <c r="E481" s="317">
        <v>1991</v>
      </c>
      <c r="F481" s="338">
        <f t="shared" si="122"/>
        <v>28</v>
      </c>
      <c r="G481" s="95"/>
      <c r="H481" s="95"/>
      <c r="I481" s="95"/>
      <c r="J481" s="95"/>
      <c r="K481" s="95"/>
    </row>
    <row r="482" spans="1:11" ht="15.75" x14ac:dyDescent="0.25">
      <c r="A482" s="142" t="s">
        <v>926</v>
      </c>
      <c r="B482" s="142" t="s">
        <v>1334</v>
      </c>
      <c r="C482" s="53">
        <v>33</v>
      </c>
      <c r="D482" s="53">
        <v>89</v>
      </c>
      <c r="E482" s="317">
        <v>1991</v>
      </c>
      <c r="F482" s="338">
        <f t="shared" si="122"/>
        <v>28</v>
      </c>
      <c r="G482" s="95"/>
      <c r="H482" s="95"/>
      <c r="I482" s="95"/>
      <c r="J482" s="95"/>
      <c r="K482" s="95"/>
    </row>
    <row r="483" spans="1:11" ht="15.75" x14ac:dyDescent="0.25">
      <c r="A483" s="142" t="s">
        <v>1273</v>
      </c>
      <c r="B483" s="142" t="s">
        <v>1335</v>
      </c>
      <c r="C483" s="145">
        <v>32</v>
      </c>
      <c r="D483" s="53">
        <v>57</v>
      </c>
      <c r="E483" s="317">
        <v>1993</v>
      </c>
      <c r="F483" s="338">
        <f t="shared" ref="F483:F484" si="123">2019-E483</f>
        <v>26</v>
      </c>
      <c r="G483" s="95"/>
      <c r="H483" s="95"/>
      <c r="I483" s="95"/>
      <c r="J483" s="95"/>
      <c r="K483" s="95"/>
    </row>
    <row r="484" spans="1:11" ht="15.75" x14ac:dyDescent="0.25">
      <c r="A484" s="142" t="s">
        <v>1273</v>
      </c>
      <c r="B484" s="142" t="s">
        <v>1336</v>
      </c>
      <c r="C484" s="53">
        <v>32</v>
      </c>
      <c r="D484" s="53">
        <v>40</v>
      </c>
      <c r="E484" s="317">
        <v>1993</v>
      </c>
      <c r="F484" s="338">
        <f t="shared" si="123"/>
        <v>26</v>
      </c>
      <c r="G484" s="95"/>
      <c r="H484" s="95"/>
      <c r="I484" s="95"/>
      <c r="J484" s="95"/>
      <c r="K484" s="95"/>
    </row>
    <row r="485" spans="1:11" ht="15.75" x14ac:dyDescent="0.25">
      <c r="A485" s="142" t="s">
        <v>472</v>
      </c>
      <c r="B485" s="142" t="s">
        <v>1337</v>
      </c>
      <c r="C485" s="145">
        <v>9</v>
      </c>
      <c r="D485" s="53">
        <v>57</v>
      </c>
      <c r="E485" s="317">
        <v>1992</v>
      </c>
      <c r="F485" s="338">
        <f t="shared" ref="F485:F486" si="124">2019-E485</f>
        <v>27</v>
      </c>
      <c r="G485" s="95"/>
      <c r="H485" s="95"/>
      <c r="I485" s="95"/>
      <c r="J485" s="95"/>
      <c r="K485" s="95"/>
    </row>
    <row r="486" spans="1:11" ht="15.75" x14ac:dyDescent="0.25">
      <c r="A486" s="142" t="s">
        <v>1338</v>
      </c>
      <c r="B486" s="142" t="s">
        <v>1337</v>
      </c>
      <c r="C486" s="53">
        <v>9</v>
      </c>
      <c r="D486" s="53">
        <v>40</v>
      </c>
      <c r="E486" s="317">
        <v>1992</v>
      </c>
      <c r="F486" s="338">
        <f t="shared" si="124"/>
        <v>27</v>
      </c>
      <c r="G486" s="95"/>
      <c r="H486" s="95"/>
      <c r="I486" s="95"/>
      <c r="J486" s="95"/>
      <c r="K486" s="95"/>
    </row>
    <row r="487" spans="1:11" ht="15.75" x14ac:dyDescent="0.25">
      <c r="A487" s="91" t="s">
        <v>1088</v>
      </c>
      <c r="B487" s="91" t="s">
        <v>564</v>
      </c>
      <c r="C487" s="145">
        <v>45</v>
      </c>
      <c r="D487" s="53">
        <v>133</v>
      </c>
      <c r="E487" s="317">
        <v>1991</v>
      </c>
      <c r="F487" s="338">
        <f t="shared" ref="F487:F488" si="125">2019-E487</f>
        <v>28</v>
      </c>
      <c r="G487" s="95"/>
      <c r="H487" s="95"/>
      <c r="I487" s="95"/>
      <c r="J487" s="95"/>
      <c r="K487" s="95"/>
    </row>
    <row r="488" spans="1:11" ht="15.75" x14ac:dyDescent="0.25">
      <c r="A488" s="91" t="s">
        <v>1205</v>
      </c>
      <c r="B488" s="91" t="s">
        <v>1089</v>
      </c>
      <c r="C488" s="53">
        <v>45</v>
      </c>
      <c r="D488" s="53">
        <v>89</v>
      </c>
      <c r="E488" s="317">
        <v>1991</v>
      </c>
      <c r="F488" s="338">
        <f t="shared" si="125"/>
        <v>28</v>
      </c>
      <c r="G488" s="95"/>
      <c r="H488" s="95"/>
      <c r="I488" s="95"/>
      <c r="J488" s="95"/>
      <c r="K488" s="95"/>
    </row>
    <row r="489" spans="1:11" ht="15.75" x14ac:dyDescent="0.25">
      <c r="A489" s="142" t="s">
        <v>1340</v>
      </c>
      <c r="B489" s="142" t="s">
        <v>1341</v>
      </c>
      <c r="C489" s="145">
        <v>9</v>
      </c>
      <c r="D489" s="53">
        <v>32</v>
      </c>
      <c r="E489" s="317">
        <v>1993</v>
      </c>
      <c r="F489" s="338">
        <f t="shared" ref="F489:F490" si="126">2019-E489</f>
        <v>26</v>
      </c>
      <c r="G489" s="95"/>
      <c r="H489" s="95"/>
      <c r="I489" s="95"/>
      <c r="J489" s="95"/>
      <c r="K489" s="95"/>
    </row>
    <row r="490" spans="1:11" ht="15.75" x14ac:dyDescent="0.25">
      <c r="A490" s="142" t="s">
        <v>1255</v>
      </c>
      <c r="B490" s="142" t="s">
        <v>1342</v>
      </c>
      <c r="C490" s="53">
        <v>9</v>
      </c>
      <c r="D490" s="53">
        <v>40</v>
      </c>
      <c r="E490" s="317">
        <v>1993</v>
      </c>
      <c r="F490" s="338">
        <f t="shared" si="126"/>
        <v>26</v>
      </c>
      <c r="G490" s="95"/>
      <c r="H490" s="95"/>
      <c r="I490" s="95"/>
      <c r="J490" s="95"/>
      <c r="K490" s="95"/>
    </row>
    <row r="491" spans="1:11" ht="15.75" x14ac:dyDescent="0.25">
      <c r="A491" s="53"/>
      <c r="B491" s="142"/>
      <c r="C491" s="144">
        <f>SUM(C386:C490)</f>
        <v>3492</v>
      </c>
      <c r="D491" s="140"/>
      <c r="E491" s="334"/>
      <c r="F491" s="332"/>
      <c r="G491" s="95"/>
      <c r="H491" s="95"/>
      <c r="I491" s="95"/>
      <c r="J491" s="95"/>
      <c r="K491" s="95"/>
    </row>
    <row r="492" spans="1:11" ht="15.75" customHeight="1" x14ac:dyDescent="0.25">
      <c r="A492" s="137" t="s">
        <v>1343</v>
      </c>
      <c r="B492" s="138"/>
      <c r="C492" s="138"/>
      <c r="D492" s="138"/>
      <c r="E492" s="138"/>
      <c r="F492" s="332"/>
      <c r="G492" s="95"/>
      <c r="H492" s="95"/>
      <c r="I492" s="95"/>
      <c r="J492" s="95"/>
      <c r="K492" s="95"/>
    </row>
    <row r="493" spans="1:11" ht="18" customHeight="1" x14ac:dyDescent="0.25">
      <c r="A493" s="525" t="s">
        <v>276</v>
      </c>
      <c r="B493" s="525" t="s">
        <v>385</v>
      </c>
      <c r="C493" s="53"/>
      <c r="D493" s="53"/>
      <c r="E493" s="317"/>
      <c r="F493" s="332"/>
      <c r="G493" s="95"/>
      <c r="H493" s="95"/>
      <c r="I493" s="95"/>
      <c r="J493" s="95"/>
      <c r="K493" s="95"/>
    </row>
    <row r="494" spans="1:11" ht="18" customHeight="1" x14ac:dyDescent="0.25">
      <c r="A494" s="531"/>
      <c r="B494" s="531"/>
      <c r="C494" s="145">
        <v>6</v>
      </c>
      <c r="D494" s="53">
        <v>219</v>
      </c>
      <c r="E494" s="317">
        <v>1992</v>
      </c>
      <c r="F494" s="338">
        <f t="shared" ref="F494:F495" si="127">2019-E494</f>
        <v>27</v>
      </c>
      <c r="G494" s="95"/>
      <c r="H494" s="95"/>
      <c r="I494" s="95"/>
      <c r="J494" s="95"/>
      <c r="K494" s="95"/>
    </row>
    <row r="495" spans="1:11" ht="18" customHeight="1" x14ac:dyDescent="0.25">
      <c r="A495" s="526"/>
      <c r="B495" s="526"/>
      <c r="C495" s="53">
        <v>6</v>
      </c>
      <c r="D495" s="53">
        <v>133</v>
      </c>
      <c r="E495" s="317">
        <v>1992</v>
      </c>
      <c r="F495" s="338">
        <f t="shared" si="127"/>
        <v>27</v>
      </c>
      <c r="G495" s="95"/>
      <c r="H495" s="95"/>
      <c r="I495" s="95"/>
      <c r="J495" s="95"/>
      <c r="K495" s="95"/>
    </row>
    <row r="496" spans="1:11" ht="18" customHeight="1" x14ac:dyDescent="0.25">
      <c r="A496" s="525" t="s">
        <v>391</v>
      </c>
      <c r="B496" s="525" t="s">
        <v>1344</v>
      </c>
      <c r="C496" s="53"/>
      <c r="D496" s="53"/>
      <c r="E496" s="317"/>
      <c r="F496" s="332"/>
      <c r="G496" s="95"/>
      <c r="H496" s="95"/>
      <c r="I496" s="95"/>
      <c r="J496" s="95"/>
      <c r="K496" s="95"/>
    </row>
    <row r="497" spans="1:11" ht="18" customHeight="1" x14ac:dyDescent="0.25">
      <c r="A497" s="531"/>
      <c r="B497" s="531"/>
      <c r="C497" s="145">
        <v>26</v>
      </c>
      <c r="D497" s="53">
        <v>159</v>
      </c>
      <c r="E497" s="317">
        <v>1992</v>
      </c>
      <c r="F497" s="338">
        <f t="shared" ref="F497:F498" si="128">2019-E497</f>
        <v>27</v>
      </c>
      <c r="G497" s="95"/>
      <c r="H497" s="95"/>
      <c r="I497" s="95"/>
      <c r="J497" s="95"/>
      <c r="K497" s="95"/>
    </row>
    <row r="498" spans="1:11" ht="18" customHeight="1" x14ac:dyDescent="0.25">
      <c r="A498" s="526"/>
      <c r="B498" s="526"/>
      <c r="C498" s="53">
        <v>26</v>
      </c>
      <c r="D498" s="53">
        <v>108</v>
      </c>
      <c r="E498" s="317">
        <v>1992</v>
      </c>
      <c r="F498" s="338">
        <f t="shared" si="128"/>
        <v>27</v>
      </c>
      <c r="G498" s="95"/>
      <c r="H498" s="95"/>
      <c r="I498" s="95"/>
      <c r="J498" s="95"/>
      <c r="K498" s="95"/>
    </row>
    <row r="499" spans="1:11" ht="18" customHeight="1" x14ac:dyDescent="0.25">
      <c r="A499" s="525" t="s">
        <v>1260</v>
      </c>
      <c r="B499" s="525" t="s">
        <v>1182</v>
      </c>
      <c r="C499" s="53"/>
      <c r="D499" s="53"/>
      <c r="E499" s="317"/>
      <c r="F499" s="332"/>
      <c r="G499" s="95"/>
      <c r="H499" s="95"/>
      <c r="I499" s="95"/>
      <c r="J499" s="95"/>
      <c r="K499" s="95"/>
    </row>
    <row r="500" spans="1:11" ht="18" customHeight="1" x14ac:dyDescent="0.25">
      <c r="A500" s="531"/>
      <c r="B500" s="531"/>
      <c r="C500" s="145">
        <v>80</v>
      </c>
      <c r="D500" s="53">
        <v>133</v>
      </c>
      <c r="E500" s="317">
        <v>1992</v>
      </c>
      <c r="F500" s="338">
        <f t="shared" ref="F500:F501" si="129">2019-E500</f>
        <v>27</v>
      </c>
      <c r="G500" s="95"/>
      <c r="H500" s="95"/>
      <c r="I500" s="95"/>
      <c r="J500" s="95"/>
      <c r="K500" s="95"/>
    </row>
    <row r="501" spans="1:11" ht="18" customHeight="1" x14ac:dyDescent="0.25">
      <c r="A501" s="526"/>
      <c r="B501" s="526"/>
      <c r="C501" s="53">
        <v>80</v>
      </c>
      <c r="D501" s="53">
        <v>76</v>
      </c>
      <c r="E501" s="317">
        <v>1992</v>
      </c>
      <c r="F501" s="338">
        <f t="shared" si="129"/>
        <v>27</v>
      </c>
      <c r="G501" s="95"/>
      <c r="H501" s="95"/>
      <c r="I501" s="95"/>
      <c r="J501" s="95"/>
      <c r="K501" s="95"/>
    </row>
    <row r="502" spans="1:11" ht="18" customHeight="1" x14ac:dyDescent="0.25">
      <c r="A502" s="525" t="s">
        <v>612</v>
      </c>
      <c r="B502" s="525" t="s">
        <v>1345</v>
      </c>
      <c r="C502" s="53"/>
      <c r="D502" s="53"/>
      <c r="E502" s="317"/>
      <c r="F502" s="332"/>
      <c r="G502" s="95"/>
      <c r="H502" s="95"/>
      <c r="I502" s="95"/>
      <c r="J502" s="95"/>
      <c r="K502" s="95"/>
    </row>
    <row r="503" spans="1:11" ht="18" customHeight="1" x14ac:dyDescent="0.25">
      <c r="A503" s="531"/>
      <c r="B503" s="531"/>
      <c r="C503" s="145">
        <v>10</v>
      </c>
      <c r="D503" s="53">
        <v>57</v>
      </c>
      <c r="E503" s="317">
        <v>1992</v>
      </c>
      <c r="F503" s="338">
        <f t="shared" ref="F503:F504" si="130">2019-E503</f>
        <v>27</v>
      </c>
      <c r="G503" s="95"/>
      <c r="H503" s="95"/>
      <c r="I503" s="95"/>
      <c r="J503" s="95"/>
      <c r="K503" s="95"/>
    </row>
    <row r="504" spans="1:11" ht="18" customHeight="1" x14ac:dyDescent="0.25">
      <c r="A504" s="526"/>
      <c r="B504" s="526"/>
      <c r="C504" s="53">
        <v>10</v>
      </c>
      <c r="D504" s="53">
        <v>40</v>
      </c>
      <c r="E504" s="317">
        <v>1992</v>
      </c>
      <c r="F504" s="338">
        <f t="shared" si="130"/>
        <v>27</v>
      </c>
      <c r="G504" s="95"/>
      <c r="H504" s="95"/>
      <c r="I504" s="95"/>
      <c r="J504" s="95"/>
      <c r="K504" s="95"/>
    </row>
    <row r="505" spans="1:11" ht="18" customHeight="1" x14ac:dyDescent="0.25">
      <c r="A505" s="525" t="s">
        <v>921</v>
      </c>
      <c r="B505" s="525" t="s">
        <v>1346</v>
      </c>
      <c r="C505" s="53"/>
      <c r="D505" s="53"/>
      <c r="E505" s="317"/>
      <c r="F505" s="332"/>
      <c r="G505" s="95"/>
      <c r="H505" s="95"/>
      <c r="I505" s="95"/>
      <c r="J505" s="95"/>
      <c r="K505" s="95"/>
    </row>
    <row r="506" spans="1:11" ht="18" customHeight="1" x14ac:dyDescent="0.25">
      <c r="A506" s="531"/>
      <c r="B506" s="531"/>
      <c r="C506" s="145">
        <v>16</v>
      </c>
      <c r="D506" s="53">
        <v>89</v>
      </c>
      <c r="E506" s="317">
        <v>1993</v>
      </c>
      <c r="F506" s="338">
        <f t="shared" ref="F506:F507" si="131">2019-E506</f>
        <v>26</v>
      </c>
      <c r="G506" s="95"/>
      <c r="H506" s="95"/>
      <c r="I506" s="95"/>
      <c r="J506" s="95"/>
      <c r="K506" s="95"/>
    </row>
    <row r="507" spans="1:11" ht="18" customHeight="1" x14ac:dyDescent="0.25">
      <c r="A507" s="526"/>
      <c r="B507" s="526"/>
      <c r="C507" s="53">
        <v>16</v>
      </c>
      <c r="D507" s="53">
        <v>57</v>
      </c>
      <c r="E507" s="317">
        <v>1993</v>
      </c>
      <c r="F507" s="338">
        <f t="shared" si="131"/>
        <v>26</v>
      </c>
      <c r="G507" s="95"/>
      <c r="H507" s="95"/>
      <c r="I507" s="95"/>
      <c r="J507" s="95"/>
      <c r="K507" s="95"/>
    </row>
    <row r="508" spans="1:11" ht="18" customHeight="1" x14ac:dyDescent="0.25">
      <c r="A508" s="525" t="s">
        <v>186</v>
      </c>
      <c r="B508" s="525" t="s">
        <v>1347</v>
      </c>
      <c r="C508" s="53"/>
      <c r="D508" s="53"/>
      <c r="E508" s="317"/>
      <c r="F508" s="332"/>
      <c r="G508" s="95"/>
      <c r="H508" s="95"/>
      <c r="I508" s="95"/>
      <c r="J508" s="95"/>
      <c r="K508" s="95"/>
    </row>
    <row r="509" spans="1:11" ht="18" customHeight="1" x14ac:dyDescent="0.25">
      <c r="A509" s="531"/>
      <c r="B509" s="531"/>
      <c r="C509" s="145">
        <v>136</v>
      </c>
      <c r="D509" s="53">
        <v>133</v>
      </c>
      <c r="E509" s="317">
        <v>1992</v>
      </c>
      <c r="F509" s="338">
        <f t="shared" ref="F509:F510" si="132">2019-E509</f>
        <v>27</v>
      </c>
      <c r="G509" s="95"/>
      <c r="H509" s="95"/>
      <c r="I509" s="95"/>
      <c r="J509" s="95"/>
      <c r="K509" s="95"/>
    </row>
    <row r="510" spans="1:11" ht="18" customHeight="1" x14ac:dyDescent="0.25">
      <c r="A510" s="526"/>
      <c r="B510" s="526"/>
      <c r="C510" s="53">
        <v>136</v>
      </c>
      <c r="D510" s="53">
        <v>89</v>
      </c>
      <c r="E510" s="317">
        <v>1992</v>
      </c>
      <c r="F510" s="338">
        <f t="shared" si="132"/>
        <v>27</v>
      </c>
      <c r="G510" s="95"/>
      <c r="H510" s="95"/>
      <c r="I510" s="95"/>
      <c r="J510" s="95"/>
      <c r="K510" s="95"/>
    </row>
    <row r="511" spans="1:11" ht="18" customHeight="1" x14ac:dyDescent="0.25">
      <c r="A511" s="525" t="s">
        <v>1090</v>
      </c>
      <c r="B511" s="525" t="s">
        <v>1000</v>
      </c>
      <c r="C511" s="53"/>
      <c r="D511" s="53"/>
      <c r="E511" s="317"/>
      <c r="F511" s="332"/>
      <c r="G511" s="95"/>
      <c r="H511" s="95"/>
      <c r="I511" s="95"/>
      <c r="J511" s="95"/>
      <c r="K511" s="95"/>
    </row>
    <row r="512" spans="1:11" ht="18" customHeight="1" x14ac:dyDescent="0.25">
      <c r="A512" s="531"/>
      <c r="B512" s="531"/>
      <c r="C512" s="145">
        <v>22</v>
      </c>
      <c r="D512" s="53">
        <v>133</v>
      </c>
      <c r="E512" s="317">
        <v>1992</v>
      </c>
      <c r="F512" s="338">
        <f t="shared" ref="F512:F513" si="133">2019-E512</f>
        <v>27</v>
      </c>
      <c r="G512" s="95"/>
      <c r="H512" s="95"/>
      <c r="I512" s="95"/>
      <c r="J512" s="95"/>
      <c r="K512" s="95"/>
    </row>
    <row r="513" spans="1:11" ht="18" customHeight="1" x14ac:dyDescent="0.25">
      <c r="A513" s="526"/>
      <c r="B513" s="526"/>
      <c r="C513" s="53">
        <v>22</v>
      </c>
      <c r="D513" s="53">
        <v>89</v>
      </c>
      <c r="E513" s="317">
        <v>1992</v>
      </c>
      <c r="F513" s="338">
        <f t="shared" si="133"/>
        <v>27</v>
      </c>
      <c r="G513" s="95"/>
      <c r="H513" s="95"/>
      <c r="I513" s="95"/>
      <c r="J513" s="95"/>
      <c r="K513" s="95"/>
    </row>
    <row r="514" spans="1:11" ht="18" customHeight="1" x14ac:dyDescent="0.25">
      <c r="A514" s="525" t="s">
        <v>614</v>
      </c>
      <c r="B514" s="525" t="s">
        <v>1348</v>
      </c>
      <c r="C514" s="53"/>
      <c r="D514" s="53"/>
      <c r="E514" s="317"/>
      <c r="F514" s="332"/>
      <c r="G514" s="95"/>
      <c r="H514" s="95"/>
      <c r="I514" s="95"/>
      <c r="J514" s="95"/>
      <c r="K514" s="95"/>
    </row>
    <row r="515" spans="1:11" ht="18" customHeight="1" x14ac:dyDescent="0.25">
      <c r="A515" s="531"/>
      <c r="B515" s="531"/>
      <c r="C515" s="145">
        <v>12</v>
      </c>
      <c r="D515" s="53">
        <v>57</v>
      </c>
      <c r="E515" s="317">
        <v>1992</v>
      </c>
      <c r="F515" s="338">
        <f t="shared" ref="F515:F516" si="134">2019-E515</f>
        <v>27</v>
      </c>
      <c r="G515" s="95"/>
      <c r="H515" s="95"/>
      <c r="I515" s="95"/>
      <c r="J515" s="95"/>
      <c r="K515" s="95"/>
    </row>
    <row r="516" spans="1:11" ht="18" customHeight="1" x14ac:dyDescent="0.25">
      <c r="A516" s="526"/>
      <c r="B516" s="526"/>
      <c r="C516" s="53">
        <v>12</v>
      </c>
      <c r="D516" s="53">
        <v>40</v>
      </c>
      <c r="E516" s="317">
        <v>1992</v>
      </c>
      <c r="F516" s="338">
        <f t="shared" si="134"/>
        <v>27</v>
      </c>
      <c r="G516" s="95"/>
      <c r="H516" s="95"/>
      <c r="I516" s="95"/>
      <c r="J516" s="95"/>
      <c r="K516" s="95"/>
    </row>
    <row r="517" spans="1:11" ht="18" customHeight="1" x14ac:dyDescent="0.25">
      <c r="A517" s="525" t="s">
        <v>1000</v>
      </c>
      <c r="B517" s="525" t="s">
        <v>472</v>
      </c>
      <c r="C517" s="53"/>
      <c r="D517" s="53"/>
      <c r="E517" s="317"/>
      <c r="F517" s="332"/>
      <c r="G517" s="95"/>
      <c r="H517" s="95"/>
      <c r="I517" s="95"/>
      <c r="J517" s="95"/>
      <c r="K517" s="95"/>
    </row>
    <row r="518" spans="1:11" ht="18" customHeight="1" x14ac:dyDescent="0.25">
      <c r="A518" s="531"/>
      <c r="B518" s="531"/>
      <c r="C518" s="145">
        <v>85</v>
      </c>
      <c r="D518" s="53">
        <v>108</v>
      </c>
      <c r="E518" s="317">
        <v>1993</v>
      </c>
      <c r="F518" s="338">
        <f t="shared" ref="F518:F519" si="135">2019-E518</f>
        <v>26</v>
      </c>
      <c r="G518" s="95"/>
      <c r="H518" s="95"/>
      <c r="I518" s="95"/>
      <c r="J518" s="95"/>
      <c r="K518" s="95"/>
    </row>
    <row r="519" spans="1:11" ht="18" customHeight="1" x14ac:dyDescent="0.25">
      <c r="A519" s="526"/>
      <c r="B519" s="526"/>
      <c r="C519" s="53">
        <v>85</v>
      </c>
      <c r="D519" s="53">
        <v>76</v>
      </c>
      <c r="E519" s="317">
        <v>1993</v>
      </c>
      <c r="F519" s="338">
        <f t="shared" si="135"/>
        <v>26</v>
      </c>
      <c r="G519" s="95"/>
      <c r="H519" s="95"/>
      <c r="I519" s="95"/>
      <c r="J519" s="95"/>
      <c r="K519" s="95"/>
    </row>
    <row r="520" spans="1:11" ht="18" customHeight="1" x14ac:dyDescent="0.25">
      <c r="A520" s="525" t="s">
        <v>472</v>
      </c>
      <c r="B520" s="525" t="s">
        <v>1349</v>
      </c>
      <c r="C520" s="53"/>
      <c r="D520" s="53"/>
      <c r="E520" s="317"/>
      <c r="F520" s="332"/>
      <c r="G520" s="95"/>
      <c r="H520" s="95"/>
      <c r="I520" s="95"/>
      <c r="J520" s="95"/>
      <c r="K520" s="95"/>
    </row>
    <row r="521" spans="1:11" ht="18" customHeight="1" x14ac:dyDescent="0.25">
      <c r="A521" s="531"/>
      <c r="B521" s="531"/>
      <c r="C521" s="145">
        <v>15</v>
      </c>
      <c r="D521" s="53">
        <v>57</v>
      </c>
      <c r="E521" s="317">
        <v>1994</v>
      </c>
      <c r="F521" s="338">
        <f t="shared" ref="F521:F522" si="136">2019-E521</f>
        <v>25</v>
      </c>
      <c r="G521" s="95"/>
      <c r="H521" s="95"/>
      <c r="I521" s="95"/>
      <c r="J521" s="95"/>
      <c r="K521" s="95"/>
    </row>
    <row r="522" spans="1:11" ht="18" customHeight="1" x14ac:dyDescent="0.25">
      <c r="A522" s="526"/>
      <c r="B522" s="526"/>
      <c r="C522" s="53">
        <v>15</v>
      </c>
      <c r="D522" s="53">
        <v>40</v>
      </c>
      <c r="E522" s="317">
        <v>1994</v>
      </c>
      <c r="F522" s="338">
        <f t="shared" si="136"/>
        <v>25</v>
      </c>
      <c r="G522" s="95"/>
      <c r="H522" s="95"/>
      <c r="I522" s="95"/>
      <c r="J522" s="95"/>
      <c r="K522" s="95"/>
    </row>
    <row r="523" spans="1:11" ht="15.75" x14ac:dyDescent="0.25">
      <c r="A523" s="53"/>
      <c r="B523" s="53"/>
      <c r="C523" s="144">
        <f>SUM(C493:C522)</f>
        <v>816</v>
      </c>
      <c r="D523" s="140"/>
      <c r="E523" s="334"/>
      <c r="F523" s="332"/>
      <c r="G523" s="95"/>
      <c r="H523" s="95"/>
      <c r="I523" s="95"/>
      <c r="J523" s="95"/>
      <c r="K523" s="95"/>
    </row>
    <row r="524" spans="1:11" ht="15.75" customHeight="1" x14ac:dyDescent="0.25">
      <c r="A524" s="137" t="s">
        <v>1350</v>
      </c>
      <c r="B524" s="138"/>
      <c r="C524" s="138"/>
      <c r="D524" s="138"/>
      <c r="E524" s="138"/>
      <c r="F524" s="332"/>
      <c r="G524" s="95"/>
      <c r="H524" s="95"/>
      <c r="I524" s="95"/>
      <c r="J524" s="95"/>
      <c r="K524" s="95"/>
    </row>
    <row r="525" spans="1:11" ht="22.5" customHeight="1" x14ac:dyDescent="0.25">
      <c r="A525" s="525" t="s">
        <v>1351</v>
      </c>
      <c r="B525" s="525" t="s">
        <v>1352</v>
      </c>
      <c r="C525" s="53"/>
      <c r="D525" s="53"/>
      <c r="E525" s="317"/>
      <c r="F525" s="332"/>
      <c r="G525" s="95"/>
      <c r="H525" s="95"/>
      <c r="I525" s="95"/>
      <c r="J525" s="95"/>
      <c r="K525" s="95"/>
    </row>
    <row r="526" spans="1:11" ht="22.5" customHeight="1" x14ac:dyDescent="0.25">
      <c r="A526" s="526"/>
      <c r="B526" s="526"/>
      <c r="C526" s="145">
        <v>56</v>
      </c>
      <c r="D526" s="145">
        <v>89</v>
      </c>
      <c r="E526" s="317">
        <v>1988</v>
      </c>
      <c r="F526" s="338">
        <f>2019-E526</f>
        <v>31</v>
      </c>
      <c r="G526" s="95"/>
      <c r="H526" s="95"/>
      <c r="I526" s="95"/>
      <c r="J526" s="95"/>
      <c r="K526" s="95"/>
    </row>
    <row r="527" spans="1:11" ht="22.5" customHeight="1" x14ac:dyDescent="0.25">
      <c r="A527" s="525" t="s">
        <v>1353</v>
      </c>
      <c r="B527" s="525" t="s">
        <v>337</v>
      </c>
      <c r="C527" s="53"/>
      <c r="D527" s="53"/>
      <c r="E527" s="317"/>
      <c r="F527" s="332"/>
      <c r="G527" s="95"/>
      <c r="H527" s="95"/>
      <c r="I527" s="95"/>
      <c r="J527" s="95"/>
      <c r="K527" s="95"/>
    </row>
    <row r="528" spans="1:11" ht="22.5" customHeight="1" x14ac:dyDescent="0.25">
      <c r="A528" s="531"/>
      <c r="B528" s="531"/>
      <c r="C528" s="145">
        <v>25</v>
      </c>
      <c r="D528" s="53">
        <v>89</v>
      </c>
      <c r="E528" s="317">
        <v>1988</v>
      </c>
      <c r="F528" s="338">
        <f t="shared" ref="F528:F529" si="137">2019-E528</f>
        <v>31</v>
      </c>
      <c r="G528" s="95"/>
      <c r="H528" s="95"/>
      <c r="I528" s="95"/>
      <c r="J528" s="95"/>
      <c r="K528" s="95"/>
    </row>
    <row r="529" spans="1:11" ht="22.5" customHeight="1" x14ac:dyDescent="0.25">
      <c r="A529" s="526"/>
      <c r="B529" s="526"/>
      <c r="C529" s="53">
        <v>25</v>
      </c>
      <c r="D529" s="53">
        <v>57</v>
      </c>
      <c r="E529" s="317">
        <v>1988</v>
      </c>
      <c r="F529" s="338">
        <f t="shared" si="137"/>
        <v>31</v>
      </c>
      <c r="G529" s="95"/>
      <c r="H529" s="95"/>
      <c r="I529" s="95"/>
      <c r="J529" s="95"/>
      <c r="K529" s="95"/>
    </row>
    <row r="530" spans="1:11" ht="22.5" customHeight="1" x14ac:dyDescent="0.25">
      <c r="A530" s="525" t="s">
        <v>250</v>
      </c>
      <c r="B530" s="525" t="s">
        <v>1354</v>
      </c>
      <c r="C530" s="53"/>
      <c r="D530" s="53"/>
      <c r="E530" s="317"/>
      <c r="F530" s="332"/>
      <c r="G530" s="95"/>
      <c r="H530" s="95"/>
      <c r="I530" s="95"/>
      <c r="J530" s="95"/>
      <c r="K530" s="95"/>
    </row>
    <row r="531" spans="1:11" ht="22.5" customHeight="1" x14ac:dyDescent="0.25">
      <c r="A531" s="531"/>
      <c r="B531" s="531"/>
      <c r="C531" s="145">
        <v>25</v>
      </c>
      <c r="D531" s="53">
        <v>108</v>
      </c>
      <c r="E531" s="317">
        <v>1989</v>
      </c>
      <c r="F531" s="338">
        <f t="shared" ref="F531:F532" si="138">2019-E531</f>
        <v>30</v>
      </c>
      <c r="G531" s="95"/>
      <c r="H531" s="95"/>
      <c r="I531" s="95"/>
      <c r="J531" s="95"/>
      <c r="K531" s="95"/>
    </row>
    <row r="532" spans="1:11" ht="22.5" customHeight="1" x14ac:dyDescent="0.25">
      <c r="A532" s="526"/>
      <c r="B532" s="526"/>
      <c r="C532" s="53">
        <v>25</v>
      </c>
      <c r="D532" s="53">
        <v>89</v>
      </c>
      <c r="E532" s="317">
        <v>1989</v>
      </c>
      <c r="F532" s="338">
        <f t="shared" si="138"/>
        <v>30</v>
      </c>
      <c r="G532" s="95"/>
      <c r="H532" s="95"/>
      <c r="I532" s="95"/>
      <c r="J532" s="95"/>
      <c r="K532" s="95"/>
    </row>
    <row r="533" spans="1:11" ht="22.5" customHeight="1" x14ac:dyDescent="0.25">
      <c r="A533" s="525" t="s">
        <v>391</v>
      </c>
      <c r="B533" s="525" t="s">
        <v>612</v>
      </c>
      <c r="C533" s="53"/>
      <c r="D533" s="53"/>
      <c r="E533" s="317"/>
      <c r="F533" s="332"/>
      <c r="G533" s="95"/>
      <c r="H533" s="95"/>
      <c r="I533" s="95"/>
      <c r="J533" s="95"/>
      <c r="K533" s="95"/>
    </row>
    <row r="534" spans="1:11" ht="22.5" customHeight="1" x14ac:dyDescent="0.25">
      <c r="A534" s="531"/>
      <c r="B534" s="531"/>
      <c r="C534" s="145">
        <v>39</v>
      </c>
      <c r="D534" s="53">
        <v>159</v>
      </c>
      <c r="E534" s="317">
        <v>1988</v>
      </c>
      <c r="F534" s="338">
        <f t="shared" ref="F534:F535" si="139">2019-E534</f>
        <v>31</v>
      </c>
      <c r="G534" s="95"/>
      <c r="H534" s="95"/>
      <c r="I534" s="95"/>
      <c r="J534" s="95"/>
      <c r="K534" s="95"/>
    </row>
    <row r="535" spans="1:11" ht="22.5" customHeight="1" x14ac:dyDescent="0.25">
      <c r="A535" s="526"/>
      <c r="B535" s="526"/>
      <c r="C535" s="53">
        <v>39</v>
      </c>
      <c r="D535" s="53">
        <v>133</v>
      </c>
      <c r="E535" s="317">
        <v>1988</v>
      </c>
      <c r="F535" s="338">
        <f t="shared" si="139"/>
        <v>31</v>
      </c>
      <c r="G535" s="95"/>
      <c r="H535" s="95"/>
      <c r="I535" s="95"/>
      <c r="J535" s="95"/>
      <c r="K535" s="95"/>
    </row>
    <row r="536" spans="1:11" ht="22.5" customHeight="1" x14ac:dyDescent="0.25">
      <c r="A536" s="525" t="s">
        <v>422</v>
      </c>
      <c r="B536" s="525" t="s">
        <v>1194</v>
      </c>
      <c r="C536" s="53"/>
      <c r="D536" s="53"/>
      <c r="E536" s="317"/>
      <c r="F536" s="332"/>
      <c r="G536" s="95"/>
      <c r="H536" s="95"/>
      <c r="I536" s="95"/>
      <c r="J536" s="95"/>
      <c r="K536" s="95"/>
    </row>
    <row r="537" spans="1:11" ht="22.5" customHeight="1" x14ac:dyDescent="0.25">
      <c r="A537" s="531"/>
      <c r="B537" s="531"/>
      <c r="C537" s="145">
        <v>116</v>
      </c>
      <c r="D537" s="53">
        <v>159</v>
      </c>
      <c r="E537" s="317">
        <v>1988</v>
      </c>
      <c r="F537" s="338">
        <f t="shared" ref="F537:F538" si="140">2019-E537</f>
        <v>31</v>
      </c>
      <c r="G537" s="95"/>
      <c r="H537" s="95"/>
      <c r="I537" s="95"/>
      <c r="J537" s="95"/>
      <c r="K537" s="95"/>
    </row>
    <row r="538" spans="1:11" ht="22.5" customHeight="1" x14ac:dyDescent="0.25">
      <c r="A538" s="526"/>
      <c r="B538" s="526"/>
      <c r="C538" s="53">
        <v>116</v>
      </c>
      <c r="D538" s="53">
        <v>133</v>
      </c>
      <c r="E538" s="317">
        <v>1988</v>
      </c>
      <c r="F538" s="338">
        <f t="shared" si="140"/>
        <v>31</v>
      </c>
      <c r="G538" s="95"/>
      <c r="H538" s="95"/>
      <c r="I538" s="95"/>
      <c r="J538" s="95"/>
      <c r="K538" s="95"/>
    </row>
    <row r="539" spans="1:11" ht="22.5" customHeight="1" x14ac:dyDescent="0.25">
      <c r="A539" s="525" t="s">
        <v>1355</v>
      </c>
      <c r="B539" s="525" t="s">
        <v>913</v>
      </c>
      <c r="C539" s="53"/>
      <c r="D539" s="53"/>
      <c r="E539" s="317"/>
      <c r="F539" s="332"/>
      <c r="G539" s="95"/>
      <c r="H539" s="95"/>
      <c r="I539" s="95"/>
      <c r="J539" s="95"/>
      <c r="K539" s="95"/>
    </row>
    <row r="540" spans="1:11" ht="22.5" customHeight="1" x14ac:dyDescent="0.25">
      <c r="A540" s="531"/>
      <c r="B540" s="531"/>
      <c r="C540" s="145">
        <v>28</v>
      </c>
      <c r="D540" s="53">
        <v>159</v>
      </c>
      <c r="E540" s="317">
        <v>1988</v>
      </c>
      <c r="F540" s="338">
        <f t="shared" ref="F540:F541" si="141">2019-E540</f>
        <v>31</v>
      </c>
      <c r="G540" s="95"/>
      <c r="H540" s="95"/>
      <c r="I540" s="95"/>
      <c r="J540" s="95"/>
      <c r="K540" s="95"/>
    </row>
    <row r="541" spans="1:11" ht="22.5" customHeight="1" x14ac:dyDescent="0.25">
      <c r="A541" s="526"/>
      <c r="B541" s="526"/>
      <c r="C541" s="53">
        <v>28</v>
      </c>
      <c r="D541" s="53">
        <v>133</v>
      </c>
      <c r="E541" s="317">
        <v>1988</v>
      </c>
      <c r="F541" s="338">
        <f t="shared" si="141"/>
        <v>31</v>
      </c>
      <c r="G541" s="95"/>
      <c r="H541" s="95"/>
      <c r="I541" s="95"/>
      <c r="J541" s="95"/>
      <c r="K541" s="95"/>
    </row>
    <row r="542" spans="1:11" ht="22.5" customHeight="1" x14ac:dyDescent="0.25">
      <c r="A542" s="525" t="s">
        <v>250</v>
      </c>
      <c r="B542" s="525" t="s">
        <v>376</v>
      </c>
      <c r="C542" s="53"/>
      <c r="D542" s="53"/>
      <c r="E542" s="317"/>
      <c r="F542" s="332"/>
      <c r="G542" s="95"/>
      <c r="H542" s="95"/>
      <c r="I542" s="95"/>
      <c r="J542" s="95"/>
      <c r="K542" s="95"/>
    </row>
    <row r="543" spans="1:11" ht="22.5" customHeight="1" x14ac:dyDescent="0.25">
      <c r="A543" s="531"/>
      <c r="B543" s="531"/>
      <c r="C543" s="145">
        <v>78</v>
      </c>
      <c r="D543" s="53">
        <v>108</v>
      </c>
      <c r="E543" s="317">
        <v>1990</v>
      </c>
      <c r="F543" s="338">
        <f t="shared" ref="F543:F544" si="142">2019-E543</f>
        <v>29</v>
      </c>
      <c r="G543" s="95"/>
      <c r="H543" s="95"/>
      <c r="I543" s="95"/>
      <c r="J543" s="95"/>
      <c r="K543" s="95"/>
    </row>
    <row r="544" spans="1:11" ht="22.5" customHeight="1" x14ac:dyDescent="0.25">
      <c r="A544" s="526"/>
      <c r="B544" s="526"/>
      <c r="C544" s="53">
        <v>78</v>
      </c>
      <c r="D544" s="53">
        <v>89</v>
      </c>
      <c r="E544" s="317">
        <v>1990</v>
      </c>
      <c r="F544" s="338">
        <f t="shared" si="142"/>
        <v>29</v>
      </c>
      <c r="G544" s="95"/>
      <c r="H544" s="95"/>
      <c r="I544" s="95"/>
      <c r="J544" s="95"/>
      <c r="K544" s="95"/>
    </row>
    <row r="545" spans="1:11" ht="22.5" customHeight="1" x14ac:dyDescent="0.25">
      <c r="A545" s="525" t="s">
        <v>186</v>
      </c>
      <c r="B545" s="525" t="s">
        <v>1087</v>
      </c>
      <c r="C545" s="53"/>
      <c r="D545" s="53"/>
      <c r="E545" s="317"/>
      <c r="F545" s="332"/>
      <c r="G545" s="95"/>
      <c r="H545" s="95"/>
      <c r="I545" s="95"/>
      <c r="J545" s="95"/>
      <c r="K545" s="95"/>
    </row>
    <row r="546" spans="1:11" ht="22.5" customHeight="1" x14ac:dyDescent="0.25">
      <c r="A546" s="531"/>
      <c r="B546" s="531"/>
      <c r="C546" s="145">
        <v>11</v>
      </c>
      <c r="D546" s="53">
        <v>108</v>
      </c>
      <c r="E546" s="317">
        <v>1990</v>
      </c>
      <c r="F546" s="338">
        <f t="shared" ref="F546:F547" si="143">2019-E546</f>
        <v>29</v>
      </c>
      <c r="G546" s="95"/>
      <c r="H546" s="95"/>
      <c r="I546" s="95"/>
      <c r="J546" s="95"/>
      <c r="K546" s="95"/>
    </row>
    <row r="547" spans="1:11" ht="22.5" customHeight="1" x14ac:dyDescent="0.25">
      <c r="A547" s="526"/>
      <c r="B547" s="526"/>
      <c r="C547" s="53">
        <v>11</v>
      </c>
      <c r="D547" s="53">
        <v>89</v>
      </c>
      <c r="E547" s="317">
        <v>1990</v>
      </c>
      <c r="F547" s="338">
        <f t="shared" si="143"/>
        <v>29</v>
      </c>
      <c r="G547" s="95"/>
      <c r="H547" s="95"/>
      <c r="I547" s="95"/>
      <c r="J547" s="95"/>
      <c r="K547" s="95"/>
    </row>
    <row r="548" spans="1:11" ht="22.5" customHeight="1" x14ac:dyDescent="0.25">
      <c r="A548" s="525" t="s">
        <v>959</v>
      </c>
      <c r="B548" s="525" t="s">
        <v>1356</v>
      </c>
      <c r="C548" s="53"/>
      <c r="D548" s="53"/>
      <c r="E548" s="317"/>
      <c r="F548" s="332"/>
      <c r="G548" s="95"/>
      <c r="H548" s="95"/>
      <c r="I548" s="95"/>
      <c r="J548" s="95"/>
      <c r="K548" s="95"/>
    </row>
    <row r="549" spans="1:11" ht="22.5" customHeight="1" x14ac:dyDescent="0.25">
      <c r="A549" s="531"/>
      <c r="B549" s="531"/>
      <c r="C549" s="145">
        <v>6</v>
      </c>
      <c r="D549" s="53">
        <v>108</v>
      </c>
      <c r="E549" s="317">
        <v>1990</v>
      </c>
      <c r="F549" s="338">
        <f t="shared" ref="F549:F550" si="144">2019-E549</f>
        <v>29</v>
      </c>
      <c r="G549" s="95"/>
      <c r="H549" s="95"/>
      <c r="I549" s="95"/>
      <c r="J549" s="95"/>
      <c r="K549" s="95"/>
    </row>
    <row r="550" spans="1:11" ht="22.5" customHeight="1" x14ac:dyDescent="0.25">
      <c r="A550" s="526"/>
      <c r="B550" s="526"/>
      <c r="C550" s="53">
        <v>6</v>
      </c>
      <c r="D550" s="53">
        <v>76</v>
      </c>
      <c r="E550" s="317">
        <v>1990</v>
      </c>
      <c r="F550" s="338">
        <f t="shared" si="144"/>
        <v>29</v>
      </c>
      <c r="G550" s="95"/>
      <c r="H550" s="95"/>
      <c r="I550" s="95"/>
      <c r="J550" s="95"/>
      <c r="K550" s="95"/>
    </row>
    <row r="551" spans="1:11" ht="15.75" x14ac:dyDescent="0.25">
      <c r="A551" s="53"/>
      <c r="B551" s="53"/>
      <c r="C551" s="140">
        <f>SUM(C525:C550)</f>
        <v>712</v>
      </c>
      <c r="D551" s="140"/>
      <c r="E551" s="334"/>
      <c r="F551" s="332"/>
      <c r="G551" s="95"/>
      <c r="H551" s="95"/>
      <c r="I551" s="95"/>
      <c r="J551" s="95"/>
      <c r="K551" s="95"/>
    </row>
    <row r="552" spans="1:11" ht="15.75" customHeight="1" x14ac:dyDescent="0.25">
      <c r="A552" s="137" t="s">
        <v>1357</v>
      </c>
      <c r="B552" s="138"/>
      <c r="C552" s="138"/>
      <c r="D552" s="138"/>
      <c r="E552" s="138"/>
      <c r="F552" s="332"/>
      <c r="G552" s="95"/>
      <c r="H552" s="95"/>
      <c r="I552" s="95"/>
      <c r="J552" s="95"/>
      <c r="K552" s="95"/>
    </row>
    <row r="553" spans="1:11" ht="19.5" customHeight="1" x14ac:dyDescent="0.25">
      <c r="A553" s="91" t="s">
        <v>221</v>
      </c>
      <c r="B553" s="91" t="s">
        <v>1358</v>
      </c>
      <c r="C553" s="145">
        <v>225</v>
      </c>
      <c r="D553" s="53">
        <v>108</v>
      </c>
      <c r="E553" s="317">
        <v>1981</v>
      </c>
      <c r="F553" s="338">
        <f t="shared" ref="F553:F554" si="145">2019-E553</f>
        <v>38</v>
      </c>
      <c r="G553" s="95"/>
      <c r="H553" s="95"/>
      <c r="I553" s="95"/>
      <c r="J553" s="95"/>
      <c r="K553" s="95"/>
    </row>
    <row r="554" spans="1:11" ht="19.5" customHeight="1" x14ac:dyDescent="0.25">
      <c r="A554" s="91" t="s">
        <v>250</v>
      </c>
      <c r="B554" s="91" t="s">
        <v>1359</v>
      </c>
      <c r="C554" s="53">
        <v>225</v>
      </c>
      <c r="D554" s="53">
        <v>159</v>
      </c>
      <c r="E554" s="317">
        <v>1981</v>
      </c>
      <c r="F554" s="338">
        <f t="shared" si="145"/>
        <v>38</v>
      </c>
      <c r="G554" s="95"/>
      <c r="H554" s="95"/>
      <c r="I554" s="95"/>
      <c r="J554" s="95"/>
      <c r="K554" s="95"/>
    </row>
    <row r="555" spans="1:11" ht="19.5" customHeight="1" x14ac:dyDescent="0.25">
      <c r="A555" s="525" t="s">
        <v>385</v>
      </c>
      <c r="B555" s="525" t="s">
        <v>612</v>
      </c>
      <c r="C555" s="53"/>
      <c r="D555" s="53"/>
      <c r="E555" s="317"/>
      <c r="F555" s="332"/>
      <c r="G555" s="95"/>
      <c r="H555" s="95"/>
      <c r="I555" s="95"/>
      <c r="J555" s="95"/>
      <c r="K555" s="95"/>
    </row>
    <row r="556" spans="1:11" ht="19.5" customHeight="1" x14ac:dyDescent="0.25">
      <c r="A556" s="531"/>
      <c r="B556" s="531"/>
      <c r="C556" s="145">
        <v>16</v>
      </c>
      <c r="D556" s="53">
        <v>159</v>
      </c>
      <c r="E556" s="317">
        <v>1981</v>
      </c>
      <c r="F556" s="338">
        <f t="shared" ref="F556:F557" si="146">2019-E556</f>
        <v>38</v>
      </c>
      <c r="G556" s="95"/>
      <c r="H556" s="95"/>
      <c r="I556" s="95"/>
      <c r="J556" s="95"/>
      <c r="K556" s="95"/>
    </row>
    <row r="557" spans="1:11" ht="19.5" customHeight="1" x14ac:dyDescent="0.25">
      <c r="A557" s="526"/>
      <c r="B557" s="526"/>
      <c r="C557" s="53">
        <v>16</v>
      </c>
      <c r="D557" s="53">
        <v>108</v>
      </c>
      <c r="E557" s="317">
        <v>1981</v>
      </c>
      <c r="F557" s="338">
        <f t="shared" si="146"/>
        <v>38</v>
      </c>
      <c r="G557" s="95"/>
      <c r="H557" s="95"/>
      <c r="I557" s="95"/>
      <c r="J557" s="95"/>
      <c r="K557" s="95"/>
    </row>
    <row r="558" spans="1:11" ht="19.5" customHeight="1" x14ac:dyDescent="0.25">
      <c r="A558" s="525" t="s">
        <v>919</v>
      </c>
      <c r="B558" s="525" t="s">
        <v>1360</v>
      </c>
      <c r="C558" s="53"/>
      <c r="D558" s="53"/>
      <c r="E558" s="317"/>
      <c r="F558" s="332"/>
      <c r="G558" s="95"/>
      <c r="H558" s="95"/>
      <c r="I558" s="95"/>
      <c r="J558" s="95"/>
      <c r="K558" s="95"/>
    </row>
    <row r="559" spans="1:11" ht="19.5" customHeight="1" x14ac:dyDescent="0.25">
      <c r="A559" s="531"/>
      <c r="B559" s="531"/>
      <c r="C559" s="145">
        <v>26</v>
      </c>
      <c r="D559" s="53">
        <v>159</v>
      </c>
      <c r="E559" s="317">
        <v>1981</v>
      </c>
      <c r="F559" s="338">
        <f t="shared" ref="F559:F562" si="147">2019-E559</f>
        <v>38</v>
      </c>
      <c r="G559" s="95"/>
      <c r="H559" s="95"/>
      <c r="I559" s="95"/>
      <c r="J559" s="95"/>
      <c r="K559" s="95"/>
    </row>
    <row r="560" spans="1:11" ht="19.5" customHeight="1" x14ac:dyDescent="0.25">
      <c r="A560" s="526"/>
      <c r="B560" s="526"/>
      <c r="C560" s="53">
        <v>26</v>
      </c>
      <c r="D560" s="53">
        <v>108</v>
      </c>
      <c r="E560" s="317">
        <v>1981</v>
      </c>
      <c r="F560" s="338">
        <f t="shared" si="147"/>
        <v>38</v>
      </c>
      <c r="G560" s="95"/>
      <c r="H560" s="95"/>
      <c r="I560" s="95"/>
      <c r="J560" s="95"/>
      <c r="K560" s="95"/>
    </row>
    <row r="561" spans="1:11" ht="19.5" customHeight="1" x14ac:dyDescent="0.25">
      <c r="A561" s="91" t="s">
        <v>611</v>
      </c>
      <c r="B561" s="91" t="s">
        <v>1361</v>
      </c>
      <c r="C561" s="53">
        <v>30</v>
      </c>
      <c r="D561" s="53">
        <v>108</v>
      </c>
      <c r="E561" s="317">
        <v>1981</v>
      </c>
      <c r="F561" s="338">
        <f t="shared" si="147"/>
        <v>38</v>
      </c>
      <c r="G561" s="95"/>
      <c r="H561" s="95"/>
      <c r="I561" s="95"/>
      <c r="J561" s="95"/>
      <c r="K561" s="95"/>
    </row>
    <row r="562" spans="1:11" ht="19.5" customHeight="1" x14ac:dyDescent="0.25">
      <c r="A562" s="91" t="s">
        <v>472</v>
      </c>
      <c r="B562" s="91" t="s">
        <v>1362</v>
      </c>
      <c r="C562" s="53">
        <v>46</v>
      </c>
      <c r="D562" s="53">
        <v>108</v>
      </c>
      <c r="E562" s="317">
        <v>1981</v>
      </c>
      <c r="F562" s="338">
        <f t="shared" si="147"/>
        <v>38</v>
      </c>
      <c r="G562" s="95"/>
      <c r="H562" s="95"/>
      <c r="I562" s="95"/>
      <c r="J562" s="95"/>
      <c r="K562" s="95"/>
    </row>
    <row r="563" spans="1:11" ht="19.5" customHeight="1" x14ac:dyDescent="0.25">
      <c r="A563" s="525" t="s">
        <v>221</v>
      </c>
      <c r="B563" s="525" t="s">
        <v>1363</v>
      </c>
      <c r="C563" s="53"/>
      <c r="D563" s="53"/>
      <c r="E563" s="317"/>
      <c r="F563" s="332"/>
      <c r="G563" s="95"/>
      <c r="H563" s="95"/>
      <c r="I563" s="95"/>
      <c r="J563" s="95"/>
      <c r="K563" s="95"/>
    </row>
    <row r="564" spans="1:11" ht="19.5" customHeight="1" x14ac:dyDescent="0.25">
      <c r="A564" s="526"/>
      <c r="B564" s="526"/>
      <c r="C564" s="145">
        <v>30</v>
      </c>
      <c r="D564" s="53">
        <v>159</v>
      </c>
      <c r="E564" s="317">
        <v>1981</v>
      </c>
      <c r="F564" s="338">
        <f>2019-E564</f>
        <v>38</v>
      </c>
      <c r="G564" s="95"/>
      <c r="H564" s="95"/>
      <c r="I564" s="95"/>
      <c r="J564" s="95"/>
      <c r="K564" s="95"/>
    </row>
    <row r="565" spans="1:11" ht="19.5" customHeight="1" x14ac:dyDescent="0.25">
      <c r="A565" s="525" t="s">
        <v>472</v>
      </c>
      <c r="B565" s="525" t="s">
        <v>1362</v>
      </c>
      <c r="C565" s="53"/>
      <c r="D565" s="53"/>
      <c r="E565" s="317"/>
      <c r="F565" s="332"/>
      <c r="G565" s="95"/>
      <c r="H565" s="95"/>
      <c r="I565" s="95"/>
      <c r="J565" s="95"/>
      <c r="K565" s="95"/>
    </row>
    <row r="566" spans="1:11" ht="19.5" customHeight="1" x14ac:dyDescent="0.25">
      <c r="A566" s="526"/>
      <c r="B566" s="526"/>
      <c r="C566" s="145">
        <v>46</v>
      </c>
      <c r="D566" s="53">
        <v>159</v>
      </c>
      <c r="E566" s="317">
        <v>1981</v>
      </c>
      <c r="F566" s="338">
        <f>2019-E566</f>
        <v>38</v>
      </c>
      <c r="G566" s="95"/>
      <c r="H566" s="95"/>
      <c r="I566" s="95"/>
      <c r="J566" s="95"/>
      <c r="K566" s="95"/>
    </row>
    <row r="567" spans="1:11" ht="19.5" customHeight="1" x14ac:dyDescent="0.25">
      <c r="A567" s="91" t="s">
        <v>315</v>
      </c>
      <c r="B567" s="91" t="s">
        <v>250</v>
      </c>
      <c r="C567" s="53"/>
      <c r="D567" s="53"/>
      <c r="E567" s="317"/>
      <c r="F567" s="332"/>
      <c r="G567" s="95"/>
      <c r="H567" s="95"/>
      <c r="I567" s="95"/>
      <c r="J567" s="95"/>
      <c r="K567" s="95"/>
    </row>
    <row r="568" spans="1:11" ht="19.5" customHeight="1" x14ac:dyDescent="0.25">
      <c r="A568" s="525" t="s">
        <v>315</v>
      </c>
      <c r="B568" s="525" t="s">
        <v>250</v>
      </c>
      <c r="C568" s="145">
        <v>138</v>
      </c>
      <c r="D568" s="53">
        <v>133</v>
      </c>
      <c r="E568" s="317">
        <v>2006</v>
      </c>
      <c r="F568" s="338">
        <f t="shared" ref="F568:F569" si="148">2019-E568</f>
        <v>13</v>
      </c>
      <c r="G568" s="95"/>
      <c r="H568" s="95"/>
      <c r="I568" s="95"/>
      <c r="J568" s="95"/>
      <c r="K568" s="95"/>
    </row>
    <row r="569" spans="1:11" ht="19.5" customHeight="1" x14ac:dyDescent="0.25">
      <c r="A569" s="526"/>
      <c r="B569" s="526"/>
      <c r="C569" s="53">
        <v>138</v>
      </c>
      <c r="D569" s="53">
        <v>89</v>
      </c>
      <c r="E569" s="317">
        <v>2006</v>
      </c>
      <c r="F569" s="338">
        <f t="shared" si="148"/>
        <v>13</v>
      </c>
      <c r="G569" s="95"/>
      <c r="H569" s="95"/>
      <c r="I569" s="95"/>
      <c r="J569" s="95"/>
      <c r="K569" s="95"/>
    </row>
    <row r="570" spans="1:11" ht="19.5" customHeight="1" x14ac:dyDescent="0.25">
      <c r="A570" s="525" t="s">
        <v>1270</v>
      </c>
      <c r="B570" s="525" t="s">
        <v>345</v>
      </c>
      <c r="C570" s="145">
        <v>64</v>
      </c>
      <c r="D570" s="53">
        <v>108</v>
      </c>
      <c r="E570" s="317">
        <v>1983</v>
      </c>
      <c r="F570" s="338">
        <f t="shared" ref="F570:F572" si="149">2019-E570</f>
        <v>36</v>
      </c>
      <c r="G570" s="95"/>
      <c r="H570" s="95"/>
      <c r="I570" s="95"/>
      <c r="J570" s="95"/>
      <c r="K570" s="95"/>
    </row>
    <row r="571" spans="1:11" ht="19.5" customHeight="1" x14ac:dyDescent="0.25">
      <c r="A571" s="531"/>
      <c r="B571" s="531"/>
      <c r="C571" s="53">
        <v>64</v>
      </c>
      <c r="D571" s="53">
        <v>89</v>
      </c>
      <c r="E571" s="317">
        <v>1983</v>
      </c>
      <c r="F571" s="338">
        <f t="shared" si="149"/>
        <v>36</v>
      </c>
      <c r="G571" s="95"/>
      <c r="H571" s="95"/>
      <c r="I571" s="95"/>
      <c r="J571" s="95"/>
      <c r="K571" s="95"/>
    </row>
    <row r="572" spans="1:11" ht="19.5" customHeight="1" x14ac:dyDescent="0.25">
      <c r="A572" s="91" t="s">
        <v>816</v>
      </c>
      <c r="B572" s="91" t="s">
        <v>1364</v>
      </c>
      <c r="C572" s="145">
        <f>10*2</f>
        <v>20</v>
      </c>
      <c r="D572" s="145">
        <v>57</v>
      </c>
      <c r="E572" s="317">
        <v>1983</v>
      </c>
      <c r="F572" s="338">
        <f t="shared" si="149"/>
        <v>36</v>
      </c>
      <c r="G572" s="95"/>
      <c r="H572" s="95"/>
      <c r="I572" s="95"/>
      <c r="J572" s="95"/>
      <c r="K572" s="95"/>
    </row>
    <row r="573" spans="1:11" ht="19.5" customHeight="1" x14ac:dyDescent="0.25">
      <c r="A573" s="525" t="s">
        <v>472</v>
      </c>
      <c r="B573" s="525" t="s">
        <v>1365</v>
      </c>
      <c r="C573" s="53"/>
      <c r="D573" s="53"/>
      <c r="E573" s="317"/>
      <c r="F573" s="332"/>
      <c r="G573" s="95"/>
      <c r="H573" s="95"/>
      <c r="I573" s="95"/>
      <c r="J573" s="95"/>
      <c r="K573" s="95"/>
    </row>
    <row r="574" spans="1:11" ht="19.5" customHeight="1" x14ac:dyDescent="0.25">
      <c r="A574" s="526"/>
      <c r="B574" s="526"/>
      <c r="C574" s="145">
        <v>24</v>
      </c>
      <c r="D574" s="53">
        <v>89</v>
      </c>
      <c r="E574" s="317">
        <v>1982</v>
      </c>
      <c r="F574" s="338">
        <f t="shared" ref="F574:F575" si="150">2019-E574</f>
        <v>37</v>
      </c>
      <c r="G574" s="95"/>
      <c r="H574" s="95"/>
      <c r="I574" s="95"/>
      <c r="J574" s="95"/>
      <c r="K574" s="95"/>
    </row>
    <row r="575" spans="1:11" ht="19.5" customHeight="1" x14ac:dyDescent="0.25">
      <c r="A575" s="91" t="s">
        <v>472</v>
      </c>
      <c r="B575" s="91" t="s">
        <v>1366</v>
      </c>
      <c r="C575" s="53">
        <v>24</v>
      </c>
      <c r="D575" s="53">
        <v>57</v>
      </c>
      <c r="E575" s="317">
        <v>1982</v>
      </c>
      <c r="F575" s="338">
        <f t="shared" si="150"/>
        <v>37</v>
      </c>
      <c r="G575" s="95"/>
      <c r="H575" s="95"/>
      <c r="I575" s="95"/>
      <c r="J575" s="95"/>
      <c r="K575" s="95"/>
    </row>
    <row r="576" spans="1:11" ht="19.5" customHeight="1" x14ac:dyDescent="0.25">
      <c r="A576" s="525" t="s">
        <v>315</v>
      </c>
      <c r="B576" s="525" t="s">
        <v>1367</v>
      </c>
      <c r="C576" s="53"/>
      <c r="D576" s="53"/>
      <c r="E576" s="317"/>
      <c r="F576" s="332"/>
      <c r="G576" s="95"/>
      <c r="H576" s="95"/>
      <c r="I576" s="95"/>
      <c r="J576" s="95"/>
      <c r="K576" s="95"/>
    </row>
    <row r="577" spans="1:11" ht="19.5" customHeight="1" x14ac:dyDescent="0.25">
      <c r="A577" s="526"/>
      <c r="B577" s="526"/>
      <c r="C577" s="145">
        <v>14</v>
      </c>
      <c r="D577" s="53">
        <v>76</v>
      </c>
      <c r="E577" s="317">
        <v>1981</v>
      </c>
      <c r="F577" s="338">
        <f t="shared" ref="F577:F578" si="151">2019-E577</f>
        <v>38</v>
      </c>
      <c r="G577" s="95"/>
      <c r="H577" s="95"/>
      <c r="I577" s="95"/>
      <c r="J577" s="95"/>
      <c r="K577" s="95"/>
    </row>
    <row r="578" spans="1:11" ht="19.5" customHeight="1" x14ac:dyDescent="0.25">
      <c r="A578" s="91" t="s">
        <v>315</v>
      </c>
      <c r="B578" s="91" t="s">
        <v>1368</v>
      </c>
      <c r="C578" s="53">
        <v>14</v>
      </c>
      <c r="D578" s="53">
        <v>57</v>
      </c>
      <c r="E578" s="317">
        <v>1981</v>
      </c>
      <c r="F578" s="338">
        <f t="shared" si="151"/>
        <v>38</v>
      </c>
      <c r="G578" s="95"/>
      <c r="H578" s="95"/>
      <c r="I578" s="95"/>
      <c r="J578" s="95"/>
      <c r="K578" s="95"/>
    </row>
    <row r="579" spans="1:11" ht="19.5" customHeight="1" x14ac:dyDescent="0.25">
      <c r="A579" s="525" t="s">
        <v>472</v>
      </c>
      <c r="B579" s="525" t="s">
        <v>1370</v>
      </c>
      <c r="C579" s="145">
        <v>67</v>
      </c>
      <c r="D579" s="53">
        <v>108</v>
      </c>
      <c r="E579" s="317">
        <v>2012</v>
      </c>
      <c r="F579" s="338">
        <f t="shared" ref="F579:F580" si="152">2019-E579</f>
        <v>7</v>
      </c>
      <c r="G579" s="95"/>
      <c r="H579" s="95"/>
      <c r="I579" s="95"/>
      <c r="J579" s="95"/>
      <c r="K579" s="95"/>
    </row>
    <row r="580" spans="1:11" ht="19.5" customHeight="1" x14ac:dyDescent="0.25">
      <c r="A580" s="526"/>
      <c r="B580" s="526"/>
      <c r="C580" s="151">
        <v>67</v>
      </c>
      <c r="D580" s="53">
        <v>89</v>
      </c>
      <c r="E580" s="317">
        <v>2012</v>
      </c>
      <c r="F580" s="338">
        <f t="shared" si="152"/>
        <v>7</v>
      </c>
      <c r="G580" s="95"/>
      <c r="H580" s="95"/>
      <c r="I580" s="95"/>
      <c r="J580" s="95"/>
      <c r="K580" s="95"/>
    </row>
    <row r="581" spans="1:11" ht="19.5" customHeight="1" x14ac:dyDescent="0.25">
      <c r="A581" s="91" t="s">
        <v>1372</v>
      </c>
      <c r="B581" s="91" t="s">
        <v>1371</v>
      </c>
      <c r="C581" s="145">
        <v>37</v>
      </c>
      <c r="D581" s="53">
        <v>89</v>
      </c>
      <c r="E581" s="317">
        <v>1982</v>
      </c>
      <c r="F581" s="338">
        <f t="shared" ref="F581:F582" si="153">2019-E581</f>
        <v>37</v>
      </c>
      <c r="G581" s="95"/>
      <c r="H581" s="95"/>
      <c r="I581" s="95"/>
      <c r="J581" s="95"/>
      <c r="K581" s="95"/>
    </row>
    <row r="582" spans="1:11" ht="19.5" customHeight="1" x14ac:dyDescent="0.25">
      <c r="A582" s="91" t="s">
        <v>1266</v>
      </c>
      <c r="B582" s="91" t="s">
        <v>1373</v>
      </c>
      <c r="C582" s="53">
        <v>37</v>
      </c>
      <c r="D582" s="53">
        <v>57</v>
      </c>
      <c r="E582" s="317">
        <v>1982</v>
      </c>
      <c r="F582" s="338">
        <f t="shared" si="153"/>
        <v>37</v>
      </c>
      <c r="G582" s="95"/>
      <c r="H582" s="95"/>
      <c r="I582" s="95"/>
      <c r="J582" s="95"/>
      <c r="K582" s="95"/>
    </row>
    <row r="583" spans="1:11" ht="19.5" customHeight="1" x14ac:dyDescent="0.25">
      <c r="A583" s="91" t="s">
        <v>1375</v>
      </c>
      <c r="B583" s="91" t="s">
        <v>1182</v>
      </c>
      <c r="C583" s="145">
        <v>114</v>
      </c>
      <c r="D583" s="53">
        <v>159</v>
      </c>
      <c r="E583" s="317">
        <v>1981</v>
      </c>
      <c r="F583" s="338">
        <f t="shared" ref="F583:F586" si="154">2019-E583</f>
        <v>38</v>
      </c>
      <c r="G583" s="95"/>
      <c r="H583" s="95"/>
      <c r="I583" s="95"/>
      <c r="J583" s="95"/>
      <c r="K583" s="95"/>
    </row>
    <row r="584" spans="1:11" ht="19.5" customHeight="1" x14ac:dyDescent="0.25">
      <c r="A584" s="91" t="s">
        <v>1266</v>
      </c>
      <c r="B584" s="91" t="s">
        <v>1376</v>
      </c>
      <c r="C584" s="145">
        <v>40</v>
      </c>
      <c r="D584" s="53">
        <v>133</v>
      </c>
      <c r="E584" s="317">
        <v>1981</v>
      </c>
      <c r="F584" s="338">
        <f t="shared" si="154"/>
        <v>38</v>
      </c>
      <c r="G584" s="95"/>
      <c r="H584" s="95"/>
      <c r="I584" s="95"/>
      <c r="J584" s="95"/>
      <c r="K584" s="95"/>
    </row>
    <row r="585" spans="1:11" ht="19.5" customHeight="1" x14ac:dyDescent="0.25">
      <c r="A585" s="91" t="s">
        <v>1374</v>
      </c>
      <c r="B585" s="91" t="s">
        <v>1377</v>
      </c>
      <c r="C585" s="53">
        <v>114</v>
      </c>
      <c r="D585" s="53">
        <v>89</v>
      </c>
      <c r="E585" s="317">
        <v>1981</v>
      </c>
      <c r="F585" s="338">
        <f t="shared" si="154"/>
        <v>38</v>
      </c>
      <c r="G585" s="95"/>
      <c r="H585" s="95"/>
      <c r="I585" s="95"/>
      <c r="J585" s="95"/>
      <c r="K585" s="95"/>
    </row>
    <row r="586" spans="1:11" ht="19.5" customHeight="1" x14ac:dyDescent="0.25">
      <c r="A586" s="91" t="s">
        <v>1378</v>
      </c>
      <c r="B586" s="91" t="s">
        <v>1374</v>
      </c>
      <c r="C586" s="53">
        <v>40</v>
      </c>
      <c r="D586" s="53">
        <v>89</v>
      </c>
      <c r="E586" s="317">
        <v>1981</v>
      </c>
      <c r="F586" s="338">
        <f t="shared" si="154"/>
        <v>38</v>
      </c>
      <c r="G586" s="95"/>
      <c r="H586" s="95"/>
      <c r="I586" s="95"/>
      <c r="J586" s="95"/>
      <c r="K586" s="95"/>
    </row>
    <row r="587" spans="1:11" ht="19.5" customHeight="1" x14ac:dyDescent="0.25">
      <c r="A587" s="525" t="s">
        <v>748</v>
      </c>
      <c r="B587" s="525" t="s">
        <v>1379</v>
      </c>
      <c r="C587" s="145">
        <v>9</v>
      </c>
      <c r="D587" s="53">
        <v>89</v>
      </c>
      <c r="E587" s="317">
        <v>1982</v>
      </c>
      <c r="F587" s="338">
        <f t="shared" ref="F587:F588" si="155">2019-E587</f>
        <v>37</v>
      </c>
      <c r="G587" s="95"/>
      <c r="H587" s="95"/>
      <c r="I587" s="95"/>
      <c r="J587" s="95"/>
      <c r="K587" s="95"/>
    </row>
    <row r="588" spans="1:11" ht="19.5" customHeight="1" x14ac:dyDescent="0.25">
      <c r="A588" s="526"/>
      <c r="B588" s="526"/>
      <c r="C588" s="53">
        <v>9</v>
      </c>
      <c r="D588" s="53">
        <v>57</v>
      </c>
      <c r="E588" s="317">
        <v>1982</v>
      </c>
      <c r="F588" s="338">
        <f t="shared" si="155"/>
        <v>37</v>
      </c>
      <c r="G588" s="95"/>
      <c r="H588" s="95"/>
      <c r="I588" s="95"/>
      <c r="J588" s="95"/>
      <c r="K588" s="95"/>
    </row>
    <row r="589" spans="1:11" ht="19.5" customHeight="1" x14ac:dyDescent="0.25">
      <c r="A589" s="91" t="s">
        <v>1380</v>
      </c>
      <c r="B589" s="91" t="s">
        <v>1244</v>
      </c>
      <c r="C589" s="53">
        <v>34</v>
      </c>
      <c r="D589" s="53">
        <v>89</v>
      </c>
      <c r="E589" s="317">
        <v>1981</v>
      </c>
      <c r="F589" s="338">
        <f t="shared" ref="F589:F590" si="156">2019-E589</f>
        <v>38</v>
      </c>
      <c r="G589" s="95"/>
      <c r="H589" s="95"/>
      <c r="I589" s="95"/>
      <c r="J589" s="95"/>
      <c r="K589" s="95"/>
    </row>
    <row r="590" spans="1:11" ht="19.5" customHeight="1" x14ac:dyDescent="0.25">
      <c r="A590" s="91" t="s">
        <v>1380</v>
      </c>
      <c r="B590" s="91" t="s">
        <v>1381</v>
      </c>
      <c r="C590" s="145">
        <v>34</v>
      </c>
      <c r="D590" s="53">
        <v>133</v>
      </c>
      <c r="E590" s="317">
        <v>1981</v>
      </c>
      <c r="F590" s="338">
        <f t="shared" si="156"/>
        <v>38</v>
      </c>
      <c r="G590" s="95"/>
      <c r="H590" s="95"/>
      <c r="I590" s="95"/>
      <c r="J590" s="95"/>
      <c r="K590" s="95"/>
    </row>
    <row r="591" spans="1:11" ht="19.5" customHeight="1" x14ac:dyDescent="0.25">
      <c r="A591" s="525" t="s">
        <v>256</v>
      </c>
      <c r="B591" s="525" t="s">
        <v>391</v>
      </c>
      <c r="C591" s="145">
        <v>5</v>
      </c>
      <c r="D591" s="53">
        <v>219</v>
      </c>
      <c r="E591" s="317">
        <v>1981</v>
      </c>
      <c r="F591" s="338">
        <f t="shared" ref="F591:F594" si="157">2019-E591</f>
        <v>38</v>
      </c>
      <c r="G591" s="95"/>
      <c r="H591" s="95"/>
      <c r="I591" s="95"/>
      <c r="J591" s="95"/>
      <c r="K591" s="95"/>
    </row>
    <row r="592" spans="1:11" ht="19.5" customHeight="1" x14ac:dyDescent="0.25">
      <c r="A592" s="526"/>
      <c r="B592" s="526"/>
      <c r="C592" s="53">
        <v>5</v>
      </c>
      <c r="D592" s="53">
        <v>159</v>
      </c>
      <c r="E592" s="317">
        <v>1981</v>
      </c>
      <c r="F592" s="338">
        <f t="shared" si="157"/>
        <v>38</v>
      </c>
      <c r="G592" s="95"/>
      <c r="H592" s="95"/>
      <c r="I592" s="95"/>
      <c r="J592" s="95"/>
      <c r="K592" s="95"/>
    </row>
    <row r="593" spans="1:11" ht="19.5" customHeight="1" x14ac:dyDescent="0.25">
      <c r="A593" s="525" t="s">
        <v>385</v>
      </c>
      <c r="B593" s="525" t="s">
        <v>1382</v>
      </c>
      <c r="C593" s="145">
        <v>72</v>
      </c>
      <c r="D593" s="53">
        <v>159</v>
      </c>
      <c r="E593" s="317">
        <v>1981</v>
      </c>
      <c r="F593" s="338">
        <f t="shared" si="157"/>
        <v>38</v>
      </c>
      <c r="G593" s="95"/>
      <c r="H593" s="95"/>
      <c r="I593" s="95"/>
      <c r="J593" s="95"/>
      <c r="K593" s="95"/>
    </row>
    <row r="594" spans="1:11" ht="19.5" customHeight="1" x14ac:dyDescent="0.25">
      <c r="A594" s="526"/>
      <c r="B594" s="526"/>
      <c r="C594" s="53">
        <v>72</v>
      </c>
      <c r="D594" s="53">
        <v>108</v>
      </c>
      <c r="E594" s="317">
        <v>1981</v>
      </c>
      <c r="F594" s="338">
        <f t="shared" si="157"/>
        <v>38</v>
      </c>
      <c r="G594" s="95"/>
      <c r="H594" s="95"/>
      <c r="I594" s="95"/>
      <c r="J594" s="95"/>
      <c r="K594" s="95"/>
    </row>
    <row r="595" spans="1:11" ht="19.5" customHeight="1" x14ac:dyDescent="0.25">
      <c r="A595" s="525" t="s">
        <v>1251</v>
      </c>
      <c r="B595" s="525" t="s">
        <v>1383</v>
      </c>
      <c r="C595" s="145">
        <v>12</v>
      </c>
      <c r="D595" s="53">
        <v>57</v>
      </c>
      <c r="E595" s="317">
        <v>1981</v>
      </c>
      <c r="F595" s="338">
        <f t="shared" ref="F595:F596" si="158">2019-E595</f>
        <v>38</v>
      </c>
      <c r="G595" s="95"/>
      <c r="H595" s="95"/>
      <c r="I595" s="95"/>
      <c r="J595" s="95"/>
      <c r="K595" s="95"/>
    </row>
    <row r="596" spans="1:11" ht="19.5" customHeight="1" x14ac:dyDescent="0.25">
      <c r="A596" s="526"/>
      <c r="B596" s="526"/>
      <c r="C596" s="53">
        <v>12</v>
      </c>
      <c r="D596" s="53">
        <v>40</v>
      </c>
      <c r="E596" s="317">
        <v>1981</v>
      </c>
      <c r="F596" s="338">
        <f t="shared" si="158"/>
        <v>38</v>
      </c>
      <c r="G596" s="95"/>
      <c r="H596" s="95"/>
      <c r="I596" s="95"/>
      <c r="J596" s="95"/>
      <c r="K596" s="95"/>
    </row>
    <row r="597" spans="1:11" ht="19.5" customHeight="1" x14ac:dyDescent="0.25">
      <c r="A597" s="91" t="s">
        <v>1245</v>
      </c>
      <c r="B597" s="91" t="s">
        <v>1384</v>
      </c>
      <c r="C597" s="145">
        <v>47</v>
      </c>
      <c r="D597" s="53">
        <v>89</v>
      </c>
      <c r="E597" s="317">
        <v>1982</v>
      </c>
      <c r="F597" s="338">
        <f t="shared" ref="F597:F598" si="159">2019-E597</f>
        <v>37</v>
      </c>
      <c r="G597" s="95"/>
      <c r="H597" s="95"/>
      <c r="I597" s="95"/>
      <c r="J597" s="95"/>
      <c r="K597" s="95"/>
    </row>
    <row r="598" spans="1:11" ht="19.5" customHeight="1" x14ac:dyDescent="0.25">
      <c r="A598" s="91" t="s">
        <v>1251</v>
      </c>
      <c r="B598" s="91" t="s">
        <v>640</v>
      </c>
      <c r="C598" s="53">
        <v>47</v>
      </c>
      <c r="D598" s="53">
        <v>57</v>
      </c>
      <c r="E598" s="317">
        <v>1982</v>
      </c>
      <c r="F598" s="338">
        <f t="shared" si="159"/>
        <v>37</v>
      </c>
      <c r="G598" s="95"/>
      <c r="H598" s="95"/>
      <c r="I598" s="95"/>
      <c r="J598" s="95"/>
      <c r="K598" s="95"/>
    </row>
    <row r="599" spans="1:11" ht="19.5" customHeight="1" x14ac:dyDescent="0.25">
      <c r="A599" s="91" t="s">
        <v>1243</v>
      </c>
      <c r="B599" s="91" t="s">
        <v>1385</v>
      </c>
      <c r="C599" s="145">
        <v>35</v>
      </c>
      <c r="D599" s="53">
        <v>89</v>
      </c>
      <c r="E599" s="317">
        <v>1981</v>
      </c>
      <c r="F599" s="338">
        <f t="shared" ref="F599:F600" si="160">2019-E599</f>
        <v>38</v>
      </c>
      <c r="G599" s="95"/>
      <c r="H599" s="95"/>
      <c r="I599" s="95"/>
      <c r="J599" s="95"/>
      <c r="K599" s="95"/>
    </row>
    <row r="600" spans="1:11" ht="19.5" customHeight="1" x14ac:dyDescent="0.25">
      <c r="A600" s="91" t="s">
        <v>723</v>
      </c>
      <c r="B600" s="91" t="s">
        <v>1386</v>
      </c>
      <c r="C600" s="53">
        <v>35</v>
      </c>
      <c r="D600" s="53">
        <v>57</v>
      </c>
      <c r="E600" s="317">
        <v>1981</v>
      </c>
      <c r="F600" s="338">
        <f t="shared" si="160"/>
        <v>38</v>
      </c>
      <c r="G600" s="95"/>
      <c r="H600" s="95"/>
      <c r="I600" s="95"/>
      <c r="J600" s="95"/>
      <c r="K600" s="95"/>
    </row>
    <row r="601" spans="1:11" ht="19.5" customHeight="1" x14ac:dyDescent="0.25">
      <c r="A601" s="525" t="s">
        <v>1374</v>
      </c>
      <c r="B601" s="525" t="s">
        <v>921</v>
      </c>
      <c r="C601" s="53"/>
      <c r="D601" s="53"/>
      <c r="E601" s="317"/>
      <c r="F601" s="332"/>
      <c r="G601" s="95"/>
      <c r="H601" s="95"/>
      <c r="I601" s="95"/>
      <c r="J601" s="95"/>
      <c r="K601" s="95"/>
    </row>
    <row r="602" spans="1:11" ht="19.5" customHeight="1" x14ac:dyDescent="0.25">
      <c r="A602" s="526"/>
      <c r="B602" s="526"/>
      <c r="C602" s="145">
        <f>160*2</f>
        <v>320</v>
      </c>
      <c r="D602" s="145">
        <v>89</v>
      </c>
      <c r="E602" s="317">
        <v>1981</v>
      </c>
      <c r="F602" s="338">
        <f>2019-E602</f>
        <v>38</v>
      </c>
      <c r="G602" s="95"/>
      <c r="H602" s="95"/>
      <c r="I602" s="95"/>
      <c r="J602" s="95"/>
      <c r="K602" s="95"/>
    </row>
    <row r="603" spans="1:11" ht="19.5" customHeight="1" x14ac:dyDescent="0.25">
      <c r="A603" s="525" t="s">
        <v>1387</v>
      </c>
      <c r="B603" s="525" t="s">
        <v>1388</v>
      </c>
      <c r="C603" s="53"/>
      <c r="D603" s="53"/>
      <c r="E603" s="317"/>
      <c r="F603" s="332"/>
      <c r="G603" s="95"/>
      <c r="H603" s="95"/>
      <c r="I603" s="95"/>
      <c r="J603" s="95"/>
      <c r="K603" s="95"/>
    </row>
    <row r="604" spans="1:11" ht="19.5" customHeight="1" x14ac:dyDescent="0.25">
      <c r="A604" s="526"/>
      <c r="B604" s="526"/>
      <c r="C604" s="145">
        <v>10</v>
      </c>
      <c r="D604" s="53">
        <v>57</v>
      </c>
      <c r="E604" s="317">
        <v>1981</v>
      </c>
      <c r="F604" s="338">
        <f t="shared" ref="F604:F605" si="161">2019-E604</f>
        <v>38</v>
      </c>
      <c r="G604" s="95"/>
      <c r="H604" s="95"/>
      <c r="I604" s="95"/>
      <c r="J604" s="95"/>
      <c r="K604" s="95"/>
    </row>
    <row r="605" spans="1:11" ht="19.5" customHeight="1" x14ac:dyDescent="0.25">
      <c r="A605" s="91" t="s">
        <v>1389</v>
      </c>
      <c r="B605" s="91" t="s">
        <v>1390</v>
      </c>
      <c r="C605" s="145">
        <v>60</v>
      </c>
      <c r="D605" s="53">
        <v>57</v>
      </c>
      <c r="E605" s="317">
        <v>1981</v>
      </c>
      <c r="F605" s="338">
        <f t="shared" si="161"/>
        <v>38</v>
      </c>
      <c r="G605" s="95"/>
      <c r="H605" s="95"/>
      <c r="I605" s="95"/>
      <c r="J605" s="95"/>
      <c r="K605" s="95"/>
    </row>
    <row r="606" spans="1:11" ht="19.5" customHeight="1" x14ac:dyDescent="0.25">
      <c r="A606" s="525" t="s">
        <v>1391</v>
      </c>
      <c r="B606" s="525" t="s">
        <v>1392</v>
      </c>
      <c r="C606" s="52"/>
      <c r="D606" s="52"/>
      <c r="E606" s="317"/>
      <c r="F606" s="332"/>
      <c r="G606" s="95"/>
      <c r="H606" s="95"/>
      <c r="I606" s="95"/>
      <c r="J606" s="95"/>
      <c r="K606" s="95"/>
    </row>
    <row r="607" spans="1:11" ht="19.5" customHeight="1" x14ac:dyDescent="0.25">
      <c r="A607" s="526"/>
      <c r="B607" s="526"/>
      <c r="C607" s="143">
        <v>30</v>
      </c>
      <c r="D607" s="52">
        <v>57</v>
      </c>
      <c r="E607" s="317">
        <v>1981</v>
      </c>
      <c r="F607" s="338">
        <f t="shared" ref="F607:F608" si="162">2019-E607</f>
        <v>38</v>
      </c>
      <c r="G607" s="95"/>
      <c r="H607" s="95"/>
      <c r="I607" s="95"/>
      <c r="J607" s="95"/>
      <c r="K607" s="95"/>
    </row>
    <row r="608" spans="1:11" ht="19.5" customHeight="1" x14ac:dyDescent="0.25">
      <c r="A608" s="91" t="s">
        <v>1393</v>
      </c>
      <c r="B608" s="91" t="s">
        <v>1394</v>
      </c>
      <c r="C608" s="143">
        <v>50</v>
      </c>
      <c r="D608" s="52">
        <v>40</v>
      </c>
      <c r="E608" s="317">
        <v>1981</v>
      </c>
      <c r="F608" s="338">
        <f t="shared" si="162"/>
        <v>38</v>
      </c>
      <c r="G608" s="95"/>
      <c r="H608" s="95"/>
      <c r="I608" s="95"/>
      <c r="J608" s="95"/>
      <c r="K608" s="95"/>
    </row>
    <row r="609" spans="1:11" ht="19.5" customHeight="1" x14ac:dyDescent="0.25">
      <c r="A609" s="525" t="s">
        <v>926</v>
      </c>
      <c r="B609" s="525" t="s">
        <v>1395</v>
      </c>
      <c r="C609" s="52"/>
      <c r="D609" s="52"/>
      <c r="E609" s="317"/>
      <c r="F609" s="332"/>
      <c r="G609" s="95"/>
      <c r="H609" s="95"/>
      <c r="I609" s="95"/>
      <c r="J609" s="95"/>
      <c r="K609" s="95"/>
    </row>
    <row r="610" spans="1:11" ht="19.5" customHeight="1" x14ac:dyDescent="0.25">
      <c r="A610" s="526"/>
      <c r="B610" s="526"/>
      <c r="C610" s="143">
        <f>40*2</f>
        <v>80</v>
      </c>
      <c r="D610" s="143">
        <v>40</v>
      </c>
      <c r="E610" s="317">
        <v>1981</v>
      </c>
      <c r="F610" s="338">
        <f>2019-E610</f>
        <v>38</v>
      </c>
      <c r="G610" s="95"/>
      <c r="H610" s="95"/>
      <c r="I610" s="95"/>
      <c r="J610" s="95"/>
      <c r="K610" s="95"/>
    </row>
    <row r="611" spans="1:11" ht="19.5" customHeight="1" x14ac:dyDescent="0.25">
      <c r="A611" s="525" t="s">
        <v>926</v>
      </c>
      <c r="B611" s="525" t="s">
        <v>1396</v>
      </c>
      <c r="C611" s="52"/>
      <c r="D611" s="52"/>
      <c r="E611" s="317"/>
      <c r="F611" s="332"/>
      <c r="G611" s="95"/>
      <c r="H611" s="95"/>
      <c r="I611" s="95"/>
      <c r="J611" s="95"/>
      <c r="K611" s="95"/>
    </row>
    <row r="612" spans="1:11" ht="19.5" customHeight="1" x14ac:dyDescent="0.25">
      <c r="A612" s="526"/>
      <c r="B612" s="526"/>
      <c r="C612" s="143">
        <f>22*2</f>
        <v>44</v>
      </c>
      <c r="D612" s="143">
        <v>89</v>
      </c>
      <c r="E612" s="317">
        <v>1981</v>
      </c>
      <c r="F612" s="338">
        <f>2019-E612</f>
        <v>38</v>
      </c>
      <c r="G612" s="95"/>
      <c r="H612" s="95"/>
      <c r="I612" s="95"/>
      <c r="J612" s="95"/>
      <c r="K612" s="95"/>
    </row>
    <row r="613" spans="1:11" ht="19.5" customHeight="1" x14ac:dyDescent="0.25">
      <c r="A613" s="91" t="s">
        <v>834</v>
      </c>
      <c r="B613" s="91" t="s">
        <v>1397</v>
      </c>
      <c r="C613" s="52"/>
      <c r="D613" s="52"/>
      <c r="E613" s="317"/>
      <c r="F613" s="332"/>
      <c r="G613" s="95"/>
      <c r="H613" s="95"/>
      <c r="I613" s="95"/>
      <c r="J613" s="95"/>
      <c r="K613" s="95"/>
    </row>
    <row r="614" spans="1:11" ht="19.5" customHeight="1" x14ac:dyDescent="0.25">
      <c r="A614" s="525" t="s">
        <v>1036</v>
      </c>
      <c r="B614" s="525" t="s">
        <v>1398</v>
      </c>
      <c r="C614" s="143">
        <v>32</v>
      </c>
      <c r="D614" s="52">
        <v>108</v>
      </c>
      <c r="E614" s="317">
        <v>1981</v>
      </c>
      <c r="F614" s="338">
        <f t="shared" ref="F614:F615" si="163">2019-E614</f>
        <v>38</v>
      </c>
      <c r="G614" s="95"/>
      <c r="H614" s="95"/>
      <c r="I614" s="95"/>
      <c r="J614" s="95"/>
      <c r="K614" s="95"/>
    </row>
    <row r="615" spans="1:11" ht="19.5" customHeight="1" x14ac:dyDescent="0.25">
      <c r="A615" s="526"/>
      <c r="B615" s="526"/>
      <c r="C615" s="52">
        <v>32</v>
      </c>
      <c r="D615" s="52">
        <v>57</v>
      </c>
      <c r="E615" s="317">
        <v>1981</v>
      </c>
      <c r="F615" s="338">
        <f t="shared" si="163"/>
        <v>38</v>
      </c>
      <c r="G615" s="95"/>
      <c r="H615" s="95"/>
      <c r="I615" s="95"/>
      <c r="J615" s="95"/>
      <c r="K615" s="95"/>
    </row>
    <row r="616" spans="1:11" ht="19.5" customHeight="1" x14ac:dyDescent="0.25">
      <c r="A616" s="525" t="s">
        <v>472</v>
      </c>
      <c r="B616" s="525" t="s">
        <v>623</v>
      </c>
      <c r="C616" s="52"/>
      <c r="D616" s="52"/>
      <c r="E616" s="317"/>
      <c r="F616" s="332"/>
      <c r="G616" s="95"/>
      <c r="H616" s="95"/>
      <c r="I616" s="95"/>
      <c r="J616" s="95"/>
      <c r="K616" s="95"/>
    </row>
    <row r="617" spans="1:11" ht="19.5" customHeight="1" x14ac:dyDescent="0.25">
      <c r="A617" s="526"/>
      <c r="B617" s="526"/>
      <c r="C617" s="143">
        <v>29</v>
      </c>
      <c r="D617" s="52">
        <v>108</v>
      </c>
      <c r="E617" s="317">
        <v>1981</v>
      </c>
      <c r="F617" s="338">
        <f t="shared" ref="F617:F618" si="164">2019-E617</f>
        <v>38</v>
      </c>
      <c r="G617" s="95"/>
      <c r="H617" s="95"/>
      <c r="I617" s="95"/>
      <c r="J617" s="95"/>
      <c r="K617" s="95"/>
    </row>
    <row r="618" spans="1:11" ht="19.5" customHeight="1" x14ac:dyDescent="0.25">
      <c r="A618" s="91" t="s">
        <v>472</v>
      </c>
      <c r="B618" s="91" t="s">
        <v>195</v>
      </c>
      <c r="C618" s="52">
        <v>29</v>
      </c>
      <c r="D618" s="52">
        <v>89</v>
      </c>
      <c r="E618" s="317">
        <v>1981</v>
      </c>
      <c r="F618" s="338">
        <f t="shared" si="164"/>
        <v>38</v>
      </c>
      <c r="G618" s="95"/>
      <c r="H618" s="95"/>
      <c r="I618" s="95"/>
      <c r="J618" s="95"/>
      <c r="K618" s="95"/>
    </row>
    <row r="619" spans="1:11" ht="19.5" customHeight="1" x14ac:dyDescent="0.25">
      <c r="A619" s="525" t="s">
        <v>1399</v>
      </c>
      <c r="B619" s="525" t="s">
        <v>1400</v>
      </c>
      <c r="C619" s="52"/>
      <c r="D619" s="52"/>
      <c r="E619" s="317"/>
      <c r="F619" s="332"/>
      <c r="G619" s="95"/>
      <c r="H619" s="95"/>
      <c r="I619" s="95"/>
      <c r="J619" s="95"/>
      <c r="K619" s="95"/>
    </row>
    <row r="620" spans="1:11" ht="19.5" customHeight="1" x14ac:dyDescent="0.25">
      <c r="A620" s="531"/>
      <c r="B620" s="531"/>
      <c r="C620" s="143">
        <v>5</v>
      </c>
      <c r="D620" s="52">
        <v>89</v>
      </c>
      <c r="E620" s="317">
        <v>1983</v>
      </c>
      <c r="F620" s="338">
        <f t="shared" ref="F620:F621" si="165">2019-E620</f>
        <v>36</v>
      </c>
      <c r="G620" s="95"/>
      <c r="H620" s="95"/>
      <c r="I620" s="95"/>
      <c r="J620" s="95"/>
      <c r="K620" s="95"/>
    </row>
    <row r="621" spans="1:11" ht="19.5" customHeight="1" x14ac:dyDescent="0.25">
      <c r="A621" s="526"/>
      <c r="B621" s="526"/>
      <c r="C621" s="52">
        <v>5</v>
      </c>
      <c r="D621" s="52">
        <v>57</v>
      </c>
      <c r="E621" s="317">
        <v>1983</v>
      </c>
      <c r="F621" s="338">
        <f t="shared" si="165"/>
        <v>36</v>
      </c>
      <c r="G621" s="95"/>
      <c r="H621" s="95"/>
      <c r="I621" s="95"/>
      <c r="J621" s="95"/>
      <c r="K621" s="95"/>
    </row>
    <row r="622" spans="1:11" ht="15.75" x14ac:dyDescent="0.25">
      <c r="A622" s="53"/>
      <c r="B622" s="52"/>
      <c r="C622" s="144">
        <f>SUM(C553:C621)</f>
        <v>2856</v>
      </c>
      <c r="D622" s="141"/>
      <c r="E622" s="334"/>
      <c r="F622" s="332"/>
      <c r="G622" s="95"/>
      <c r="H622" s="95"/>
      <c r="I622" s="95"/>
      <c r="J622" s="95"/>
      <c r="K622" s="95"/>
    </row>
    <row r="623" spans="1:11" ht="15.75" customHeight="1" x14ac:dyDescent="0.25">
      <c r="A623" s="137" t="s">
        <v>1401</v>
      </c>
      <c r="B623" s="138"/>
      <c r="C623" s="138"/>
      <c r="D623" s="138"/>
      <c r="E623" s="138"/>
      <c r="F623" s="332"/>
      <c r="G623" s="95"/>
      <c r="H623" s="95"/>
      <c r="I623" s="95"/>
      <c r="J623" s="95"/>
      <c r="K623" s="95"/>
    </row>
    <row r="624" spans="1:11" ht="18.75" customHeight="1" x14ac:dyDescent="0.25">
      <c r="A624" s="91" t="s">
        <v>612</v>
      </c>
      <c r="B624" s="91" t="s">
        <v>1208</v>
      </c>
      <c r="C624" s="53"/>
      <c r="D624" s="53"/>
      <c r="E624" s="317"/>
      <c r="F624" s="332"/>
      <c r="G624" s="95"/>
      <c r="H624" s="95"/>
      <c r="I624" s="95"/>
      <c r="J624" s="95"/>
      <c r="K624" s="95"/>
    </row>
    <row r="625" spans="1:11" ht="18.75" customHeight="1" x14ac:dyDescent="0.25">
      <c r="A625" s="91" t="s">
        <v>919</v>
      </c>
      <c r="B625" s="91" t="s">
        <v>221</v>
      </c>
      <c r="C625" s="145">
        <v>95</v>
      </c>
      <c r="D625" s="53">
        <v>108</v>
      </c>
      <c r="E625" s="317">
        <v>1989</v>
      </c>
      <c r="F625" s="338">
        <f t="shared" ref="F625:F626" si="166">2019-E625</f>
        <v>30</v>
      </c>
      <c r="G625" s="95"/>
      <c r="H625" s="95"/>
      <c r="I625" s="95"/>
      <c r="J625" s="95"/>
      <c r="K625" s="95"/>
    </row>
    <row r="626" spans="1:11" ht="18.75" customHeight="1" x14ac:dyDescent="0.25">
      <c r="A626" s="91" t="s">
        <v>612</v>
      </c>
      <c r="B626" s="91" t="s">
        <v>221</v>
      </c>
      <c r="C626" s="53">
        <v>95</v>
      </c>
      <c r="D626" s="53">
        <v>133</v>
      </c>
      <c r="E626" s="317">
        <v>1989</v>
      </c>
      <c r="F626" s="338">
        <f t="shared" si="166"/>
        <v>30</v>
      </c>
      <c r="G626" s="95"/>
      <c r="H626" s="95"/>
      <c r="I626" s="95"/>
      <c r="J626" s="95"/>
      <c r="K626" s="95"/>
    </row>
    <row r="627" spans="1:11" ht="18.75" customHeight="1" x14ac:dyDescent="0.25">
      <c r="A627" s="91" t="s">
        <v>1089</v>
      </c>
      <c r="B627" s="91" t="s">
        <v>511</v>
      </c>
      <c r="C627" s="53">
        <v>51</v>
      </c>
      <c r="D627" s="53">
        <v>89</v>
      </c>
      <c r="E627" s="317">
        <v>1989</v>
      </c>
      <c r="F627" s="338">
        <f t="shared" ref="F627:F628" si="167">2019-E627</f>
        <v>30</v>
      </c>
      <c r="G627" s="95"/>
      <c r="H627" s="95"/>
      <c r="I627" s="95"/>
      <c r="J627" s="95"/>
      <c r="K627" s="95"/>
    </row>
    <row r="628" spans="1:11" ht="18.75" customHeight="1" x14ac:dyDescent="0.25">
      <c r="A628" s="91" t="s">
        <v>564</v>
      </c>
      <c r="B628" s="91" t="s">
        <v>1000</v>
      </c>
      <c r="C628" s="145">
        <v>51</v>
      </c>
      <c r="D628" s="53">
        <v>108</v>
      </c>
      <c r="E628" s="317">
        <v>1989</v>
      </c>
      <c r="F628" s="338">
        <f t="shared" si="167"/>
        <v>30</v>
      </c>
      <c r="G628" s="95"/>
      <c r="H628" s="95"/>
      <c r="I628" s="95"/>
      <c r="J628" s="95"/>
      <c r="K628" s="95"/>
    </row>
    <row r="629" spans="1:11" ht="18.75" customHeight="1" x14ac:dyDescent="0.25">
      <c r="A629" s="525" t="s">
        <v>422</v>
      </c>
      <c r="B629" s="525" t="s">
        <v>564</v>
      </c>
      <c r="C629" s="53"/>
      <c r="D629" s="53"/>
      <c r="E629" s="317"/>
      <c r="F629" s="332"/>
      <c r="G629" s="95"/>
      <c r="H629" s="95"/>
      <c r="I629" s="95"/>
      <c r="J629" s="95"/>
      <c r="K629" s="95"/>
    </row>
    <row r="630" spans="1:11" ht="18.75" customHeight="1" x14ac:dyDescent="0.25">
      <c r="A630" s="526"/>
      <c r="B630" s="526"/>
      <c r="C630" s="145">
        <v>30</v>
      </c>
      <c r="D630" s="53">
        <v>159</v>
      </c>
      <c r="E630" s="317">
        <v>1989</v>
      </c>
      <c r="F630" s="338">
        <f t="shared" ref="F630:F631" si="168">2019-E630</f>
        <v>30</v>
      </c>
      <c r="G630" s="95"/>
      <c r="H630" s="95"/>
      <c r="I630" s="95"/>
      <c r="J630" s="95"/>
      <c r="K630" s="95"/>
    </row>
    <row r="631" spans="1:11" ht="18.75" customHeight="1" x14ac:dyDescent="0.25">
      <c r="A631" s="91" t="s">
        <v>781</v>
      </c>
      <c r="B631" s="91" t="s">
        <v>825</v>
      </c>
      <c r="C631" s="53">
        <v>30</v>
      </c>
      <c r="D631" s="53">
        <v>89</v>
      </c>
      <c r="E631" s="317">
        <v>1989</v>
      </c>
      <c r="F631" s="338">
        <f t="shared" si="168"/>
        <v>30</v>
      </c>
      <c r="G631" s="95"/>
      <c r="H631" s="95"/>
      <c r="I631" s="95"/>
      <c r="J631" s="95"/>
      <c r="K631" s="95"/>
    </row>
    <row r="632" spans="1:11" ht="18.75" customHeight="1" x14ac:dyDescent="0.25">
      <c r="A632" s="91" t="s">
        <v>1339</v>
      </c>
      <c r="B632" s="91" t="s">
        <v>1402</v>
      </c>
      <c r="C632" s="145">
        <v>50</v>
      </c>
      <c r="D632" s="53">
        <v>57</v>
      </c>
      <c r="E632" s="317">
        <v>1991</v>
      </c>
      <c r="F632" s="338">
        <f t="shared" ref="F632:F633" si="169">2019-E632</f>
        <v>28</v>
      </c>
      <c r="G632" s="95"/>
      <c r="H632" s="95"/>
      <c r="I632" s="95"/>
      <c r="J632" s="95"/>
      <c r="K632" s="95"/>
    </row>
    <row r="633" spans="1:11" ht="18.75" customHeight="1" x14ac:dyDescent="0.25">
      <c r="A633" s="91" t="s">
        <v>1273</v>
      </c>
      <c r="B633" s="91" t="s">
        <v>1402</v>
      </c>
      <c r="C633" s="53">
        <v>50</v>
      </c>
      <c r="D633" s="53">
        <v>57</v>
      </c>
      <c r="E633" s="317">
        <v>1991</v>
      </c>
      <c r="F633" s="338">
        <f t="shared" si="169"/>
        <v>28</v>
      </c>
      <c r="G633" s="95"/>
      <c r="H633" s="95"/>
      <c r="I633" s="95"/>
      <c r="J633" s="95"/>
      <c r="K633" s="95"/>
    </row>
    <row r="634" spans="1:11" ht="18.75" customHeight="1" x14ac:dyDescent="0.25">
      <c r="A634" s="525" t="s">
        <v>1236</v>
      </c>
      <c r="B634" s="525" t="s">
        <v>632</v>
      </c>
      <c r="C634" s="145">
        <v>40</v>
      </c>
      <c r="D634" s="53">
        <v>159</v>
      </c>
      <c r="E634" s="317">
        <v>2014</v>
      </c>
      <c r="F634" s="338">
        <f t="shared" ref="F634:F635" si="170">2019-E634</f>
        <v>5</v>
      </c>
      <c r="G634" s="95"/>
      <c r="H634" s="95"/>
      <c r="I634" s="95"/>
      <c r="J634" s="95"/>
      <c r="K634" s="95"/>
    </row>
    <row r="635" spans="1:11" ht="18.75" customHeight="1" x14ac:dyDescent="0.25">
      <c r="A635" s="526"/>
      <c r="B635" s="526"/>
      <c r="C635" s="53">
        <v>40</v>
      </c>
      <c r="D635" s="53">
        <v>108</v>
      </c>
      <c r="E635" s="317">
        <v>2014</v>
      </c>
      <c r="F635" s="338">
        <f t="shared" si="170"/>
        <v>5</v>
      </c>
      <c r="G635" s="95"/>
      <c r="H635" s="95"/>
      <c r="I635" s="95"/>
      <c r="J635" s="95"/>
      <c r="K635" s="95"/>
    </row>
    <row r="636" spans="1:11" ht="18.75" customHeight="1" x14ac:dyDescent="0.25">
      <c r="A636" s="91" t="s">
        <v>472</v>
      </c>
      <c r="B636" s="91" t="s">
        <v>1404</v>
      </c>
      <c r="C636" s="143">
        <v>35</v>
      </c>
      <c r="D636" s="52">
        <v>108</v>
      </c>
      <c r="E636" s="317">
        <v>1991</v>
      </c>
      <c r="F636" s="338">
        <f t="shared" ref="F636:F638" si="171">2019-E636</f>
        <v>28</v>
      </c>
      <c r="G636" s="95"/>
      <c r="H636" s="95"/>
      <c r="I636" s="95"/>
      <c r="J636" s="95"/>
      <c r="K636" s="95"/>
    </row>
    <row r="637" spans="1:11" ht="18.75" customHeight="1" x14ac:dyDescent="0.25">
      <c r="A637" s="91" t="s">
        <v>1338</v>
      </c>
      <c r="B637" s="91" t="s">
        <v>1405</v>
      </c>
      <c r="C637" s="52">
        <v>35</v>
      </c>
      <c r="D637" s="52">
        <v>89</v>
      </c>
      <c r="E637" s="317">
        <v>1991</v>
      </c>
      <c r="F637" s="338">
        <f t="shared" si="171"/>
        <v>28</v>
      </c>
      <c r="G637" s="95"/>
      <c r="H637" s="95"/>
      <c r="I637" s="95"/>
      <c r="J637" s="95"/>
      <c r="K637" s="95"/>
    </row>
    <row r="638" spans="1:11" ht="18.75" customHeight="1" x14ac:dyDescent="0.25">
      <c r="A638" s="91" t="s">
        <v>1406</v>
      </c>
      <c r="B638" s="91" t="s">
        <v>391</v>
      </c>
      <c r="C638" s="52">
        <v>12</v>
      </c>
      <c r="D638" s="52">
        <v>133</v>
      </c>
      <c r="E638" s="317">
        <v>1989</v>
      </c>
      <c r="F638" s="338">
        <f t="shared" si="171"/>
        <v>30</v>
      </c>
      <c r="G638" s="95"/>
      <c r="H638" s="95"/>
      <c r="I638" s="95"/>
      <c r="J638" s="95"/>
      <c r="K638" s="95"/>
    </row>
    <row r="639" spans="1:11" ht="18.75" customHeight="1" x14ac:dyDescent="0.25">
      <c r="A639" s="525" t="s">
        <v>193</v>
      </c>
      <c r="B639" s="525" t="s">
        <v>391</v>
      </c>
      <c r="C639" s="52"/>
      <c r="D639" s="52"/>
      <c r="E639" s="317"/>
      <c r="F639" s="332"/>
      <c r="G639" s="95"/>
      <c r="H639" s="95"/>
      <c r="I639" s="95"/>
      <c r="J639" s="95"/>
      <c r="K639" s="95"/>
    </row>
    <row r="640" spans="1:11" ht="18.75" customHeight="1" x14ac:dyDescent="0.25">
      <c r="A640" s="526"/>
      <c r="B640" s="526"/>
      <c r="C640" s="143">
        <v>12</v>
      </c>
      <c r="D640" s="52">
        <v>219</v>
      </c>
      <c r="E640" s="317">
        <v>1989</v>
      </c>
      <c r="F640" s="338">
        <f t="shared" ref="F640:F641" si="172">2019-E640</f>
        <v>30</v>
      </c>
      <c r="G640" s="95"/>
      <c r="H640" s="95"/>
      <c r="I640" s="95"/>
      <c r="J640" s="95"/>
      <c r="K640" s="95"/>
    </row>
    <row r="641" spans="1:11" ht="18.75" customHeight="1" x14ac:dyDescent="0.25">
      <c r="A641" s="91" t="s">
        <v>1090</v>
      </c>
      <c r="B641" s="91" t="s">
        <v>1407</v>
      </c>
      <c r="C641" s="52">
        <v>29</v>
      </c>
      <c r="D641" s="52">
        <v>57</v>
      </c>
      <c r="E641" s="317">
        <v>1990</v>
      </c>
      <c r="F641" s="338">
        <f t="shared" si="172"/>
        <v>29</v>
      </c>
      <c r="G641" s="95"/>
      <c r="H641" s="95"/>
      <c r="I641" s="95"/>
      <c r="J641" s="95"/>
      <c r="K641" s="95"/>
    </row>
    <row r="642" spans="1:11" ht="18.75" customHeight="1" x14ac:dyDescent="0.25">
      <c r="A642" s="525" t="s">
        <v>564</v>
      </c>
      <c r="B642" s="525" t="s">
        <v>1408</v>
      </c>
      <c r="C642" s="52"/>
      <c r="D642" s="52"/>
      <c r="E642" s="317"/>
      <c r="F642" s="332"/>
      <c r="G642" s="95"/>
      <c r="H642" s="95"/>
      <c r="I642" s="95"/>
      <c r="J642" s="95"/>
      <c r="K642" s="95"/>
    </row>
    <row r="643" spans="1:11" ht="18.75" customHeight="1" x14ac:dyDescent="0.25">
      <c r="A643" s="526"/>
      <c r="B643" s="526"/>
      <c r="C643" s="143">
        <v>29</v>
      </c>
      <c r="D643" s="52">
        <v>89</v>
      </c>
      <c r="E643" s="317">
        <v>1990</v>
      </c>
      <c r="F643" s="338">
        <f t="shared" ref="F643:F645" si="173">2019-E643</f>
        <v>29</v>
      </c>
      <c r="G643" s="95"/>
      <c r="H643" s="95"/>
      <c r="I643" s="95"/>
      <c r="J643" s="95"/>
      <c r="K643" s="95"/>
    </row>
    <row r="644" spans="1:11" ht="18.75" customHeight="1" x14ac:dyDescent="0.25">
      <c r="A644" s="91" t="s">
        <v>1088</v>
      </c>
      <c r="B644" s="91" t="s">
        <v>1409</v>
      </c>
      <c r="C644" s="143">
        <v>18</v>
      </c>
      <c r="D644" s="52">
        <v>57</v>
      </c>
      <c r="E644" s="317">
        <v>1991</v>
      </c>
      <c r="F644" s="338">
        <f t="shared" si="173"/>
        <v>28</v>
      </c>
      <c r="G644" s="95"/>
      <c r="H644" s="95"/>
      <c r="I644" s="95"/>
      <c r="J644" s="95"/>
      <c r="K644" s="95"/>
    </row>
    <row r="645" spans="1:11" ht="18.75" customHeight="1" x14ac:dyDescent="0.25">
      <c r="A645" s="91" t="s">
        <v>1088</v>
      </c>
      <c r="B645" s="91" t="s">
        <v>1410</v>
      </c>
      <c r="C645" s="52">
        <v>18</v>
      </c>
      <c r="D645" s="52">
        <v>57</v>
      </c>
      <c r="E645" s="317">
        <v>1991</v>
      </c>
      <c r="F645" s="338">
        <f t="shared" si="173"/>
        <v>28</v>
      </c>
      <c r="G645" s="95"/>
      <c r="H645" s="95"/>
      <c r="I645" s="95"/>
      <c r="J645" s="95"/>
      <c r="K645" s="95"/>
    </row>
    <row r="646" spans="1:11" ht="18.75" customHeight="1" x14ac:dyDescent="0.25">
      <c r="A646" s="91" t="s">
        <v>1292</v>
      </c>
      <c r="B646" s="91" t="s">
        <v>1411</v>
      </c>
      <c r="C646" s="143">
        <v>12</v>
      </c>
      <c r="D646" s="52">
        <v>57</v>
      </c>
      <c r="E646" s="317">
        <v>1989</v>
      </c>
      <c r="F646" s="338">
        <f t="shared" ref="F646:F647" si="174">2019-E646</f>
        <v>30</v>
      </c>
      <c r="G646" s="95"/>
      <c r="H646" s="95"/>
      <c r="I646" s="95"/>
      <c r="J646" s="95"/>
      <c r="K646" s="95"/>
    </row>
    <row r="647" spans="1:11" ht="18.75" customHeight="1" x14ac:dyDescent="0.25">
      <c r="A647" s="91" t="s">
        <v>1088</v>
      </c>
      <c r="B647" s="91" t="s">
        <v>1412</v>
      </c>
      <c r="C647" s="52">
        <v>12</v>
      </c>
      <c r="D647" s="52">
        <v>57</v>
      </c>
      <c r="E647" s="317">
        <v>1989</v>
      </c>
      <c r="F647" s="338">
        <f t="shared" si="174"/>
        <v>30</v>
      </c>
      <c r="G647" s="95"/>
      <c r="H647" s="95"/>
      <c r="I647" s="95"/>
      <c r="J647" s="95"/>
      <c r="K647" s="95"/>
    </row>
    <row r="648" spans="1:11" ht="18.75" customHeight="1" x14ac:dyDescent="0.25">
      <c r="A648" s="525" t="s">
        <v>186</v>
      </c>
      <c r="B648" s="525" t="s">
        <v>1413</v>
      </c>
      <c r="C648" s="143">
        <v>64</v>
      </c>
      <c r="D648" s="52">
        <v>76</v>
      </c>
      <c r="E648" s="317">
        <v>1989</v>
      </c>
      <c r="F648" s="338">
        <f t="shared" ref="F648:F651" si="175">2019-E648</f>
        <v>30</v>
      </c>
      <c r="G648" s="95"/>
      <c r="H648" s="95"/>
      <c r="I648" s="95"/>
      <c r="J648" s="95"/>
      <c r="K648" s="95"/>
    </row>
    <row r="649" spans="1:11" ht="18.75" customHeight="1" x14ac:dyDescent="0.25">
      <c r="A649" s="526"/>
      <c r="B649" s="526"/>
      <c r="C649" s="52">
        <v>64</v>
      </c>
      <c r="D649" s="52">
        <v>57</v>
      </c>
      <c r="E649" s="317">
        <v>1989</v>
      </c>
      <c r="F649" s="338">
        <f t="shared" si="175"/>
        <v>30</v>
      </c>
      <c r="G649" s="95"/>
      <c r="H649" s="95"/>
      <c r="I649" s="95"/>
      <c r="J649" s="95"/>
      <c r="K649" s="95"/>
    </row>
    <row r="650" spans="1:11" ht="18.75" customHeight="1" x14ac:dyDescent="0.25">
      <c r="A650" s="91" t="s">
        <v>921</v>
      </c>
      <c r="B650" s="91" t="s">
        <v>1414</v>
      </c>
      <c r="C650" s="52">
        <v>45</v>
      </c>
      <c r="D650" s="52">
        <v>89</v>
      </c>
      <c r="E650" s="317">
        <v>1990</v>
      </c>
      <c r="F650" s="338">
        <f t="shared" si="175"/>
        <v>29</v>
      </c>
      <c r="G650" s="95"/>
      <c r="H650" s="95"/>
      <c r="I650" s="95"/>
      <c r="J650" s="95"/>
      <c r="K650" s="95"/>
    </row>
    <row r="651" spans="1:11" ht="18.75" customHeight="1" x14ac:dyDescent="0.25">
      <c r="A651" s="91" t="s">
        <v>921</v>
      </c>
      <c r="B651" s="91" t="s">
        <v>1414</v>
      </c>
      <c r="C651" s="143">
        <v>45</v>
      </c>
      <c r="D651" s="52">
        <v>133</v>
      </c>
      <c r="E651" s="317">
        <v>1990</v>
      </c>
      <c r="F651" s="338">
        <f t="shared" si="175"/>
        <v>29</v>
      </c>
      <c r="G651" s="95"/>
      <c r="H651" s="95"/>
      <c r="I651" s="95"/>
      <c r="J651" s="95"/>
      <c r="K651" s="95"/>
    </row>
    <row r="652" spans="1:11" ht="18.75" customHeight="1" x14ac:dyDescent="0.25">
      <c r="A652" s="91" t="s">
        <v>250</v>
      </c>
      <c r="B652" s="91" t="s">
        <v>186</v>
      </c>
      <c r="C652" s="52">
        <v>65</v>
      </c>
      <c r="D652" s="52">
        <v>89</v>
      </c>
      <c r="E652" s="317">
        <v>1989</v>
      </c>
      <c r="F652" s="338">
        <f>2019-E652</f>
        <v>30</v>
      </c>
      <c r="G652" s="95"/>
      <c r="H652" s="95"/>
      <c r="I652" s="95"/>
      <c r="J652" s="95"/>
      <c r="K652" s="95"/>
    </row>
    <row r="653" spans="1:11" ht="18.75" customHeight="1" x14ac:dyDescent="0.25">
      <c r="A653" s="525" t="s">
        <v>250</v>
      </c>
      <c r="B653" s="525" t="s">
        <v>186</v>
      </c>
      <c r="C653" s="52"/>
      <c r="D653" s="52"/>
      <c r="E653" s="317"/>
      <c r="F653" s="332"/>
      <c r="G653" s="95"/>
      <c r="H653" s="95"/>
      <c r="I653" s="95"/>
      <c r="J653" s="95"/>
      <c r="K653" s="95"/>
    </row>
    <row r="654" spans="1:11" ht="18.75" customHeight="1" x14ac:dyDescent="0.25">
      <c r="A654" s="526"/>
      <c r="B654" s="526"/>
      <c r="C654" s="143">
        <v>65</v>
      </c>
      <c r="D654" s="52">
        <v>108</v>
      </c>
      <c r="E654" s="317">
        <v>1989</v>
      </c>
      <c r="F654" s="338">
        <f>2019-E654</f>
        <v>30</v>
      </c>
      <c r="G654" s="95"/>
      <c r="H654" s="95"/>
      <c r="I654" s="95"/>
      <c r="J654" s="95"/>
      <c r="K654" s="95"/>
    </row>
    <row r="655" spans="1:11" ht="18.75" customHeight="1" x14ac:dyDescent="0.25">
      <c r="A655" s="525" t="s">
        <v>1415</v>
      </c>
      <c r="B655" s="525" t="s">
        <v>1273</v>
      </c>
      <c r="C655" s="143">
        <v>52</v>
      </c>
      <c r="D655" s="52">
        <v>108</v>
      </c>
      <c r="E655" s="317">
        <v>1990</v>
      </c>
      <c r="F655" s="338">
        <f t="shared" ref="F655:F656" si="176">2019-E655</f>
        <v>29</v>
      </c>
      <c r="G655" s="95"/>
      <c r="H655" s="95"/>
      <c r="I655" s="95"/>
      <c r="J655" s="95"/>
      <c r="K655" s="95"/>
    </row>
    <row r="656" spans="1:11" ht="18.75" customHeight="1" x14ac:dyDescent="0.25">
      <c r="A656" s="526"/>
      <c r="B656" s="526"/>
      <c r="C656" s="52">
        <v>52</v>
      </c>
      <c r="D656" s="52">
        <v>89</v>
      </c>
      <c r="E656" s="317">
        <v>1990</v>
      </c>
      <c r="F656" s="338">
        <f t="shared" si="176"/>
        <v>29</v>
      </c>
      <c r="G656" s="95"/>
      <c r="H656" s="95"/>
      <c r="I656" s="95"/>
      <c r="J656" s="95"/>
      <c r="K656" s="95"/>
    </row>
    <row r="657" spans="1:11" ht="18.75" customHeight="1" x14ac:dyDescent="0.25">
      <c r="A657" s="525" t="s">
        <v>1416</v>
      </c>
      <c r="B657" s="525" t="s">
        <v>256</v>
      </c>
      <c r="C657" s="52"/>
      <c r="D657" s="52"/>
      <c r="E657" s="317"/>
      <c r="F657" s="332"/>
      <c r="G657" s="95"/>
      <c r="H657" s="95"/>
      <c r="I657" s="95"/>
      <c r="J657" s="95"/>
      <c r="K657" s="95"/>
    </row>
    <row r="658" spans="1:11" ht="18.75" customHeight="1" x14ac:dyDescent="0.25">
      <c r="A658" s="531"/>
      <c r="B658" s="531"/>
      <c r="C658" s="143">
        <v>93</v>
      </c>
      <c r="D658" s="52">
        <v>89</v>
      </c>
      <c r="E658" s="317">
        <v>1989</v>
      </c>
      <c r="F658" s="338">
        <f t="shared" ref="F658:F659" si="177">2019-E658</f>
        <v>30</v>
      </c>
      <c r="G658" s="95"/>
      <c r="H658" s="95"/>
      <c r="I658" s="95"/>
      <c r="J658" s="95"/>
      <c r="K658" s="95"/>
    </row>
    <row r="659" spans="1:11" ht="18.75" customHeight="1" x14ac:dyDescent="0.25">
      <c r="A659" s="526"/>
      <c r="B659" s="526"/>
      <c r="C659" s="52">
        <v>93</v>
      </c>
      <c r="D659" s="52">
        <v>76</v>
      </c>
      <c r="E659" s="317">
        <v>1989</v>
      </c>
      <c r="F659" s="338">
        <f t="shared" si="177"/>
        <v>30</v>
      </c>
      <c r="G659" s="95"/>
      <c r="H659" s="95"/>
      <c r="I659" s="95"/>
      <c r="J659" s="95"/>
      <c r="K659" s="95"/>
    </row>
    <row r="660" spans="1:11" ht="15.75" x14ac:dyDescent="0.25">
      <c r="A660" s="53"/>
      <c r="B660" s="52"/>
      <c r="C660" s="144">
        <f>SUM(C624:C659)</f>
        <v>1382</v>
      </c>
      <c r="D660" s="141"/>
      <c r="E660" s="334"/>
      <c r="F660" s="332"/>
      <c r="G660" s="95"/>
      <c r="H660" s="95"/>
      <c r="I660" s="95"/>
      <c r="J660" s="95"/>
      <c r="K660" s="95"/>
    </row>
    <row r="661" spans="1:11" ht="15.75" customHeight="1" x14ac:dyDescent="0.25">
      <c r="A661" s="137" t="s">
        <v>1417</v>
      </c>
      <c r="B661" s="138"/>
      <c r="C661" s="138"/>
      <c r="D661" s="138"/>
      <c r="E661" s="138"/>
      <c r="F661" s="332"/>
      <c r="G661" s="95"/>
      <c r="H661" s="95"/>
      <c r="I661" s="95"/>
      <c r="J661" s="95"/>
      <c r="K661" s="95"/>
    </row>
    <row r="662" spans="1:11" ht="19.5" customHeight="1" x14ac:dyDescent="0.25">
      <c r="A662" s="525" t="s">
        <v>337</v>
      </c>
      <c r="B662" s="525" t="s">
        <v>1403</v>
      </c>
      <c r="C662" s="52"/>
      <c r="D662" s="52"/>
      <c r="E662" s="317"/>
      <c r="F662" s="332"/>
      <c r="G662" s="95"/>
      <c r="H662" s="95"/>
      <c r="I662" s="95"/>
      <c r="J662" s="95"/>
      <c r="K662" s="95"/>
    </row>
    <row r="663" spans="1:11" ht="19.5" customHeight="1" x14ac:dyDescent="0.25">
      <c r="A663" s="531"/>
      <c r="B663" s="531"/>
      <c r="C663" s="143">
        <v>40</v>
      </c>
      <c r="D663" s="52">
        <v>89</v>
      </c>
      <c r="E663" s="317">
        <v>1985</v>
      </c>
      <c r="F663" s="338">
        <f t="shared" ref="F663:F664" si="178">2019-E663</f>
        <v>34</v>
      </c>
      <c r="G663" s="95"/>
      <c r="H663" s="95"/>
      <c r="I663" s="95"/>
      <c r="J663" s="95"/>
      <c r="K663" s="95"/>
    </row>
    <row r="664" spans="1:11" ht="19.5" customHeight="1" x14ac:dyDescent="0.25">
      <c r="A664" s="526"/>
      <c r="B664" s="526"/>
      <c r="C664" s="52">
        <v>40</v>
      </c>
      <c r="D664" s="52">
        <v>57</v>
      </c>
      <c r="E664" s="317">
        <v>1985</v>
      </c>
      <c r="F664" s="338">
        <f t="shared" si="178"/>
        <v>34</v>
      </c>
      <c r="G664" s="95"/>
      <c r="H664" s="95"/>
      <c r="I664" s="95"/>
      <c r="J664" s="95"/>
      <c r="K664" s="95"/>
    </row>
    <row r="665" spans="1:11" ht="19.5" customHeight="1" x14ac:dyDescent="0.25">
      <c r="A665" s="525" t="s">
        <v>1418</v>
      </c>
      <c r="B665" s="525" t="s">
        <v>1344</v>
      </c>
      <c r="C665" s="52"/>
      <c r="D665" s="52"/>
      <c r="E665" s="317"/>
      <c r="F665" s="332"/>
      <c r="G665" s="95"/>
      <c r="H665" s="95"/>
      <c r="I665" s="95"/>
      <c r="J665" s="95"/>
      <c r="K665" s="95"/>
    </row>
    <row r="666" spans="1:11" ht="19.5" customHeight="1" x14ac:dyDescent="0.25">
      <c r="A666" s="531"/>
      <c r="B666" s="531"/>
      <c r="C666" s="143">
        <v>5</v>
      </c>
      <c r="D666" s="52">
        <v>89</v>
      </c>
      <c r="E666" s="317">
        <v>1985</v>
      </c>
      <c r="F666" s="338">
        <f t="shared" ref="F666:F667" si="179">2019-E666</f>
        <v>34</v>
      </c>
      <c r="G666" s="95"/>
      <c r="H666" s="95"/>
      <c r="I666" s="95"/>
      <c r="J666" s="95"/>
      <c r="K666" s="95"/>
    </row>
    <row r="667" spans="1:11" ht="19.5" customHeight="1" x14ac:dyDescent="0.25">
      <c r="A667" s="526"/>
      <c r="B667" s="526"/>
      <c r="C667" s="52">
        <v>5</v>
      </c>
      <c r="D667" s="52">
        <v>57</v>
      </c>
      <c r="E667" s="317">
        <v>1985</v>
      </c>
      <c r="F667" s="338">
        <f t="shared" si="179"/>
        <v>34</v>
      </c>
      <c r="G667" s="95"/>
      <c r="H667" s="95"/>
      <c r="I667" s="95"/>
      <c r="J667" s="95"/>
      <c r="K667" s="95"/>
    </row>
    <row r="668" spans="1:11" ht="19.5" customHeight="1" x14ac:dyDescent="0.25">
      <c r="A668" s="91" t="s">
        <v>1420</v>
      </c>
      <c r="B668" s="91" t="s">
        <v>1421</v>
      </c>
      <c r="C668" s="52">
        <v>5</v>
      </c>
      <c r="D668" s="52">
        <v>76</v>
      </c>
      <c r="E668" s="317">
        <v>1984</v>
      </c>
      <c r="F668" s="338">
        <f>2019-E668</f>
        <v>35</v>
      </c>
      <c r="G668" s="95"/>
      <c r="H668" s="95"/>
      <c r="I668" s="95"/>
      <c r="J668" s="95"/>
      <c r="K668" s="95"/>
    </row>
    <row r="669" spans="1:11" ht="19.5" customHeight="1" x14ac:dyDescent="0.25">
      <c r="A669" s="91" t="s">
        <v>1420</v>
      </c>
      <c r="B669" s="91" t="s">
        <v>1419</v>
      </c>
      <c r="C669" s="143">
        <v>5</v>
      </c>
      <c r="D669" s="52">
        <v>89</v>
      </c>
      <c r="E669" s="317">
        <v>1984</v>
      </c>
      <c r="F669" s="338">
        <f>2019-E669</f>
        <v>35</v>
      </c>
      <c r="G669" s="95"/>
      <c r="H669" s="95"/>
      <c r="I669" s="95"/>
      <c r="J669" s="95"/>
      <c r="K669" s="95"/>
    </row>
    <row r="670" spans="1:11" ht="19.5" customHeight="1" x14ac:dyDescent="0.25">
      <c r="A670" s="525" t="s">
        <v>1422</v>
      </c>
      <c r="B670" s="525" t="s">
        <v>1423</v>
      </c>
      <c r="C670" s="52"/>
      <c r="D670" s="52"/>
      <c r="E670" s="317"/>
      <c r="F670" s="332"/>
      <c r="G670" s="95"/>
      <c r="H670" s="95"/>
      <c r="I670" s="95"/>
      <c r="J670" s="95"/>
      <c r="K670" s="95"/>
    </row>
    <row r="671" spans="1:11" ht="19.5" customHeight="1" x14ac:dyDescent="0.25">
      <c r="A671" s="531"/>
      <c r="B671" s="531"/>
      <c r="C671" s="143">
        <v>53</v>
      </c>
      <c r="D671" s="52">
        <v>76</v>
      </c>
      <c r="E671" s="317">
        <v>1983</v>
      </c>
      <c r="F671" s="338">
        <f t="shared" ref="F671:F674" si="180">2019-E671</f>
        <v>36</v>
      </c>
      <c r="G671" s="95"/>
      <c r="H671" s="95"/>
      <c r="I671" s="95"/>
      <c r="J671" s="95"/>
      <c r="K671" s="95"/>
    </row>
    <row r="672" spans="1:11" ht="19.5" customHeight="1" x14ac:dyDescent="0.25">
      <c r="A672" s="526"/>
      <c r="B672" s="526"/>
      <c r="C672" s="52">
        <v>53</v>
      </c>
      <c r="D672" s="52">
        <v>40</v>
      </c>
      <c r="E672" s="317">
        <v>1983</v>
      </c>
      <c r="F672" s="338">
        <f t="shared" si="180"/>
        <v>36</v>
      </c>
      <c r="G672" s="95"/>
      <c r="H672" s="95"/>
      <c r="I672" s="95"/>
      <c r="J672" s="95"/>
      <c r="K672" s="95"/>
    </row>
    <row r="673" spans="1:11" ht="19.5" customHeight="1" x14ac:dyDescent="0.25">
      <c r="A673" s="525" t="s">
        <v>256</v>
      </c>
      <c r="B673" s="525" t="s">
        <v>697</v>
      </c>
      <c r="C673" s="143">
        <v>60</v>
      </c>
      <c r="D673" s="52">
        <v>159</v>
      </c>
      <c r="E673" s="317">
        <v>1983</v>
      </c>
      <c r="F673" s="338">
        <f t="shared" si="180"/>
        <v>36</v>
      </c>
      <c r="G673" s="95"/>
      <c r="H673" s="95"/>
      <c r="I673" s="95"/>
      <c r="J673" s="95"/>
      <c r="K673" s="95"/>
    </row>
    <row r="674" spans="1:11" ht="19.5" customHeight="1" x14ac:dyDescent="0.25">
      <c r="A674" s="526"/>
      <c r="B674" s="526"/>
      <c r="C674" s="52">
        <v>60</v>
      </c>
      <c r="D674" s="52">
        <v>108</v>
      </c>
      <c r="E674" s="317">
        <v>1983</v>
      </c>
      <c r="F674" s="338">
        <f t="shared" si="180"/>
        <v>36</v>
      </c>
      <c r="G674" s="95"/>
      <c r="H674" s="95"/>
      <c r="I674" s="95"/>
      <c r="J674" s="95"/>
      <c r="K674" s="95"/>
    </row>
    <row r="675" spans="1:11" ht="15.75" x14ac:dyDescent="0.25">
      <c r="A675" s="53"/>
      <c r="B675" s="52"/>
      <c r="C675" s="144">
        <f>SUM(C662:C674)</f>
        <v>326</v>
      </c>
      <c r="D675" s="141"/>
      <c r="E675" s="334"/>
      <c r="F675" s="332"/>
      <c r="G675" s="95"/>
      <c r="H675" s="95"/>
      <c r="I675" s="95"/>
      <c r="J675" s="95"/>
      <c r="K675" s="95"/>
    </row>
    <row r="676" spans="1:11" ht="15.75" customHeight="1" x14ac:dyDescent="0.25">
      <c r="A676" s="137" t="s">
        <v>1424</v>
      </c>
      <c r="B676" s="138"/>
      <c r="C676" s="138"/>
      <c r="D676" s="138"/>
      <c r="E676" s="138"/>
      <c r="F676" s="332"/>
    </row>
    <row r="677" spans="1:11" ht="16.5" customHeight="1" x14ac:dyDescent="0.25">
      <c r="A677" s="525" t="s">
        <v>612</v>
      </c>
      <c r="B677" s="525" t="s">
        <v>1425</v>
      </c>
      <c r="C677" s="125"/>
      <c r="D677" s="52"/>
      <c r="E677" s="317"/>
      <c r="F677" s="332"/>
    </row>
    <row r="678" spans="1:11" ht="16.5" customHeight="1" x14ac:dyDescent="0.25">
      <c r="A678" s="531"/>
      <c r="B678" s="531"/>
      <c r="C678" s="152">
        <v>30</v>
      </c>
      <c r="D678" s="52">
        <v>108</v>
      </c>
      <c r="E678" s="317">
        <v>1988</v>
      </c>
      <c r="F678" s="338">
        <f t="shared" ref="F678:F679" si="181">2019-E678</f>
        <v>31</v>
      </c>
    </row>
    <row r="679" spans="1:11" ht="16.5" customHeight="1" x14ac:dyDescent="0.25">
      <c r="A679" s="526"/>
      <c r="B679" s="526"/>
      <c r="C679" s="125">
        <v>30</v>
      </c>
      <c r="D679" s="52">
        <v>89</v>
      </c>
      <c r="E679" s="317">
        <v>1988</v>
      </c>
      <c r="F679" s="338">
        <f t="shared" si="181"/>
        <v>31</v>
      </c>
    </row>
    <row r="680" spans="1:11" ht="16.5" customHeight="1" x14ac:dyDescent="0.25">
      <c r="A680" s="525" t="s">
        <v>385</v>
      </c>
      <c r="B680" s="525" t="s">
        <v>918</v>
      </c>
      <c r="C680" s="52"/>
      <c r="D680" s="52"/>
      <c r="E680" s="317"/>
      <c r="F680" s="332"/>
    </row>
    <row r="681" spans="1:11" ht="16.5" customHeight="1" x14ac:dyDescent="0.25">
      <c r="A681" s="531"/>
      <c r="B681" s="531"/>
      <c r="C681" s="143">
        <v>28</v>
      </c>
      <c r="D681" s="52">
        <v>159</v>
      </c>
      <c r="E681" s="317">
        <v>1987</v>
      </c>
      <c r="F681" s="338">
        <f t="shared" ref="F681:F682" si="182">2019-E681</f>
        <v>32</v>
      </c>
    </row>
    <row r="682" spans="1:11" ht="16.5" customHeight="1" x14ac:dyDescent="0.25">
      <c r="A682" s="526"/>
      <c r="B682" s="526"/>
      <c r="C682" s="52">
        <v>28</v>
      </c>
      <c r="D682" s="52">
        <v>108</v>
      </c>
      <c r="E682" s="317">
        <v>1987</v>
      </c>
      <c r="F682" s="338">
        <f t="shared" si="182"/>
        <v>32</v>
      </c>
    </row>
    <row r="683" spans="1:11" ht="16.5" customHeight="1" x14ac:dyDescent="0.25">
      <c r="A683" s="525" t="s">
        <v>612</v>
      </c>
      <c r="B683" s="525" t="s">
        <v>1426</v>
      </c>
      <c r="C683" s="52"/>
      <c r="D683" s="52"/>
      <c r="E683" s="317"/>
      <c r="F683" s="332"/>
    </row>
    <row r="684" spans="1:11" ht="16.5" customHeight="1" x14ac:dyDescent="0.25">
      <c r="A684" s="531"/>
      <c r="B684" s="531"/>
      <c r="C684" s="143">
        <v>25</v>
      </c>
      <c r="D684" s="52">
        <v>133</v>
      </c>
      <c r="E684" s="317">
        <v>1989</v>
      </c>
      <c r="F684" s="338">
        <f t="shared" ref="F684:F685" si="183">2019-E684</f>
        <v>30</v>
      </c>
    </row>
    <row r="685" spans="1:11" ht="16.5" customHeight="1" x14ac:dyDescent="0.25">
      <c r="A685" s="526"/>
      <c r="B685" s="526"/>
      <c r="C685" s="52">
        <v>25</v>
      </c>
      <c r="D685" s="52">
        <v>89</v>
      </c>
      <c r="E685" s="317">
        <v>1989</v>
      </c>
      <c r="F685" s="338">
        <f t="shared" si="183"/>
        <v>30</v>
      </c>
    </row>
    <row r="686" spans="1:11" ht="16.5" customHeight="1" x14ac:dyDescent="0.25">
      <c r="A686" s="525" t="s">
        <v>256</v>
      </c>
      <c r="B686" s="525" t="s">
        <v>391</v>
      </c>
      <c r="C686" s="52"/>
      <c r="D686" s="52"/>
      <c r="E686" s="317"/>
      <c r="F686" s="332"/>
    </row>
    <row r="687" spans="1:11" ht="16.5" customHeight="1" x14ac:dyDescent="0.25">
      <c r="A687" s="531"/>
      <c r="B687" s="531"/>
      <c r="C687" s="143">
        <v>20</v>
      </c>
      <c r="D687" s="52">
        <v>273</v>
      </c>
      <c r="E687" s="317">
        <v>1987</v>
      </c>
      <c r="F687" s="338">
        <f t="shared" ref="F687:F688" si="184">2019-E687</f>
        <v>32</v>
      </c>
    </row>
    <row r="688" spans="1:11" ht="16.5" customHeight="1" x14ac:dyDescent="0.25">
      <c r="A688" s="526"/>
      <c r="B688" s="526"/>
      <c r="C688" s="52">
        <v>20</v>
      </c>
      <c r="D688" s="52">
        <v>159</v>
      </c>
      <c r="E688" s="317">
        <v>1987</v>
      </c>
      <c r="F688" s="338">
        <f t="shared" si="184"/>
        <v>32</v>
      </c>
    </row>
    <row r="689" spans="1:11" ht="15.75" x14ac:dyDescent="0.25">
      <c r="A689" s="53"/>
      <c r="B689" s="52"/>
      <c r="C689" s="144">
        <f>SUM(C677:C688)</f>
        <v>206</v>
      </c>
      <c r="D689" s="141"/>
      <c r="E689" s="334"/>
      <c r="F689" s="332"/>
    </row>
    <row r="690" spans="1:11" ht="15.75" x14ac:dyDescent="0.2">
      <c r="A690" s="153" t="s">
        <v>1427</v>
      </c>
      <c r="B690" s="154"/>
      <c r="C690" s="154"/>
      <c r="D690" s="154"/>
      <c r="E690" s="154"/>
      <c r="F690" s="63"/>
      <c r="I690" s="61"/>
      <c r="J690" s="61"/>
      <c r="K690" s="95"/>
    </row>
    <row r="691" spans="1:11" ht="18.75" customHeight="1" x14ac:dyDescent="0.25">
      <c r="A691" s="91" t="s">
        <v>235</v>
      </c>
      <c r="B691" s="91" t="s">
        <v>1428</v>
      </c>
      <c r="C691" s="52">
        <v>240</v>
      </c>
      <c r="D691" s="52">
        <v>76</v>
      </c>
      <c r="E691" s="317">
        <v>2008</v>
      </c>
      <c r="F691" s="338">
        <f t="shared" ref="F691:F692" si="185">2019-E691</f>
        <v>11</v>
      </c>
      <c r="I691" s="61"/>
      <c r="J691" s="61"/>
      <c r="K691" s="95"/>
    </row>
    <row r="692" spans="1:11" ht="15.75" customHeight="1" x14ac:dyDescent="0.25">
      <c r="A692" s="91" t="s">
        <v>235</v>
      </c>
      <c r="B692" s="91" t="s">
        <v>1428</v>
      </c>
      <c r="C692" s="143">
        <v>240</v>
      </c>
      <c r="D692" s="52">
        <v>108</v>
      </c>
      <c r="E692" s="317">
        <v>2008</v>
      </c>
      <c r="F692" s="338">
        <f t="shared" si="185"/>
        <v>11</v>
      </c>
      <c r="I692" s="61"/>
      <c r="J692" s="61"/>
      <c r="K692" s="95"/>
    </row>
    <row r="693" spans="1:11" ht="15.75" x14ac:dyDescent="0.2">
      <c r="A693" s="525" t="s">
        <v>256</v>
      </c>
      <c r="B693" s="525" t="s">
        <v>1429</v>
      </c>
      <c r="C693" s="52"/>
      <c r="D693" s="52"/>
      <c r="E693" s="335"/>
      <c r="F693" s="63"/>
      <c r="I693" s="61"/>
      <c r="J693" s="61"/>
      <c r="K693" s="95"/>
    </row>
    <row r="694" spans="1:11" ht="15.75" x14ac:dyDescent="0.25">
      <c r="A694" s="531"/>
      <c r="B694" s="531"/>
      <c r="C694" s="143">
        <v>55</v>
      </c>
      <c r="D694" s="52">
        <v>159</v>
      </c>
      <c r="E694" s="335">
        <v>1979</v>
      </c>
      <c r="F694" s="338">
        <f t="shared" ref="F694:F695" si="186">2019-E694</f>
        <v>40</v>
      </c>
      <c r="I694" s="61"/>
      <c r="J694" s="61"/>
      <c r="K694" s="95"/>
    </row>
    <row r="695" spans="1:11" ht="15.75" x14ac:dyDescent="0.25">
      <c r="A695" s="526"/>
      <c r="B695" s="526"/>
      <c r="C695" s="52">
        <v>55</v>
      </c>
      <c r="D695" s="52">
        <v>108</v>
      </c>
      <c r="E695" s="335">
        <v>1979</v>
      </c>
      <c r="F695" s="338">
        <f t="shared" si="186"/>
        <v>40</v>
      </c>
      <c r="I695" s="61"/>
      <c r="J695" s="61"/>
      <c r="K695" s="95"/>
    </row>
    <row r="696" spans="1:11" ht="15.75" x14ac:dyDescent="0.2">
      <c r="A696" s="525" t="s">
        <v>926</v>
      </c>
      <c r="B696" s="525" t="s">
        <v>1430</v>
      </c>
      <c r="C696" s="52"/>
      <c r="D696" s="52"/>
      <c r="E696" s="335"/>
      <c r="F696" s="63"/>
      <c r="I696" s="61"/>
      <c r="J696" s="61"/>
      <c r="K696" s="95"/>
    </row>
    <row r="697" spans="1:11" ht="15.75" x14ac:dyDescent="0.25">
      <c r="A697" s="531"/>
      <c r="B697" s="531"/>
      <c r="C697" s="143">
        <v>22</v>
      </c>
      <c r="D697" s="52">
        <v>108</v>
      </c>
      <c r="E697" s="335">
        <v>1980</v>
      </c>
      <c r="F697" s="338">
        <f t="shared" ref="F697:F698" si="187">2019-E697</f>
        <v>39</v>
      </c>
      <c r="I697" s="61"/>
      <c r="J697" s="61"/>
      <c r="K697" s="95"/>
    </row>
    <row r="698" spans="1:11" ht="15.75" x14ac:dyDescent="0.25">
      <c r="A698" s="526"/>
      <c r="B698" s="526"/>
      <c r="C698" s="52">
        <v>22</v>
      </c>
      <c r="D698" s="52">
        <v>89</v>
      </c>
      <c r="E698" s="335">
        <v>1980</v>
      </c>
      <c r="F698" s="338">
        <f t="shared" si="187"/>
        <v>39</v>
      </c>
      <c r="I698" s="61"/>
      <c r="J698" s="61"/>
      <c r="K698" s="95"/>
    </row>
    <row r="699" spans="1:11" ht="26.25" customHeight="1" x14ac:dyDescent="0.2">
      <c r="A699" s="525" t="s">
        <v>276</v>
      </c>
      <c r="B699" s="525" t="s">
        <v>391</v>
      </c>
      <c r="C699" s="52"/>
      <c r="D699" s="52"/>
      <c r="E699" s="335"/>
      <c r="F699" s="63"/>
      <c r="I699" s="61"/>
      <c r="J699" s="61"/>
      <c r="K699" s="95"/>
    </row>
    <row r="700" spans="1:11" ht="15.75" x14ac:dyDescent="0.25">
      <c r="A700" s="531"/>
      <c r="B700" s="531"/>
      <c r="C700" s="143">
        <v>103</v>
      </c>
      <c r="D700" s="52">
        <v>108</v>
      </c>
      <c r="E700" s="335">
        <v>1979</v>
      </c>
      <c r="F700" s="338">
        <f t="shared" ref="F700:F701" si="188">2019-E700</f>
        <v>40</v>
      </c>
      <c r="I700" s="61"/>
      <c r="J700" s="61"/>
      <c r="K700" s="95"/>
    </row>
    <row r="701" spans="1:11" ht="15.75" x14ac:dyDescent="0.25">
      <c r="A701" s="526"/>
      <c r="B701" s="526"/>
      <c r="C701" s="52">
        <v>103</v>
      </c>
      <c r="D701" s="52">
        <v>159</v>
      </c>
      <c r="E701" s="335">
        <v>1979</v>
      </c>
      <c r="F701" s="338">
        <f t="shared" si="188"/>
        <v>40</v>
      </c>
      <c r="I701" s="61"/>
      <c r="J701" s="61"/>
      <c r="K701" s="95"/>
    </row>
    <row r="702" spans="1:11" ht="27" customHeight="1" x14ac:dyDescent="0.25">
      <c r="A702" s="525" t="s">
        <v>1431</v>
      </c>
      <c r="B702" s="525" t="s">
        <v>1432</v>
      </c>
      <c r="C702" s="143">
        <v>192</v>
      </c>
      <c r="D702" s="52">
        <v>108</v>
      </c>
      <c r="E702" s="317">
        <v>2006</v>
      </c>
      <c r="F702" s="338">
        <f t="shared" ref="F702:F703" si="189">2019-E702</f>
        <v>13</v>
      </c>
      <c r="I702" s="61"/>
      <c r="J702" s="61"/>
      <c r="K702" s="95"/>
    </row>
    <row r="703" spans="1:11" ht="27" customHeight="1" x14ac:dyDescent="0.25">
      <c r="A703" s="526"/>
      <c r="B703" s="526"/>
      <c r="C703" s="316">
        <v>192</v>
      </c>
      <c r="D703" s="52">
        <v>76</v>
      </c>
      <c r="E703" s="335">
        <v>1980</v>
      </c>
      <c r="F703" s="338">
        <f t="shared" si="189"/>
        <v>39</v>
      </c>
      <c r="I703" s="61"/>
      <c r="J703" s="61"/>
      <c r="K703" s="95"/>
    </row>
    <row r="704" spans="1:11" ht="15.75" x14ac:dyDescent="0.2">
      <c r="A704" s="525" t="s">
        <v>1433</v>
      </c>
      <c r="B704" s="525" t="s">
        <v>1434</v>
      </c>
      <c r="C704" s="52"/>
      <c r="D704" s="52"/>
      <c r="E704" s="335"/>
      <c r="F704" s="63"/>
      <c r="I704" s="61"/>
      <c r="J704" s="61"/>
      <c r="K704" s="95"/>
    </row>
    <row r="705" spans="1:11" ht="15.75" x14ac:dyDescent="0.25">
      <c r="A705" s="531"/>
      <c r="B705" s="531"/>
      <c r="C705" s="143">
        <v>9</v>
      </c>
      <c r="D705" s="52">
        <v>89</v>
      </c>
      <c r="E705" s="335">
        <v>1980</v>
      </c>
      <c r="F705" s="338">
        <f t="shared" ref="F705:F706" si="190">2019-E705</f>
        <v>39</v>
      </c>
      <c r="I705" s="61"/>
      <c r="J705" s="61"/>
      <c r="K705" s="95"/>
    </row>
    <row r="706" spans="1:11" ht="15.75" x14ac:dyDescent="0.25">
      <c r="A706" s="526"/>
      <c r="B706" s="526"/>
      <c r="C706" s="52">
        <v>9</v>
      </c>
      <c r="D706" s="52">
        <v>57</v>
      </c>
      <c r="E706" s="335">
        <v>1980</v>
      </c>
      <c r="F706" s="338">
        <f t="shared" si="190"/>
        <v>39</v>
      </c>
      <c r="I706" s="61"/>
      <c r="J706" s="61"/>
      <c r="K706" s="95"/>
    </row>
    <row r="707" spans="1:11" ht="15.75" x14ac:dyDescent="0.2">
      <c r="A707" s="525" t="s">
        <v>1433</v>
      </c>
      <c r="B707" s="525" t="s">
        <v>778</v>
      </c>
      <c r="C707" s="52"/>
      <c r="D707" s="52"/>
      <c r="E707" s="335"/>
      <c r="F707" s="63"/>
      <c r="I707" s="61"/>
      <c r="J707" s="61"/>
      <c r="K707" s="95"/>
    </row>
    <row r="708" spans="1:11" ht="15.75" x14ac:dyDescent="0.25">
      <c r="A708" s="531"/>
      <c r="B708" s="531"/>
      <c r="C708" s="143">
        <v>56</v>
      </c>
      <c r="D708" s="52">
        <v>89</v>
      </c>
      <c r="E708" s="335">
        <v>1979</v>
      </c>
      <c r="F708" s="338">
        <f t="shared" ref="F708:F709" si="191">2019-E708</f>
        <v>40</v>
      </c>
      <c r="I708" s="61"/>
      <c r="J708" s="61"/>
      <c r="K708" s="95"/>
    </row>
    <row r="709" spans="1:11" ht="15.75" x14ac:dyDescent="0.25">
      <c r="A709" s="526"/>
      <c r="B709" s="526"/>
      <c r="C709" s="52">
        <v>56</v>
      </c>
      <c r="D709" s="52">
        <v>57</v>
      </c>
      <c r="E709" s="335">
        <v>1979</v>
      </c>
      <c r="F709" s="338">
        <f t="shared" si="191"/>
        <v>40</v>
      </c>
      <c r="I709" s="61"/>
      <c r="J709" s="61"/>
      <c r="K709" s="95"/>
    </row>
    <row r="710" spans="1:11" ht="15.75" x14ac:dyDescent="0.2">
      <c r="A710" s="525" t="s">
        <v>1435</v>
      </c>
      <c r="B710" s="525" t="s">
        <v>1436</v>
      </c>
      <c r="C710" s="52"/>
      <c r="D710" s="52"/>
      <c r="E710" s="335"/>
      <c r="F710" s="63"/>
      <c r="I710" s="61"/>
      <c r="J710" s="61"/>
      <c r="K710" s="95"/>
    </row>
    <row r="711" spans="1:11" ht="15.75" x14ac:dyDescent="0.25">
      <c r="A711" s="531"/>
      <c r="B711" s="531"/>
      <c r="C711" s="143">
        <v>88</v>
      </c>
      <c r="D711" s="52">
        <v>57</v>
      </c>
      <c r="E711" s="335">
        <v>1979</v>
      </c>
      <c r="F711" s="338">
        <f t="shared" ref="F711:F712" si="192">2019-E711</f>
        <v>40</v>
      </c>
      <c r="I711" s="61"/>
      <c r="J711" s="61"/>
      <c r="K711" s="95"/>
    </row>
    <row r="712" spans="1:11" ht="15.75" x14ac:dyDescent="0.25">
      <c r="A712" s="526"/>
      <c r="B712" s="526"/>
      <c r="C712" s="52">
        <v>88</v>
      </c>
      <c r="D712" s="52">
        <v>57</v>
      </c>
      <c r="E712" s="335">
        <v>1979</v>
      </c>
      <c r="F712" s="338">
        <f t="shared" si="192"/>
        <v>40</v>
      </c>
      <c r="I712" s="61"/>
      <c r="J712" s="61"/>
      <c r="K712" s="95"/>
    </row>
    <row r="713" spans="1:11" ht="15.75" x14ac:dyDescent="0.2">
      <c r="A713" s="525" t="s">
        <v>1437</v>
      </c>
      <c r="B713" s="525" t="s">
        <v>1438</v>
      </c>
      <c r="C713" s="52"/>
      <c r="D713" s="52"/>
      <c r="E713" s="335"/>
      <c r="F713" s="63"/>
      <c r="I713" s="61"/>
      <c r="J713" s="61"/>
      <c r="K713" s="95"/>
    </row>
    <row r="714" spans="1:11" ht="15.75" x14ac:dyDescent="0.25">
      <c r="A714" s="531"/>
      <c r="B714" s="531"/>
      <c r="C714" s="143">
        <v>306</v>
      </c>
      <c r="D714" s="52">
        <v>108</v>
      </c>
      <c r="E714" s="335">
        <v>1979</v>
      </c>
      <c r="F714" s="338">
        <f t="shared" ref="F714:F715" si="193">2019-E714</f>
        <v>40</v>
      </c>
      <c r="I714" s="61"/>
      <c r="J714" s="61"/>
      <c r="K714" s="95"/>
    </row>
    <row r="715" spans="1:11" ht="15.75" x14ac:dyDescent="0.25">
      <c r="A715" s="526"/>
      <c r="B715" s="526"/>
      <c r="C715" s="52">
        <v>306</v>
      </c>
      <c r="D715" s="52">
        <v>40</v>
      </c>
      <c r="E715" s="335">
        <v>1979</v>
      </c>
      <c r="F715" s="338">
        <f t="shared" si="193"/>
        <v>40</v>
      </c>
      <c r="I715" s="61"/>
      <c r="J715" s="61"/>
      <c r="K715" s="95"/>
    </row>
    <row r="716" spans="1:11" ht="15.75" x14ac:dyDescent="0.2">
      <c r="A716" s="525" t="s">
        <v>564</v>
      </c>
      <c r="B716" s="525" t="s">
        <v>1000</v>
      </c>
      <c r="C716" s="52"/>
      <c r="D716" s="52"/>
      <c r="E716" s="317"/>
      <c r="F716" s="63"/>
      <c r="I716" s="61"/>
      <c r="J716" s="61"/>
      <c r="K716" s="95"/>
    </row>
    <row r="717" spans="1:11" ht="15.75" x14ac:dyDescent="0.25">
      <c r="A717" s="531"/>
      <c r="B717" s="531"/>
      <c r="C717" s="143">
        <v>36</v>
      </c>
      <c r="D717" s="52">
        <v>133</v>
      </c>
      <c r="E717" s="317">
        <v>2007</v>
      </c>
      <c r="F717" s="338">
        <f t="shared" ref="F717:F718" si="194">2019-E717</f>
        <v>12</v>
      </c>
      <c r="I717" s="61"/>
      <c r="J717" s="61"/>
      <c r="K717" s="95"/>
    </row>
    <row r="718" spans="1:11" ht="15.75" x14ac:dyDescent="0.25">
      <c r="A718" s="526"/>
      <c r="B718" s="526"/>
      <c r="C718" s="52">
        <v>36</v>
      </c>
      <c r="D718" s="52">
        <v>108</v>
      </c>
      <c r="E718" s="317">
        <v>2007</v>
      </c>
      <c r="F718" s="338">
        <f t="shared" si="194"/>
        <v>12</v>
      </c>
      <c r="I718" s="61"/>
      <c r="J718" s="61"/>
      <c r="K718" s="95"/>
    </row>
    <row r="719" spans="1:11" ht="15.75" x14ac:dyDescent="0.2">
      <c r="A719" s="525" t="s">
        <v>564</v>
      </c>
      <c r="B719" s="525" t="s">
        <v>1439</v>
      </c>
      <c r="C719" s="52"/>
      <c r="D719" s="52"/>
      <c r="E719" s="335"/>
      <c r="F719" s="63"/>
      <c r="I719" s="61"/>
      <c r="J719" s="61"/>
      <c r="K719" s="95"/>
    </row>
    <row r="720" spans="1:11" ht="15.75" x14ac:dyDescent="0.25">
      <c r="A720" s="531"/>
      <c r="B720" s="531"/>
      <c r="C720" s="143">
        <v>7</v>
      </c>
      <c r="D720" s="52">
        <v>89</v>
      </c>
      <c r="E720" s="335">
        <v>1979</v>
      </c>
      <c r="F720" s="338">
        <f t="shared" ref="F720:F721" si="195">2019-E720</f>
        <v>40</v>
      </c>
      <c r="I720" s="61"/>
      <c r="J720" s="61"/>
      <c r="K720" s="95"/>
    </row>
    <row r="721" spans="1:11" ht="15.75" x14ac:dyDescent="0.25">
      <c r="A721" s="526"/>
      <c r="B721" s="526"/>
      <c r="C721" s="52">
        <v>7</v>
      </c>
      <c r="D721" s="52">
        <v>76</v>
      </c>
      <c r="E721" s="335">
        <v>1979</v>
      </c>
      <c r="F721" s="338">
        <f t="shared" si="195"/>
        <v>40</v>
      </c>
      <c r="I721" s="61"/>
      <c r="J721" s="61"/>
      <c r="K721" s="95"/>
    </row>
    <row r="722" spans="1:11" ht="15.75" x14ac:dyDescent="0.2">
      <c r="A722" s="525" t="s">
        <v>385</v>
      </c>
      <c r="B722" s="525" t="s">
        <v>564</v>
      </c>
      <c r="C722" s="52"/>
      <c r="D722" s="52"/>
      <c r="E722" s="335"/>
      <c r="F722" s="63"/>
      <c r="I722" s="61"/>
      <c r="J722" s="61"/>
      <c r="K722" s="95"/>
    </row>
    <row r="723" spans="1:11" ht="15.75" x14ac:dyDescent="0.25">
      <c r="A723" s="531"/>
      <c r="B723" s="531"/>
      <c r="C723" s="143">
        <v>148</v>
      </c>
      <c r="D723" s="52">
        <v>133</v>
      </c>
      <c r="E723" s="335">
        <v>1979</v>
      </c>
      <c r="F723" s="338">
        <f t="shared" ref="F723:F724" si="196">2019-E723</f>
        <v>40</v>
      </c>
      <c r="I723" s="61"/>
      <c r="J723" s="61"/>
      <c r="K723" s="95"/>
    </row>
    <row r="724" spans="1:11" ht="15.75" x14ac:dyDescent="0.25">
      <c r="A724" s="526"/>
      <c r="B724" s="526"/>
      <c r="C724" s="52">
        <v>148</v>
      </c>
      <c r="D724" s="52">
        <v>89</v>
      </c>
      <c r="E724" s="335">
        <v>1979</v>
      </c>
      <c r="F724" s="338">
        <f t="shared" si="196"/>
        <v>40</v>
      </c>
      <c r="I724" s="61"/>
      <c r="J724" s="61"/>
      <c r="K724" s="95"/>
    </row>
    <row r="725" spans="1:11" ht="15.75" x14ac:dyDescent="0.2">
      <c r="A725" s="525" t="s">
        <v>1440</v>
      </c>
      <c r="B725" s="525" t="s">
        <v>564</v>
      </c>
      <c r="C725" s="52"/>
      <c r="D725" s="52"/>
      <c r="E725" s="335"/>
      <c r="F725" s="63"/>
      <c r="I725" s="61"/>
      <c r="J725" s="61"/>
      <c r="K725" s="95"/>
    </row>
    <row r="726" spans="1:11" ht="15.75" x14ac:dyDescent="0.25">
      <c r="A726" s="531"/>
      <c r="B726" s="531"/>
      <c r="C726" s="143">
        <v>45</v>
      </c>
      <c r="D726" s="52">
        <v>57</v>
      </c>
      <c r="E726" s="335">
        <v>1979</v>
      </c>
      <c r="F726" s="338">
        <f t="shared" ref="F726:F727" si="197">2019-E726</f>
        <v>40</v>
      </c>
      <c r="I726" s="61"/>
      <c r="J726" s="61"/>
      <c r="K726" s="95"/>
    </row>
    <row r="727" spans="1:11" ht="15.75" x14ac:dyDescent="0.25">
      <c r="A727" s="526"/>
      <c r="B727" s="526"/>
      <c r="C727" s="52">
        <v>45</v>
      </c>
      <c r="D727" s="52">
        <v>40</v>
      </c>
      <c r="E727" s="335">
        <v>1979</v>
      </c>
      <c r="F727" s="338">
        <f t="shared" si="197"/>
        <v>40</v>
      </c>
      <c r="I727" s="61"/>
      <c r="J727" s="61"/>
      <c r="K727" s="95"/>
    </row>
    <row r="728" spans="1:11" ht="15.75" x14ac:dyDescent="0.2">
      <c r="A728" s="525" t="s">
        <v>1441</v>
      </c>
      <c r="B728" s="525" t="s">
        <v>1442</v>
      </c>
      <c r="C728" s="52"/>
      <c r="D728" s="52"/>
      <c r="E728" s="335"/>
      <c r="F728" s="63"/>
      <c r="I728" s="61"/>
      <c r="J728" s="61"/>
      <c r="K728" s="95"/>
    </row>
    <row r="729" spans="1:11" ht="15.75" x14ac:dyDescent="0.25">
      <c r="A729" s="531"/>
      <c r="B729" s="531"/>
      <c r="C729" s="143">
        <v>244</v>
      </c>
      <c r="D729" s="52">
        <v>108</v>
      </c>
      <c r="E729" s="335">
        <v>1980</v>
      </c>
      <c r="F729" s="338">
        <f t="shared" ref="F729:F730" si="198">2019-E729</f>
        <v>39</v>
      </c>
      <c r="I729" s="61"/>
      <c r="J729" s="61"/>
      <c r="K729" s="95"/>
    </row>
    <row r="730" spans="1:11" ht="15.75" x14ac:dyDescent="0.25">
      <c r="A730" s="526"/>
      <c r="B730" s="526"/>
      <c r="C730" s="52">
        <v>244</v>
      </c>
      <c r="D730" s="52">
        <v>76</v>
      </c>
      <c r="E730" s="335">
        <v>1980</v>
      </c>
      <c r="F730" s="338">
        <f t="shared" si="198"/>
        <v>39</v>
      </c>
      <c r="I730" s="61"/>
      <c r="J730" s="61"/>
      <c r="K730" s="95"/>
    </row>
    <row r="731" spans="1:11" ht="15.75" x14ac:dyDescent="0.2">
      <c r="A731" s="525" t="s">
        <v>1420</v>
      </c>
      <c r="B731" s="525" t="s">
        <v>1443</v>
      </c>
      <c r="C731" s="52"/>
      <c r="D731" s="52"/>
      <c r="E731" s="335"/>
      <c r="F731" s="63"/>
      <c r="I731" s="61"/>
      <c r="J731" s="61"/>
      <c r="K731" s="95"/>
    </row>
    <row r="732" spans="1:11" ht="15.75" x14ac:dyDescent="0.25">
      <c r="A732" s="531"/>
      <c r="B732" s="531"/>
      <c r="C732" s="143">
        <v>110</v>
      </c>
      <c r="D732" s="52">
        <v>108</v>
      </c>
      <c r="E732" s="335">
        <v>1980</v>
      </c>
      <c r="F732" s="338">
        <f t="shared" ref="F732:F733" si="199">2019-E732</f>
        <v>39</v>
      </c>
      <c r="I732" s="61"/>
      <c r="J732" s="61"/>
      <c r="K732" s="95"/>
    </row>
    <row r="733" spans="1:11" ht="15.75" x14ac:dyDescent="0.25">
      <c r="A733" s="526"/>
      <c r="B733" s="526"/>
      <c r="C733" s="52">
        <v>110</v>
      </c>
      <c r="D733" s="52">
        <v>108</v>
      </c>
      <c r="E733" s="335">
        <v>1980</v>
      </c>
      <c r="F733" s="338">
        <f t="shared" si="199"/>
        <v>39</v>
      </c>
      <c r="I733" s="61"/>
      <c r="J733" s="61"/>
      <c r="K733" s="95"/>
    </row>
    <row r="734" spans="1:11" ht="20.25" customHeight="1" x14ac:dyDescent="0.2">
      <c r="A734" s="525" t="s">
        <v>1444</v>
      </c>
      <c r="B734" s="525" t="s">
        <v>1445</v>
      </c>
      <c r="C734" s="52"/>
      <c r="D734" s="52"/>
      <c r="E734" s="317"/>
      <c r="F734" s="63"/>
      <c r="I734" s="61"/>
      <c r="J734" s="61"/>
      <c r="K734" s="95"/>
    </row>
    <row r="735" spans="1:11" ht="15.75" x14ac:dyDescent="0.25">
      <c r="A735" s="531"/>
      <c r="B735" s="531"/>
      <c r="C735" s="143">
        <v>62</v>
      </c>
      <c r="D735" s="52">
        <v>57</v>
      </c>
      <c r="E735" s="317">
        <v>2010</v>
      </c>
      <c r="F735" s="338">
        <f t="shared" ref="F735:F736" si="200">2019-E735</f>
        <v>9</v>
      </c>
      <c r="I735" s="61"/>
      <c r="J735" s="61"/>
      <c r="K735" s="95"/>
    </row>
    <row r="736" spans="1:11" ht="15.75" x14ac:dyDescent="0.25">
      <c r="A736" s="526"/>
      <c r="B736" s="526"/>
      <c r="C736" s="52">
        <v>62</v>
      </c>
      <c r="D736" s="52">
        <v>40</v>
      </c>
      <c r="E736" s="317">
        <v>2010</v>
      </c>
      <c r="F736" s="338">
        <f t="shared" si="200"/>
        <v>9</v>
      </c>
      <c r="I736" s="61"/>
      <c r="J736" s="61"/>
      <c r="K736" s="95"/>
    </row>
    <row r="737" spans="1:11" ht="17.25" customHeight="1" x14ac:dyDescent="0.2">
      <c r="A737" s="563" t="s">
        <v>186</v>
      </c>
      <c r="B737" s="557" t="s">
        <v>1446</v>
      </c>
      <c r="C737" s="52"/>
      <c r="D737" s="52"/>
      <c r="E737" s="336"/>
      <c r="F737" s="63"/>
      <c r="I737" s="61"/>
      <c r="J737" s="61"/>
      <c r="K737" s="95"/>
    </row>
    <row r="738" spans="1:11" ht="15.75" x14ac:dyDescent="0.25">
      <c r="A738" s="563"/>
      <c r="B738" s="558"/>
      <c r="C738" s="143">
        <v>173</v>
      </c>
      <c r="D738" s="52">
        <v>57</v>
      </c>
      <c r="E738" s="336">
        <v>1980</v>
      </c>
      <c r="F738" s="338">
        <f t="shared" ref="F738:F739" si="201">2019-E738</f>
        <v>39</v>
      </c>
      <c r="I738" s="61"/>
      <c r="J738" s="61"/>
      <c r="K738" s="95"/>
    </row>
    <row r="739" spans="1:11" ht="15.75" x14ac:dyDescent="0.25">
      <c r="A739" s="563"/>
      <c r="B739" s="558"/>
      <c r="C739" s="52">
        <v>173</v>
      </c>
      <c r="D739" s="52">
        <v>40</v>
      </c>
      <c r="E739" s="336">
        <v>1980</v>
      </c>
      <c r="F739" s="338">
        <f t="shared" si="201"/>
        <v>39</v>
      </c>
      <c r="I739" s="61"/>
      <c r="J739" s="61"/>
      <c r="K739" s="95"/>
    </row>
    <row r="740" spans="1:11" ht="15.75" x14ac:dyDescent="0.2">
      <c r="A740" s="43"/>
      <c r="B740" s="43"/>
      <c r="C740" s="141">
        <f>SUM(C691:C739)</f>
        <v>3792</v>
      </c>
      <c r="D740" s="141"/>
      <c r="E740" s="334"/>
      <c r="F740" s="63"/>
      <c r="I740" s="61"/>
      <c r="J740" s="61"/>
      <c r="K740" s="95"/>
    </row>
    <row r="741" spans="1:11" ht="15.75" x14ac:dyDescent="0.2">
      <c r="A741" s="153" t="s">
        <v>1447</v>
      </c>
      <c r="B741" s="154"/>
      <c r="C741" s="154"/>
      <c r="D741" s="154"/>
      <c r="E741" s="154"/>
      <c r="F741" s="63"/>
      <c r="I741" s="61"/>
      <c r="J741" s="61"/>
      <c r="K741" s="95"/>
    </row>
    <row r="742" spans="1:11" ht="22.5" customHeight="1" x14ac:dyDescent="0.2">
      <c r="A742" s="525" t="s">
        <v>256</v>
      </c>
      <c r="B742" s="525" t="s">
        <v>444</v>
      </c>
      <c r="C742" s="52"/>
      <c r="D742" s="52"/>
      <c r="E742" s="335"/>
      <c r="F742" s="63"/>
      <c r="I742" s="61"/>
      <c r="J742" s="61"/>
      <c r="K742" s="95"/>
    </row>
    <row r="743" spans="1:11" ht="22.5" customHeight="1" x14ac:dyDescent="0.25">
      <c r="A743" s="531"/>
      <c r="B743" s="531"/>
      <c r="C743" s="143">
        <v>5</v>
      </c>
      <c r="D743" s="52">
        <v>273</v>
      </c>
      <c r="E743" s="335">
        <v>1988</v>
      </c>
      <c r="F743" s="338">
        <f t="shared" ref="F743:F744" si="202">2019-E743</f>
        <v>31</v>
      </c>
      <c r="I743" s="61"/>
      <c r="J743" s="61"/>
      <c r="K743" s="95"/>
    </row>
    <row r="744" spans="1:11" ht="22.5" customHeight="1" x14ac:dyDescent="0.25">
      <c r="A744" s="526"/>
      <c r="B744" s="526"/>
      <c r="C744" s="52">
        <v>5</v>
      </c>
      <c r="D744" s="52">
        <v>159</v>
      </c>
      <c r="E744" s="335">
        <v>1988</v>
      </c>
      <c r="F744" s="338">
        <f t="shared" si="202"/>
        <v>31</v>
      </c>
      <c r="I744" s="61"/>
      <c r="J744" s="61"/>
      <c r="K744" s="95"/>
    </row>
    <row r="745" spans="1:11" ht="15.75" x14ac:dyDescent="0.2">
      <c r="A745" s="91" t="s">
        <v>337</v>
      </c>
      <c r="B745" s="91" t="s">
        <v>1448</v>
      </c>
      <c r="C745" s="52"/>
      <c r="D745" s="52"/>
      <c r="E745" s="335"/>
      <c r="F745" s="63"/>
      <c r="I745" s="61"/>
      <c r="J745" s="61"/>
      <c r="K745" s="95"/>
    </row>
    <row r="746" spans="1:11" ht="15.75" x14ac:dyDescent="0.25">
      <c r="A746" s="91" t="s">
        <v>337</v>
      </c>
      <c r="B746" s="91" t="s">
        <v>1448</v>
      </c>
      <c r="C746" s="143">
        <v>85</v>
      </c>
      <c r="D746" s="52">
        <v>108</v>
      </c>
      <c r="E746" s="335">
        <v>1988</v>
      </c>
      <c r="F746" s="338">
        <f t="shared" ref="F746:F747" si="203">2019-E746</f>
        <v>31</v>
      </c>
      <c r="I746" s="61"/>
      <c r="J746" s="61"/>
      <c r="K746" s="95"/>
    </row>
    <row r="747" spans="1:11" ht="15.75" x14ac:dyDescent="0.25">
      <c r="A747" s="91" t="s">
        <v>337</v>
      </c>
      <c r="B747" s="91" t="s">
        <v>1449</v>
      </c>
      <c r="C747" s="52">
        <v>85</v>
      </c>
      <c r="D747" s="52">
        <v>76</v>
      </c>
      <c r="E747" s="335">
        <v>1988</v>
      </c>
      <c r="F747" s="338">
        <f t="shared" si="203"/>
        <v>31</v>
      </c>
      <c r="I747" s="61"/>
      <c r="J747" s="61"/>
      <c r="K747" s="95"/>
    </row>
    <row r="748" spans="1:11" ht="15.75" x14ac:dyDescent="0.25">
      <c r="A748" s="91" t="s">
        <v>1450</v>
      </c>
      <c r="B748" s="91" t="s">
        <v>575</v>
      </c>
      <c r="C748" s="143">
        <v>46</v>
      </c>
      <c r="D748" s="52">
        <v>89</v>
      </c>
      <c r="E748" s="335">
        <v>1988</v>
      </c>
      <c r="F748" s="338">
        <f t="shared" ref="F748:F749" si="204">2019-E748</f>
        <v>31</v>
      </c>
      <c r="I748" s="61"/>
      <c r="J748" s="61"/>
      <c r="K748" s="95"/>
    </row>
    <row r="749" spans="1:11" ht="15.75" x14ac:dyDescent="0.25">
      <c r="A749" s="91" t="s">
        <v>1450</v>
      </c>
      <c r="B749" s="91" t="s">
        <v>575</v>
      </c>
      <c r="C749" s="52">
        <v>46</v>
      </c>
      <c r="D749" s="52">
        <v>57</v>
      </c>
      <c r="E749" s="335">
        <v>1988</v>
      </c>
      <c r="F749" s="338">
        <f t="shared" si="204"/>
        <v>31</v>
      </c>
      <c r="I749" s="61"/>
      <c r="J749" s="61"/>
      <c r="K749" s="95"/>
    </row>
    <row r="750" spans="1:11" ht="15.75" x14ac:dyDescent="0.25">
      <c r="A750" s="91" t="s">
        <v>611</v>
      </c>
      <c r="B750" s="91" t="s">
        <v>1451</v>
      </c>
      <c r="C750" s="143">
        <v>31</v>
      </c>
      <c r="D750" s="52">
        <v>76</v>
      </c>
      <c r="E750" s="335">
        <v>1987</v>
      </c>
      <c r="F750" s="338">
        <f t="shared" ref="F750:F751" si="205">2019-E750</f>
        <v>32</v>
      </c>
      <c r="I750" s="61"/>
      <c r="J750" s="61"/>
      <c r="K750" s="95"/>
    </row>
    <row r="751" spans="1:11" ht="21.75" customHeight="1" x14ac:dyDescent="0.25">
      <c r="A751" s="91" t="s">
        <v>611</v>
      </c>
      <c r="B751" s="91" t="s">
        <v>1451</v>
      </c>
      <c r="C751" s="52">
        <v>31</v>
      </c>
      <c r="D751" s="52">
        <v>40</v>
      </c>
      <c r="E751" s="335">
        <v>1987</v>
      </c>
      <c r="F751" s="338">
        <f t="shared" si="205"/>
        <v>32</v>
      </c>
      <c r="I751" s="61"/>
      <c r="J751" s="61"/>
      <c r="K751" s="95"/>
    </row>
    <row r="752" spans="1:11" ht="15.75" x14ac:dyDescent="0.25">
      <c r="A752" s="91" t="s">
        <v>920</v>
      </c>
      <c r="B752" s="91" t="s">
        <v>1452</v>
      </c>
      <c r="C752" s="143">
        <v>40</v>
      </c>
      <c r="D752" s="52">
        <v>57</v>
      </c>
      <c r="E752" s="335">
        <v>1988</v>
      </c>
      <c r="F752" s="338">
        <f t="shared" ref="F752:F753" si="206">2019-E752</f>
        <v>31</v>
      </c>
      <c r="I752" s="61"/>
      <c r="J752" s="61"/>
      <c r="K752" s="95"/>
    </row>
    <row r="753" spans="1:11" ht="15.75" x14ac:dyDescent="0.25">
      <c r="A753" s="91" t="s">
        <v>920</v>
      </c>
      <c r="B753" s="91" t="s">
        <v>1453</v>
      </c>
      <c r="C753" s="52">
        <v>40</v>
      </c>
      <c r="D753" s="52">
        <v>57</v>
      </c>
      <c r="E753" s="335">
        <v>1988</v>
      </c>
      <c r="F753" s="338">
        <f t="shared" si="206"/>
        <v>31</v>
      </c>
      <c r="I753" s="61"/>
      <c r="J753" s="61"/>
      <c r="K753" s="95"/>
    </row>
    <row r="754" spans="1:11" ht="31.5" x14ac:dyDescent="0.25">
      <c r="A754" s="91" t="s">
        <v>1454</v>
      </c>
      <c r="B754" s="91" t="s">
        <v>1208</v>
      </c>
      <c r="C754" s="143">
        <v>15</v>
      </c>
      <c r="D754" s="52">
        <v>108</v>
      </c>
      <c r="E754" s="335">
        <v>1988</v>
      </c>
      <c r="F754" s="338">
        <f t="shared" ref="F754:F755" si="207">2019-E754</f>
        <v>31</v>
      </c>
      <c r="I754" s="61"/>
      <c r="J754" s="61"/>
      <c r="K754" s="95"/>
    </row>
    <row r="755" spans="1:11" ht="31.5" x14ac:dyDescent="0.25">
      <c r="A755" s="91" t="s">
        <v>1454</v>
      </c>
      <c r="B755" s="91" t="s">
        <v>1208</v>
      </c>
      <c r="C755" s="52">
        <v>15</v>
      </c>
      <c r="D755" s="52">
        <v>89</v>
      </c>
      <c r="E755" s="335">
        <v>1988</v>
      </c>
      <c r="F755" s="338">
        <f t="shared" si="207"/>
        <v>31</v>
      </c>
      <c r="I755" s="61"/>
      <c r="J755" s="61"/>
      <c r="K755" s="95"/>
    </row>
    <row r="756" spans="1:11" ht="15.75" x14ac:dyDescent="0.25">
      <c r="A756" s="91" t="s">
        <v>1455</v>
      </c>
      <c r="B756" s="91" t="s">
        <v>1456</v>
      </c>
      <c r="C756" s="143">
        <v>18</v>
      </c>
      <c r="D756" s="52">
        <v>89</v>
      </c>
      <c r="E756" s="335">
        <v>1987</v>
      </c>
      <c r="F756" s="338">
        <f t="shared" ref="F756:F757" si="208">2019-E756</f>
        <v>32</v>
      </c>
      <c r="I756" s="61"/>
      <c r="J756" s="61"/>
      <c r="K756" s="95"/>
    </row>
    <row r="757" spans="1:11" ht="15" customHeight="1" x14ac:dyDescent="0.25">
      <c r="A757" s="91" t="s">
        <v>1455</v>
      </c>
      <c r="B757" s="91" t="s">
        <v>1456</v>
      </c>
      <c r="C757" s="52">
        <v>18</v>
      </c>
      <c r="D757" s="52">
        <v>57</v>
      </c>
      <c r="E757" s="335">
        <v>1987</v>
      </c>
      <c r="F757" s="338">
        <f t="shared" si="208"/>
        <v>32</v>
      </c>
      <c r="I757" s="61"/>
      <c r="J757" s="61"/>
      <c r="K757" s="95"/>
    </row>
    <row r="758" spans="1:11" ht="15.75" x14ac:dyDescent="0.2">
      <c r="A758" s="525" t="s">
        <v>422</v>
      </c>
      <c r="B758" s="525" t="s">
        <v>423</v>
      </c>
      <c r="C758" s="52"/>
      <c r="D758" s="52"/>
      <c r="E758" s="335"/>
      <c r="F758" s="63"/>
      <c r="I758" s="61"/>
      <c r="J758" s="61"/>
      <c r="K758" s="95"/>
    </row>
    <row r="759" spans="1:11" ht="15.75" x14ac:dyDescent="0.25">
      <c r="A759" s="531"/>
      <c r="B759" s="531"/>
      <c r="C759" s="143">
        <v>29</v>
      </c>
      <c r="D759" s="52">
        <v>133</v>
      </c>
      <c r="E759" s="335">
        <v>1988</v>
      </c>
      <c r="F759" s="338">
        <f t="shared" ref="F759:F760" si="209">2019-E759</f>
        <v>31</v>
      </c>
      <c r="I759" s="61"/>
      <c r="J759" s="61"/>
      <c r="K759" s="95"/>
    </row>
    <row r="760" spans="1:11" ht="15.75" x14ac:dyDescent="0.25">
      <c r="A760" s="526"/>
      <c r="B760" s="526"/>
      <c r="C760" s="52">
        <v>29</v>
      </c>
      <c r="D760" s="52">
        <v>108</v>
      </c>
      <c r="E760" s="335">
        <v>1988</v>
      </c>
      <c r="F760" s="338">
        <f t="shared" si="209"/>
        <v>31</v>
      </c>
      <c r="I760" s="61"/>
      <c r="J760" s="61"/>
      <c r="K760" s="95"/>
    </row>
    <row r="761" spans="1:11" ht="15.75" x14ac:dyDescent="0.25">
      <c r="A761" s="91" t="s">
        <v>1205</v>
      </c>
      <c r="B761" s="91" t="s">
        <v>1460</v>
      </c>
      <c r="C761" s="52">
        <v>32</v>
      </c>
      <c r="D761" s="52">
        <v>57</v>
      </c>
      <c r="E761" s="335">
        <v>1988</v>
      </c>
      <c r="F761" s="338">
        <f t="shared" ref="F761:F764" si="210">2019-E761</f>
        <v>31</v>
      </c>
      <c r="I761" s="61"/>
      <c r="J761" s="61"/>
      <c r="K761" s="95"/>
    </row>
    <row r="762" spans="1:11" ht="31.5" x14ac:dyDescent="0.25">
      <c r="A762" s="91" t="s">
        <v>1458</v>
      </c>
      <c r="B762" s="91" t="s">
        <v>1459</v>
      </c>
      <c r="C762" s="52">
        <v>68</v>
      </c>
      <c r="D762" s="52">
        <v>57</v>
      </c>
      <c r="E762" s="335">
        <v>1988</v>
      </c>
      <c r="F762" s="338">
        <f t="shared" si="210"/>
        <v>31</v>
      </c>
      <c r="I762" s="61"/>
      <c r="J762" s="61"/>
      <c r="K762" s="95"/>
    </row>
    <row r="763" spans="1:11" ht="15.75" x14ac:dyDescent="0.25">
      <c r="A763" s="91" t="s">
        <v>1088</v>
      </c>
      <c r="B763" s="91" t="s">
        <v>1457</v>
      </c>
      <c r="C763" s="143">
        <v>32</v>
      </c>
      <c r="D763" s="52">
        <v>89</v>
      </c>
      <c r="E763" s="335">
        <v>1988</v>
      </c>
      <c r="F763" s="338">
        <f t="shared" si="210"/>
        <v>31</v>
      </c>
      <c r="I763" s="61"/>
      <c r="J763" s="61"/>
      <c r="K763" s="95"/>
    </row>
    <row r="764" spans="1:11" ht="31.5" x14ac:dyDescent="0.25">
      <c r="A764" s="91" t="s">
        <v>1458</v>
      </c>
      <c r="B764" s="91" t="s">
        <v>1459</v>
      </c>
      <c r="C764" s="143">
        <v>68</v>
      </c>
      <c r="D764" s="52">
        <v>76</v>
      </c>
      <c r="E764" s="335">
        <v>1988</v>
      </c>
      <c r="F764" s="338">
        <f t="shared" si="210"/>
        <v>31</v>
      </c>
      <c r="I764" s="61"/>
      <c r="J764" s="61"/>
      <c r="K764" s="95"/>
    </row>
    <row r="765" spans="1:11" ht="15.75" x14ac:dyDescent="0.25">
      <c r="A765" s="91" t="s">
        <v>612</v>
      </c>
      <c r="B765" s="91" t="s">
        <v>1461</v>
      </c>
      <c r="C765" s="143">
        <v>25</v>
      </c>
      <c r="D765" s="52">
        <v>57</v>
      </c>
      <c r="E765" s="335">
        <v>1988</v>
      </c>
      <c r="F765" s="338">
        <f t="shared" ref="F765:F766" si="211">2019-E765</f>
        <v>31</v>
      </c>
      <c r="I765" s="61"/>
      <c r="J765" s="61"/>
      <c r="K765" s="95"/>
    </row>
    <row r="766" spans="1:11" ht="15.75" x14ac:dyDescent="0.25">
      <c r="A766" s="91" t="s">
        <v>612</v>
      </c>
      <c r="B766" s="91" t="s">
        <v>1461</v>
      </c>
      <c r="C766" s="52">
        <v>25</v>
      </c>
      <c r="D766" s="52">
        <v>40</v>
      </c>
      <c r="E766" s="335">
        <v>1988</v>
      </c>
      <c r="F766" s="338">
        <f t="shared" si="211"/>
        <v>31</v>
      </c>
      <c r="I766" s="61"/>
      <c r="J766" s="61"/>
      <c r="K766" s="95"/>
    </row>
    <row r="767" spans="1:11" ht="15.75" x14ac:dyDescent="0.2">
      <c r="A767" s="525" t="s">
        <v>1462</v>
      </c>
      <c r="B767" s="525" t="s">
        <v>1463</v>
      </c>
      <c r="C767" s="52"/>
      <c r="D767" s="52"/>
      <c r="E767" s="335"/>
      <c r="F767" s="63"/>
      <c r="I767" s="61"/>
      <c r="J767" s="61"/>
      <c r="K767" s="95"/>
    </row>
    <row r="768" spans="1:11" ht="15.75" x14ac:dyDescent="0.25">
      <c r="A768" s="531"/>
      <c r="B768" s="531"/>
      <c r="C768" s="143">
        <v>40</v>
      </c>
      <c r="D768" s="52">
        <v>108</v>
      </c>
      <c r="E768" s="335">
        <v>1989</v>
      </c>
      <c r="F768" s="338">
        <f t="shared" ref="F768:F769" si="212">2019-E768</f>
        <v>30</v>
      </c>
      <c r="I768" s="61"/>
      <c r="J768" s="61"/>
      <c r="K768" s="95"/>
    </row>
    <row r="769" spans="1:11" ht="15.75" x14ac:dyDescent="0.25">
      <c r="A769" s="526"/>
      <c r="B769" s="526"/>
      <c r="C769" s="52">
        <v>40</v>
      </c>
      <c r="D769" s="52">
        <v>76</v>
      </c>
      <c r="E769" s="335">
        <v>1989</v>
      </c>
      <c r="F769" s="338">
        <f t="shared" si="212"/>
        <v>30</v>
      </c>
      <c r="I769" s="61"/>
      <c r="J769" s="61"/>
      <c r="K769" s="95"/>
    </row>
    <row r="770" spans="1:11" ht="15.75" x14ac:dyDescent="0.25">
      <c r="A770" s="91" t="s">
        <v>186</v>
      </c>
      <c r="B770" s="91" t="s">
        <v>1087</v>
      </c>
      <c r="C770" s="143">
        <v>30</v>
      </c>
      <c r="D770" s="52">
        <v>133</v>
      </c>
      <c r="E770" s="317">
        <v>2007</v>
      </c>
      <c r="F770" s="338">
        <f t="shared" ref="F770:F771" si="213">2019-E770</f>
        <v>12</v>
      </c>
      <c r="I770" s="61"/>
      <c r="J770" s="61"/>
      <c r="K770" s="95"/>
    </row>
    <row r="771" spans="1:11" ht="15.75" x14ac:dyDescent="0.25">
      <c r="A771" s="91" t="s">
        <v>186</v>
      </c>
      <c r="B771" s="91" t="s">
        <v>1087</v>
      </c>
      <c r="C771" s="52">
        <v>30</v>
      </c>
      <c r="D771" s="52">
        <v>108</v>
      </c>
      <c r="E771" s="317">
        <v>2007</v>
      </c>
      <c r="F771" s="338">
        <f t="shared" si="213"/>
        <v>12</v>
      </c>
      <c r="I771" s="61"/>
      <c r="J771" s="61"/>
      <c r="K771" s="95"/>
    </row>
    <row r="772" spans="1:11" ht="15.75" x14ac:dyDescent="0.25">
      <c r="A772" s="91" t="s">
        <v>498</v>
      </c>
      <c r="B772" s="91" t="s">
        <v>1382</v>
      </c>
      <c r="C772" s="143">
        <v>76</v>
      </c>
      <c r="D772" s="52">
        <v>219</v>
      </c>
      <c r="E772" s="335">
        <v>1987</v>
      </c>
      <c r="F772" s="338">
        <f t="shared" ref="F772:F773" si="214">2019-E772</f>
        <v>32</v>
      </c>
      <c r="I772" s="61"/>
      <c r="J772" s="61"/>
      <c r="K772" s="95"/>
    </row>
    <row r="773" spans="1:11" ht="15.75" x14ac:dyDescent="0.25">
      <c r="A773" s="91" t="s">
        <v>498</v>
      </c>
      <c r="B773" s="91" t="s">
        <v>1382</v>
      </c>
      <c r="C773" s="52">
        <v>76</v>
      </c>
      <c r="D773" s="52">
        <v>159</v>
      </c>
      <c r="E773" s="335">
        <v>1987</v>
      </c>
      <c r="F773" s="338">
        <f t="shared" si="214"/>
        <v>32</v>
      </c>
      <c r="I773" s="61"/>
      <c r="J773" s="61"/>
      <c r="K773" s="95"/>
    </row>
    <row r="774" spans="1:11" ht="15.75" x14ac:dyDescent="0.25">
      <c r="A774" s="91" t="s">
        <v>186</v>
      </c>
      <c r="B774" s="91" t="s">
        <v>1464</v>
      </c>
      <c r="C774" s="143">
        <v>31</v>
      </c>
      <c r="D774" s="52">
        <v>89</v>
      </c>
      <c r="E774" s="317">
        <v>2008</v>
      </c>
      <c r="F774" s="338">
        <f t="shared" ref="F774:F775" si="215">2019-E774</f>
        <v>11</v>
      </c>
      <c r="I774" s="61"/>
      <c r="J774" s="61"/>
      <c r="K774" s="95"/>
    </row>
    <row r="775" spans="1:11" ht="15.75" x14ac:dyDescent="0.25">
      <c r="A775" s="91" t="s">
        <v>186</v>
      </c>
      <c r="B775" s="91" t="s">
        <v>1464</v>
      </c>
      <c r="C775" s="52">
        <v>31</v>
      </c>
      <c r="D775" s="52">
        <v>76</v>
      </c>
      <c r="E775" s="317">
        <v>2008</v>
      </c>
      <c r="F775" s="338">
        <f t="shared" si="215"/>
        <v>11</v>
      </c>
      <c r="I775" s="61"/>
      <c r="J775" s="61"/>
      <c r="K775" s="95"/>
    </row>
    <row r="776" spans="1:11" ht="15.75" x14ac:dyDescent="0.2">
      <c r="A776" s="43"/>
      <c r="B776" s="43"/>
      <c r="C776" s="141">
        <f>SUM(C742:C775)</f>
        <v>1142</v>
      </c>
      <c r="D776" s="141"/>
      <c r="E776" s="334"/>
      <c r="F776" s="63"/>
      <c r="I776" s="61"/>
      <c r="J776" s="61"/>
      <c r="K776" s="95"/>
    </row>
    <row r="777" spans="1:11" ht="15.75" x14ac:dyDescent="0.2">
      <c r="A777" s="153" t="s">
        <v>1465</v>
      </c>
      <c r="B777" s="154"/>
      <c r="C777" s="154"/>
      <c r="D777" s="154"/>
      <c r="E777" s="154"/>
      <c r="F777" s="63"/>
      <c r="I777" s="61"/>
      <c r="J777" s="61"/>
      <c r="K777" s="95"/>
    </row>
    <row r="778" spans="1:11" ht="22.5" customHeight="1" x14ac:dyDescent="0.2">
      <c r="A778" s="525" t="s">
        <v>385</v>
      </c>
      <c r="B778" s="525" t="s">
        <v>1466</v>
      </c>
      <c r="C778" s="155"/>
      <c r="D778" s="52"/>
      <c r="E778" s="335"/>
      <c r="F778" s="63"/>
      <c r="I778" s="61"/>
      <c r="J778" s="61"/>
      <c r="K778" s="95"/>
    </row>
    <row r="779" spans="1:11" ht="15.75" x14ac:dyDescent="0.25">
      <c r="A779" s="531"/>
      <c r="B779" s="531"/>
      <c r="C779" s="143">
        <v>26</v>
      </c>
      <c r="D779" s="52">
        <v>159</v>
      </c>
      <c r="E779" s="335">
        <v>1990</v>
      </c>
      <c r="F779" s="338">
        <f t="shared" ref="F779:F780" si="216">2019-E779</f>
        <v>29</v>
      </c>
      <c r="I779" s="61"/>
      <c r="J779" s="61"/>
      <c r="K779" s="95"/>
    </row>
    <row r="780" spans="1:11" ht="15.75" x14ac:dyDescent="0.25">
      <c r="A780" s="526"/>
      <c r="B780" s="526"/>
      <c r="C780" s="52">
        <v>26</v>
      </c>
      <c r="D780" s="52">
        <v>108</v>
      </c>
      <c r="E780" s="335">
        <v>1990</v>
      </c>
      <c r="F780" s="338">
        <f t="shared" si="216"/>
        <v>29</v>
      </c>
      <c r="I780" s="61"/>
      <c r="J780" s="61"/>
      <c r="K780" s="95"/>
    </row>
    <row r="781" spans="1:11" ht="15.75" x14ac:dyDescent="0.2">
      <c r="A781" s="525" t="s">
        <v>1467</v>
      </c>
      <c r="B781" s="525" t="s">
        <v>638</v>
      </c>
      <c r="C781" s="155"/>
      <c r="D781" s="155"/>
      <c r="E781" s="335"/>
      <c r="F781" s="63"/>
      <c r="I781" s="61"/>
      <c r="J781" s="61"/>
      <c r="K781" s="95"/>
    </row>
    <row r="782" spans="1:11" ht="15.75" x14ac:dyDescent="0.25">
      <c r="A782" s="531"/>
      <c r="B782" s="531"/>
      <c r="C782" s="143">
        <v>36</v>
      </c>
      <c r="D782" s="52">
        <v>219</v>
      </c>
      <c r="E782" s="335">
        <v>1988</v>
      </c>
      <c r="F782" s="338">
        <f t="shared" ref="F782:F783" si="217">2019-E782</f>
        <v>31</v>
      </c>
      <c r="I782" s="61"/>
      <c r="J782" s="61"/>
      <c r="K782" s="95"/>
    </row>
    <row r="783" spans="1:11" ht="15.75" x14ac:dyDescent="0.25">
      <c r="A783" s="526"/>
      <c r="B783" s="526"/>
      <c r="C783" s="52">
        <v>36</v>
      </c>
      <c r="D783" s="52">
        <v>133</v>
      </c>
      <c r="E783" s="335">
        <v>1988</v>
      </c>
      <c r="F783" s="338">
        <f t="shared" si="217"/>
        <v>31</v>
      </c>
      <c r="I783" s="61"/>
      <c r="J783" s="61"/>
      <c r="K783" s="95"/>
    </row>
    <row r="784" spans="1:11" ht="15.75" x14ac:dyDescent="0.2">
      <c r="A784" s="156"/>
      <c r="B784" s="156"/>
      <c r="C784" s="141">
        <f>SUM(C778:C783)</f>
        <v>124</v>
      </c>
      <c r="D784" s="141"/>
      <c r="E784" s="334"/>
      <c r="F784" s="63"/>
      <c r="I784" s="61"/>
      <c r="J784" s="61"/>
      <c r="K784" s="95"/>
    </row>
    <row r="785" spans="1:11" ht="15.75" customHeight="1" x14ac:dyDescent="0.25">
      <c r="A785" s="158" t="s">
        <v>1468</v>
      </c>
      <c r="B785" s="159"/>
      <c r="C785" s="159"/>
      <c r="D785" s="159"/>
      <c r="E785" s="159"/>
      <c r="F785" s="337"/>
      <c r="G785" s="103"/>
      <c r="H785" s="103"/>
      <c r="I785" s="103"/>
      <c r="J785" s="103"/>
    </row>
    <row r="786" spans="1:11" ht="19.5" customHeight="1" x14ac:dyDescent="0.25">
      <c r="A786" s="525" t="s">
        <v>1469</v>
      </c>
      <c r="B786" s="525" t="s">
        <v>748</v>
      </c>
      <c r="C786" s="53"/>
      <c r="D786" s="53"/>
      <c r="E786" s="317"/>
      <c r="F786" s="337"/>
      <c r="G786" s="103"/>
      <c r="H786" s="103"/>
      <c r="I786" s="103"/>
      <c r="J786" s="103"/>
    </row>
    <row r="787" spans="1:11" ht="19.5" customHeight="1" x14ac:dyDescent="0.25">
      <c r="A787" s="531"/>
      <c r="B787" s="531"/>
      <c r="C787" s="145">
        <v>29</v>
      </c>
      <c r="D787" s="53">
        <v>89</v>
      </c>
      <c r="E787" s="317">
        <v>1980</v>
      </c>
      <c r="F787" s="338">
        <f t="shared" ref="F787:F788" si="218">2019-E787</f>
        <v>39</v>
      </c>
      <c r="G787" s="103"/>
      <c r="H787" s="103"/>
      <c r="I787" s="103"/>
      <c r="J787" s="103"/>
    </row>
    <row r="788" spans="1:11" ht="19.5" customHeight="1" x14ac:dyDescent="0.25">
      <c r="A788" s="526"/>
      <c r="B788" s="526"/>
      <c r="C788" s="53">
        <v>29</v>
      </c>
      <c r="D788" s="53">
        <v>57</v>
      </c>
      <c r="E788" s="317">
        <v>1980</v>
      </c>
      <c r="F788" s="338">
        <f t="shared" si="218"/>
        <v>39</v>
      </c>
      <c r="G788" s="103"/>
      <c r="H788" s="103"/>
      <c r="I788" s="103"/>
      <c r="J788" s="103"/>
    </row>
    <row r="789" spans="1:11" ht="19.5" customHeight="1" x14ac:dyDescent="0.25">
      <c r="A789" s="525" t="s">
        <v>250</v>
      </c>
      <c r="B789" s="525" t="s">
        <v>186</v>
      </c>
      <c r="C789" s="53"/>
      <c r="D789" s="53"/>
      <c r="E789" s="317"/>
      <c r="F789" s="337"/>
      <c r="G789" s="103"/>
      <c r="H789" s="103"/>
      <c r="I789" s="103"/>
      <c r="J789" s="103"/>
      <c r="K789" s="95"/>
    </row>
    <row r="790" spans="1:11" ht="19.5" customHeight="1" x14ac:dyDescent="0.25">
      <c r="A790" s="531"/>
      <c r="B790" s="531"/>
      <c r="C790" s="145">
        <v>70</v>
      </c>
      <c r="D790" s="53">
        <v>89</v>
      </c>
      <c r="E790" s="317">
        <v>1979</v>
      </c>
      <c r="F790" s="338">
        <f t="shared" ref="F790:F791" si="219">2019-E790</f>
        <v>40</v>
      </c>
      <c r="G790" s="103"/>
      <c r="H790" s="103"/>
      <c r="I790" s="103"/>
      <c r="J790" s="103"/>
      <c r="K790" s="95"/>
    </row>
    <row r="791" spans="1:11" ht="19.5" customHeight="1" x14ac:dyDescent="0.25">
      <c r="A791" s="526"/>
      <c r="B791" s="526"/>
      <c r="C791" s="53">
        <v>70</v>
      </c>
      <c r="D791" s="53">
        <v>76</v>
      </c>
      <c r="E791" s="317">
        <v>1979</v>
      </c>
      <c r="F791" s="338">
        <f t="shared" si="219"/>
        <v>40</v>
      </c>
      <c r="G791" s="103"/>
      <c r="H791" s="103"/>
      <c r="I791" s="103"/>
      <c r="J791" s="103"/>
      <c r="K791" s="95"/>
    </row>
    <row r="792" spans="1:11" ht="19.5" customHeight="1" x14ac:dyDescent="0.25">
      <c r="A792" s="525" t="s">
        <v>250</v>
      </c>
      <c r="B792" s="525" t="s">
        <v>1470</v>
      </c>
      <c r="C792" s="53"/>
      <c r="D792" s="53"/>
      <c r="E792" s="317"/>
      <c r="F792" s="337"/>
      <c r="G792" s="103"/>
      <c r="H792" s="103"/>
      <c r="I792" s="103"/>
      <c r="J792" s="103"/>
      <c r="K792" s="95"/>
    </row>
    <row r="793" spans="1:11" ht="19.5" customHeight="1" x14ac:dyDescent="0.25">
      <c r="A793" s="531"/>
      <c r="B793" s="531"/>
      <c r="C793" s="145">
        <v>44</v>
      </c>
      <c r="D793" s="53">
        <v>89</v>
      </c>
      <c r="E793" s="317">
        <v>1979</v>
      </c>
      <c r="F793" s="338">
        <f t="shared" ref="F793:F794" si="220">2019-E793</f>
        <v>40</v>
      </c>
      <c r="G793" s="103"/>
      <c r="H793" s="103"/>
      <c r="I793" s="103"/>
      <c r="J793" s="103"/>
      <c r="K793" s="95"/>
    </row>
    <row r="794" spans="1:11" ht="19.5" customHeight="1" x14ac:dyDescent="0.25">
      <c r="A794" s="526"/>
      <c r="B794" s="526"/>
      <c r="C794" s="53">
        <v>44</v>
      </c>
      <c r="D794" s="53">
        <v>57</v>
      </c>
      <c r="E794" s="317">
        <v>1979</v>
      </c>
      <c r="F794" s="338">
        <f t="shared" si="220"/>
        <v>40</v>
      </c>
      <c r="G794" s="103"/>
      <c r="H794" s="103"/>
      <c r="I794" s="103"/>
      <c r="J794" s="103"/>
      <c r="K794" s="95"/>
    </row>
    <row r="795" spans="1:11" ht="19.5" customHeight="1" x14ac:dyDescent="0.25">
      <c r="A795" s="525" t="s">
        <v>1471</v>
      </c>
      <c r="B795" s="525" t="s">
        <v>1263</v>
      </c>
      <c r="C795" s="53"/>
      <c r="D795" s="53"/>
      <c r="E795" s="317"/>
      <c r="F795" s="337"/>
      <c r="G795" s="103"/>
      <c r="H795" s="103"/>
      <c r="I795" s="103"/>
      <c r="J795" s="103"/>
      <c r="K795" s="95"/>
    </row>
    <row r="796" spans="1:11" ht="19.5" customHeight="1" x14ac:dyDescent="0.25">
      <c r="A796" s="531"/>
      <c r="B796" s="531"/>
      <c r="C796" s="145">
        <v>16</v>
      </c>
      <c r="D796" s="53">
        <v>89</v>
      </c>
      <c r="E796" s="317">
        <v>1981</v>
      </c>
      <c r="F796" s="338">
        <f t="shared" ref="F796:F797" si="221">2019-E796</f>
        <v>38</v>
      </c>
      <c r="G796" s="103"/>
      <c r="H796" s="103"/>
      <c r="I796" s="103"/>
      <c r="J796" s="103"/>
      <c r="K796" s="95"/>
    </row>
    <row r="797" spans="1:11" ht="19.5" customHeight="1" x14ac:dyDescent="0.25">
      <c r="A797" s="526"/>
      <c r="B797" s="526"/>
      <c r="C797" s="53">
        <v>16</v>
      </c>
      <c r="D797" s="53">
        <v>76</v>
      </c>
      <c r="E797" s="317">
        <v>1981</v>
      </c>
      <c r="F797" s="338">
        <f t="shared" si="221"/>
        <v>38</v>
      </c>
      <c r="G797" s="103"/>
      <c r="H797" s="103"/>
      <c r="I797" s="103"/>
      <c r="J797" s="103"/>
      <c r="K797" s="95"/>
    </row>
    <row r="798" spans="1:11" ht="19.5" customHeight="1" x14ac:dyDescent="0.25">
      <c r="A798" s="525" t="s">
        <v>959</v>
      </c>
      <c r="B798" s="525" t="s">
        <v>1472</v>
      </c>
      <c r="C798" s="53"/>
      <c r="D798" s="53"/>
      <c r="E798" s="317"/>
      <c r="F798" s="337"/>
      <c r="G798" s="103"/>
      <c r="H798" s="103"/>
      <c r="I798" s="103"/>
      <c r="J798" s="103"/>
      <c r="K798" s="95"/>
    </row>
    <row r="799" spans="1:11" ht="19.5" customHeight="1" x14ac:dyDescent="0.25">
      <c r="A799" s="531"/>
      <c r="B799" s="531"/>
      <c r="C799" s="145">
        <v>15</v>
      </c>
      <c r="D799" s="53">
        <v>108</v>
      </c>
      <c r="E799" s="317">
        <v>1980</v>
      </c>
      <c r="F799" s="338">
        <f t="shared" ref="F799:F800" si="222">2019-E799</f>
        <v>39</v>
      </c>
      <c r="G799" s="103"/>
      <c r="H799" s="103"/>
      <c r="I799" s="103"/>
      <c r="J799" s="103"/>
      <c r="K799" s="95"/>
    </row>
    <row r="800" spans="1:11" ht="19.5" customHeight="1" x14ac:dyDescent="0.25">
      <c r="A800" s="526"/>
      <c r="B800" s="526"/>
      <c r="C800" s="53">
        <v>15</v>
      </c>
      <c r="D800" s="53">
        <v>57</v>
      </c>
      <c r="E800" s="317">
        <v>1980</v>
      </c>
      <c r="F800" s="338">
        <f t="shared" si="222"/>
        <v>39</v>
      </c>
      <c r="G800" s="103"/>
      <c r="H800" s="103"/>
      <c r="I800" s="103"/>
      <c r="J800" s="103"/>
      <c r="K800" s="95"/>
    </row>
    <row r="801" spans="1:11" ht="19.5" customHeight="1" x14ac:dyDescent="0.25">
      <c r="A801" s="525" t="s">
        <v>1473</v>
      </c>
      <c r="B801" s="525" t="s">
        <v>1205</v>
      </c>
      <c r="C801" s="53"/>
      <c r="D801" s="53"/>
      <c r="E801" s="317"/>
      <c r="F801" s="337"/>
      <c r="G801" s="103"/>
      <c r="H801" s="103"/>
      <c r="I801" s="103"/>
      <c r="J801" s="103"/>
      <c r="K801" s="95"/>
    </row>
    <row r="802" spans="1:11" ht="19.5" customHeight="1" x14ac:dyDescent="0.25">
      <c r="A802" s="531"/>
      <c r="B802" s="531"/>
      <c r="C802" s="145">
        <v>62</v>
      </c>
      <c r="D802" s="53">
        <v>108</v>
      </c>
      <c r="E802" s="317">
        <v>1979</v>
      </c>
      <c r="F802" s="338">
        <f t="shared" ref="F802:F803" si="223">2019-E802</f>
        <v>40</v>
      </c>
      <c r="G802" s="103"/>
      <c r="H802" s="103"/>
      <c r="I802" s="103"/>
      <c r="J802" s="103"/>
      <c r="K802" s="95"/>
    </row>
    <row r="803" spans="1:11" ht="19.5" customHeight="1" x14ac:dyDescent="0.25">
      <c r="A803" s="526"/>
      <c r="B803" s="526"/>
      <c r="C803" s="53">
        <v>62</v>
      </c>
      <c r="D803" s="53">
        <v>89</v>
      </c>
      <c r="E803" s="317">
        <v>1979</v>
      </c>
      <c r="F803" s="338">
        <f t="shared" si="223"/>
        <v>40</v>
      </c>
      <c r="G803" s="103"/>
      <c r="H803" s="103"/>
      <c r="I803" s="103"/>
      <c r="J803" s="103"/>
      <c r="K803" s="95"/>
    </row>
    <row r="804" spans="1:11" ht="19.5" customHeight="1" x14ac:dyDescent="0.25">
      <c r="A804" s="525" t="s">
        <v>1474</v>
      </c>
      <c r="B804" s="525" t="s">
        <v>1279</v>
      </c>
      <c r="C804" s="53"/>
      <c r="D804" s="53"/>
      <c r="E804" s="317"/>
      <c r="F804" s="337"/>
      <c r="G804" s="103"/>
      <c r="H804" s="103"/>
      <c r="I804" s="103"/>
      <c r="J804" s="103"/>
      <c r="K804" s="95"/>
    </row>
    <row r="805" spans="1:11" ht="19.5" customHeight="1" x14ac:dyDescent="0.25">
      <c r="A805" s="531"/>
      <c r="B805" s="531"/>
      <c r="C805" s="145">
        <v>87</v>
      </c>
      <c r="D805" s="53">
        <v>89</v>
      </c>
      <c r="E805" s="317">
        <v>1979</v>
      </c>
      <c r="F805" s="338">
        <f t="shared" ref="F805:F806" si="224">2019-E805</f>
        <v>40</v>
      </c>
      <c r="G805" s="103"/>
      <c r="H805" s="103"/>
      <c r="I805" s="103"/>
      <c r="J805" s="103"/>
      <c r="K805" s="95"/>
    </row>
    <row r="806" spans="1:11" ht="19.5" customHeight="1" x14ac:dyDescent="0.25">
      <c r="A806" s="526"/>
      <c r="B806" s="526"/>
      <c r="C806" s="53">
        <v>87</v>
      </c>
      <c r="D806" s="53">
        <v>57</v>
      </c>
      <c r="E806" s="317">
        <v>1979</v>
      </c>
      <c r="F806" s="338">
        <f t="shared" si="224"/>
        <v>40</v>
      </c>
      <c r="G806" s="103"/>
      <c r="H806" s="103"/>
      <c r="I806" s="103"/>
      <c r="J806" s="103"/>
      <c r="K806" s="95"/>
    </row>
    <row r="807" spans="1:11" ht="19.5" customHeight="1" x14ac:dyDescent="0.25">
      <c r="A807" s="525" t="s">
        <v>193</v>
      </c>
      <c r="B807" s="525" t="s">
        <v>611</v>
      </c>
      <c r="C807" s="53"/>
      <c r="D807" s="53"/>
      <c r="E807" s="317"/>
      <c r="F807" s="337"/>
      <c r="G807" s="103"/>
      <c r="H807" s="103"/>
      <c r="I807" s="103"/>
      <c r="J807" s="103"/>
      <c r="K807" s="95"/>
    </row>
    <row r="808" spans="1:11" ht="19.5" customHeight="1" x14ac:dyDescent="0.25">
      <c r="A808" s="531"/>
      <c r="B808" s="531"/>
      <c r="C808" s="145">
        <v>208</v>
      </c>
      <c r="D808" s="53">
        <v>159</v>
      </c>
      <c r="E808" s="317">
        <v>2008</v>
      </c>
      <c r="F808" s="338">
        <f t="shared" ref="F808:F809" si="225">2019-E808</f>
        <v>11</v>
      </c>
      <c r="G808" s="103"/>
      <c r="H808" s="103"/>
      <c r="I808" s="103"/>
      <c r="J808" s="103"/>
      <c r="K808" s="95"/>
    </row>
    <row r="809" spans="1:11" ht="19.5" customHeight="1" x14ac:dyDescent="0.25">
      <c r="A809" s="526"/>
      <c r="B809" s="526"/>
      <c r="C809" s="53">
        <v>208</v>
      </c>
      <c r="D809" s="53">
        <v>108</v>
      </c>
      <c r="E809" s="317">
        <v>2008</v>
      </c>
      <c r="F809" s="338">
        <f t="shared" si="225"/>
        <v>11</v>
      </c>
      <c r="G809" s="103"/>
      <c r="H809" s="103"/>
      <c r="I809" s="103"/>
      <c r="J809" s="103"/>
      <c r="K809" s="95"/>
    </row>
    <row r="810" spans="1:11" ht="19.5" customHeight="1" x14ac:dyDescent="0.25">
      <c r="A810" s="525" t="s">
        <v>611</v>
      </c>
      <c r="B810" s="525" t="s">
        <v>1475</v>
      </c>
      <c r="C810" s="53"/>
      <c r="D810" s="53"/>
      <c r="E810" s="317"/>
      <c r="F810" s="337"/>
      <c r="G810" s="103"/>
      <c r="H810" s="103"/>
      <c r="I810" s="103"/>
      <c r="J810" s="103"/>
      <c r="K810" s="95"/>
    </row>
    <row r="811" spans="1:11" ht="19.5" customHeight="1" x14ac:dyDescent="0.25">
      <c r="A811" s="531"/>
      <c r="B811" s="531"/>
      <c r="C811" s="145">
        <v>9</v>
      </c>
      <c r="D811" s="53">
        <v>108</v>
      </c>
      <c r="E811" s="317">
        <v>1979</v>
      </c>
      <c r="F811" s="338">
        <f t="shared" ref="F811:F812" si="226">2019-E811</f>
        <v>40</v>
      </c>
      <c r="G811" s="103"/>
      <c r="H811" s="103"/>
      <c r="I811" s="103"/>
      <c r="J811" s="103"/>
      <c r="K811" s="95"/>
    </row>
    <row r="812" spans="1:11" ht="19.5" customHeight="1" x14ac:dyDescent="0.25">
      <c r="A812" s="526"/>
      <c r="B812" s="526"/>
      <c r="C812" s="53">
        <v>9</v>
      </c>
      <c r="D812" s="53">
        <v>89</v>
      </c>
      <c r="E812" s="317">
        <v>1979</v>
      </c>
      <c r="F812" s="338">
        <f t="shared" si="226"/>
        <v>40</v>
      </c>
      <c r="G812" s="103"/>
      <c r="H812" s="103"/>
      <c r="I812" s="103"/>
      <c r="J812" s="103"/>
      <c r="K812" s="95"/>
    </row>
    <row r="813" spans="1:11" ht="19.5" customHeight="1" x14ac:dyDescent="0.25">
      <c r="A813" s="525" t="s">
        <v>816</v>
      </c>
      <c r="B813" s="525" t="s">
        <v>1476</v>
      </c>
      <c r="C813" s="53"/>
      <c r="D813" s="53"/>
      <c r="E813" s="317"/>
      <c r="F813" s="337"/>
      <c r="G813" s="103"/>
      <c r="H813" s="103"/>
      <c r="I813" s="103"/>
      <c r="J813" s="103"/>
      <c r="K813" s="95"/>
    </row>
    <row r="814" spans="1:11" ht="19.5" customHeight="1" x14ac:dyDescent="0.25">
      <c r="A814" s="531"/>
      <c r="B814" s="531"/>
      <c r="C814" s="145">
        <v>6</v>
      </c>
      <c r="D814" s="53">
        <v>89</v>
      </c>
      <c r="E814" s="317">
        <v>1979</v>
      </c>
      <c r="F814" s="338">
        <f t="shared" ref="F814:F815" si="227">2019-E814</f>
        <v>40</v>
      </c>
      <c r="G814" s="103"/>
      <c r="H814" s="103"/>
      <c r="I814" s="103"/>
      <c r="J814" s="103"/>
      <c r="K814" s="95"/>
    </row>
    <row r="815" spans="1:11" ht="19.5" customHeight="1" x14ac:dyDescent="0.25">
      <c r="A815" s="526"/>
      <c r="B815" s="526"/>
      <c r="C815" s="53">
        <v>6</v>
      </c>
      <c r="D815" s="53">
        <v>57</v>
      </c>
      <c r="E815" s="317">
        <v>1979</v>
      </c>
      <c r="F815" s="338">
        <f t="shared" si="227"/>
        <v>40</v>
      </c>
      <c r="G815" s="103"/>
      <c r="H815" s="103"/>
      <c r="I815" s="103"/>
      <c r="J815" s="103"/>
      <c r="K815" s="95"/>
    </row>
    <row r="816" spans="1:11" ht="19.5" customHeight="1" x14ac:dyDescent="0.25">
      <c r="A816" s="525" t="s">
        <v>1260</v>
      </c>
      <c r="B816" s="525" t="s">
        <v>1477</v>
      </c>
      <c r="C816" s="53"/>
      <c r="D816" s="53"/>
      <c r="E816" s="317"/>
      <c r="F816" s="337"/>
      <c r="G816" s="103"/>
      <c r="H816" s="103"/>
      <c r="I816" s="103"/>
      <c r="J816" s="103"/>
      <c r="K816" s="95"/>
    </row>
    <row r="817" spans="1:11" ht="19.5" customHeight="1" x14ac:dyDescent="0.25">
      <c r="A817" s="531"/>
      <c r="B817" s="531"/>
      <c r="C817" s="145">
        <v>20</v>
      </c>
      <c r="D817" s="53">
        <v>89</v>
      </c>
      <c r="E817" s="317">
        <v>1979</v>
      </c>
      <c r="F817" s="338">
        <f t="shared" ref="F817:F818" si="228">2019-E817</f>
        <v>40</v>
      </c>
      <c r="G817" s="103"/>
      <c r="H817" s="103"/>
      <c r="I817" s="103"/>
      <c r="J817" s="103"/>
      <c r="K817" s="95"/>
    </row>
    <row r="818" spans="1:11" ht="19.5" customHeight="1" x14ac:dyDescent="0.25">
      <c r="A818" s="526"/>
      <c r="B818" s="526"/>
      <c r="C818" s="53">
        <v>20</v>
      </c>
      <c r="D818" s="53">
        <v>57</v>
      </c>
      <c r="E818" s="317">
        <v>1979</v>
      </c>
      <c r="F818" s="338">
        <f t="shared" si="228"/>
        <v>40</v>
      </c>
      <c r="G818" s="103"/>
      <c r="H818" s="103"/>
      <c r="I818" s="103"/>
      <c r="J818" s="103"/>
      <c r="K818" s="95"/>
    </row>
    <row r="819" spans="1:11" ht="19.5" customHeight="1" x14ac:dyDescent="0.25">
      <c r="A819" s="525" t="s">
        <v>1478</v>
      </c>
      <c r="B819" s="525" t="s">
        <v>1332</v>
      </c>
      <c r="C819" s="53"/>
      <c r="D819" s="53"/>
      <c r="E819" s="317"/>
      <c r="F819" s="337"/>
      <c r="G819" s="103"/>
      <c r="H819" s="103"/>
      <c r="I819" s="103"/>
      <c r="J819" s="103"/>
      <c r="K819" s="95"/>
    </row>
    <row r="820" spans="1:11" ht="19.5" customHeight="1" x14ac:dyDescent="0.25">
      <c r="A820" s="531"/>
      <c r="B820" s="531"/>
      <c r="C820" s="145">
        <v>15</v>
      </c>
      <c r="D820" s="53">
        <v>89</v>
      </c>
      <c r="E820" s="317">
        <v>1979</v>
      </c>
      <c r="F820" s="338">
        <f t="shared" ref="F820:F821" si="229">2019-E820</f>
        <v>40</v>
      </c>
      <c r="G820" s="103"/>
      <c r="H820" s="103"/>
      <c r="I820" s="103"/>
      <c r="J820" s="103"/>
      <c r="K820" s="95"/>
    </row>
    <row r="821" spans="1:11" ht="19.5" customHeight="1" x14ac:dyDescent="0.25">
      <c r="A821" s="526"/>
      <c r="B821" s="526"/>
      <c r="C821" s="53">
        <v>15</v>
      </c>
      <c r="D821" s="53">
        <v>57</v>
      </c>
      <c r="E821" s="317">
        <v>1979</v>
      </c>
      <c r="F821" s="338">
        <f t="shared" si="229"/>
        <v>40</v>
      </c>
      <c r="G821" s="103"/>
      <c r="H821" s="103"/>
      <c r="I821" s="103"/>
      <c r="J821" s="103"/>
      <c r="K821" s="95"/>
    </row>
    <row r="822" spans="1:11" ht="19.5" customHeight="1" x14ac:dyDescent="0.25">
      <c r="A822" s="525" t="s">
        <v>1479</v>
      </c>
      <c r="B822" s="525" t="s">
        <v>1244</v>
      </c>
      <c r="C822" s="53"/>
      <c r="D822" s="53"/>
      <c r="E822" s="317"/>
      <c r="F822" s="337"/>
      <c r="G822" s="103"/>
      <c r="H822" s="103"/>
      <c r="I822" s="103"/>
      <c r="J822" s="103"/>
      <c r="K822" s="95"/>
    </row>
    <row r="823" spans="1:11" ht="19.5" customHeight="1" x14ac:dyDescent="0.25">
      <c r="A823" s="531"/>
      <c r="B823" s="531"/>
      <c r="C823" s="145">
        <v>9</v>
      </c>
      <c r="D823" s="53">
        <v>89</v>
      </c>
      <c r="E823" s="317">
        <v>1979</v>
      </c>
      <c r="F823" s="338">
        <f t="shared" ref="F823:F824" si="230">2019-E823</f>
        <v>40</v>
      </c>
      <c r="G823" s="103"/>
      <c r="H823" s="103"/>
      <c r="I823" s="103"/>
      <c r="J823" s="103"/>
      <c r="K823" s="95"/>
    </row>
    <row r="824" spans="1:11" ht="19.5" customHeight="1" x14ac:dyDescent="0.25">
      <c r="A824" s="526"/>
      <c r="B824" s="526"/>
      <c r="C824" s="53">
        <v>9</v>
      </c>
      <c r="D824" s="53">
        <v>57</v>
      </c>
      <c r="E824" s="317">
        <v>1979</v>
      </c>
      <c r="F824" s="338">
        <f t="shared" si="230"/>
        <v>40</v>
      </c>
      <c r="G824" s="103"/>
      <c r="H824" s="103"/>
      <c r="I824" s="103"/>
      <c r="J824" s="103"/>
      <c r="K824" s="95"/>
    </row>
    <row r="825" spans="1:11" ht="19.5" customHeight="1" x14ac:dyDescent="0.25">
      <c r="A825" s="525" t="s">
        <v>1480</v>
      </c>
      <c r="B825" s="525" t="s">
        <v>1276</v>
      </c>
      <c r="C825" s="53"/>
      <c r="D825" s="53"/>
      <c r="E825" s="317"/>
      <c r="F825" s="337"/>
      <c r="G825" s="103"/>
      <c r="H825" s="103"/>
      <c r="I825" s="103"/>
      <c r="J825" s="103"/>
      <c r="K825" s="95"/>
    </row>
    <row r="826" spans="1:11" ht="19.5" customHeight="1" x14ac:dyDescent="0.25">
      <c r="A826" s="531"/>
      <c r="B826" s="531"/>
      <c r="C826" s="145">
        <v>10</v>
      </c>
      <c r="D826" s="53">
        <v>89</v>
      </c>
      <c r="E826" s="317">
        <v>1980</v>
      </c>
      <c r="F826" s="338">
        <f t="shared" ref="F826:F827" si="231">2019-E826</f>
        <v>39</v>
      </c>
      <c r="G826" s="103"/>
      <c r="H826" s="103"/>
      <c r="I826" s="103"/>
      <c r="J826" s="103"/>
      <c r="K826" s="95"/>
    </row>
    <row r="827" spans="1:11" ht="19.5" customHeight="1" x14ac:dyDescent="0.25">
      <c r="A827" s="526"/>
      <c r="B827" s="526"/>
      <c r="C827" s="53">
        <v>10</v>
      </c>
      <c r="D827" s="53">
        <v>57</v>
      </c>
      <c r="E827" s="317">
        <v>1980</v>
      </c>
      <c r="F827" s="338">
        <f t="shared" si="231"/>
        <v>39</v>
      </c>
      <c r="G827" s="103"/>
      <c r="H827" s="103"/>
      <c r="I827" s="103"/>
      <c r="J827" s="103"/>
      <c r="K827" s="95"/>
    </row>
    <row r="828" spans="1:11" ht="19.5" customHeight="1" x14ac:dyDescent="0.25">
      <c r="A828" s="525" t="s">
        <v>472</v>
      </c>
      <c r="B828" s="525" t="s">
        <v>834</v>
      </c>
      <c r="C828" s="53"/>
      <c r="D828" s="53"/>
      <c r="E828" s="317"/>
      <c r="F828" s="337"/>
      <c r="G828" s="103"/>
      <c r="H828" s="103"/>
      <c r="I828" s="103"/>
      <c r="J828" s="103"/>
      <c r="K828" s="95"/>
    </row>
    <row r="829" spans="1:11" ht="19.5" customHeight="1" x14ac:dyDescent="0.25">
      <c r="A829" s="531"/>
      <c r="B829" s="531"/>
      <c r="C829" s="145">
        <v>64</v>
      </c>
      <c r="D829" s="53">
        <v>108</v>
      </c>
      <c r="E829" s="317">
        <v>1980</v>
      </c>
      <c r="F829" s="338">
        <f t="shared" ref="F829:F830" si="232">2019-E829</f>
        <v>39</v>
      </c>
      <c r="G829" s="103"/>
      <c r="H829" s="103"/>
      <c r="I829" s="103"/>
      <c r="J829" s="103"/>
      <c r="K829" s="95"/>
    </row>
    <row r="830" spans="1:11" ht="19.5" customHeight="1" x14ac:dyDescent="0.25">
      <c r="A830" s="526"/>
      <c r="B830" s="526"/>
      <c r="C830" s="53">
        <v>64</v>
      </c>
      <c r="D830" s="53">
        <v>57</v>
      </c>
      <c r="E830" s="317">
        <v>1980</v>
      </c>
      <c r="F830" s="338">
        <f t="shared" si="232"/>
        <v>39</v>
      </c>
      <c r="G830" s="103"/>
      <c r="H830" s="103"/>
      <c r="I830" s="103"/>
      <c r="J830" s="103"/>
      <c r="K830" s="95"/>
    </row>
    <row r="831" spans="1:11" ht="19.5" customHeight="1" x14ac:dyDescent="0.25">
      <c r="A831" s="525" t="s">
        <v>1481</v>
      </c>
      <c r="B831" s="525" t="s">
        <v>1273</v>
      </c>
      <c r="C831" s="53"/>
      <c r="D831" s="53"/>
      <c r="E831" s="317"/>
      <c r="F831" s="337"/>
      <c r="G831" s="103"/>
      <c r="H831" s="103"/>
      <c r="I831" s="103"/>
      <c r="J831" s="103"/>
      <c r="K831" s="95"/>
    </row>
    <row r="832" spans="1:11" ht="19.5" customHeight="1" x14ac:dyDescent="0.25">
      <c r="A832" s="531"/>
      <c r="B832" s="531"/>
      <c r="C832" s="145">
        <v>9</v>
      </c>
      <c r="D832" s="53">
        <v>89</v>
      </c>
      <c r="E832" s="317">
        <v>1980</v>
      </c>
      <c r="F832" s="338">
        <f t="shared" ref="F832:F833" si="233">2019-E832</f>
        <v>39</v>
      </c>
      <c r="G832" s="103"/>
      <c r="H832" s="103"/>
      <c r="I832" s="103"/>
      <c r="J832" s="103"/>
      <c r="K832" s="95"/>
    </row>
    <row r="833" spans="1:11" ht="19.5" customHeight="1" x14ac:dyDescent="0.25">
      <c r="A833" s="526"/>
      <c r="B833" s="526"/>
      <c r="C833" s="53">
        <v>9</v>
      </c>
      <c r="D833" s="53">
        <v>57</v>
      </c>
      <c r="E833" s="317">
        <v>1980</v>
      </c>
      <c r="F833" s="338">
        <f t="shared" si="233"/>
        <v>39</v>
      </c>
      <c r="G833" s="103"/>
      <c r="H833" s="103"/>
      <c r="I833" s="103"/>
      <c r="J833" s="103"/>
      <c r="K833" s="95"/>
    </row>
    <row r="834" spans="1:11" ht="19.5" customHeight="1" x14ac:dyDescent="0.25">
      <c r="A834" s="525" t="s">
        <v>1000</v>
      </c>
      <c r="B834" s="525" t="s">
        <v>472</v>
      </c>
      <c r="C834" s="53"/>
      <c r="D834" s="53"/>
      <c r="E834" s="317"/>
      <c r="F834" s="337"/>
      <c r="G834" s="103"/>
      <c r="H834" s="103"/>
      <c r="I834" s="103"/>
      <c r="J834" s="103"/>
      <c r="K834" s="95"/>
    </row>
    <row r="835" spans="1:11" ht="19.5" customHeight="1" x14ac:dyDescent="0.25">
      <c r="A835" s="531"/>
      <c r="B835" s="531"/>
      <c r="C835" s="145">
        <v>70</v>
      </c>
      <c r="D835" s="53">
        <v>108</v>
      </c>
      <c r="E835" s="317">
        <v>1979</v>
      </c>
      <c r="F835" s="338">
        <f t="shared" ref="F835:F836" si="234">2019-E835</f>
        <v>40</v>
      </c>
      <c r="G835" s="103"/>
      <c r="H835" s="103"/>
      <c r="I835" s="103"/>
      <c r="J835" s="103"/>
      <c r="K835" s="95"/>
    </row>
    <row r="836" spans="1:11" ht="19.5" customHeight="1" x14ac:dyDescent="0.25">
      <c r="A836" s="526"/>
      <c r="B836" s="526"/>
      <c r="C836" s="53">
        <v>70</v>
      </c>
      <c r="D836" s="53">
        <v>89</v>
      </c>
      <c r="E836" s="317">
        <v>1979</v>
      </c>
      <c r="F836" s="338">
        <f t="shared" si="234"/>
        <v>40</v>
      </c>
      <c r="G836" s="103"/>
      <c r="H836" s="103"/>
      <c r="I836" s="103"/>
      <c r="J836" s="103"/>
      <c r="K836" s="95"/>
    </row>
    <row r="837" spans="1:11" ht="19.5" customHeight="1" x14ac:dyDescent="0.25">
      <c r="A837" s="525" t="s">
        <v>931</v>
      </c>
      <c r="B837" s="525" t="s">
        <v>1482</v>
      </c>
      <c r="C837" s="53"/>
      <c r="D837" s="53"/>
      <c r="E837" s="317"/>
      <c r="F837" s="337"/>
      <c r="G837" s="103"/>
      <c r="H837" s="103"/>
      <c r="I837" s="103"/>
      <c r="J837" s="103"/>
      <c r="K837" s="95"/>
    </row>
    <row r="838" spans="1:11" ht="19.5" customHeight="1" x14ac:dyDescent="0.25">
      <c r="A838" s="531"/>
      <c r="B838" s="531"/>
      <c r="C838" s="145">
        <v>63</v>
      </c>
      <c r="D838" s="53">
        <v>159</v>
      </c>
      <c r="E838" s="317">
        <v>1979</v>
      </c>
      <c r="F838" s="338">
        <f t="shared" ref="F838:F839" si="235">2019-E838</f>
        <v>40</v>
      </c>
      <c r="G838" s="103"/>
      <c r="H838" s="103"/>
      <c r="I838" s="103"/>
      <c r="J838" s="103"/>
      <c r="K838" s="95"/>
    </row>
    <row r="839" spans="1:11" ht="19.5" customHeight="1" x14ac:dyDescent="0.25">
      <c r="A839" s="526"/>
      <c r="B839" s="526"/>
      <c r="C839" s="53">
        <v>63</v>
      </c>
      <c r="D839" s="53">
        <v>89</v>
      </c>
      <c r="E839" s="317">
        <v>1979</v>
      </c>
      <c r="F839" s="338">
        <f t="shared" si="235"/>
        <v>40</v>
      </c>
      <c r="G839" s="103"/>
      <c r="H839" s="103"/>
      <c r="I839" s="103"/>
      <c r="J839" s="103"/>
      <c r="K839" s="95"/>
    </row>
    <row r="840" spans="1:11" ht="19.5" customHeight="1" x14ac:dyDescent="0.25">
      <c r="A840" s="525" t="s">
        <v>564</v>
      </c>
      <c r="B840" s="525" t="s">
        <v>1266</v>
      </c>
      <c r="C840" s="53"/>
      <c r="D840" s="53"/>
      <c r="E840" s="317"/>
      <c r="F840" s="337"/>
      <c r="G840" s="103"/>
      <c r="H840" s="103"/>
      <c r="I840" s="103"/>
      <c r="J840" s="103"/>
      <c r="K840" s="95"/>
    </row>
    <row r="841" spans="1:11" ht="19.5" customHeight="1" x14ac:dyDescent="0.25">
      <c r="A841" s="531"/>
      <c r="B841" s="531"/>
      <c r="C841" s="145">
        <v>56</v>
      </c>
      <c r="D841" s="53">
        <v>89</v>
      </c>
      <c r="E841" s="317">
        <v>1979</v>
      </c>
      <c r="F841" s="338">
        <f t="shared" ref="F841:F842" si="236">2019-E841</f>
        <v>40</v>
      </c>
      <c r="G841" s="103"/>
      <c r="H841" s="103"/>
      <c r="I841" s="103"/>
      <c r="J841" s="103"/>
      <c r="K841" s="95"/>
    </row>
    <row r="842" spans="1:11" ht="19.5" customHeight="1" x14ac:dyDescent="0.25">
      <c r="A842" s="526"/>
      <c r="B842" s="526"/>
      <c r="C842" s="53">
        <v>56</v>
      </c>
      <c r="D842" s="53">
        <v>76</v>
      </c>
      <c r="E842" s="317">
        <v>1979</v>
      </c>
      <c r="F842" s="338">
        <f t="shared" si="236"/>
        <v>40</v>
      </c>
      <c r="G842" s="103"/>
      <c r="H842" s="103"/>
      <c r="I842" s="103"/>
      <c r="J842" s="103"/>
      <c r="K842" s="95"/>
    </row>
    <row r="843" spans="1:11" ht="19.5" customHeight="1" x14ac:dyDescent="0.25">
      <c r="A843" s="525" t="s">
        <v>1483</v>
      </c>
      <c r="B843" s="525" t="s">
        <v>1378</v>
      </c>
      <c r="C843" s="53"/>
      <c r="D843" s="53"/>
      <c r="E843" s="317"/>
      <c r="F843" s="337"/>
      <c r="G843" s="103"/>
      <c r="H843" s="103"/>
      <c r="I843" s="103"/>
      <c r="J843" s="103"/>
      <c r="K843" s="95"/>
    </row>
    <row r="844" spans="1:11" ht="19.5" customHeight="1" x14ac:dyDescent="0.25">
      <c r="A844" s="531"/>
      <c r="B844" s="531"/>
      <c r="C844" s="145">
        <v>23</v>
      </c>
      <c r="D844" s="53">
        <v>89</v>
      </c>
      <c r="E844" s="317">
        <v>1979</v>
      </c>
      <c r="F844" s="338">
        <f t="shared" ref="F844:F845" si="237">2019-E844</f>
        <v>40</v>
      </c>
      <c r="G844" s="103"/>
      <c r="H844" s="103"/>
      <c r="I844" s="103"/>
      <c r="J844" s="103"/>
      <c r="K844" s="95"/>
    </row>
    <row r="845" spans="1:11" ht="19.5" customHeight="1" x14ac:dyDescent="0.25">
      <c r="A845" s="526"/>
      <c r="B845" s="526"/>
      <c r="C845" s="53">
        <v>23</v>
      </c>
      <c r="D845" s="53">
        <v>57</v>
      </c>
      <c r="E845" s="317">
        <v>1979</v>
      </c>
      <c r="F845" s="338">
        <f t="shared" si="237"/>
        <v>40</v>
      </c>
      <c r="G845" s="103"/>
      <c r="H845" s="103"/>
      <c r="I845" s="103"/>
      <c r="J845" s="103"/>
      <c r="K845" s="95"/>
    </row>
    <row r="846" spans="1:11" ht="19.5" customHeight="1" x14ac:dyDescent="0.25">
      <c r="A846" s="525" t="s">
        <v>193</v>
      </c>
      <c r="B846" s="525" t="s">
        <v>1484</v>
      </c>
      <c r="C846" s="53"/>
      <c r="D846" s="53"/>
      <c r="E846" s="317"/>
      <c r="F846" s="337"/>
      <c r="G846" s="103"/>
      <c r="H846" s="103"/>
      <c r="I846" s="103"/>
      <c r="J846" s="103"/>
      <c r="K846" s="95"/>
    </row>
    <row r="847" spans="1:11" ht="19.5" customHeight="1" x14ac:dyDescent="0.25">
      <c r="A847" s="531"/>
      <c r="B847" s="531"/>
      <c r="C847" s="145">
        <v>98</v>
      </c>
      <c r="D847" s="53">
        <v>159</v>
      </c>
      <c r="E847" s="317">
        <v>1979</v>
      </c>
      <c r="F847" s="338">
        <f t="shared" ref="F847:F848" si="238">2019-E847</f>
        <v>40</v>
      </c>
      <c r="G847" s="103"/>
      <c r="H847" s="103"/>
      <c r="I847" s="103"/>
      <c r="J847" s="103"/>
      <c r="K847" s="95"/>
    </row>
    <row r="848" spans="1:11" ht="19.5" customHeight="1" x14ac:dyDescent="0.25">
      <c r="A848" s="526"/>
      <c r="B848" s="526"/>
      <c r="C848" s="53">
        <v>98</v>
      </c>
      <c r="D848" s="53">
        <v>108</v>
      </c>
      <c r="E848" s="317">
        <v>1979</v>
      </c>
      <c r="F848" s="338">
        <f t="shared" si="238"/>
        <v>40</v>
      </c>
      <c r="G848" s="103"/>
      <c r="H848" s="103"/>
      <c r="I848" s="103"/>
      <c r="J848" s="103"/>
      <c r="K848" s="95"/>
    </row>
    <row r="849" spans="1:11" ht="19.5" customHeight="1" x14ac:dyDescent="0.25">
      <c r="A849" s="525" t="s">
        <v>1485</v>
      </c>
      <c r="B849" s="525" t="s">
        <v>918</v>
      </c>
      <c r="C849" s="53"/>
      <c r="D849" s="53"/>
      <c r="E849" s="317"/>
      <c r="F849" s="337"/>
      <c r="G849" s="103"/>
      <c r="H849" s="103"/>
      <c r="I849" s="103"/>
      <c r="J849" s="103"/>
      <c r="K849" s="95"/>
    </row>
    <row r="850" spans="1:11" ht="19.5" customHeight="1" x14ac:dyDescent="0.25">
      <c r="A850" s="531"/>
      <c r="B850" s="531"/>
      <c r="C850" s="145">
        <v>48</v>
      </c>
      <c r="D850" s="53">
        <v>89</v>
      </c>
      <c r="E850" s="317">
        <v>1979</v>
      </c>
      <c r="F850" s="338">
        <f t="shared" ref="F850:F851" si="239">2019-E850</f>
        <v>40</v>
      </c>
      <c r="G850" s="103"/>
      <c r="H850" s="103"/>
      <c r="I850" s="103"/>
      <c r="J850" s="103"/>
      <c r="K850" s="95"/>
    </row>
    <row r="851" spans="1:11" ht="19.5" customHeight="1" x14ac:dyDescent="0.25">
      <c r="A851" s="526"/>
      <c r="B851" s="526"/>
      <c r="C851" s="53">
        <v>48</v>
      </c>
      <c r="D851" s="53">
        <v>57</v>
      </c>
      <c r="E851" s="317">
        <v>1979</v>
      </c>
      <c r="F851" s="338">
        <f t="shared" si="239"/>
        <v>40</v>
      </c>
      <c r="G851" s="103"/>
      <c r="H851" s="103"/>
      <c r="I851" s="103"/>
      <c r="J851" s="103"/>
      <c r="K851" s="95"/>
    </row>
    <row r="852" spans="1:11" ht="19.5" customHeight="1" x14ac:dyDescent="0.25">
      <c r="A852" s="525" t="s">
        <v>315</v>
      </c>
      <c r="B852" s="525" t="s">
        <v>1486</v>
      </c>
      <c r="C852" s="53"/>
      <c r="D852" s="53"/>
      <c r="E852" s="317"/>
      <c r="F852" s="337"/>
      <c r="G852" s="103"/>
      <c r="H852" s="103"/>
      <c r="I852" s="103"/>
      <c r="J852" s="103"/>
      <c r="K852" s="95"/>
    </row>
    <row r="853" spans="1:11" ht="19.5" customHeight="1" x14ac:dyDescent="0.25">
      <c r="A853" s="531"/>
      <c r="B853" s="531"/>
      <c r="C853" s="145">
        <v>32</v>
      </c>
      <c r="D853" s="145">
        <v>76</v>
      </c>
      <c r="E853" s="317">
        <v>1979</v>
      </c>
      <c r="F853" s="338">
        <f>2019-E853</f>
        <v>40</v>
      </c>
      <c r="G853" s="103"/>
      <c r="H853" s="103"/>
      <c r="I853" s="103"/>
      <c r="J853" s="103"/>
      <c r="K853" s="95"/>
    </row>
    <row r="854" spans="1:11" ht="19.5" customHeight="1" x14ac:dyDescent="0.25">
      <c r="A854" s="525" t="s">
        <v>816</v>
      </c>
      <c r="B854" s="525" t="s">
        <v>1369</v>
      </c>
      <c r="C854" s="53"/>
      <c r="D854" s="53"/>
      <c r="E854" s="317"/>
      <c r="F854" s="337"/>
      <c r="G854" s="103"/>
      <c r="H854" s="103"/>
      <c r="I854" s="103"/>
      <c r="J854" s="103"/>
      <c r="K854" s="95"/>
    </row>
    <row r="855" spans="1:11" ht="19.5" customHeight="1" x14ac:dyDescent="0.25">
      <c r="A855" s="531"/>
      <c r="B855" s="531"/>
      <c r="C855" s="145">
        <v>40</v>
      </c>
      <c r="D855" s="53">
        <v>133</v>
      </c>
      <c r="E855" s="317">
        <v>1979</v>
      </c>
      <c r="F855" s="338">
        <f t="shared" ref="F855:F856" si="240">2019-E855</f>
        <v>40</v>
      </c>
      <c r="G855" s="103"/>
      <c r="H855" s="103"/>
      <c r="I855" s="103"/>
      <c r="J855" s="103"/>
      <c r="K855" s="95"/>
    </row>
    <row r="856" spans="1:11" ht="19.5" customHeight="1" x14ac:dyDescent="0.25">
      <c r="A856" s="526"/>
      <c r="B856" s="526"/>
      <c r="C856" s="53">
        <v>40</v>
      </c>
      <c r="D856" s="53">
        <v>89</v>
      </c>
      <c r="E856" s="317">
        <v>1979</v>
      </c>
      <c r="F856" s="338">
        <f t="shared" si="240"/>
        <v>40</v>
      </c>
      <c r="G856" s="103"/>
      <c r="H856" s="103"/>
      <c r="I856" s="103"/>
      <c r="J856" s="103"/>
      <c r="K856" s="95"/>
    </row>
    <row r="857" spans="1:11" ht="19.5" customHeight="1" x14ac:dyDescent="0.25">
      <c r="A857" s="320" t="s">
        <v>1487</v>
      </c>
      <c r="B857" s="320" t="s">
        <v>1488</v>
      </c>
      <c r="C857" s="53"/>
      <c r="D857" s="53"/>
      <c r="E857" s="317"/>
      <c r="F857" s="337"/>
      <c r="G857" s="103"/>
      <c r="H857" s="103"/>
      <c r="I857" s="103"/>
      <c r="J857" s="103"/>
      <c r="K857" s="95"/>
    </row>
    <row r="858" spans="1:11" ht="19.5" customHeight="1" x14ac:dyDescent="0.25">
      <c r="A858" s="525" t="s">
        <v>748</v>
      </c>
      <c r="B858" s="525" t="s">
        <v>1220</v>
      </c>
      <c r="C858" s="53"/>
      <c r="D858" s="53"/>
      <c r="E858" s="317"/>
      <c r="F858" s="337"/>
      <c r="G858" s="103"/>
      <c r="H858" s="103"/>
      <c r="I858" s="103"/>
      <c r="J858" s="103"/>
      <c r="K858" s="95"/>
    </row>
    <row r="859" spans="1:11" ht="19.5" customHeight="1" x14ac:dyDescent="0.25">
      <c r="A859" s="531"/>
      <c r="B859" s="531"/>
      <c r="C859" s="145">
        <v>86</v>
      </c>
      <c r="D859" s="53">
        <v>133</v>
      </c>
      <c r="E859" s="317">
        <v>1979</v>
      </c>
      <c r="F859" s="338">
        <f t="shared" ref="F859:F862" si="241">2019-E859</f>
        <v>40</v>
      </c>
      <c r="G859" s="103"/>
      <c r="H859" s="103"/>
      <c r="I859" s="103"/>
      <c r="J859" s="103"/>
      <c r="K859" s="95"/>
    </row>
    <row r="860" spans="1:11" ht="19.5" customHeight="1" x14ac:dyDescent="0.25">
      <c r="A860" s="526"/>
      <c r="B860" s="526"/>
      <c r="C860" s="53">
        <v>86</v>
      </c>
      <c r="D860" s="53">
        <v>89</v>
      </c>
      <c r="E860" s="317">
        <v>1979</v>
      </c>
      <c r="F860" s="338">
        <f t="shared" si="241"/>
        <v>40</v>
      </c>
      <c r="G860" s="103"/>
      <c r="H860" s="103"/>
      <c r="I860" s="103"/>
      <c r="J860" s="103"/>
      <c r="K860" s="95"/>
    </row>
    <row r="861" spans="1:11" ht="19.5" customHeight="1" x14ac:dyDescent="0.25">
      <c r="A861" s="525" t="s">
        <v>727</v>
      </c>
      <c r="B861" s="525" t="s">
        <v>1245</v>
      </c>
      <c r="C861" s="145">
        <v>46</v>
      </c>
      <c r="D861" s="53">
        <v>89</v>
      </c>
      <c r="E861" s="317">
        <v>1979</v>
      </c>
      <c r="F861" s="338">
        <f t="shared" si="241"/>
        <v>40</v>
      </c>
      <c r="G861" s="103"/>
      <c r="H861" s="103"/>
      <c r="I861" s="103"/>
      <c r="J861" s="103"/>
      <c r="K861" s="95"/>
    </row>
    <row r="862" spans="1:11" ht="19.5" customHeight="1" x14ac:dyDescent="0.25">
      <c r="A862" s="526"/>
      <c r="B862" s="526"/>
      <c r="C862" s="53">
        <v>46</v>
      </c>
      <c r="D862" s="53">
        <v>57</v>
      </c>
      <c r="E862" s="317">
        <v>1979</v>
      </c>
      <c r="F862" s="338">
        <f t="shared" si="241"/>
        <v>40</v>
      </c>
      <c r="G862" s="103"/>
      <c r="H862" s="103"/>
      <c r="I862" s="103"/>
      <c r="J862" s="103"/>
      <c r="K862" s="95"/>
    </row>
    <row r="863" spans="1:11" ht="34.5" customHeight="1" x14ac:dyDescent="0.25">
      <c r="A863" s="320" t="s">
        <v>1489</v>
      </c>
      <c r="B863" s="320" t="s">
        <v>1490</v>
      </c>
      <c r="C863" s="145">
        <f>52*2</f>
        <v>104</v>
      </c>
      <c r="D863" s="145">
        <v>76</v>
      </c>
      <c r="E863" s="317">
        <v>1996</v>
      </c>
      <c r="F863" s="338">
        <f>2019-E863</f>
        <v>23</v>
      </c>
      <c r="G863" s="103"/>
      <c r="H863" s="103"/>
      <c r="I863" s="103"/>
      <c r="J863" s="103"/>
      <c r="K863" s="95"/>
    </row>
    <row r="864" spans="1:11" ht="19.5" customHeight="1" x14ac:dyDescent="0.25">
      <c r="A864" s="525" t="s">
        <v>1213</v>
      </c>
      <c r="B864" s="525" t="s">
        <v>1491</v>
      </c>
      <c r="C864" s="53"/>
      <c r="D864" s="53"/>
      <c r="E864" s="317"/>
      <c r="F864" s="337"/>
      <c r="G864" s="103"/>
      <c r="H864" s="103"/>
      <c r="I864" s="103"/>
      <c r="J864" s="103"/>
      <c r="K864" s="95"/>
    </row>
    <row r="865" spans="1:15" ht="19.5" customHeight="1" x14ac:dyDescent="0.25">
      <c r="A865" s="531"/>
      <c r="B865" s="531"/>
      <c r="C865" s="145">
        <v>22</v>
      </c>
      <c r="D865" s="53">
        <v>89</v>
      </c>
      <c r="E865" s="317">
        <v>1980</v>
      </c>
      <c r="F865" s="338">
        <f t="shared" ref="F865:F866" si="242">2019-E865</f>
        <v>39</v>
      </c>
      <c r="G865" s="103"/>
      <c r="H865" s="103"/>
      <c r="I865" s="103"/>
      <c r="J865" s="103"/>
      <c r="K865" s="95"/>
    </row>
    <row r="866" spans="1:15" ht="19.5" customHeight="1" x14ac:dyDescent="0.25">
      <c r="A866" s="526"/>
      <c r="B866" s="526"/>
      <c r="C866" s="53">
        <v>22</v>
      </c>
      <c r="D866" s="53">
        <v>76</v>
      </c>
      <c r="E866" s="317">
        <v>1980</v>
      </c>
      <c r="F866" s="338">
        <f t="shared" si="242"/>
        <v>39</v>
      </c>
      <c r="G866" s="103"/>
      <c r="H866" s="103"/>
      <c r="I866" s="103"/>
      <c r="J866" s="103"/>
      <c r="K866" s="95"/>
    </row>
    <row r="867" spans="1:15" ht="19.5" customHeight="1" x14ac:dyDescent="0.25">
      <c r="A867" s="525" t="s">
        <v>315</v>
      </c>
      <c r="B867" s="525" t="s">
        <v>1279</v>
      </c>
      <c r="C867" s="53"/>
      <c r="D867" s="53"/>
      <c r="E867" s="317"/>
      <c r="F867" s="337"/>
      <c r="G867" s="103"/>
      <c r="H867" s="103"/>
      <c r="I867" s="103"/>
      <c r="J867" s="103"/>
      <c r="K867" s="95"/>
    </row>
    <row r="868" spans="1:15" ht="19.5" customHeight="1" x14ac:dyDescent="0.25">
      <c r="A868" s="531"/>
      <c r="B868" s="531"/>
      <c r="C868" s="145">
        <v>80</v>
      </c>
      <c r="D868" s="53">
        <v>108</v>
      </c>
      <c r="E868" s="317">
        <v>1979</v>
      </c>
      <c r="F868" s="338">
        <f t="shared" ref="F868:F869" si="243">2019-E868</f>
        <v>40</v>
      </c>
      <c r="G868" s="103"/>
      <c r="H868" s="103"/>
      <c r="I868" s="103"/>
      <c r="J868" s="103"/>
    </row>
    <row r="869" spans="1:15" ht="19.5" customHeight="1" x14ac:dyDescent="0.25">
      <c r="A869" s="526"/>
      <c r="B869" s="526"/>
      <c r="C869" s="53">
        <v>80</v>
      </c>
      <c r="D869" s="53">
        <v>76</v>
      </c>
      <c r="E869" s="317">
        <v>1979</v>
      </c>
      <c r="F869" s="338">
        <f t="shared" si="243"/>
        <v>40</v>
      </c>
      <c r="G869" s="103"/>
      <c r="H869" s="103"/>
      <c r="I869" s="103"/>
      <c r="J869" s="103"/>
    </row>
    <row r="870" spans="1:15" ht="19.5" customHeight="1" x14ac:dyDescent="0.25">
      <c r="A870" s="525" t="s">
        <v>1492</v>
      </c>
      <c r="B870" s="525" t="s">
        <v>926</v>
      </c>
      <c r="C870" s="53"/>
      <c r="D870" s="53"/>
      <c r="E870" s="317"/>
      <c r="F870" s="337"/>
      <c r="G870" s="103"/>
      <c r="H870" s="103"/>
      <c r="I870" s="103"/>
      <c r="J870" s="103"/>
    </row>
    <row r="871" spans="1:15" ht="19.5" customHeight="1" x14ac:dyDescent="0.25">
      <c r="A871" s="531"/>
      <c r="B871" s="531"/>
      <c r="C871" s="145">
        <v>22</v>
      </c>
      <c r="D871" s="53">
        <v>89</v>
      </c>
      <c r="E871" s="317">
        <v>1979</v>
      </c>
      <c r="F871" s="338">
        <f t="shared" ref="F871:F872" si="244">2019-E871</f>
        <v>40</v>
      </c>
      <c r="G871" s="103"/>
      <c r="H871" s="103"/>
      <c r="I871" s="103"/>
      <c r="J871" s="103"/>
    </row>
    <row r="872" spans="1:15" ht="19.5" customHeight="1" x14ac:dyDescent="0.25">
      <c r="A872" s="526"/>
      <c r="B872" s="526"/>
      <c r="C872" s="53">
        <v>22</v>
      </c>
      <c r="D872" s="53">
        <v>57</v>
      </c>
      <c r="E872" s="317">
        <v>1979</v>
      </c>
      <c r="F872" s="338">
        <f t="shared" si="244"/>
        <v>40</v>
      </c>
      <c r="G872" s="103"/>
      <c r="H872" s="103"/>
      <c r="I872" s="103"/>
      <c r="J872" s="103"/>
    </row>
    <row r="873" spans="1:15" ht="19.5" customHeight="1" x14ac:dyDescent="0.25">
      <c r="A873" s="525" t="s">
        <v>1493</v>
      </c>
      <c r="B873" s="525" t="s">
        <v>1268</v>
      </c>
      <c r="C873" s="53"/>
      <c r="D873" s="53"/>
      <c r="E873" s="317"/>
      <c r="F873" s="337"/>
      <c r="G873" s="103"/>
      <c r="H873" s="103"/>
      <c r="I873" s="103"/>
      <c r="J873" s="103"/>
    </row>
    <row r="874" spans="1:15" ht="19.5" customHeight="1" x14ac:dyDescent="0.25">
      <c r="A874" s="531"/>
      <c r="B874" s="531"/>
      <c r="C874" s="145">
        <v>22</v>
      </c>
      <c r="D874" s="53">
        <v>89</v>
      </c>
      <c r="E874" s="317">
        <v>1981</v>
      </c>
      <c r="F874" s="338">
        <f t="shared" ref="F874:F875" si="245">2019-E874</f>
        <v>38</v>
      </c>
      <c r="G874" s="103"/>
      <c r="H874" s="103"/>
      <c r="I874" s="103"/>
      <c r="J874" s="103"/>
    </row>
    <row r="875" spans="1:15" ht="19.5" customHeight="1" x14ac:dyDescent="0.25">
      <c r="A875" s="526"/>
      <c r="B875" s="526"/>
      <c r="C875" s="53">
        <v>22</v>
      </c>
      <c r="D875" s="53">
        <v>57</v>
      </c>
      <c r="E875" s="317">
        <v>1981</v>
      </c>
      <c r="F875" s="338">
        <f t="shared" si="245"/>
        <v>38</v>
      </c>
      <c r="G875" s="103"/>
      <c r="H875" s="103"/>
      <c r="I875" s="103"/>
      <c r="J875" s="103"/>
    </row>
    <row r="876" spans="1:15" ht="15.75" x14ac:dyDescent="0.25">
      <c r="A876" s="140"/>
      <c r="B876" s="140"/>
      <c r="C876" s="144">
        <f>SUM(C786:C875)</f>
        <v>2834</v>
      </c>
      <c r="D876" s="140"/>
      <c r="E876" s="334"/>
      <c r="F876" s="337"/>
      <c r="G876" s="103"/>
      <c r="H876" s="103"/>
      <c r="I876" s="103"/>
      <c r="J876" s="103"/>
    </row>
    <row r="877" spans="1:15" ht="15.75" x14ac:dyDescent="0.25">
      <c r="A877" s="319"/>
      <c r="B877" s="319"/>
      <c r="C877" s="52">
        <f>C876+C784+C776+C740+C689+C675+C660+C622+C551+C523+C491+C384+C305+C252+C215+C168+C130+C94+C45</f>
        <v>34292</v>
      </c>
      <c r="D877" s="52"/>
      <c r="E877" s="317"/>
      <c r="F877" s="327"/>
      <c r="G877" s="58"/>
      <c r="H877" s="139"/>
      <c r="I877" s="59"/>
      <c r="J877" s="59"/>
      <c r="L877" s="103"/>
      <c r="M877" s="103"/>
      <c r="N877" s="103"/>
      <c r="O877" s="103"/>
    </row>
    <row r="878" spans="1:15" x14ac:dyDescent="0.2">
      <c r="C878" s="136">
        <f>SUM(C877)</f>
        <v>34292</v>
      </c>
    </row>
  </sheetData>
  <autoFilter ref="A6:O878"/>
  <mergeCells count="527">
    <mergeCell ref="A852:A853"/>
    <mergeCell ref="B852:B853"/>
    <mergeCell ref="A854:A856"/>
    <mergeCell ref="B854:B856"/>
    <mergeCell ref="A858:A860"/>
    <mergeCell ref="B858:B860"/>
    <mergeCell ref="A846:A848"/>
    <mergeCell ref="B846:B848"/>
    <mergeCell ref="A849:A851"/>
    <mergeCell ref="B849:B851"/>
    <mergeCell ref="A870:A872"/>
    <mergeCell ref="B870:B872"/>
    <mergeCell ref="A873:A875"/>
    <mergeCell ref="B873:B875"/>
    <mergeCell ref="A861:A862"/>
    <mergeCell ref="B861:B862"/>
    <mergeCell ref="A864:A866"/>
    <mergeCell ref="B864:B866"/>
    <mergeCell ref="A867:A869"/>
    <mergeCell ref="B867:B869"/>
    <mergeCell ref="B840:B842"/>
    <mergeCell ref="A843:A845"/>
    <mergeCell ref="B843:B845"/>
    <mergeCell ref="A825:A827"/>
    <mergeCell ref="B825:B827"/>
    <mergeCell ref="A828:A830"/>
    <mergeCell ref="B828:B830"/>
    <mergeCell ref="A831:A833"/>
    <mergeCell ref="B831:B833"/>
    <mergeCell ref="A834:A836"/>
    <mergeCell ref="B834:B836"/>
    <mergeCell ref="A837:A839"/>
    <mergeCell ref="B837:B839"/>
    <mergeCell ref="A840:A842"/>
    <mergeCell ref="A819:A821"/>
    <mergeCell ref="B819:B821"/>
    <mergeCell ref="A822:A824"/>
    <mergeCell ref="B822:B824"/>
    <mergeCell ref="A813:A815"/>
    <mergeCell ref="B813:B815"/>
    <mergeCell ref="A816:A818"/>
    <mergeCell ref="B816:B818"/>
    <mergeCell ref="A804:A806"/>
    <mergeCell ref="B804:B806"/>
    <mergeCell ref="A807:A809"/>
    <mergeCell ref="B807:B809"/>
    <mergeCell ref="A810:A812"/>
    <mergeCell ref="B810:B812"/>
    <mergeCell ref="A795:A797"/>
    <mergeCell ref="B795:B797"/>
    <mergeCell ref="A798:A800"/>
    <mergeCell ref="B798:B800"/>
    <mergeCell ref="A801:A803"/>
    <mergeCell ref="B801:B803"/>
    <mergeCell ref="A786:A788"/>
    <mergeCell ref="B786:B788"/>
    <mergeCell ref="A789:A791"/>
    <mergeCell ref="B789:B791"/>
    <mergeCell ref="A792:A794"/>
    <mergeCell ref="B792:B794"/>
    <mergeCell ref="A778:A780"/>
    <mergeCell ref="B778:B780"/>
    <mergeCell ref="A781:A783"/>
    <mergeCell ref="B781:B783"/>
    <mergeCell ref="A767:A769"/>
    <mergeCell ref="B767:B769"/>
    <mergeCell ref="A742:A744"/>
    <mergeCell ref="B742:B744"/>
    <mergeCell ref="A758:A760"/>
    <mergeCell ref="B758:B760"/>
    <mergeCell ref="A734:A736"/>
    <mergeCell ref="B734:B736"/>
    <mergeCell ref="A737:A739"/>
    <mergeCell ref="B737:B739"/>
    <mergeCell ref="A728:A730"/>
    <mergeCell ref="B728:B730"/>
    <mergeCell ref="A731:A733"/>
    <mergeCell ref="B731:B733"/>
    <mergeCell ref="A722:A724"/>
    <mergeCell ref="B722:B724"/>
    <mergeCell ref="A725:A727"/>
    <mergeCell ref="B725:B727"/>
    <mergeCell ref="A716:A718"/>
    <mergeCell ref="B716:B718"/>
    <mergeCell ref="A719:A721"/>
    <mergeCell ref="B719:B721"/>
    <mergeCell ref="A710:A712"/>
    <mergeCell ref="B710:B712"/>
    <mergeCell ref="A713:A715"/>
    <mergeCell ref="B713:B715"/>
    <mergeCell ref="A704:A706"/>
    <mergeCell ref="B704:B706"/>
    <mergeCell ref="A707:A709"/>
    <mergeCell ref="B707:B709"/>
    <mergeCell ref="A699:A701"/>
    <mergeCell ref="B699:B701"/>
    <mergeCell ref="A702:A703"/>
    <mergeCell ref="B702:B703"/>
    <mergeCell ref="A686:A688"/>
    <mergeCell ref="B686:B688"/>
    <mergeCell ref="A693:A695"/>
    <mergeCell ref="B693:B695"/>
    <mergeCell ref="A696:A698"/>
    <mergeCell ref="B696:B698"/>
    <mergeCell ref="A680:A682"/>
    <mergeCell ref="B680:B682"/>
    <mergeCell ref="A683:A685"/>
    <mergeCell ref="B683:B685"/>
    <mergeCell ref="A673:A674"/>
    <mergeCell ref="B673:B674"/>
    <mergeCell ref="A677:A679"/>
    <mergeCell ref="B677:B679"/>
    <mergeCell ref="A662:A664"/>
    <mergeCell ref="B662:B664"/>
    <mergeCell ref="A665:A667"/>
    <mergeCell ref="B665:B667"/>
    <mergeCell ref="A670:A672"/>
    <mergeCell ref="B670:B672"/>
    <mergeCell ref="A655:A656"/>
    <mergeCell ref="B655:B656"/>
    <mergeCell ref="A657:A659"/>
    <mergeCell ref="B657:B659"/>
    <mergeCell ref="A648:A649"/>
    <mergeCell ref="B648:B649"/>
    <mergeCell ref="A653:A654"/>
    <mergeCell ref="B653:B654"/>
    <mergeCell ref="A639:A640"/>
    <mergeCell ref="B639:B640"/>
    <mergeCell ref="A642:A643"/>
    <mergeCell ref="B642:B643"/>
    <mergeCell ref="A629:A630"/>
    <mergeCell ref="B629:B630"/>
    <mergeCell ref="A634:A635"/>
    <mergeCell ref="B634:B635"/>
    <mergeCell ref="A614:A615"/>
    <mergeCell ref="B614:B615"/>
    <mergeCell ref="A616:A617"/>
    <mergeCell ref="B616:B617"/>
    <mergeCell ref="A619:A621"/>
    <mergeCell ref="B619:B621"/>
    <mergeCell ref="A609:A610"/>
    <mergeCell ref="B609:B610"/>
    <mergeCell ref="A611:A612"/>
    <mergeCell ref="B611:B612"/>
    <mergeCell ref="A603:A604"/>
    <mergeCell ref="B603:B604"/>
    <mergeCell ref="A606:A607"/>
    <mergeCell ref="B606:B607"/>
    <mergeCell ref="A595:A596"/>
    <mergeCell ref="B595:B596"/>
    <mergeCell ref="A601:A602"/>
    <mergeCell ref="B601:B602"/>
    <mergeCell ref="A591:A592"/>
    <mergeCell ref="B591:B592"/>
    <mergeCell ref="A593:A594"/>
    <mergeCell ref="B593:B594"/>
    <mergeCell ref="A587:A588"/>
    <mergeCell ref="B587:B588"/>
    <mergeCell ref="A576:A577"/>
    <mergeCell ref="B576:B577"/>
    <mergeCell ref="A579:A580"/>
    <mergeCell ref="B579:B580"/>
    <mergeCell ref="A570:A571"/>
    <mergeCell ref="B570:B571"/>
    <mergeCell ref="A573:A574"/>
    <mergeCell ref="B573:B574"/>
    <mergeCell ref="A563:A564"/>
    <mergeCell ref="B563:B564"/>
    <mergeCell ref="A565:A566"/>
    <mergeCell ref="B565:B566"/>
    <mergeCell ref="A568:A569"/>
    <mergeCell ref="B568:B569"/>
    <mergeCell ref="A555:A557"/>
    <mergeCell ref="B555:B557"/>
    <mergeCell ref="A558:A560"/>
    <mergeCell ref="B558:B560"/>
    <mergeCell ref="A545:A547"/>
    <mergeCell ref="B545:B547"/>
    <mergeCell ref="A548:A550"/>
    <mergeCell ref="B548:B550"/>
    <mergeCell ref="A539:A541"/>
    <mergeCell ref="B539:B541"/>
    <mergeCell ref="A542:A544"/>
    <mergeCell ref="B542:B544"/>
    <mergeCell ref="A533:A535"/>
    <mergeCell ref="B533:B535"/>
    <mergeCell ref="A536:A538"/>
    <mergeCell ref="B536:B538"/>
    <mergeCell ref="A527:A529"/>
    <mergeCell ref="B527:B529"/>
    <mergeCell ref="A530:A532"/>
    <mergeCell ref="B530:B532"/>
    <mergeCell ref="A517:A519"/>
    <mergeCell ref="B517:B519"/>
    <mergeCell ref="A520:A522"/>
    <mergeCell ref="B520:B522"/>
    <mergeCell ref="A525:A526"/>
    <mergeCell ref="B525:B526"/>
    <mergeCell ref="A511:A513"/>
    <mergeCell ref="B511:B513"/>
    <mergeCell ref="A514:A516"/>
    <mergeCell ref="B514:B516"/>
    <mergeCell ref="A502:A504"/>
    <mergeCell ref="B502:B504"/>
    <mergeCell ref="A505:A507"/>
    <mergeCell ref="B505:B507"/>
    <mergeCell ref="A508:A510"/>
    <mergeCell ref="B508:B510"/>
    <mergeCell ref="A493:A495"/>
    <mergeCell ref="B493:B495"/>
    <mergeCell ref="A496:A498"/>
    <mergeCell ref="B496:B498"/>
    <mergeCell ref="A499:A501"/>
    <mergeCell ref="B499:B501"/>
    <mergeCell ref="A473:A475"/>
    <mergeCell ref="B473:B475"/>
    <mergeCell ref="A476:A478"/>
    <mergeCell ref="B476:B478"/>
    <mergeCell ref="A467:A469"/>
    <mergeCell ref="B467:B469"/>
    <mergeCell ref="A470:A472"/>
    <mergeCell ref="B470:B472"/>
    <mergeCell ref="A461:A463"/>
    <mergeCell ref="B461:B463"/>
    <mergeCell ref="A464:A466"/>
    <mergeCell ref="B464:B466"/>
    <mergeCell ref="A455:A457"/>
    <mergeCell ref="B455:B457"/>
    <mergeCell ref="A458:A460"/>
    <mergeCell ref="B458:B460"/>
    <mergeCell ref="A451:A452"/>
    <mergeCell ref="B451:B452"/>
    <mergeCell ref="A453:A454"/>
    <mergeCell ref="B453:B454"/>
    <mergeCell ref="A444:A446"/>
    <mergeCell ref="B444:B446"/>
    <mergeCell ref="A447:A449"/>
    <mergeCell ref="B447:B449"/>
    <mergeCell ref="A438:A440"/>
    <mergeCell ref="B438:B440"/>
    <mergeCell ref="A441:A443"/>
    <mergeCell ref="B441:B443"/>
    <mergeCell ref="A432:A434"/>
    <mergeCell ref="B432:B434"/>
    <mergeCell ref="A435:A437"/>
    <mergeCell ref="B435:B437"/>
    <mergeCell ref="A424:A425"/>
    <mergeCell ref="B424:B425"/>
    <mergeCell ref="A426:A428"/>
    <mergeCell ref="B426:B428"/>
    <mergeCell ref="A429:A431"/>
    <mergeCell ref="B429:B431"/>
    <mergeCell ref="A419:A421"/>
    <mergeCell ref="B419:B421"/>
    <mergeCell ref="A422:A423"/>
    <mergeCell ref="B422:B423"/>
    <mergeCell ref="A411:A413"/>
    <mergeCell ref="B411:B413"/>
    <mergeCell ref="A414:A416"/>
    <mergeCell ref="B414:B416"/>
    <mergeCell ref="A390:A392"/>
    <mergeCell ref="B390:B392"/>
    <mergeCell ref="A407:A408"/>
    <mergeCell ref="B407:B408"/>
    <mergeCell ref="A386:A387"/>
    <mergeCell ref="B386:B387"/>
    <mergeCell ref="A388:A389"/>
    <mergeCell ref="B388:B389"/>
    <mergeCell ref="A379:A381"/>
    <mergeCell ref="B379:B381"/>
    <mergeCell ref="A382:A383"/>
    <mergeCell ref="B382:B383"/>
    <mergeCell ref="A370:A371"/>
    <mergeCell ref="B370:B371"/>
    <mergeCell ref="A375:A376"/>
    <mergeCell ref="B375:B376"/>
    <mergeCell ref="A364:A365"/>
    <mergeCell ref="B364:B365"/>
    <mergeCell ref="A367:A369"/>
    <mergeCell ref="B367:B369"/>
    <mergeCell ref="A358:A360"/>
    <mergeCell ref="B358:B360"/>
    <mergeCell ref="A361:A363"/>
    <mergeCell ref="B361:B363"/>
    <mergeCell ref="A350:A351"/>
    <mergeCell ref="B350:B351"/>
    <mergeCell ref="A352:A353"/>
    <mergeCell ref="B352:B353"/>
    <mergeCell ref="A354:A356"/>
    <mergeCell ref="B354:B356"/>
    <mergeCell ref="A341:A343"/>
    <mergeCell ref="B341:B343"/>
    <mergeCell ref="A347:A349"/>
    <mergeCell ref="B347:B349"/>
    <mergeCell ref="A335:A336"/>
    <mergeCell ref="B335:B336"/>
    <mergeCell ref="A339:A340"/>
    <mergeCell ref="B339:B340"/>
    <mergeCell ref="A330:A331"/>
    <mergeCell ref="B330:B331"/>
    <mergeCell ref="A333:A334"/>
    <mergeCell ref="B333:B334"/>
    <mergeCell ref="A323:A325"/>
    <mergeCell ref="B323:B325"/>
    <mergeCell ref="A326:A327"/>
    <mergeCell ref="B326:B327"/>
    <mergeCell ref="A328:A329"/>
    <mergeCell ref="B328:B329"/>
    <mergeCell ref="A317:A319"/>
    <mergeCell ref="B317:B319"/>
    <mergeCell ref="A320:A322"/>
    <mergeCell ref="B320:B322"/>
    <mergeCell ref="A312:A313"/>
    <mergeCell ref="B312:B313"/>
    <mergeCell ref="A314:A316"/>
    <mergeCell ref="B314:B316"/>
    <mergeCell ref="A307:A308"/>
    <mergeCell ref="B307:B308"/>
    <mergeCell ref="A310:A311"/>
    <mergeCell ref="B310:B311"/>
    <mergeCell ref="A298:A300"/>
    <mergeCell ref="B298:B300"/>
    <mergeCell ref="A303:A304"/>
    <mergeCell ref="B303:B304"/>
    <mergeCell ref="A289:A291"/>
    <mergeCell ref="B289:B291"/>
    <mergeCell ref="A292:A294"/>
    <mergeCell ref="B292:B294"/>
    <mergeCell ref="A295:A297"/>
    <mergeCell ref="B295:B297"/>
    <mergeCell ref="A280:A282"/>
    <mergeCell ref="B280:B282"/>
    <mergeCell ref="A283:A285"/>
    <mergeCell ref="B283:B285"/>
    <mergeCell ref="A286:A288"/>
    <mergeCell ref="B286:B288"/>
    <mergeCell ref="B268:B270"/>
    <mergeCell ref="A271:A273"/>
    <mergeCell ref="B271:B273"/>
    <mergeCell ref="A274:A276"/>
    <mergeCell ref="B274:B276"/>
    <mergeCell ref="A277:A279"/>
    <mergeCell ref="B277:B279"/>
    <mergeCell ref="A256:A258"/>
    <mergeCell ref="B256:B258"/>
    <mergeCell ref="A259:A261"/>
    <mergeCell ref="B259:B261"/>
    <mergeCell ref="A262:A264"/>
    <mergeCell ref="B262:B264"/>
    <mergeCell ref="A265:A267"/>
    <mergeCell ref="B265:B267"/>
    <mergeCell ref="A268:A270"/>
    <mergeCell ref="A249:A251"/>
    <mergeCell ref="B249:B251"/>
    <mergeCell ref="A254:A255"/>
    <mergeCell ref="B254:B255"/>
    <mergeCell ref="A244:A246"/>
    <mergeCell ref="B244:B246"/>
    <mergeCell ref="A247:A248"/>
    <mergeCell ref="B247:B248"/>
    <mergeCell ref="A236:A238"/>
    <mergeCell ref="B236:B238"/>
    <mergeCell ref="A239:A241"/>
    <mergeCell ref="B239:B241"/>
    <mergeCell ref="A242:A243"/>
    <mergeCell ref="B242:B243"/>
    <mergeCell ref="A223:A225"/>
    <mergeCell ref="B223:B225"/>
    <mergeCell ref="A226:A228"/>
    <mergeCell ref="B226:B228"/>
    <mergeCell ref="A229:A230"/>
    <mergeCell ref="B229:B230"/>
    <mergeCell ref="A233:A235"/>
    <mergeCell ref="B233:B235"/>
    <mergeCell ref="A217:A219"/>
    <mergeCell ref="B217:B219"/>
    <mergeCell ref="A220:A222"/>
    <mergeCell ref="B220:B222"/>
    <mergeCell ref="A205:A207"/>
    <mergeCell ref="B205:B207"/>
    <mergeCell ref="A208:A209"/>
    <mergeCell ref="B208:B209"/>
    <mergeCell ref="A210:A212"/>
    <mergeCell ref="B210:B212"/>
    <mergeCell ref="A213:A214"/>
    <mergeCell ref="B213:B214"/>
    <mergeCell ref="A203:A204"/>
    <mergeCell ref="B203:B204"/>
    <mergeCell ref="A196:A198"/>
    <mergeCell ref="B196:B198"/>
    <mergeCell ref="A199:A201"/>
    <mergeCell ref="B199:B201"/>
    <mergeCell ref="A189:A191"/>
    <mergeCell ref="B189:B191"/>
    <mergeCell ref="A194:A195"/>
    <mergeCell ref="B194:B195"/>
    <mergeCell ref="A184:A185"/>
    <mergeCell ref="B184:B185"/>
    <mergeCell ref="A186:A188"/>
    <mergeCell ref="B186:B188"/>
    <mergeCell ref="A173:A175"/>
    <mergeCell ref="B173:B175"/>
    <mergeCell ref="A176:A178"/>
    <mergeCell ref="B176:B178"/>
    <mergeCell ref="A179:A182"/>
    <mergeCell ref="B179:B182"/>
    <mergeCell ref="A165:A167"/>
    <mergeCell ref="B165:B167"/>
    <mergeCell ref="A170:A172"/>
    <mergeCell ref="B170:B172"/>
    <mergeCell ref="A159:A161"/>
    <mergeCell ref="B159:B161"/>
    <mergeCell ref="A162:A164"/>
    <mergeCell ref="B162:B164"/>
    <mergeCell ref="A153:A155"/>
    <mergeCell ref="B153:B155"/>
    <mergeCell ref="A156:A158"/>
    <mergeCell ref="B156:B158"/>
    <mergeCell ref="A147:A149"/>
    <mergeCell ref="B147:B149"/>
    <mergeCell ref="A150:A152"/>
    <mergeCell ref="B150:B152"/>
    <mergeCell ref="A141:A143"/>
    <mergeCell ref="B141:B143"/>
    <mergeCell ref="A144:A146"/>
    <mergeCell ref="B144:B146"/>
    <mergeCell ref="A135:A137"/>
    <mergeCell ref="B135:B137"/>
    <mergeCell ref="A138:A140"/>
    <mergeCell ref="B138:B140"/>
    <mergeCell ref="A127:A129"/>
    <mergeCell ref="B127:B129"/>
    <mergeCell ref="A132:A134"/>
    <mergeCell ref="B132:B134"/>
    <mergeCell ref="A123:A124"/>
    <mergeCell ref="B123:B124"/>
    <mergeCell ref="A125:A126"/>
    <mergeCell ref="B125:B126"/>
    <mergeCell ref="A117:A119"/>
    <mergeCell ref="B117:B119"/>
    <mergeCell ref="A120:A122"/>
    <mergeCell ref="B120:B122"/>
    <mergeCell ref="A111:A113"/>
    <mergeCell ref="B111:B113"/>
    <mergeCell ref="A114:A116"/>
    <mergeCell ref="B114:B116"/>
    <mergeCell ref="A105:A107"/>
    <mergeCell ref="B105:B107"/>
    <mergeCell ref="A108:A110"/>
    <mergeCell ref="B108:B110"/>
    <mergeCell ref="A99:A101"/>
    <mergeCell ref="B99:B101"/>
    <mergeCell ref="A102:A104"/>
    <mergeCell ref="B102:B104"/>
    <mergeCell ref="A92:A93"/>
    <mergeCell ref="B92:B93"/>
    <mergeCell ref="A96:A98"/>
    <mergeCell ref="B96:B98"/>
    <mergeCell ref="A87:A88"/>
    <mergeCell ref="B87:B88"/>
    <mergeCell ref="A89:A91"/>
    <mergeCell ref="B89:B91"/>
    <mergeCell ref="A82:A83"/>
    <mergeCell ref="B82:B83"/>
    <mergeCell ref="A84:A86"/>
    <mergeCell ref="B84:B86"/>
    <mergeCell ref="A77:A78"/>
    <mergeCell ref="B77:B78"/>
    <mergeCell ref="A79:A81"/>
    <mergeCell ref="B79:B81"/>
    <mergeCell ref="A70:A71"/>
    <mergeCell ref="B70:B71"/>
    <mergeCell ref="A72:A74"/>
    <mergeCell ref="B72:B74"/>
    <mergeCell ref="A75:A76"/>
    <mergeCell ref="B75:B76"/>
    <mergeCell ref="A66:A67"/>
    <mergeCell ref="B66:B67"/>
    <mergeCell ref="A68:A69"/>
    <mergeCell ref="B68:B69"/>
    <mergeCell ref="A59:A61"/>
    <mergeCell ref="B59:B61"/>
    <mergeCell ref="A62:A64"/>
    <mergeCell ref="B62:B64"/>
    <mergeCell ref="A53:A55"/>
    <mergeCell ref="B53:B55"/>
    <mergeCell ref="A56:A58"/>
    <mergeCell ref="B56:B58"/>
    <mergeCell ref="A47:A48"/>
    <mergeCell ref="B47:B48"/>
    <mergeCell ref="A51:A52"/>
    <mergeCell ref="B51:B52"/>
    <mergeCell ref="A39:A41"/>
    <mergeCell ref="B39:B41"/>
    <mergeCell ref="A42:A44"/>
    <mergeCell ref="B42:B44"/>
    <mergeCell ref="A33:A35"/>
    <mergeCell ref="B33:B35"/>
    <mergeCell ref="A36:A38"/>
    <mergeCell ref="B36:B38"/>
    <mergeCell ref="A22:A23"/>
    <mergeCell ref="B22:B23"/>
    <mergeCell ref="A24:A26"/>
    <mergeCell ref="B24:B26"/>
    <mergeCell ref="A27:A29"/>
    <mergeCell ref="B27:B29"/>
    <mergeCell ref="A30:A32"/>
    <mergeCell ref="B30:B32"/>
    <mergeCell ref="C1:F1"/>
    <mergeCell ref="A20:A21"/>
    <mergeCell ref="B20:B21"/>
    <mergeCell ref="A4:B4"/>
    <mergeCell ref="C4:C5"/>
    <mergeCell ref="D4:D5"/>
    <mergeCell ref="E4:E5"/>
    <mergeCell ref="A11:A13"/>
    <mergeCell ref="B11:B13"/>
    <mergeCell ref="A14:A15"/>
    <mergeCell ref="B14:B15"/>
    <mergeCell ref="A16:A17"/>
    <mergeCell ref="B16:B17"/>
    <mergeCell ref="A8:A10"/>
    <mergeCell ref="B8:B10"/>
    <mergeCell ref="A18:A19"/>
    <mergeCell ref="B18:B19"/>
    <mergeCell ref="A2:F3"/>
    <mergeCell ref="F4:F5"/>
  </mergeCells>
  <pageMargins left="0.70866141732283472" right="0.31496062992125984" top="0.35433070866141736" bottom="0.35433070866141736"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workbookViewId="0">
      <selection activeCell="J13" sqref="J13"/>
    </sheetView>
  </sheetViews>
  <sheetFormatPr defaultRowHeight="15" x14ac:dyDescent="0.25"/>
  <cols>
    <col min="1" max="1" width="11.7109375" customWidth="1"/>
    <col min="2" max="2" width="15.7109375" customWidth="1"/>
    <col min="5" max="5" width="10.5703125" customWidth="1"/>
    <col min="6" max="6" width="13.5703125" style="321" customWidth="1"/>
  </cols>
  <sheetData>
    <row r="1" spans="1:6" ht="15.75" x14ac:dyDescent="0.25">
      <c r="A1" s="369"/>
      <c r="B1" s="369"/>
      <c r="C1" s="524" t="s">
        <v>2080</v>
      </c>
      <c r="D1" s="524"/>
      <c r="E1" s="524"/>
      <c r="F1" s="524"/>
    </row>
    <row r="2" spans="1:6" ht="15.75" x14ac:dyDescent="0.25">
      <c r="A2" s="568" t="s">
        <v>2079</v>
      </c>
      <c r="B2" s="568"/>
      <c r="C2" s="568"/>
      <c r="D2" s="568"/>
      <c r="E2" s="568"/>
      <c r="F2" s="568"/>
    </row>
    <row r="3" spans="1:6" ht="15.75" customHeight="1" x14ac:dyDescent="0.25">
      <c r="A3" s="578" t="s">
        <v>174</v>
      </c>
      <c r="B3" s="578"/>
      <c r="C3" s="579" t="s">
        <v>2068</v>
      </c>
      <c r="D3" s="581" t="s">
        <v>1983</v>
      </c>
      <c r="E3" s="600" t="s">
        <v>175</v>
      </c>
      <c r="F3" s="571" t="s">
        <v>1981</v>
      </c>
    </row>
    <row r="4" spans="1:6" ht="57" customHeight="1" x14ac:dyDescent="0.25">
      <c r="A4" s="339" t="s">
        <v>176</v>
      </c>
      <c r="B4" s="339" t="s">
        <v>177</v>
      </c>
      <c r="C4" s="580"/>
      <c r="D4" s="581"/>
      <c r="E4" s="601"/>
      <c r="F4" s="572"/>
    </row>
    <row r="5" spans="1:6" ht="15.75" x14ac:dyDescent="0.25">
      <c r="A5" s="582"/>
      <c r="B5" s="583"/>
      <c r="C5" s="583"/>
      <c r="D5" s="583"/>
      <c r="E5" s="583"/>
      <c r="F5" s="23"/>
    </row>
    <row r="6" spans="1:6" ht="15.75" x14ac:dyDescent="0.25">
      <c r="A6" s="351" t="s">
        <v>1986</v>
      </c>
      <c r="B6" s="352"/>
      <c r="C6" s="352"/>
      <c r="D6" s="352"/>
      <c r="E6" s="352"/>
      <c r="F6" s="23"/>
    </row>
    <row r="7" spans="1:6" ht="15.75" x14ac:dyDescent="0.25">
      <c r="A7" s="584" t="s">
        <v>1987</v>
      </c>
      <c r="B7" s="590" t="s">
        <v>1352</v>
      </c>
      <c r="C7" s="340"/>
      <c r="D7" s="340"/>
      <c r="E7" s="354"/>
      <c r="F7" s="127"/>
    </row>
    <row r="8" spans="1:6" ht="15.75" x14ac:dyDescent="0.25">
      <c r="A8" s="585"/>
      <c r="B8" s="591"/>
      <c r="C8" s="341">
        <v>15</v>
      </c>
      <c r="D8" s="340">
        <v>133</v>
      </c>
      <c r="E8" s="354">
        <v>1971</v>
      </c>
      <c r="F8" s="127">
        <f t="shared" ref="F8:F42" si="0">2019-E8</f>
        <v>48</v>
      </c>
    </row>
    <row r="9" spans="1:6" ht="15.75" x14ac:dyDescent="0.25">
      <c r="A9" s="586"/>
      <c r="B9" s="592"/>
      <c r="C9" s="340">
        <v>15</v>
      </c>
      <c r="D9" s="340">
        <v>76</v>
      </c>
      <c r="E9" s="354">
        <v>1971</v>
      </c>
      <c r="F9" s="127">
        <f t="shared" si="0"/>
        <v>48</v>
      </c>
    </row>
    <row r="10" spans="1:6" ht="15.75" x14ac:dyDescent="0.25">
      <c r="A10" s="584" t="s">
        <v>498</v>
      </c>
      <c r="B10" s="590" t="s">
        <v>621</v>
      </c>
      <c r="C10" s="340"/>
      <c r="D10" s="340"/>
      <c r="E10" s="354"/>
      <c r="F10" s="127"/>
    </row>
    <row r="11" spans="1:6" ht="15.75" x14ac:dyDescent="0.25">
      <c r="A11" s="585"/>
      <c r="B11" s="591"/>
      <c r="C11" s="341">
        <v>46</v>
      </c>
      <c r="D11" s="340">
        <v>40</v>
      </c>
      <c r="E11" s="354">
        <v>1971</v>
      </c>
      <c r="F11" s="127">
        <f t="shared" si="0"/>
        <v>48</v>
      </c>
    </row>
    <row r="12" spans="1:6" ht="15.75" x14ac:dyDescent="0.25">
      <c r="A12" s="586"/>
      <c r="B12" s="592"/>
      <c r="C12" s="340">
        <v>46</v>
      </c>
      <c r="D12" s="340">
        <v>40</v>
      </c>
      <c r="E12" s="354">
        <v>1971</v>
      </c>
      <c r="F12" s="127">
        <f t="shared" si="0"/>
        <v>48</v>
      </c>
    </row>
    <row r="13" spans="1:6" ht="15.75" x14ac:dyDescent="0.25">
      <c r="A13" s="584" t="s">
        <v>1260</v>
      </c>
      <c r="B13" s="590" t="s">
        <v>1988</v>
      </c>
      <c r="C13" s="340"/>
      <c r="D13" s="340"/>
      <c r="E13" s="354"/>
      <c r="F13" s="127"/>
    </row>
    <row r="14" spans="1:6" ht="15.75" x14ac:dyDescent="0.25">
      <c r="A14" s="585"/>
      <c r="B14" s="591"/>
      <c r="C14" s="341">
        <v>12</v>
      </c>
      <c r="D14" s="340">
        <v>40</v>
      </c>
      <c r="E14" s="354">
        <v>1971</v>
      </c>
      <c r="F14" s="127">
        <f t="shared" si="0"/>
        <v>48</v>
      </c>
    </row>
    <row r="15" spans="1:6" ht="15.75" x14ac:dyDescent="0.25">
      <c r="A15" s="586"/>
      <c r="B15" s="592"/>
      <c r="C15" s="340">
        <v>12</v>
      </c>
      <c r="D15" s="340">
        <v>40</v>
      </c>
      <c r="E15" s="354">
        <v>1971</v>
      </c>
      <c r="F15" s="127">
        <f t="shared" si="0"/>
        <v>48</v>
      </c>
    </row>
    <row r="16" spans="1:6" ht="15.75" x14ac:dyDescent="0.25">
      <c r="A16" s="584" t="s">
        <v>422</v>
      </c>
      <c r="B16" s="590" t="s">
        <v>1989</v>
      </c>
      <c r="C16" s="340"/>
      <c r="D16" s="340"/>
      <c r="E16" s="354"/>
      <c r="F16" s="127"/>
    </row>
    <row r="17" spans="1:6" ht="15.75" x14ac:dyDescent="0.25">
      <c r="A17" s="585"/>
      <c r="B17" s="591"/>
      <c r="C17" s="341">
        <v>39</v>
      </c>
      <c r="D17" s="340">
        <v>40</v>
      </c>
      <c r="E17" s="354">
        <v>1971</v>
      </c>
      <c r="F17" s="127">
        <f t="shared" si="0"/>
        <v>48</v>
      </c>
    </row>
    <row r="18" spans="1:6" ht="15.75" x14ac:dyDescent="0.25">
      <c r="A18" s="586"/>
      <c r="B18" s="592"/>
      <c r="C18" s="339">
        <v>39</v>
      </c>
      <c r="D18" s="339">
        <v>25</v>
      </c>
      <c r="E18" s="354">
        <v>1971</v>
      </c>
      <c r="F18" s="127">
        <f t="shared" si="0"/>
        <v>48</v>
      </c>
    </row>
    <row r="19" spans="1:6" ht="15.75" x14ac:dyDescent="0.25">
      <c r="A19" s="584" t="s">
        <v>620</v>
      </c>
      <c r="B19" s="590" t="s">
        <v>1990</v>
      </c>
      <c r="C19" s="339"/>
      <c r="D19" s="339"/>
      <c r="E19" s="354"/>
      <c r="F19" s="127"/>
    </row>
    <row r="20" spans="1:6" ht="15.75" x14ac:dyDescent="0.25">
      <c r="A20" s="585"/>
      <c r="B20" s="591"/>
      <c r="C20" s="342">
        <v>30</v>
      </c>
      <c r="D20" s="339">
        <v>89</v>
      </c>
      <c r="E20" s="354">
        <v>1971</v>
      </c>
      <c r="F20" s="127">
        <f t="shared" si="0"/>
        <v>48</v>
      </c>
    </row>
    <row r="21" spans="1:6" ht="15.75" x14ac:dyDescent="0.25">
      <c r="A21" s="586"/>
      <c r="B21" s="592"/>
      <c r="C21" s="339">
        <v>30</v>
      </c>
      <c r="D21" s="339">
        <v>40</v>
      </c>
      <c r="E21" s="354">
        <v>1971</v>
      </c>
      <c r="F21" s="127">
        <f t="shared" si="0"/>
        <v>48</v>
      </c>
    </row>
    <row r="22" spans="1:6" ht="15.75" x14ac:dyDescent="0.25">
      <c r="A22" s="584" t="s">
        <v>1332</v>
      </c>
      <c r="B22" s="590" t="s">
        <v>1360</v>
      </c>
      <c r="C22" s="339"/>
      <c r="D22" s="339"/>
      <c r="E22" s="354"/>
      <c r="F22" s="127"/>
    </row>
    <row r="23" spans="1:6" ht="15.75" x14ac:dyDescent="0.25">
      <c r="A23" s="585"/>
      <c r="B23" s="591"/>
      <c r="C23" s="342">
        <v>20</v>
      </c>
      <c r="D23" s="339">
        <v>89</v>
      </c>
      <c r="E23" s="354">
        <v>1971</v>
      </c>
      <c r="F23" s="127">
        <f t="shared" si="0"/>
        <v>48</v>
      </c>
    </row>
    <row r="24" spans="1:6" ht="15.75" x14ac:dyDescent="0.25">
      <c r="A24" s="586"/>
      <c r="B24" s="592"/>
      <c r="C24" s="339">
        <v>20</v>
      </c>
      <c r="D24" s="339">
        <v>40</v>
      </c>
      <c r="E24" s="354">
        <v>1971</v>
      </c>
      <c r="F24" s="127">
        <f t="shared" si="0"/>
        <v>48</v>
      </c>
    </row>
    <row r="25" spans="1:6" ht="15.75" x14ac:dyDescent="0.25">
      <c r="A25" s="584" t="s">
        <v>921</v>
      </c>
      <c r="B25" s="584" t="s">
        <v>1991</v>
      </c>
      <c r="C25" s="339"/>
      <c r="D25" s="339"/>
      <c r="E25" s="354"/>
      <c r="F25" s="23"/>
    </row>
    <row r="26" spans="1:6" ht="15.75" x14ac:dyDescent="0.25">
      <c r="A26" s="585"/>
      <c r="B26" s="585"/>
      <c r="C26" s="342">
        <v>7</v>
      </c>
      <c r="D26" s="339">
        <v>40</v>
      </c>
      <c r="E26" s="354">
        <v>1971</v>
      </c>
      <c r="F26" s="127">
        <f t="shared" si="0"/>
        <v>48</v>
      </c>
    </row>
    <row r="27" spans="1:6" ht="15.75" x14ac:dyDescent="0.25">
      <c r="A27" s="586"/>
      <c r="B27" s="586"/>
      <c r="C27" s="339">
        <v>7</v>
      </c>
      <c r="D27" s="339">
        <v>32</v>
      </c>
      <c r="E27" s="354">
        <v>1971</v>
      </c>
      <c r="F27" s="127">
        <f t="shared" si="0"/>
        <v>48</v>
      </c>
    </row>
    <row r="28" spans="1:6" ht="15.75" x14ac:dyDescent="0.25">
      <c r="A28" s="584" t="s">
        <v>611</v>
      </c>
      <c r="B28" s="584" t="s">
        <v>1484</v>
      </c>
      <c r="C28" s="339"/>
      <c r="D28" s="339"/>
      <c r="E28" s="354"/>
      <c r="F28" s="23"/>
    </row>
    <row r="29" spans="1:6" ht="15.75" x14ac:dyDescent="0.25">
      <c r="A29" s="585"/>
      <c r="B29" s="585"/>
      <c r="C29" s="342">
        <v>50</v>
      </c>
      <c r="D29" s="339">
        <v>57</v>
      </c>
      <c r="E29" s="354">
        <v>1971</v>
      </c>
      <c r="F29" s="127">
        <f t="shared" si="0"/>
        <v>48</v>
      </c>
    </row>
    <row r="30" spans="1:6" ht="15.75" x14ac:dyDescent="0.25">
      <c r="A30" s="586"/>
      <c r="B30" s="586"/>
      <c r="C30" s="339">
        <v>50</v>
      </c>
      <c r="D30" s="339">
        <v>32</v>
      </c>
      <c r="E30" s="354">
        <v>1971</v>
      </c>
      <c r="F30" s="127">
        <f t="shared" si="0"/>
        <v>48</v>
      </c>
    </row>
    <row r="31" spans="1:6" ht="15.75" x14ac:dyDescent="0.25">
      <c r="A31" s="584" t="s">
        <v>1089</v>
      </c>
      <c r="B31" s="584" t="s">
        <v>1992</v>
      </c>
      <c r="C31" s="339"/>
      <c r="D31" s="339"/>
      <c r="E31" s="354"/>
      <c r="F31" s="23"/>
    </row>
    <row r="32" spans="1:6" ht="15.75" x14ac:dyDescent="0.25">
      <c r="A32" s="585"/>
      <c r="B32" s="585"/>
      <c r="C32" s="342">
        <v>66</v>
      </c>
      <c r="D32" s="339">
        <v>40</v>
      </c>
      <c r="E32" s="354">
        <v>1971</v>
      </c>
      <c r="F32" s="127">
        <f t="shared" si="0"/>
        <v>48</v>
      </c>
    </row>
    <row r="33" spans="1:6" ht="15.75" x14ac:dyDescent="0.25">
      <c r="A33" s="586"/>
      <c r="B33" s="586"/>
      <c r="C33" s="339">
        <v>66</v>
      </c>
      <c r="D33" s="339">
        <v>32</v>
      </c>
      <c r="E33" s="354">
        <v>1971</v>
      </c>
      <c r="F33" s="127">
        <f t="shared" si="0"/>
        <v>48</v>
      </c>
    </row>
    <row r="34" spans="1:6" ht="15.75" x14ac:dyDescent="0.25">
      <c r="A34" s="584" t="s">
        <v>221</v>
      </c>
      <c r="B34" s="584" t="s">
        <v>1993</v>
      </c>
      <c r="C34" s="339"/>
      <c r="D34" s="339"/>
      <c r="E34" s="354"/>
      <c r="F34" s="23"/>
    </row>
    <row r="35" spans="1:6" ht="15.75" x14ac:dyDescent="0.25">
      <c r="A35" s="585"/>
      <c r="B35" s="585"/>
      <c r="C35" s="342">
        <v>98</v>
      </c>
      <c r="D35" s="339">
        <v>32</v>
      </c>
      <c r="E35" s="354">
        <v>1971</v>
      </c>
      <c r="F35" s="127">
        <f t="shared" si="0"/>
        <v>48</v>
      </c>
    </row>
    <row r="36" spans="1:6" ht="15.75" x14ac:dyDescent="0.25">
      <c r="A36" s="586"/>
      <c r="B36" s="586"/>
      <c r="C36" s="339">
        <v>98</v>
      </c>
      <c r="D36" s="339">
        <v>25</v>
      </c>
      <c r="E36" s="354">
        <v>1971</v>
      </c>
      <c r="F36" s="127">
        <f t="shared" si="0"/>
        <v>48</v>
      </c>
    </row>
    <row r="37" spans="1:6" ht="15.75" x14ac:dyDescent="0.25">
      <c r="A37" s="584" t="s">
        <v>564</v>
      </c>
      <c r="B37" s="590" t="s">
        <v>1994</v>
      </c>
      <c r="C37" s="342">
        <v>60</v>
      </c>
      <c r="D37" s="339">
        <v>57</v>
      </c>
      <c r="E37" s="354">
        <v>1971</v>
      </c>
      <c r="F37" s="127">
        <f t="shared" si="0"/>
        <v>48</v>
      </c>
    </row>
    <row r="38" spans="1:6" ht="15.75" x14ac:dyDescent="0.25">
      <c r="A38" s="585"/>
      <c r="B38" s="591"/>
      <c r="C38" s="339">
        <v>60</v>
      </c>
      <c r="D38" s="339">
        <v>40</v>
      </c>
      <c r="E38" s="354">
        <v>1971</v>
      </c>
      <c r="F38" s="127">
        <f t="shared" si="0"/>
        <v>48</v>
      </c>
    </row>
    <row r="39" spans="1:6" ht="15.75" x14ac:dyDescent="0.25">
      <c r="A39" s="344"/>
      <c r="B39" s="345"/>
      <c r="C39" s="342">
        <v>21</v>
      </c>
      <c r="D39" s="339">
        <v>32</v>
      </c>
      <c r="E39" s="354">
        <v>1971</v>
      </c>
      <c r="F39" s="127">
        <f t="shared" si="0"/>
        <v>48</v>
      </c>
    </row>
    <row r="40" spans="1:6" ht="15.75" x14ac:dyDescent="0.25">
      <c r="A40" s="346"/>
      <c r="B40" s="347"/>
      <c r="C40" s="339">
        <v>21</v>
      </c>
      <c r="D40" s="339">
        <v>32</v>
      </c>
      <c r="E40" s="354">
        <v>1971</v>
      </c>
      <c r="F40" s="127">
        <f t="shared" si="0"/>
        <v>48</v>
      </c>
    </row>
    <row r="41" spans="1:6" ht="31.5" x14ac:dyDescent="0.25">
      <c r="A41" s="343" t="s">
        <v>834</v>
      </c>
      <c r="B41" s="343" t="s">
        <v>1995</v>
      </c>
      <c r="C41" s="342">
        <v>17</v>
      </c>
      <c r="D41" s="339">
        <v>32</v>
      </c>
      <c r="E41" s="353">
        <v>1971</v>
      </c>
      <c r="F41" s="127">
        <f t="shared" si="0"/>
        <v>48</v>
      </c>
    </row>
    <row r="42" spans="1:6" ht="15.75" x14ac:dyDescent="0.25">
      <c r="A42" s="346"/>
      <c r="B42" s="346"/>
      <c r="C42" s="339">
        <v>17</v>
      </c>
      <c r="D42" s="339">
        <v>32</v>
      </c>
      <c r="E42" s="354">
        <v>1971</v>
      </c>
      <c r="F42" s="127">
        <f t="shared" si="0"/>
        <v>48</v>
      </c>
    </row>
    <row r="43" spans="1:6" x14ac:dyDescent="0.25">
      <c r="A43" s="348" t="s">
        <v>1996</v>
      </c>
      <c r="B43" s="348"/>
      <c r="C43" s="349">
        <f>SUM(C7:C42)</f>
        <v>962</v>
      </c>
      <c r="D43" s="350"/>
      <c r="E43" s="355"/>
      <c r="F43" s="23"/>
    </row>
    <row r="44" spans="1:6" ht="15.75" x14ac:dyDescent="0.25">
      <c r="A44" s="351" t="s">
        <v>2024</v>
      </c>
      <c r="B44" s="352"/>
      <c r="C44" s="352"/>
      <c r="D44" s="352"/>
      <c r="E44" s="352"/>
      <c r="F44" s="23"/>
    </row>
    <row r="45" spans="1:6" ht="31.5" x14ac:dyDescent="0.25">
      <c r="A45" s="356" t="s">
        <v>2026</v>
      </c>
      <c r="B45" s="356" t="s">
        <v>2025</v>
      </c>
      <c r="C45" s="17">
        <v>61</v>
      </c>
      <c r="D45" s="17">
        <v>89</v>
      </c>
      <c r="E45" s="363">
        <v>1982</v>
      </c>
      <c r="F45" s="127">
        <f>2019-E45</f>
        <v>37</v>
      </c>
    </row>
    <row r="46" spans="1:6" ht="31.5" x14ac:dyDescent="0.25">
      <c r="A46" s="356" t="s">
        <v>2027</v>
      </c>
      <c r="B46" s="356" t="s">
        <v>2025</v>
      </c>
      <c r="C46" s="17">
        <v>61</v>
      </c>
      <c r="D46" s="17">
        <v>57</v>
      </c>
      <c r="E46" s="363">
        <v>1982</v>
      </c>
      <c r="F46" s="127">
        <f t="shared" ref="F46:F88" si="1">2019-E46</f>
        <v>37</v>
      </c>
    </row>
    <row r="47" spans="1:6" ht="31.5" x14ac:dyDescent="0.25">
      <c r="A47" s="357" t="s">
        <v>1000</v>
      </c>
      <c r="B47" s="357" t="s">
        <v>2028</v>
      </c>
      <c r="C47" s="17">
        <v>60</v>
      </c>
      <c r="D47" s="17">
        <v>89</v>
      </c>
      <c r="E47" s="363">
        <v>1982</v>
      </c>
      <c r="F47" s="127">
        <f t="shared" si="1"/>
        <v>37</v>
      </c>
    </row>
    <row r="48" spans="1:6" ht="31.5" x14ac:dyDescent="0.25">
      <c r="A48" s="357" t="s">
        <v>472</v>
      </c>
      <c r="B48" s="357" t="s">
        <v>2028</v>
      </c>
      <c r="C48" s="17">
        <v>60</v>
      </c>
      <c r="D48" s="17">
        <v>57</v>
      </c>
      <c r="E48" s="363">
        <v>1982</v>
      </c>
      <c r="F48" s="127">
        <f t="shared" si="1"/>
        <v>37</v>
      </c>
    </row>
    <row r="49" spans="1:6" ht="15.75" x14ac:dyDescent="0.25">
      <c r="A49" s="356" t="s">
        <v>315</v>
      </c>
      <c r="B49" s="356" t="s">
        <v>2029</v>
      </c>
      <c r="C49" s="17">
        <v>100</v>
      </c>
      <c r="D49" s="17">
        <v>89</v>
      </c>
      <c r="E49" s="363">
        <v>1982</v>
      </c>
      <c r="F49" s="127">
        <f t="shared" si="1"/>
        <v>37</v>
      </c>
    </row>
    <row r="50" spans="1:6" ht="15.75" x14ac:dyDescent="0.25">
      <c r="A50" s="356" t="s">
        <v>315</v>
      </c>
      <c r="B50" s="356" t="s">
        <v>2029</v>
      </c>
      <c r="C50" s="17">
        <v>100</v>
      </c>
      <c r="D50" s="17">
        <v>57</v>
      </c>
      <c r="E50" s="363">
        <v>1982</v>
      </c>
      <c r="F50" s="127">
        <f t="shared" si="1"/>
        <v>37</v>
      </c>
    </row>
    <row r="51" spans="1:6" ht="31.5" x14ac:dyDescent="0.25">
      <c r="A51" s="358" t="s">
        <v>2030</v>
      </c>
      <c r="B51" s="358" t="s">
        <v>1209</v>
      </c>
      <c r="C51" s="17">
        <v>197</v>
      </c>
      <c r="D51" s="17">
        <v>159</v>
      </c>
      <c r="E51" s="363">
        <v>1982</v>
      </c>
      <c r="F51" s="127">
        <f t="shared" si="1"/>
        <v>37</v>
      </c>
    </row>
    <row r="52" spans="1:6" ht="15.75" x14ac:dyDescent="0.25">
      <c r="A52" s="358" t="s">
        <v>1209</v>
      </c>
      <c r="B52" s="358" t="s">
        <v>676</v>
      </c>
      <c r="C52" s="17">
        <v>197</v>
      </c>
      <c r="D52" s="17">
        <v>159</v>
      </c>
      <c r="E52" s="363">
        <v>1982</v>
      </c>
      <c r="F52" s="127">
        <f t="shared" si="1"/>
        <v>37</v>
      </c>
    </row>
    <row r="53" spans="1:6" ht="15.75" x14ac:dyDescent="0.25">
      <c r="A53" s="356" t="s">
        <v>959</v>
      </c>
      <c r="B53" s="356" t="s">
        <v>2031</v>
      </c>
      <c r="C53" s="17">
        <v>211</v>
      </c>
      <c r="D53" s="17">
        <v>89</v>
      </c>
      <c r="E53" s="363">
        <v>1982</v>
      </c>
      <c r="F53" s="127">
        <f t="shared" si="1"/>
        <v>37</v>
      </c>
    </row>
    <row r="54" spans="1:6" ht="15.75" x14ac:dyDescent="0.25">
      <c r="A54" s="356" t="s">
        <v>2032</v>
      </c>
      <c r="B54" s="356" t="s">
        <v>2031</v>
      </c>
      <c r="C54" s="17">
        <v>211</v>
      </c>
      <c r="D54" s="17">
        <v>57</v>
      </c>
      <c r="E54" s="363">
        <v>1982</v>
      </c>
      <c r="F54" s="127">
        <f t="shared" si="1"/>
        <v>37</v>
      </c>
    </row>
    <row r="55" spans="1:6" ht="15.75" x14ac:dyDescent="0.25">
      <c r="A55" s="356" t="s">
        <v>472</v>
      </c>
      <c r="B55" s="356" t="s">
        <v>682</v>
      </c>
      <c r="C55" s="17">
        <v>137</v>
      </c>
      <c r="D55" s="17">
        <v>76</v>
      </c>
      <c r="E55" s="363">
        <v>1982</v>
      </c>
      <c r="F55" s="127">
        <f t="shared" si="1"/>
        <v>37</v>
      </c>
    </row>
    <row r="56" spans="1:6" ht="15.75" x14ac:dyDescent="0.25">
      <c r="A56" s="356" t="s">
        <v>472</v>
      </c>
      <c r="B56" s="356" t="s">
        <v>1220</v>
      </c>
      <c r="C56" s="17">
        <v>137</v>
      </c>
      <c r="D56" s="17">
        <v>57</v>
      </c>
      <c r="E56" s="363">
        <v>1982</v>
      </c>
      <c r="F56" s="127">
        <f t="shared" si="1"/>
        <v>37</v>
      </c>
    </row>
    <row r="57" spans="1:6" ht="31.5" x14ac:dyDescent="0.25">
      <c r="A57" s="356" t="s">
        <v>564</v>
      </c>
      <c r="B57" s="356" t="s">
        <v>2072</v>
      </c>
      <c r="C57" s="17">
        <v>48</v>
      </c>
      <c r="D57" s="17">
        <v>89</v>
      </c>
      <c r="E57" s="363">
        <v>1982</v>
      </c>
      <c r="F57" s="127">
        <f t="shared" si="1"/>
        <v>37</v>
      </c>
    </row>
    <row r="58" spans="1:6" ht="31.5" x14ac:dyDescent="0.25">
      <c r="A58" s="356" t="s">
        <v>564</v>
      </c>
      <c r="B58" s="356" t="s">
        <v>2072</v>
      </c>
      <c r="C58" s="17">
        <v>48</v>
      </c>
      <c r="D58" s="17">
        <v>57</v>
      </c>
      <c r="E58" s="363">
        <v>1982</v>
      </c>
      <c r="F58" s="127">
        <f t="shared" si="1"/>
        <v>37</v>
      </c>
    </row>
    <row r="59" spans="1:6" ht="15.75" x14ac:dyDescent="0.25">
      <c r="A59" s="356" t="s">
        <v>1090</v>
      </c>
      <c r="B59" s="356" t="s">
        <v>1332</v>
      </c>
      <c r="C59" s="17">
        <v>93</v>
      </c>
      <c r="D59" s="17">
        <v>133</v>
      </c>
      <c r="E59" s="363">
        <v>1982</v>
      </c>
      <c r="F59" s="127">
        <f t="shared" si="1"/>
        <v>37</v>
      </c>
    </row>
    <row r="60" spans="1:6" ht="15.75" x14ac:dyDescent="0.25">
      <c r="A60" s="356" t="s">
        <v>1090</v>
      </c>
      <c r="B60" s="356" t="s">
        <v>1332</v>
      </c>
      <c r="C60" s="17">
        <v>93</v>
      </c>
      <c r="D60" s="17">
        <v>108</v>
      </c>
      <c r="E60" s="363">
        <v>1982</v>
      </c>
      <c r="F60" s="127">
        <f t="shared" si="1"/>
        <v>37</v>
      </c>
    </row>
    <row r="61" spans="1:6" ht="15.75" x14ac:dyDescent="0.25">
      <c r="A61" s="575" t="s">
        <v>748</v>
      </c>
      <c r="B61" s="575" t="s">
        <v>423</v>
      </c>
      <c r="C61" s="17"/>
      <c r="D61" s="17"/>
      <c r="E61" s="363"/>
      <c r="F61" s="305"/>
    </row>
    <row r="62" spans="1:6" ht="15.75" x14ac:dyDescent="0.25">
      <c r="A62" s="576"/>
      <c r="B62" s="576"/>
      <c r="C62" s="17">
        <v>15</v>
      </c>
      <c r="D62" s="17">
        <v>89</v>
      </c>
      <c r="E62" s="363">
        <v>1982</v>
      </c>
      <c r="F62" s="127">
        <f t="shared" si="1"/>
        <v>37</v>
      </c>
    </row>
    <row r="63" spans="1:6" ht="15.75" x14ac:dyDescent="0.25">
      <c r="A63" s="577"/>
      <c r="B63" s="577"/>
      <c r="C63" s="17">
        <v>15</v>
      </c>
      <c r="D63" s="17">
        <v>57</v>
      </c>
      <c r="E63" s="363">
        <v>1982</v>
      </c>
      <c r="F63" s="127">
        <f t="shared" si="1"/>
        <v>37</v>
      </c>
    </row>
    <row r="64" spans="1:6" ht="31.5" x14ac:dyDescent="0.25">
      <c r="A64" s="359" t="s">
        <v>385</v>
      </c>
      <c r="B64" s="359" t="s">
        <v>2071</v>
      </c>
      <c r="C64" s="17">
        <v>50</v>
      </c>
      <c r="D64" s="17">
        <v>159</v>
      </c>
      <c r="E64" s="363">
        <v>1982</v>
      </c>
      <c r="F64" s="127">
        <f t="shared" si="1"/>
        <v>37</v>
      </c>
    </row>
    <row r="65" spans="1:6" ht="15.75" x14ac:dyDescent="0.25">
      <c r="A65" s="359"/>
      <c r="B65" s="359"/>
      <c r="C65" s="17">
        <v>50</v>
      </c>
      <c r="D65" s="17">
        <v>159</v>
      </c>
      <c r="E65" s="363">
        <v>1982</v>
      </c>
      <c r="F65" s="127">
        <f t="shared" si="1"/>
        <v>37</v>
      </c>
    </row>
    <row r="66" spans="1:6" ht="15.75" x14ac:dyDescent="0.25">
      <c r="A66" s="359" t="s">
        <v>250</v>
      </c>
      <c r="B66" s="359" t="s">
        <v>1197</v>
      </c>
      <c r="C66" s="17">
        <v>100</v>
      </c>
      <c r="D66" s="17">
        <v>133</v>
      </c>
      <c r="E66" s="363">
        <v>1982</v>
      </c>
      <c r="F66" s="127">
        <f t="shared" si="1"/>
        <v>37</v>
      </c>
    </row>
    <row r="67" spans="1:6" ht="15.75" x14ac:dyDescent="0.25">
      <c r="A67" s="359" t="s">
        <v>250</v>
      </c>
      <c r="B67" s="359" t="s">
        <v>1197</v>
      </c>
      <c r="C67" s="17">
        <v>100</v>
      </c>
      <c r="D67" s="17">
        <v>108</v>
      </c>
      <c r="E67" s="363">
        <v>1982</v>
      </c>
      <c r="F67" s="127">
        <f t="shared" si="1"/>
        <v>37</v>
      </c>
    </row>
    <row r="68" spans="1:6" ht="15.75" x14ac:dyDescent="0.25">
      <c r="A68" s="584" t="s">
        <v>2033</v>
      </c>
      <c r="B68" s="584" t="s">
        <v>1382</v>
      </c>
      <c r="C68" s="17"/>
      <c r="D68" s="17"/>
      <c r="E68" s="363"/>
      <c r="F68" s="305"/>
    </row>
    <row r="69" spans="1:6" ht="15.75" x14ac:dyDescent="0.25">
      <c r="A69" s="585"/>
      <c r="B69" s="585"/>
      <c r="C69" s="17">
        <v>70</v>
      </c>
      <c r="D69" s="17">
        <v>89</v>
      </c>
      <c r="E69" s="363">
        <v>1982</v>
      </c>
      <c r="F69" s="127">
        <f t="shared" si="1"/>
        <v>37</v>
      </c>
    </row>
    <row r="70" spans="1:6" ht="15.75" x14ac:dyDescent="0.25">
      <c r="A70" s="586"/>
      <c r="B70" s="586"/>
      <c r="C70" s="17">
        <v>70</v>
      </c>
      <c r="D70" s="17">
        <v>57</v>
      </c>
      <c r="E70" s="363">
        <v>1982</v>
      </c>
      <c r="F70" s="127">
        <f t="shared" si="1"/>
        <v>37</v>
      </c>
    </row>
    <row r="71" spans="1:6" ht="15.75" x14ac:dyDescent="0.25">
      <c r="A71" s="356" t="s">
        <v>1000</v>
      </c>
      <c r="B71" s="356" t="s">
        <v>472</v>
      </c>
      <c r="C71" s="17"/>
      <c r="D71" s="17"/>
      <c r="E71" s="363"/>
      <c r="F71" s="305"/>
    </row>
    <row r="72" spans="1:6" ht="15.75" x14ac:dyDescent="0.25">
      <c r="A72" s="356" t="s">
        <v>1000</v>
      </c>
      <c r="B72" s="356" t="s">
        <v>472</v>
      </c>
      <c r="C72" s="17">
        <v>51</v>
      </c>
      <c r="D72" s="17">
        <v>76</v>
      </c>
      <c r="E72" s="363">
        <v>1982</v>
      </c>
      <c r="F72" s="127">
        <f t="shared" si="1"/>
        <v>37</v>
      </c>
    </row>
    <row r="73" spans="1:6" ht="15.75" x14ac:dyDescent="0.25">
      <c r="A73" s="356" t="s">
        <v>1000</v>
      </c>
      <c r="B73" s="356" t="s">
        <v>472</v>
      </c>
      <c r="C73" s="17">
        <v>51</v>
      </c>
      <c r="D73" s="17">
        <v>57</v>
      </c>
      <c r="E73" s="363">
        <v>1982</v>
      </c>
      <c r="F73" s="127">
        <f t="shared" si="1"/>
        <v>37</v>
      </c>
    </row>
    <row r="74" spans="1:6" ht="15.75" x14ac:dyDescent="0.25">
      <c r="A74" s="587" t="s">
        <v>834</v>
      </c>
      <c r="B74" s="587" t="s">
        <v>2034</v>
      </c>
      <c r="C74" s="17"/>
      <c r="D74" s="17"/>
      <c r="E74" s="363"/>
      <c r="F74" s="305"/>
    </row>
    <row r="75" spans="1:6" ht="15.75" x14ac:dyDescent="0.25">
      <c r="A75" s="588"/>
      <c r="B75" s="588"/>
      <c r="C75" s="17">
        <v>4</v>
      </c>
      <c r="D75" s="17">
        <v>57</v>
      </c>
      <c r="E75" s="363">
        <v>1982</v>
      </c>
      <c r="F75" s="127">
        <f t="shared" si="1"/>
        <v>37</v>
      </c>
    </row>
    <row r="76" spans="1:6" ht="15.75" x14ac:dyDescent="0.25">
      <c r="A76" s="589"/>
      <c r="B76" s="589"/>
      <c r="C76" s="17">
        <v>4</v>
      </c>
      <c r="D76" s="17">
        <v>40</v>
      </c>
      <c r="E76" s="363">
        <v>1982</v>
      </c>
      <c r="F76" s="127">
        <f t="shared" si="1"/>
        <v>37</v>
      </c>
    </row>
    <row r="77" spans="1:6" ht="15.75" x14ac:dyDescent="0.25">
      <c r="A77" s="575" t="s">
        <v>385</v>
      </c>
      <c r="B77" s="575" t="s">
        <v>2035</v>
      </c>
      <c r="C77" s="17"/>
      <c r="D77" s="17"/>
      <c r="E77" s="363"/>
      <c r="F77" s="305"/>
    </row>
    <row r="78" spans="1:6" ht="15.75" x14ac:dyDescent="0.25">
      <c r="A78" s="576"/>
      <c r="B78" s="576"/>
      <c r="C78" s="17">
        <v>125</v>
      </c>
      <c r="D78" s="17">
        <v>89</v>
      </c>
      <c r="E78" s="363">
        <v>1982</v>
      </c>
      <c r="F78" s="127">
        <f t="shared" si="1"/>
        <v>37</v>
      </c>
    </row>
    <row r="79" spans="1:6" ht="15.75" x14ac:dyDescent="0.25">
      <c r="A79" s="577"/>
      <c r="B79" s="577"/>
      <c r="C79" s="17">
        <v>125</v>
      </c>
      <c r="D79" s="17">
        <v>57</v>
      </c>
      <c r="E79" s="363">
        <v>1982</v>
      </c>
      <c r="F79" s="127">
        <f t="shared" si="1"/>
        <v>37</v>
      </c>
    </row>
    <row r="80" spans="1:6" ht="15.75" x14ac:dyDescent="0.25">
      <c r="A80" s="593" t="s">
        <v>422</v>
      </c>
      <c r="B80" s="575" t="s">
        <v>2070</v>
      </c>
      <c r="C80" s="17"/>
      <c r="D80" s="17"/>
      <c r="E80" s="363"/>
      <c r="F80" s="305"/>
    </row>
    <row r="81" spans="1:6" ht="15.75" x14ac:dyDescent="0.25">
      <c r="A81" s="594"/>
      <c r="B81" s="594"/>
      <c r="C81" s="17">
        <v>22</v>
      </c>
      <c r="D81" s="17">
        <v>89</v>
      </c>
      <c r="E81" s="363">
        <v>1982</v>
      </c>
      <c r="F81" s="127">
        <f t="shared" si="1"/>
        <v>37</v>
      </c>
    </row>
    <row r="82" spans="1:6" ht="15.75" x14ac:dyDescent="0.25">
      <c r="A82" s="595"/>
      <c r="B82" s="595"/>
      <c r="C82" s="17">
        <v>22</v>
      </c>
      <c r="D82" s="17">
        <v>57</v>
      </c>
      <c r="E82" s="363">
        <v>1982</v>
      </c>
      <c r="F82" s="127">
        <f t="shared" si="1"/>
        <v>37</v>
      </c>
    </row>
    <row r="83" spans="1:6" ht="15.75" x14ac:dyDescent="0.25">
      <c r="A83" s="575" t="s">
        <v>1369</v>
      </c>
      <c r="B83" s="575" t="s">
        <v>2036</v>
      </c>
      <c r="C83" s="17"/>
      <c r="D83" s="17"/>
      <c r="E83" s="363"/>
      <c r="F83" s="305"/>
    </row>
    <row r="84" spans="1:6" ht="15.75" x14ac:dyDescent="0.25">
      <c r="A84" s="576"/>
      <c r="B84" s="576"/>
      <c r="C84" s="17">
        <v>28</v>
      </c>
      <c r="D84" s="17">
        <v>57</v>
      </c>
      <c r="E84" s="363">
        <v>1982</v>
      </c>
      <c r="F84" s="127">
        <f t="shared" si="1"/>
        <v>37</v>
      </c>
    </row>
    <row r="85" spans="1:6" ht="15.75" x14ac:dyDescent="0.25">
      <c r="A85" s="577"/>
      <c r="B85" s="577"/>
      <c r="C85" s="17">
        <v>28</v>
      </c>
      <c r="D85" s="17">
        <v>40</v>
      </c>
      <c r="E85" s="363">
        <v>1982</v>
      </c>
      <c r="F85" s="127">
        <f t="shared" si="1"/>
        <v>37</v>
      </c>
    </row>
    <row r="86" spans="1:6" ht="15.75" x14ac:dyDescent="0.25">
      <c r="A86" s="593" t="s">
        <v>1257</v>
      </c>
      <c r="B86" s="575" t="s">
        <v>2069</v>
      </c>
      <c r="C86" s="17"/>
      <c r="D86" s="17"/>
      <c r="E86" s="363"/>
      <c r="F86" s="305"/>
    </row>
    <row r="87" spans="1:6" ht="15.75" x14ac:dyDescent="0.25">
      <c r="A87" s="594"/>
      <c r="B87" s="594"/>
      <c r="C87" s="17">
        <v>4</v>
      </c>
      <c r="D87" s="17">
        <v>76</v>
      </c>
      <c r="E87" s="363">
        <v>1982</v>
      </c>
      <c r="F87" s="127">
        <f t="shared" si="1"/>
        <v>37</v>
      </c>
    </row>
    <row r="88" spans="1:6" ht="15.75" x14ac:dyDescent="0.25">
      <c r="A88" s="595"/>
      <c r="B88" s="595"/>
      <c r="C88" s="17">
        <v>4</v>
      </c>
      <c r="D88" s="17">
        <v>40</v>
      </c>
      <c r="E88" s="363">
        <v>1982</v>
      </c>
      <c r="F88" s="127">
        <f t="shared" si="1"/>
        <v>37</v>
      </c>
    </row>
    <row r="89" spans="1:6" ht="15.75" x14ac:dyDescent="0.25">
      <c r="A89" s="360" t="s">
        <v>1996</v>
      </c>
      <c r="B89" s="360"/>
      <c r="C89" s="29">
        <f>SUM(C45:C88)</f>
        <v>2752</v>
      </c>
      <c r="D89" s="17"/>
      <c r="E89" s="363"/>
      <c r="F89" s="305"/>
    </row>
    <row r="90" spans="1:6" ht="15.75" x14ac:dyDescent="0.25">
      <c r="A90" s="364" t="s">
        <v>2066</v>
      </c>
      <c r="B90" s="364"/>
      <c r="C90" s="2"/>
      <c r="D90" s="2"/>
      <c r="E90" s="2"/>
      <c r="F90" s="305"/>
    </row>
    <row r="91" spans="1:6" ht="15.75" x14ac:dyDescent="0.25">
      <c r="A91" s="575" t="s">
        <v>1997</v>
      </c>
      <c r="B91" s="575" t="s">
        <v>385</v>
      </c>
      <c r="C91" s="17"/>
      <c r="D91" s="17"/>
      <c r="E91" s="363"/>
      <c r="F91" s="305"/>
    </row>
    <row r="92" spans="1:6" ht="15.75" x14ac:dyDescent="0.25">
      <c r="A92" s="576"/>
      <c r="B92" s="576"/>
      <c r="C92" s="17">
        <v>11</v>
      </c>
      <c r="D92" s="17">
        <v>108</v>
      </c>
      <c r="E92" s="363">
        <v>1983</v>
      </c>
      <c r="F92" s="127">
        <f t="shared" ref="F92:F155" si="2">2019-E92</f>
        <v>36</v>
      </c>
    </row>
    <row r="93" spans="1:6" ht="15.75" x14ac:dyDescent="0.25">
      <c r="A93" s="577"/>
      <c r="B93" s="577"/>
      <c r="C93" s="17">
        <v>11</v>
      </c>
      <c r="D93" s="17">
        <v>76</v>
      </c>
      <c r="E93" s="363">
        <v>1983</v>
      </c>
      <c r="F93" s="127">
        <f t="shared" si="2"/>
        <v>36</v>
      </c>
    </row>
    <row r="94" spans="1:6" ht="15.75" x14ac:dyDescent="0.25">
      <c r="A94" s="575" t="s">
        <v>385</v>
      </c>
      <c r="B94" s="575" t="s">
        <v>1998</v>
      </c>
      <c r="C94" s="17"/>
      <c r="D94" s="17"/>
      <c r="E94" s="363"/>
      <c r="F94" s="305"/>
    </row>
    <row r="95" spans="1:6" ht="15.75" x14ac:dyDescent="0.25">
      <c r="A95" s="576"/>
      <c r="B95" s="576"/>
      <c r="C95" s="17">
        <v>21</v>
      </c>
      <c r="D95" s="17">
        <v>32</v>
      </c>
      <c r="E95" s="363">
        <v>1983</v>
      </c>
      <c r="F95" s="127">
        <f t="shared" si="2"/>
        <v>36</v>
      </c>
    </row>
    <row r="96" spans="1:6" ht="15.75" x14ac:dyDescent="0.25">
      <c r="A96" s="577"/>
      <c r="B96" s="577"/>
      <c r="C96" s="17">
        <v>21</v>
      </c>
      <c r="D96" s="17">
        <v>25</v>
      </c>
      <c r="E96" s="363">
        <v>1983</v>
      </c>
      <c r="F96" s="127">
        <f t="shared" si="2"/>
        <v>36</v>
      </c>
    </row>
    <row r="97" spans="1:6" ht="15.75" x14ac:dyDescent="0.25">
      <c r="A97" s="575" t="s">
        <v>498</v>
      </c>
      <c r="B97" s="575" t="s">
        <v>612</v>
      </c>
      <c r="C97" s="17"/>
      <c r="D97" s="17"/>
      <c r="E97" s="363"/>
      <c r="F97" s="305"/>
    </row>
    <row r="98" spans="1:6" ht="15.75" x14ac:dyDescent="0.25">
      <c r="A98" s="576"/>
      <c r="B98" s="576"/>
      <c r="C98" s="17">
        <v>56</v>
      </c>
      <c r="D98" s="17">
        <v>108</v>
      </c>
      <c r="E98" s="363">
        <v>1983</v>
      </c>
      <c r="F98" s="127">
        <f t="shared" si="2"/>
        <v>36</v>
      </c>
    </row>
    <row r="99" spans="1:6" ht="15.75" x14ac:dyDescent="0.25">
      <c r="A99" s="577"/>
      <c r="B99" s="577"/>
      <c r="C99" s="17">
        <v>56</v>
      </c>
      <c r="D99" s="17">
        <v>76</v>
      </c>
      <c r="E99" s="363">
        <v>1983</v>
      </c>
      <c r="F99" s="127">
        <f t="shared" si="2"/>
        <v>36</v>
      </c>
    </row>
    <row r="100" spans="1:6" ht="15.75" x14ac:dyDescent="0.25">
      <c r="A100" s="575" t="s">
        <v>1260</v>
      </c>
      <c r="B100" s="575" t="s">
        <v>1999</v>
      </c>
      <c r="C100" s="17"/>
      <c r="D100" s="17"/>
      <c r="E100" s="363"/>
      <c r="F100" s="305"/>
    </row>
    <row r="101" spans="1:6" ht="15.75" x14ac:dyDescent="0.25">
      <c r="A101" s="576"/>
      <c r="B101" s="576"/>
      <c r="C101" s="17">
        <v>41</v>
      </c>
      <c r="D101" s="17">
        <v>25</v>
      </c>
      <c r="E101" s="363">
        <v>1983</v>
      </c>
      <c r="F101" s="127">
        <f t="shared" si="2"/>
        <v>36</v>
      </c>
    </row>
    <row r="102" spans="1:6" ht="15.75" x14ac:dyDescent="0.25">
      <c r="A102" s="577"/>
      <c r="B102" s="577"/>
      <c r="C102" s="17">
        <v>41</v>
      </c>
      <c r="D102" s="17">
        <v>25</v>
      </c>
      <c r="E102" s="363">
        <v>1983</v>
      </c>
      <c r="F102" s="127">
        <f t="shared" si="2"/>
        <v>36</v>
      </c>
    </row>
    <row r="103" spans="1:6" ht="15.75" x14ac:dyDescent="0.25">
      <c r="A103" s="575" t="s">
        <v>422</v>
      </c>
      <c r="B103" s="575" t="s">
        <v>2000</v>
      </c>
      <c r="C103" s="17"/>
      <c r="D103" s="17"/>
      <c r="E103" s="363"/>
      <c r="F103" s="305"/>
    </row>
    <row r="104" spans="1:6" ht="15.75" x14ac:dyDescent="0.25">
      <c r="A104" s="576"/>
      <c r="B104" s="576"/>
      <c r="C104" s="17">
        <v>24</v>
      </c>
      <c r="D104" s="17">
        <v>40</v>
      </c>
      <c r="E104" s="363">
        <v>1983</v>
      </c>
      <c r="F104" s="127">
        <f t="shared" si="2"/>
        <v>36</v>
      </c>
    </row>
    <row r="105" spans="1:6" ht="15.75" x14ac:dyDescent="0.25">
      <c r="A105" s="577"/>
      <c r="B105" s="577"/>
      <c r="C105" s="17">
        <v>24</v>
      </c>
      <c r="D105" s="17">
        <v>25</v>
      </c>
      <c r="E105" s="363">
        <v>1983</v>
      </c>
      <c r="F105" s="127">
        <f t="shared" si="2"/>
        <v>36</v>
      </c>
    </row>
    <row r="106" spans="1:6" ht="15.75" x14ac:dyDescent="0.25">
      <c r="A106" s="575" t="s">
        <v>2001</v>
      </c>
      <c r="B106" s="575" t="s">
        <v>2002</v>
      </c>
      <c r="C106" s="17"/>
      <c r="D106" s="17"/>
      <c r="E106" s="363"/>
      <c r="F106" s="305"/>
    </row>
    <row r="107" spans="1:6" ht="15.75" x14ac:dyDescent="0.25">
      <c r="A107" s="576"/>
      <c r="B107" s="576"/>
      <c r="C107" s="17">
        <v>21</v>
      </c>
      <c r="D107" s="17">
        <v>25</v>
      </c>
      <c r="E107" s="363">
        <v>1983</v>
      </c>
      <c r="F107" s="127">
        <f t="shared" si="2"/>
        <v>36</v>
      </c>
    </row>
    <row r="108" spans="1:6" ht="15.75" x14ac:dyDescent="0.25">
      <c r="A108" s="577"/>
      <c r="B108" s="577"/>
      <c r="C108" s="17">
        <v>21</v>
      </c>
      <c r="D108" s="17">
        <v>25</v>
      </c>
      <c r="E108" s="363">
        <v>1983</v>
      </c>
      <c r="F108" s="127">
        <f t="shared" si="2"/>
        <v>36</v>
      </c>
    </row>
    <row r="109" spans="1:6" ht="15.75" x14ac:dyDescent="0.25">
      <c r="A109" s="575" t="s">
        <v>2001</v>
      </c>
      <c r="B109" s="575" t="s">
        <v>1279</v>
      </c>
      <c r="C109" s="17"/>
      <c r="D109" s="17"/>
      <c r="E109" s="363"/>
      <c r="F109" s="305"/>
    </row>
    <row r="110" spans="1:6" ht="15.75" x14ac:dyDescent="0.25">
      <c r="A110" s="576"/>
      <c r="B110" s="576"/>
      <c r="C110" s="17">
        <v>31</v>
      </c>
      <c r="D110" s="17">
        <v>40</v>
      </c>
      <c r="E110" s="363">
        <v>1983</v>
      </c>
      <c r="F110" s="127">
        <f t="shared" si="2"/>
        <v>36</v>
      </c>
    </row>
    <row r="111" spans="1:6" ht="15.75" x14ac:dyDescent="0.25">
      <c r="A111" s="577"/>
      <c r="B111" s="577"/>
      <c r="C111" s="17">
        <v>31</v>
      </c>
      <c r="D111" s="17">
        <v>25</v>
      </c>
      <c r="E111" s="363">
        <v>1983</v>
      </c>
      <c r="F111" s="127">
        <f t="shared" si="2"/>
        <v>36</v>
      </c>
    </row>
    <row r="112" spans="1:6" ht="15.75" x14ac:dyDescent="0.25">
      <c r="A112" s="575" t="s">
        <v>1243</v>
      </c>
      <c r="B112" s="575" t="s">
        <v>2003</v>
      </c>
      <c r="C112" s="17"/>
      <c r="D112" s="17"/>
      <c r="E112" s="363"/>
      <c r="F112" s="305"/>
    </row>
    <row r="113" spans="1:6" ht="15.75" x14ac:dyDescent="0.25">
      <c r="A113" s="576"/>
      <c r="B113" s="576"/>
      <c r="C113" s="17">
        <v>37</v>
      </c>
      <c r="D113" s="17">
        <v>40</v>
      </c>
      <c r="E113" s="363">
        <v>1983</v>
      </c>
      <c r="F113" s="127">
        <f t="shared" si="2"/>
        <v>36</v>
      </c>
    </row>
    <row r="114" spans="1:6" ht="15.75" x14ac:dyDescent="0.25">
      <c r="A114" s="577"/>
      <c r="B114" s="577"/>
      <c r="C114" s="17">
        <v>37</v>
      </c>
      <c r="D114" s="17">
        <v>25</v>
      </c>
      <c r="E114" s="363">
        <v>1983</v>
      </c>
      <c r="F114" s="127">
        <f t="shared" si="2"/>
        <v>36</v>
      </c>
    </row>
    <row r="115" spans="1:6" ht="15.75" x14ac:dyDescent="0.25">
      <c r="A115" s="575" t="s">
        <v>1380</v>
      </c>
      <c r="B115" s="575" t="s">
        <v>2004</v>
      </c>
      <c r="C115" s="17"/>
      <c r="D115" s="17"/>
      <c r="E115" s="363"/>
      <c r="F115" s="305"/>
    </row>
    <row r="116" spans="1:6" ht="15.75" x14ac:dyDescent="0.25">
      <c r="A116" s="576"/>
      <c r="B116" s="576"/>
      <c r="C116" s="17">
        <v>7</v>
      </c>
      <c r="D116" s="17">
        <v>32</v>
      </c>
      <c r="E116" s="363">
        <v>1983</v>
      </c>
      <c r="F116" s="127">
        <f t="shared" si="2"/>
        <v>36</v>
      </c>
    </row>
    <row r="117" spans="1:6" ht="15.75" x14ac:dyDescent="0.25">
      <c r="A117" s="577"/>
      <c r="B117" s="577"/>
      <c r="C117" s="17">
        <v>7</v>
      </c>
      <c r="D117" s="17">
        <v>25</v>
      </c>
      <c r="E117" s="363">
        <v>1983</v>
      </c>
      <c r="F117" s="127">
        <f t="shared" si="2"/>
        <v>36</v>
      </c>
    </row>
    <row r="118" spans="1:6" ht="15.75" x14ac:dyDescent="0.25">
      <c r="A118" s="575" t="s">
        <v>727</v>
      </c>
      <c r="B118" s="575" t="s">
        <v>2005</v>
      </c>
      <c r="C118" s="17"/>
      <c r="D118" s="17"/>
      <c r="E118" s="363"/>
      <c r="F118" s="305"/>
    </row>
    <row r="119" spans="1:6" ht="15.75" x14ac:dyDescent="0.25">
      <c r="A119" s="576"/>
      <c r="B119" s="576"/>
      <c r="C119" s="17">
        <v>23</v>
      </c>
      <c r="D119" s="17">
        <v>32</v>
      </c>
      <c r="E119" s="363">
        <v>1983</v>
      </c>
      <c r="F119" s="127">
        <f t="shared" si="2"/>
        <v>36</v>
      </c>
    </row>
    <row r="120" spans="1:6" ht="15.75" x14ac:dyDescent="0.25">
      <c r="A120" s="577"/>
      <c r="B120" s="577"/>
      <c r="C120" s="17">
        <v>23</v>
      </c>
      <c r="D120" s="17">
        <v>25</v>
      </c>
      <c r="E120" s="363">
        <v>1983</v>
      </c>
      <c r="F120" s="127">
        <f t="shared" si="2"/>
        <v>36</v>
      </c>
    </row>
    <row r="121" spans="1:6" ht="15.75" x14ac:dyDescent="0.25">
      <c r="A121" s="575" t="s">
        <v>723</v>
      </c>
      <c r="B121" s="575" t="s">
        <v>2006</v>
      </c>
      <c r="C121" s="17"/>
      <c r="D121" s="17"/>
      <c r="E121" s="363"/>
      <c r="F121" s="305"/>
    </row>
    <row r="122" spans="1:6" ht="15.75" x14ac:dyDescent="0.25">
      <c r="A122" s="576"/>
      <c r="B122" s="576"/>
      <c r="C122" s="17">
        <v>61</v>
      </c>
      <c r="D122" s="17">
        <v>40</v>
      </c>
      <c r="E122" s="363">
        <v>1983</v>
      </c>
      <c r="F122" s="127">
        <f t="shared" si="2"/>
        <v>36</v>
      </c>
    </row>
    <row r="123" spans="1:6" ht="15.75" x14ac:dyDescent="0.25">
      <c r="A123" s="577"/>
      <c r="B123" s="577"/>
      <c r="C123" s="17">
        <v>61</v>
      </c>
      <c r="D123" s="17">
        <v>25</v>
      </c>
      <c r="E123" s="363">
        <v>1983</v>
      </c>
      <c r="F123" s="127">
        <f t="shared" si="2"/>
        <v>36</v>
      </c>
    </row>
    <row r="124" spans="1:6" ht="15.75" x14ac:dyDescent="0.25">
      <c r="A124" s="575" t="s">
        <v>422</v>
      </c>
      <c r="B124" s="575" t="s">
        <v>611</v>
      </c>
      <c r="C124" s="17"/>
      <c r="D124" s="17"/>
      <c r="E124" s="363"/>
      <c r="F124" s="305"/>
    </row>
    <row r="125" spans="1:6" ht="15.75" x14ac:dyDescent="0.25">
      <c r="A125" s="576"/>
      <c r="B125" s="576"/>
      <c r="C125" s="17">
        <v>33</v>
      </c>
      <c r="D125" s="17">
        <v>108</v>
      </c>
      <c r="E125" s="363">
        <v>1983</v>
      </c>
      <c r="F125" s="127">
        <f t="shared" si="2"/>
        <v>36</v>
      </c>
    </row>
    <row r="126" spans="1:6" ht="15.75" x14ac:dyDescent="0.25">
      <c r="A126" s="577"/>
      <c r="B126" s="577"/>
      <c r="C126" s="17">
        <v>33</v>
      </c>
      <c r="D126" s="17">
        <v>76</v>
      </c>
      <c r="E126" s="363">
        <v>1983</v>
      </c>
      <c r="F126" s="127">
        <f t="shared" si="2"/>
        <v>36</v>
      </c>
    </row>
    <row r="127" spans="1:6" ht="15.75" x14ac:dyDescent="0.25">
      <c r="A127" s="575" t="s">
        <v>2007</v>
      </c>
      <c r="B127" s="575" t="s">
        <v>1333</v>
      </c>
      <c r="C127" s="17"/>
      <c r="D127" s="17"/>
      <c r="E127" s="363"/>
      <c r="F127" s="305"/>
    </row>
    <row r="128" spans="1:6" ht="15.75" x14ac:dyDescent="0.25">
      <c r="A128" s="576"/>
      <c r="B128" s="576"/>
      <c r="C128" s="17">
        <v>34</v>
      </c>
      <c r="D128" s="17">
        <v>76</v>
      </c>
      <c r="E128" s="363">
        <v>1983</v>
      </c>
      <c r="F128" s="127">
        <f t="shared" si="2"/>
        <v>36</v>
      </c>
    </row>
    <row r="129" spans="1:6" ht="15.75" x14ac:dyDescent="0.25">
      <c r="A129" s="577"/>
      <c r="B129" s="577"/>
      <c r="C129" s="17">
        <v>34</v>
      </c>
      <c r="D129" s="17">
        <v>32</v>
      </c>
      <c r="E129" s="363">
        <v>1983</v>
      </c>
      <c r="F129" s="127">
        <f t="shared" si="2"/>
        <v>36</v>
      </c>
    </row>
    <row r="130" spans="1:6" ht="15.75" x14ac:dyDescent="0.25">
      <c r="A130" s="575" t="s">
        <v>472</v>
      </c>
      <c r="B130" s="575" t="s">
        <v>2008</v>
      </c>
      <c r="C130" s="17"/>
      <c r="D130" s="17"/>
      <c r="E130" s="363"/>
      <c r="F130" s="305"/>
    </row>
    <row r="131" spans="1:6" ht="15.75" x14ac:dyDescent="0.25">
      <c r="A131" s="576"/>
      <c r="B131" s="576"/>
      <c r="C131" s="17">
        <v>21</v>
      </c>
      <c r="D131" s="17">
        <v>76</v>
      </c>
      <c r="E131" s="363">
        <v>1983</v>
      </c>
      <c r="F131" s="127">
        <f t="shared" si="2"/>
        <v>36</v>
      </c>
    </row>
    <row r="132" spans="1:6" ht="15.75" x14ac:dyDescent="0.25">
      <c r="A132" s="577"/>
      <c r="B132" s="577"/>
      <c r="C132" s="17">
        <v>21</v>
      </c>
      <c r="D132" s="17">
        <v>32</v>
      </c>
      <c r="E132" s="363">
        <v>1983</v>
      </c>
      <c r="F132" s="127">
        <f t="shared" si="2"/>
        <v>36</v>
      </c>
    </row>
    <row r="133" spans="1:6" ht="15.75" x14ac:dyDescent="0.25">
      <c r="A133" s="575" t="s">
        <v>2009</v>
      </c>
      <c r="B133" s="575" t="s">
        <v>2010</v>
      </c>
      <c r="C133" s="17"/>
      <c r="D133" s="17"/>
      <c r="E133" s="363"/>
      <c r="F133" s="305"/>
    </row>
    <row r="134" spans="1:6" ht="15.75" x14ac:dyDescent="0.25">
      <c r="A134" s="576"/>
      <c r="B134" s="576"/>
      <c r="C134" s="17">
        <v>17</v>
      </c>
      <c r="D134" s="17">
        <v>25</v>
      </c>
      <c r="E134" s="363">
        <v>1983</v>
      </c>
      <c r="F134" s="127">
        <f t="shared" si="2"/>
        <v>36</v>
      </c>
    </row>
    <row r="135" spans="1:6" ht="15.75" x14ac:dyDescent="0.25">
      <c r="A135" s="577"/>
      <c r="B135" s="577"/>
      <c r="C135" s="17">
        <v>17</v>
      </c>
      <c r="D135" s="17">
        <v>25</v>
      </c>
      <c r="E135" s="363">
        <v>1983</v>
      </c>
      <c r="F135" s="127">
        <f t="shared" si="2"/>
        <v>36</v>
      </c>
    </row>
    <row r="136" spans="1:6" ht="15.75" x14ac:dyDescent="0.25">
      <c r="A136" s="575" t="s">
        <v>2009</v>
      </c>
      <c r="B136" s="575" t="s">
        <v>1268</v>
      </c>
      <c r="C136" s="17"/>
      <c r="D136" s="17"/>
      <c r="E136" s="363"/>
      <c r="F136" s="305"/>
    </row>
    <row r="137" spans="1:6" ht="15.75" x14ac:dyDescent="0.25">
      <c r="A137" s="576"/>
      <c r="B137" s="576"/>
      <c r="C137" s="17">
        <v>33</v>
      </c>
      <c r="D137" s="17">
        <v>57</v>
      </c>
      <c r="E137" s="363">
        <v>1983</v>
      </c>
      <c r="F137" s="127">
        <f t="shared" si="2"/>
        <v>36</v>
      </c>
    </row>
    <row r="138" spans="1:6" ht="15.75" x14ac:dyDescent="0.25">
      <c r="A138" s="577"/>
      <c r="B138" s="577"/>
      <c r="C138" s="17">
        <v>33</v>
      </c>
      <c r="D138" s="17">
        <v>32</v>
      </c>
      <c r="E138" s="363">
        <v>1983</v>
      </c>
      <c r="F138" s="127">
        <f t="shared" si="2"/>
        <v>36</v>
      </c>
    </row>
    <row r="139" spans="1:6" ht="15.75" x14ac:dyDescent="0.25">
      <c r="A139" s="575" t="s">
        <v>1276</v>
      </c>
      <c r="B139" s="575" t="s">
        <v>2011</v>
      </c>
      <c r="C139" s="17"/>
      <c r="D139" s="17"/>
      <c r="E139" s="363"/>
      <c r="F139" s="305"/>
    </row>
    <row r="140" spans="1:6" ht="15.75" x14ac:dyDescent="0.25">
      <c r="A140" s="576"/>
      <c r="B140" s="576"/>
      <c r="C140" s="17">
        <v>67</v>
      </c>
      <c r="D140" s="17">
        <v>40</v>
      </c>
      <c r="E140" s="363">
        <v>1983</v>
      </c>
      <c r="F140" s="127">
        <f t="shared" si="2"/>
        <v>36</v>
      </c>
    </row>
    <row r="141" spans="1:6" ht="15.75" x14ac:dyDescent="0.25">
      <c r="A141" s="577"/>
      <c r="B141" s="577"/>
      <c r="C141" s="17">
        <v>67</v>
      </c>
      <c r="D141" s="17">
        <v>25</v>
      </c>
      <c r="E141" s="363">
        <v>1983</v>
      </c>
      <c r="F141" s="127">
        <f t="shared" si="2"/>
        <v>36</v>
      </c>
    </row>
    <row r="142" spans="1:6" ht="15.75" x14ac:dyDescent="0.25">
      <c r="A142" s="575" t="s">
        <v>834</v>
      </c>
      <c r="B142" s="575" t="s">
        <v>682</v>
      </c>
      <c r="C142" s="17"/>
      <c r="D142" s="17"/>
      <c r="E142" s="363"/>
      <c r="F142" s="305"/>
    </row>
    <row r="143" spans="1:6" ht="15.75" x14ac:dyDescent="0.25">
      <c r="A143" s="576"/>
      <c r="B143" s="576"/>
      <c r="C143" s="17">
        <v>26</v>
      </c>
      <c r="D143" s="17">
        <v>57</v>
      </c>
      <c r="E143" s="363">
        <v>1983</v>
      </c>
      <c r="F143" s="127">
        <f t="shared" si="2"/>
        <v>36</v>
      </c>
    </row>
    <row r="144" spans="1:6" ht="15.75" x14ac:dyDescent="0.25">
      <c r="A144" s="577"/>
      <c r="B144" s="577"/>
      <c r="C144" s="17">
        <v>26</v>
      </c>
      <c r="D144" s="17">
        <v>32</v>
      </c>
      <c r="E144" s="363">
        <v>1983</v>
      </c>
      <c r="F144" s="127">
        <f t="shared" si="2"/>
        <v>36</v>
      </c>
    </row>
    <row r="145" spans="1:6" ht="15.75" x14ac:dyDescent="0.25">
      <c r="A145" s="575" t="s">
        <v>1257</v>
      </c>
      <c r="B145" s="575" t="s">
        <v>2012</v>
      </c>
      <c r="C145" s="17"/>
      <c r="D145" s="17"/>
      <c r="E145" s="363"/>
      <c r="F145" s="305"/>
    </row>
    <row r="146" spans="1:6" ht="15.75" x14ac:dyDescent="0.25">
      <c r="A146" s="576"/>
      <c r="B146" s="576"/>
      <c r="C146" s="17">
        <v>23</v>
      </c>
      <c r="D146" s="17">
        <v>40</v>
      </c>
      <c r="E146" s="363">
        <v>1983</v>
      </c>
      <c r="F146" s="127">
        <f t="shared" si="2"/>
        <v>36</v>
      </c>
    </row>
    <row r="147" spans="1:6" ht="15.75" x14ac:dyDescent="0.25">
      <c r="A147" s="577"/>
      <c r="B147" s="577"/>
      <c r="C147" s="17">
        <v>23</v>
      </c>
      <c r="D147" s="17">
        <v>32</v>
      </c>
      <c r="E147" s="363">
        <v>1983</v>
      </c>
      <c r="F147" s="127">
        <f t="shared" si="2"/>
        <v>36</v>
      </c>
    </row>
    <row r="148" spans="1:6" ht="15.75" x14ac:dyDescent="0.25">
      <c r="A148" s="575" t="s">
        <v>2013</v>
      </c>
      <c r="B148" s="575" t="s">
        <v>2014</v>
      </c>
      <c r="C148" s="17"/>
      <c r="D148" s="17"/>
      <c r="E148" s="363"/>
      <c r="F148" s="305"/>
    </row>
    <row r="149" spans="1:6" ht="15.75" x14ac:dyDescent="0.25">
      <c r="A149" s="576"/>
      <c r="B149" s="576"/>
      <c r="C149" s="17">
        <v>15</v>
      </c>
      <c r="D149" s="17">
        <v>40</v>
      </c>
      <c r="E149" s="363">
        <v>1983</v>
      </c>
      <c r="F149" s="127">
        <f t="shared" si="2"/>
        <v>36</v>
      </c>
    </row>
    <row r="150" spans="1:6" ht="15.75" x14ac:dyDescent="0.25">
      <c r="A150" s="577"/>
      <c r="B150" s="577"/>
      <c r="C150" s="17">
        <v>15</v>
      </c>
      <c r="D150" s="17">
        <v>32</v>
      </c>
      <c r="E150" s="363">
        <v>1983</v>
      </c>
      <c r="F150" s="127">
        <f t="shared" si="2"/>
        <v>36</v>
      </c>
    </row>
    <row r="151" spans="1:6" ht="15.75" x14ac:dyDescent="0.25">
      <c r="A151" s="575" t="s">
        <v>2015</v>
      </c>
      <c r="B151" s="575" t="s">
        <v>2016</v>
      </c>
      <c r="C151" s="17"/>
      <c r="D151" s="17"/>
      <c r="E151" s="363"/>
      <c r="F151" s="305"/>
    </row>
    <row r="152" spans="1:6" ht="15.75" x14ac:dyDescent="0.25">
      <c r="A152" s="576"/>
      <c r="B152" s="576"/>
      <c r="C152" s="17">
        <v>7</v>
      </c>
      <c r="D152" s="17">
        <v>40</v>
      </c>
      <c r="E152" s="363">
        <v>1983</v>
      </c>
      <c r="F152" s="127">
        <f t="shared" si="2"/>
        <v>36</v>
      </c>
    </row>
    <row r="153" spans="1:6" ht="15.75" x14ac:dyDescent="0.25">
      <c r="A153" s="577"/>
      <c r="B153" s="577"/>
      <c r="C153" s="17">
        <v>7</v>
      </c>
      <c r="D153" s="17">
        <v>32</v>
      </c>
      <c r="E153" s="363">
        <v>1983</v>
      </c>
      <c r="F153" s="127">
        <f t="shared" si="2"/>
        <v>36</v>
      </c>
    </row>
    <row r="154" spans="1:6" ht="15.75" x14ac:dyDescent="0.25">
      <c r="A154" s="575" t="s">
        <v>816</v>
      </c>
      <c r="B154" s="575" t="s">
        <v>1369</v>
      </c>
      <c r="C154" s="17"/>
      <c r="D154" s="17"/>
      <c r="E154" s="363"/>
      <c r="F154" s="305"/>
    </row>
    <row r="155" spans="1:6" ht="15.75" x14ac:dyDescent="0.25">
      <c r="A155" s="576"/>
      <c r="B155" s="576"/>
      <c r="C155" s="17">
        <v>60</v>
      </c>
      <c r="D155" s="17">
        <v>57</v>
      </c>
      <c r="E155" s="363">
        <v>1983</v>
      </c>
      <c r="F155" s="127">
        <f t="shared" si="2"/>
        <v>36</v>
      </c>
    </row>
    <row r="156" spans="1:6" ht="15.75" x14ac:dyDescent="0.25">
      <c r="A156" s="577"/>
      <c r="B156" s="577"/>
      <c r="C156" s="17">
        <v>60</v>
      </c>
      <c r="D156" s="17">
        <v>32</v>
      </c>
      <c r="E156" s="363">
        <v>1983</v>
      </c>
      <c r="F156" s="127">
        <f t="shared" ref="F156" si="3">2019-E156</f>
        <v>36</v>
      </c>
    </row>
    <row r="157" spans="1:6" ht="15.75" x14ac:dyDescent="0.25">
      <c r="A157" s="575" t="s">
        <v>315</v>
      </c>
      <c r="B157" s="575" t="s">
        <v>2017</v>
      </c>
      <c r="C157" s="17"/>
      <c r="D157" s="17"/>
      <c r="E157" s="363"/>
      <c r="F157" s="305"/>
    </row>
    <row r="158" spans="1:6" ht="15.75" x14ac:dyDescent="0.25">
      <c r="A158" s="576"/>
      <c r="B158" s="576"/>
      <c r="C158" s="17">
        <v>24</v>
      </c>
      <c r="D158" s="17">
        <v>40</v>
      </c>
      <c r="E158" s="363">
        <v>1983</v>
      </c>
      <c r="F158" s="127">
        <f t="shared" ref="F158:F159" si="4">2019-E158</f>
        <v>36</v>
      </c>
    </row>
    <row r="159" spans="1:6" ht="15.75" x14ac:dyDescent="0.25">
      <c r="A159" s="577"/>
      <c r="B159" s="577"/>
      <c r="C159" s="17">
        <v>24</v>
      </c>
      <c r="D159" s="17">
        <v>32</v>
      </c>
      <c r="E159" s="363">
        <v>1983</v>
      </c>
      <c r="F159" s="127">
        <f t="shared" si="4"/>
        <v>36</v>
      </c>
    </row>
    <row r="160" spans="1:6" ht="15.75" x14ac:dyDescent="0.25">
      <c r="A160" s="575" t="s">
        <v>315</v>
      </c>
      <c r="B160" s="575" t="s">
        <v>2018</v>
      </c>
      <c r="C160" s="17"/>
      <c r="D160" s="17"/>
      <c r="E160" s="363"/>
      <c r="F160" s="305"/>
    </row>
    <row r="161" spans="1:6" ht="15.75" x14ac:dyDescent="0.25">
      <c r="A161" s="576"/>
      <c r="B161" s="576"/>
      <c r="C161" s="17">
        <v>25</v>
      </c>
      <c r="D161" s="17">
        <v>40</v>
      </c>
      <c r="E161" s="363">
        <v>1983</v>
      </c>
      <c r="F161" s="127">
        <f t="shared" ref="F161:F162" si="5">2019-E161</f>
        <v>36</v>
      </c>
    </row>
    <row r="162" spans="1:6" ht="15.75" x14ac:dyDescent="0.25">
      <c r="A162" s="577"/>
      <c r="B162" s="577"/>
      <c r="C162" s="17">
        <v>25</v>
      </c>
      <c r="D162" s="17">
        <v>32</v>
      </c>
      <c r="E162" s="363">
        <v>1983</v>
      </c>
      <c r="F162" s="127">
        <f t="shared" si="5"/>
        <v>36</v>
      </c>
    </row>
    <row r="163" spans="1:6" ht="15.75" x14ac:dyDescent="0.25">
      <c r="A163" s="575" t="s">
        <v>250</v>
      </c>
      <c r="B163" s="575" t="s">
        <v>186</v>
      </c>
      <c r="C163" s="17"/>
      <c r="D163" s="17"/>
      <c r="E163" s="363"/>
      <c r="F163" s="305"/>
    </row>
    <row r="164" spans="1:6" ht="15.75" x14ac:dyDescent="0.25">
      <c r="A164" s="576"/>
      <c r="B164" s="576"/>
      <c r="C164" s="17">
        <v>44</v>
      </c>
      <c r="D164" s="17">
        <v>89</v>
      </c>
      <c r="E164" s="363">
        <v>1983</v>
      </c>
      <c r="F164" s="127">
        <f t="shared" ref="F164:F165" si="6">2019-E164</f>
        <v>36</v>
      </c>
    </row>
    <row r="165" spans="1:6" ht="15.75" x14ac:dyDescent="0.25">
      <c r="A165" s="577"/>
      <c r="B165" s="577"/>
      <c r="C165" s="17">
        <v>44</v>
      </c>
      <c r="D165" s="17">
        <v>57</v>
      </c>
      <c r="E165" s="363">
        <v>1983</v>
      </c>
      <c r="F165" s="127">
        <f t="shared" si="6"/>
        <v>36</v>
      </c>
    </row>
    <row r="166" spans="1:6" ht="15.75" x14ac:dyDescent="0.25">
      <c r="A166" s="575" t="s">
        <v>748</v>
      </c>
      <c r="B166" s="575" t="s">
        <v>1088</v>
      </c>
      <c r="C166" s="17"/>
      <c r="D166" s="17"/>
      <c r="E166" s="363"/>
      <c r="F166" s="305"/>
    </row>
    <row r="167" spans="1:6" ht="15.75" x14ac:dyDescent="0.25">
      <c r="A167" s="576"/>
      <c r="B167" s="576"/>
      <c r="C167" s="17">
        <v>64</v>
      </c>
      <c r="D167" s="17">
        <v>89</v>
      </c>
      <c r="E167" s="363">
        <v>1983</v>
      </c>
      <c r="F167" s="127">
        <f t="shared" ref="F167:F168" si="7">2019-E167</f>
        <v>36</v>
      </c>
    </row>
    <row r="168" spans="1:6" ht="15.75" x14ac:dyDescent="0.25">
      <c r="A168" s="577"/>
      <c r="B168" s="577"/>
      <c r="C168" s="17">
        <v>64</v>
      </c>
      <c r="D168" s="17">
        <v>57</v>
      </c>
      <c r="E168" s="363">
        <v>1983</v>
      </c>
      <c r="F168" s="127">
        <f t="shared" si="7"/>
        <v>36</v>
      </c>
    </row>
    <row r="169" spans="1:6" ht="15.75" x14ac:dyDescent="0.25">
      <c r="A169" s="575" t="s">
        <v>1292</v>
      </c>
      <c r="B169" s="575" t="s">
        <v>1197</v>
      </c>
      <c r="C169" s="17"/>
      <c r="D169" s="17"/>
      <c r="E169" s="363"/>
      <c r="F169" s="305"/>
    </row>
    <row r="170" spans="1:6" ht="15.75" x14ac:dyDescent="0.25">
      <c r="A170" s="576"/>
      <c r="B170" s="576"/>
      <c r="C170" s="17">
        <v>35</v>
      </c>
      <c r="D170" s="17">
        <v>57</v>
      </c>
      <c r="E170" s="363">
        <v>1983</v>
      </c>
      <c r="F170" s="127">
        <f t="shared" ref="F170:F171" si="8">2019-E170</f>
        <v>36</v>
      </c>
    </row>
    <row r="171" spans="1:6" ht="15.75" x14ac:dyDescent="0.25">
      <c r="A171" s="577"/>
      <c r="B171" s="577"/>
      <c r="C171" s="17">
        <v>35</v>
      </c>
      <c r="D171" s="17">
        <v>32</v>
      </c>
      <c r="E171" s="363">
        <v>1983</v>
      </c>
      <c r="F171" s="127">
        <f t="shared" si="8"/>
        <v>36</v>
      </c>
    </row>
    <row r="172" spans="1:6" ht="15.75" x14ac:dyDescent="0.25">
      <c r="A172" s="575" t="s">
        <v>931</v>
      </c>
      <c r="B172" s="575" t="s">
        <v>2019</v>
      </c>
      <c r="C172" s="17"/>
      <c r="D172" s="17"/>
      <c r="E172" s="363"/>
      <c r="F172" s="305"/>
    </row>
    <row r="173" spans="1:6" ht="15.75" x14ac:dyDescent="0.25">
      <c r="A173" s="576"/>
      <c r="B173" s="576"/>
      <c r="C173" s="17">
        <v>9</v>
      </c>
      <c r="D173" s="17">
        <v>40</v>
      </c>
      <c r="E173" s="363">
        <v>1983</v>
      </c>
      <c r="F173" s="127">
        <f t="shared" ref="F173:F174" si="9">2019-E173</f>
        <v>36</v>
      </c>
    </row>
    <row r="174" spans="1:6" ht="15.75" x14ac:dyDescent="0.25">
      <c r="A174" s="577"/>
      <c r="B174" s="577"/>
      <c r="C174" s="17">
        <v>9</v>
      </c>
      <c r="D174" s="17">
        <v>25</v>
      </c>
      <c r="E174" s="363">
        <v>1983</v>
      </c>
      <c r="F174" s="127">
        <f t="shared" si="9"/>
        <v>36</v>
      </c>
    </row>
    <row r="175" spans="1:6" ht="15.75" x14ac:dyDescent="0.25">
      <c r="A175" s="575" t="s">
        <v>931</v>
      </c>
      <c r="B175" s="575" t="s">
        <v>2020</v>
      </c>
      <c r="C175" s="17"/>
      <c r="D175" s="17"/>
      <c r="E175" s="363"/>
      <c r="F175" s="305"/>
    </row>
    <row r="176" spans="1:6" ht="15.75" x14ac:dyDescent="0.25">
      <c r="A176" s="576"/>
      <c r="B176" s="576"/>
      <c r="C176" s="17">
        <v>69</v>
      </c>
      <c r="D176" s="17">
        <v>40</v>
      </c>
      <c r="E176" s="363">
        <v>1983</v>
      </c>
      <c r="F176" s="127">
        <f t="shared" ref="F176:F177" si="10">2019-E176</f>
        <v>36</v>
      </c>
    </row>
    <row r="177" spans="1:6" ht="15.75" x14ac:dyDescent="0.25">
      <c r="A177" s="577"/>
      <c r="B177" s="577"/>
      <c r="C177" s="17">
        <v>69</v>
      </c>
      <c r="D177" s="17">
        <v>25</v>
      </c>
      <c r="E177" s="363">
        <v>1983</v>
      </c>
      <c r="F177" s="127">
        <f t="shared" si="10"/>
        <v>36</v>
      </c>
    </row>
    <row r="178" spans="1:6" ht="15.75" x14ac:dyDescent="0.25">
      <c r="A178" s="575" t="s">
        <v>2021</v>
      </c>
      <c r="B178" s="575" t="s">
        <v>926</v>
      </c>
      <c r="C178" s="17"/>
      <c r="D178" s="17"/>
      <c r="E178" s="363"/>
      <c r="F178" s="305"/>
    </row>
    <row r="179" spans="1:6" ht="15.75" x14ac:dyDescent="0.25">
      <c r="A179" s="576"/>
      <c r="B179" s="576"/>
      <c r="C179" s="17">
        <v>27</v>
      </c>
      <c r="D179" s="17">
        <v>57</v>
      </c>
      <c r="E179" s="363">
        <v>1983</v>
      </c>
      <c r="F179" s="127">
        <f t="shared" ref="F179:F180" si="11">2019-E179</f>
        <v>36</v>
      </c>
    </row>
    <row r="180" spans="1:6" ht="15.75" x14ac:dyDescent="0.25">
      <c r="A180" s="577"/>
      <c r="B180" s="577"/>
      <c r="C180" s="17">
        <v>27</v>
      </c>
      <c r="D180" s="17">
        <v>32</v>
      </c>
      <c r="E180" s="363">
        <v>1983</v>
      </c>
      <c r="F180" s="127">
        <f t="shared" si="11"/>
        <v>36</v>
      </c>
    </row>
    <row r="181" spans="1:6" ht="15.75" x14ac:dyDescent="0.25">
      <c r="A181" s="575" t="s">
        <v>1000</v>
      </c>
      <c r="B181" s="575" t="s">
        <v>2022</v>
      </c>
      <c r="C181" s="17"/>
      <c r="D181" s="17"/>
      <c r="E181" s="363"/>
      <c r="F181" s="305"/>
    </row>
    <row r="182" spans="1:6" ht="15.75" x14ac:dyDescent="0.25">
      <c r="A182" s="576"/>
      <c r="B182" s="576"/>
      <c r="C182" s="17">
        <v>11</v>
      </c>
      <c r="D182" s="17">
        <v>40</v>
      </c>
      <c r="E182" s="363">
        <v>1983</v>
      </c>
      <c r="F182" s="127">
        <f t="shared" ref="F182:F183" si="12">2019-E182</f>
        <v>36</v>
      </c>
    </row>
    <row r="183" spans="1:6" ht="15.75" x14ac:dyDescent="0.25">
      <c r="A183" s="577"/>
      <c r="B183" s="577"/>
      <c r="C183" s="17">
        <v>11</v>
      </c>
      <c r="D183" s="17">
        <v>25</v>
      </c>
      <c r="E183" s="363">
        <v>1983</v>
      </c>
      <c r="F183" s="127">
        <f t="shared" si="12"/>
        <v>36</v>
      </c>
    </row>
    <row r="184" spans="1:6" ht="15.75" x14ac:dyDescent="0.25">
      <c r="A184" s="575" t="s">
        <v>511</v>
      </c>
      <c r="B184" s="575" t="s">
        <v>2023</v>
      </c>
      <c r="C184" s="17"/>
      <c r="D184" s="17"/>
      <c r="E184" s="363"/>
      <c r="F184" s="305"/>
    </row>
    <row r="185" spans="1:6" ht="15.75" x14ac:dyDescent="0.25">
      <c r="A185" s="576"/>
      <c r="B185" s="576"/>
      <c r="C185" s="17">
        <v>62</v>
      </c>
      <c r="D185" s="17">
        <v>40</v>
      </c>
      <c r="E185" s="363">
        <v>1983</v>
      </c>
      <c r="F185" s="127">
        <f t="shared" ref="F185:F186" si="13">2019-E185</f>
        <v>36</v>
      </c>
    </row>
    <row r="186" spans="1:6" ht="15.75" x14ac:dyDescent="0.25">
      <c r="A186" s="577"/>
      <c r="B186" s="577"/>
      <c r="C186" s="17">
        <v>62</v>
      </c>
      <c r="D186" s="17">
        <v>25</v>
      </c>
      <c r="E186" s="363">
        <v>1983</v>
      </c>
      <c r="F186" s="127">
        <f t="shared" si="13"/>
        <v>36</v>
      </c>
    </row>
    <row r="187" spans="1:6" ht="15.75" x14ac:dyDescent="0.25">
      <c r="A187" s="361"/>
      <c r="B187" s="361"/>
      <c r="C187" s="29">
        <f>SUM(C91:C186)</f>
        <v>2078</v>
      </c>
      <c r="D187" s="17"/>
      <c r="E187" s="363"/>
      <c r="F187" s="305"/>
    </row>
    <row r="188" spans="1:6" ht="15.75" x14ac:dyDescent="0.25">
      <c r="A188" s="364" t="s">
        <v>2065</v>
      </c>
      <c r="B188" s="273"/>
      <c r="C188" s="2"/>
      <c r="D188" s="2"/>
      <c r="E188" s="2"/>
      <c r="F188" s="305"/>
    </row>
    <row r="189" spans="1:6" ht="15.75" x14ac:dyDescent="0.25">
      <c r="A189" s="596" t="s">
        <v>2037</v>
      </c>
      <c r="B189" s="596" t="s">
        <v>498</v>
      </c>
      <c r="C189" s="17"/>
      <c r="D189" s="17"/>
      <c r="E189" s="363"/>
      <c r="F189" s="305"/>
    </row>
    <row r="190" spans="1:6" ht="15.75" x14ac:dyDescent="0.25">
      <c r="A190" s="596"/>
      <c r="B190" s="596"/>
      <c r="C190" s="17">
        <v>2</v>
      </c>
      <c r="D190" s="17">
        <v>108</v>
      </c>
      <c r="E190" s="363">
        <v>1983</v>
      </c>
      <c r="F190" s="127">
        <f t="shared" ref="F190:F227" si="14">2019-E190</f>
        <v>36</v>
      </c>
    </row>
    <row r="191" spans="1:6" ht="15.75" x14ac:dyDescent="0.25">
      <c r="A191" s="596"/>
      <c r="B191" s="596"/>
      <c r="C191" s="17">
        <v>2</v>
      </c>
      <c r="D191" s="17">
        <v>57</v>
      </c>
      <c r="E191" s="363">
        <v>1983</v>
      </c>
      <c r="F191" s="127">
        <f t="shared" si="14"/>
        <v>36</v>
      </c>
    </row>
    <row r="192" spans="1:6" ht="15.75" x14ac:dyDescent="0.25">
      <c r="A192" s="597" t="s">
        <v>391</v>
      </c>
      <c r="B192" s="597" t="s">
        <v>2038</v>
      </c>
      <c r="C192" s="17"/>
      <c r="D192" s="17"/>
      <c r="E192" s="363"/>
      <c r="F192" s="305"/>
    </row>
    <row r="193" spans="1:6" ht="15.75" x14ac:dyDescent="0.25">
      <c r="A193" s="598"/>
      <c r="B193" s="598"/>
      <c r="C193" s="17">
        <v>135</v>
      </c>
      <c r="D193" s="17">
        <v>108</v>
      </c>
      <c r="E193" s="363">
        <v>1983</v>
      </c>
      <c r="F193" s="127">
        <f t="shared" si="14"/>
        <v>36</v>
      </c>
    </row>
    <row r="194" spans="1:6" ht="15.75" x14ac:dyDescent="0.25">
      <c r="A194" s="599"/>
      <c r="B194" s="599"/>
      <c r="C194" s="17">
        <v>135</v>
      </c>
      <c r="D194" s="17">
        <v>57</v>
      </c>
      <c r="E194" s="363">
        <v>1983</v>
      </c>
      <c r="F194" s="127">
        <f t="shared" si="14"/>
        <v>36</v>
      </c>
    </row>
    <row r="195" spans="1:6" ht="15.75" x14ac:dyDescent="0.25">
      <c r="A195" s="597" t="s">
        <v>2039</v>
      </c>
      <c r="B195" s="597" t="s">
        <v>2040</v>
      </c>
      <c r="C195" s="17"/>
      <c r="D195" s="17"/>
      <c r="E195" s="363"/>
      <c r="F195" s="305"/>
    </row>
    <row r="196" spans="1:6" ht="15.75" x14ac:dyDescent="0.25">
      <c r="A196" s="598"/>
      <c r="B196" s="598"/>
      <c r="C196" s="17">
        <v>74</v>
      </c>
      <c r="D196" s="17">
        <v>108</v>
      </c>
      <c r="E196" s="363">
        <v>1983</v>
      </c>
      <c r="F196" s="127">
        <f t="shared" si="14"/>
        <v>36</v>
      </c>
    </row>
    <row r="197" spans="1:6" ht="15.75" x14ac:dyDescent="0.25">
      <c r="A197" s="599"/>
      <c r="B197" s="599"/>
      <c r="C197" s="17">
        <v>74</v>
      </c>
      <c r="D197" s="17">
        <v>57</v>
      </c>
      <c r="E197" s="363">
        <v>1983</v>
      </c>
      <c r="F197" s="127">
        <f t="shared" si="14"/>
        <v>36</v>
      </c>
    </row>
    <row r="198" spans="1:6" ht="15.75" x14ac:dyDescent="0.25">
      <c r="A198" s="597" t="s">
        <v>2041</v>
      </c>
      <c r="B198" s="597" t="s">
        <v>178</v>
      </c>
      <c r="C198" s="17"/>
      <c r="D198" s="17"/>
      <c r="E198" s="363"/>
      <c r="F198" s="305"/>
    </row>
    <row r="199" spans="1:6" ht="15.75" x14ac:dyDescent="0.25">
      <c r="A199" s="598"/>
      <c r="B199" s="598"/>
      <c r="C199" s="17">
        <v>41</v>
      </c>
      <c r="D199" s="17">
        <v>89</v>
      </c>
      <c r="E199" s="363">
        <v>1983</v>
      </c>
      <c r="F199" s="127">
        <f t="shared" si="14"/>
        <v>36</v>
      </c>
    </row>
    <row r="200" spans="1:6" ht="15.75" x14ac:dyDescent="0.25">
      <c r="A200" s="599"/>
      <c r="B200" s="599"/>
      <c r="C200" s="17">
        <v>41</v>
      </c>
      <c r="D200" s="17">
        <v>57</v>
      </c>
      <c r="E200" s="363">
        <v>1983</v>
      </c>
      <c r="F200" s="127">
        <f t="shared" si="14"/>
        <v>36</v>
      </c>
    </row>
    <row r="201" spans="1:6" ht="15.75" x14ac:dyDescent="0.25">
      <c r="A201" s="597" t="s">
        <v>385</v>
      </c>
      <c r="B201" s="597" t="s">
        <v>2042</v>
      </c>
      <c r="C201" s="17"/>
      <c r="D201" s="17"/>
      <c r="E201" s="363"/>
      <c r="F201" s="305"/>
    </row>
    <row r="202" spans="1:6" ht="15.75" x14ac:dyDescent="0.25">
      <c r="A202" s="598"/>
      <c r="B202" s="598"/>
      <c r="C202" s="17">
        <v>48</v>
      </c>
      <c r="D202" s="17">
        <v>89</v>
      </c>
      <c r="E202" s="363">
        <v>1983</v>
      </c>
      <c r="F202" s="127">
        <f t="shared" si="14"/>
        <v>36</v>
      </c>
    </row>
    <row r="203" spans="1:6" ht="15.75" x14ac:dyDescent="0.25">
      <c r="A203" s="599"/>
      <c r="B203" s="599"/>
      <c r="C203" s="17">
        <v>48</v>
      </c>
      <c r="D203" s="17">
        <v>57</v>
      </c>
      <c r="E203" s="363">
        <v>1983</v>
      </c>
      <c r="F203" s="127">
        <f t="shared" si="14"/>
        <v>36</v>
      </c>
    </row>
    <row r="204" spans="1:6" ht="15.75" x14ac:dyDescent="0.25">
      <c r="A204" s="597" t="s">
        <v>178</v>
      </c>
      <c r="B204" s="597" t="s">
        <v>564</v>
      </c>
      <c r="C204" s="17"/>
      <c r="D204" s="17"/>
      <c r="E204" s="363"/>
      <c r="F204" s="305"/>
    </row>
    <row r="205" spans="1:6" ht="15.75" x14ac:dyDescent="0.25">
      <c r="A205" s="598"/>
      <c r="B205" s="598"/>
      <c r="C205" s="17">
        <v>122</v>
      </c>
      <c r="D205" s="17">
        <v>57</v>
      </c>
      <c r="E205" s="363">
        <v>1983</v>
      </c>
      <c r="F205" s="127">
        <f t="shared" si="14"/>
        <v>36</v>
      </c>
    </row>
    <row r="206" spans="1:6" ht="15.75" x14ac:dyDescent="0.25">
      <c r="A206" s="599"/>
      <c r="B206" s="599"/>
      <c r="C206" s="17">
        <v>122</v>
      </c>
      <c r="D206" s="17">
        <v>40</v>
      </c>
      <c r="E206" s="363">
        <v>1983</v>
      </c>
      <c r="F206" s="127">
        <f t="shared" si="14"/>
        <v>36</v>
      </c>
    </row>
    <row r="207" spans="1:6" ht="15.75" x14ac:dyDescent="0.25">
      <c r="A207" s="597" t="s">
        <v>216</v>
      </c>
      <c r="B207" s="597" t="s">
        <v>2043</v>
      </c>
      <c r="C207" s="17"/>
      <c r="D207" s="17"/>
      <c r="E207" s="363"/>
      <c r="F207" s="305"/>
    </row>
    <row r="208" spans="1:6" ht="15.75" x14ac:dyDescent="0.25">
      <c r="A208" s="598"/>
      <c r="B208" s="598"/>
      <c r="C208" s="17">
        <v>107</v>
      </c>
      <c r="D208" s="17">
        <v>89</v>
      </c>
      <c r="E208" s="363">
        <v>1983</v>
      </c>
      <c r="F208" s="127">
        <f t="shared" si="14"/>
        <v>36</v>
      </c>
    </row>
    <row r="209" spans="1:6" ht="15.75" x14ac:dyDescent="0.25">
      <c r="A209" s="599"/>
      <c r="B209" s="599"/>
      <c r="C209" s="17">
        <v>107</v>
      </c>
      <c r="D209" s="17">
        <v>40</v>
      </c>
      <c r="E209" s="363">
        <v>1983</v>
      </c>
      <c r="F209" s="127">
        <f t="shared" si="14"/>
        <v>36</v>
      </c>
    </row>
    <row r="210" spans="1:6" ht="15.75" x14ac:dyDescent="0.25">
      <c r="A210" s="597" t="s">
        <v>1090</v>
      </c>
      <c r="B210" s="597" t="s">
        <v>1000</v>
      </c>
      <c r="C210" s="17"/>
      <c r="D210" s="17"/>
      <c r="E210" s="363"/>
      <c r="F210" s="305"/>
    </row>
    <row r="211" spans="1:6" ht="15.75" x14ac:dyDescent="0.25">
      <c r="A211" s="598"/>
      <c r="B211" s="598"/>
      <c r="C211" s="17">
        <v>76</v>
      </c>
      <c r="D211" s="17">
        <v>89</v>
      </c>
      <c r="E211" s="363">
        <v>1983</v>
      </c>
      <c r="F211" s="127">
        <f t="shared" si="14"/>
        <v>36</v>
      </c>
    </row>
    <row r="212" spans="1:6" ht="15.75" x14ac:dyDescent="0.25">
      <c r="A212" s="599"/>
      <c r="B212" s="599"/>
      <c r="C212" s="17">
        <v>76</v>
      </c>
      <c r="D212" s="17">
        <v>40</v>
      </c>
      <c r="E212" s="363">
        <v>1983</v>
      </c>
      <c r="F212" s="127">
        <f t="shared" si="14"/>
        <v>36</v>
      </c>
    </row>
    <row r="213" spans="1:6" ht="15.75" x14ac:dyDescent="0.25">
      <c r="A213" s="597" t="s">
        <v>921</v>
      </c>
      <c r="B213" s="597" t="s">
        <v>2044</v>
      </c>
      <c r="C213" s="17"/>
      <c r="D213" s="17"/>
      <c r="E213" s="363"/>
      <c r="F213" s="305"/>
    </row>
    <row r="214" spans="1:6" ht="15.75" x14ac:dyDescent="0.25">
      <c r="A214" s="598"/>
      <c r="B214" s="598"/>
      <c r="C214" s="17">
        <v>5</v>
      </c>
      <c r="D214" s="17">
        <v>57</v>
      </c>
      <c r="E214" s="363">
        <v>1983</v>
      </c>
      <c r="F214" s="127">
        <f t="shared" si="14"/>
        <v>36</v>
      </c>
    </row>
    <row r="215" spans="1:6" ht="15.75" x14ac:dyDescent="0.25">
      <c r="A215" s="599"/>
      <c r="B215" s="599"/>
      <c r="C215" s="17">
        <v>5</v>
      </c>
      <c r="D215" s="17">
        <v>40</v>
      </c>
      <c r="E215" s="363">
        <v>1983</v>
      </c>
      <c r="F215" s="127">
        <f t="shared" si="14"/>
        <v>36</v>
      </c>
    </row>
    <row r="216" spans="1:6" ht="15.75" x14ac:dyDescent="0.25">
      <c r="A216" s="597" t="s">
        <v>2045</v>
      </c>
      <c r="B216" s="597" t="s">
        <v>2046</v>
      </c>
      <c r="C216" s="17"/>
      <c r="D216" s="17"/>
      <c r="E216" s="363"/>
      <c r="F216" s="305"/>
    </row>
    <row r="217" spans="1:6" ht="15.75" x14ac:dyDescent="0.25">
      <c r="A217" s="598"/>
      <c r="B217" s="598"/>
      <c r="C217" s="17">
        <v>23</v>
      </c>
      <c r="D217" s="17">
        <v>57</v>
      </c>
      <c r="E217" s="363">
        <v>1983</v>
      </c>
      <c r="F217" s="127">
        <f t="shared" si="14"/>
        <v>36</v>
      </c>
    </row>
    <row r="218" spans="1:6" ht="15.75" x14ac:dyDescent="0.25">
      <c r="A218" s="599"/>
      <c r="B218" s="599"/>
      <c r="C218" s="17">
        <v>23</v>
      </c>
      <c r="D218" s="17">
        <v>57</v>
      </c>
      <c r="E218" s="363">
        <v>1983</v>
      </c>
      <c r="F218" s="127">
        <f t="shared" si="14"/>
        <v>36</v>
      </c>
    </row>
    <row r="219" spans="1:6" ht="15.75" x14ac:dyDescent="0.25">
      <c r="A219" s="597" t="s">
        <v>2047</v>
      </c>
      <c r="B219" s="597" t="s">
        <v>2048</v>
      </c>
      <c r="C219" s="17"/>
      <c r="D219" s="17"/>
      <c r="E219" s="363"/>
      <c r="F219" s="305"/>
    </row>
    <row r="220" spans="1:6" ht="15.75" x14ac:dyDescent="0.25">
      <c r="A220" s="598"/>
      <c r="B220" s="598"/>
      <c r="C220" s="17">
        <v>10</v>
      </c>
      <c r="D220" s="17">
        <v>40</v>
      </c>
      <c r="E220" s="363">
        <v>1983</v>
      </c>
      <c r="F220" s="127">
        <f t="shared" si="14"/>
        <v>36</v>
      </c>
    </row>
    <row r="221" spans="1:6" ht="15.75" x14ac:dyDescent="0.25">
      <c r="A221" s="599"/>
      <c r="B221" s="599"/>
      <c r="C221" s="17">
        <v>10</v>
      </c>
      <c r="D221" s="17">
        <v>40</v>
      </c>
      <c r="E221" s="363">
        <v>1983</v>
      </c>
      <c r="F221" s="127">
        <f t="shared" si="14"/>
        <v>36</v>
      </c>
    </row>
    <row r="222" spans="1:6" ht="15.75" x14ac:dyDescent="0.25">
      <c r="A222" s="597" t="s">
        <v>564</v>
      </c>
      <c r="B222" s="597" t="s">
        <v>2049</v>
      </c>
      <c r="C222" s="17"/>
      <c r="D222" s="17"/>
      <c r="E222" s="363"/>
      <c r="F222" s="305"/>
    </row>
    <row r="223" spans="1:6" ht="15.75" x14ac:dyDescent="0.25">
      <c r="A223" s="598"/>
      <c r="B223" s="598"/>
      <c r="C223" s="17">
        <v>14</v>
      </c>
      <c r="D223" s="17">
        <v>57</v>
      </c>
      <c r="E223" s="363">
        <v>1983</v>
      </c>
      <c r="F223" s="127">
        <f t="shared" si="14"/>
        <v>36</v>
      </c>
    </row>
    <row r="224" spans="1:6" ht="15.75" x14ac:dyDescent="0.25">
      <c r="A224" s="599"/>
      <c r="B224" s="599"/>
      <c r="C224" s="17">
        <v>14</v>
      </c>
      <c r="D224" s="17">
        <v>40</v>
      </c>
      <c r="E224" s="363">
        <v>1983</v>
      </c>
      <c r="F224" s="127">
        <f t="shared" si="14"/>
        <v>36</v>
      </c>
    </row>
    <row r="225" spans="1:6" ht="15.75" x14ac:dyDescent="0.25">
      <c r="A225" s="597" t="s">
        <v>612</v>
      </c>
      <c r="B225" s="597" t="s">
        <v>2050</v>
      </c>
      <c r="C225" s="17"/>
      <c r="D225" s="17"/>
      <c r="E225" s="363"/>
      <c r="F225" s="305"/>
    </row>
    <row r="226" spans="1:6" ht="15.75" x14ac:dyDescent="0.25">
      <c r="A226" s="598"/>
      <c r="B226" s="598"/>
      <c r="C226" s="17">
        <v>33</v>
      </c>
      <c r="D226" s="17">
        <v>57</v>
      </c>
      <c r="E226" s="363">
        <v>1983</v>
      </c>
      <c r="F226" s="127">
        <f t="shared" si="14"/>
        <v>36</v>
      </c>
    </row>
    <row r="227" spans="1:6" ht="15.75" x14ac:dyDescent="0.25">
      <c r="A227" s="599"/>
      <c r="B227" s="599"/>
      <c r="C227" s="17">
        <v>33</v>
      </c>
      <c r="D227" s="17">
        <v>40</v>
      </c>
      <c r="E227" s="363">
        <v>1983</v>
      </c>
      <c r="F227" s="127">
        <f t="shared" si="14"/>
        <v>36</v>
      </c>
    </row>
    <row r="228" spans="1:6" ht="15.75" x14ac:dyDescent="0.25">
      <c r="A228" s="360"/>
      <c r="B228" s="360"/>
      <c r="C228" s="29">
        <f>SUM(C189:C227)</f>
        <v>1380</v>
      </c>
      <c r="D228" s="17"/>
      <c r="E228" s="363"/>
      <c r="F228" s="305"/>
    </row>
    <row r="229" spans="1:6" ht="15.75" x14ac:dyDescent="0.25">
      <c r="A229" s="364" t="s">
        <v>2067</v>
      </c>
      <c r="B229" s="365"/>
      <c r="C229" s="366"/>
      <c r="D229" s="367"/>
      <c r="E229" s="367"/>
      <c r="F229" s="305"/>
    </row>
    <row r="230" spans="1:6" ht="15.75" x14ac:dyDescent="0.25">
      <c r="B230" s="273"/>
      <c r="C230" s="2"/>
      <c r="D230" s="2"/>
      <c r="E230" s="2"/>
      <c r="F230" s="305"/>
    </row>
    <row r="231" spans="1:6" ht="15.75" x14ac:dyDescent="0.25">
      <c r="A231" s="597" t="s">
        <v>2051</v>
      </c>
      <c r="B231" s="597" t="s">
        <v>385</v>
      </c>
      <c r="C231" s="17"/>
      <c r="D231" s="17"/>
      <c r="E231" s="363"/>
      <c r="F231" s="305"/>
    </row>
    <row r="232" spans="1:6" ht="15.75" x14ac:dyDescent="0.25">
      <c r="A232" s="598"/>
      <c r="B232" s="598"/>
      <c r="C232" s="17">
        <v>10</v>
      </c>
      <c r="D232" s="17">
        <v>108</v>
      </c>
      <c r="E232" s="363">
        <v>1984</v>
      </c>
      <c r="F232" s="127">
        <f t="shared" ref="F232:F233" si="15">2019-E232</f>
        <v>35</v>
      </c>
    </row>
    <row r="233" spans="1:6" ht="15.75" x14ac:dyDescent="0.25">
      <c r="A233" s="599"/>
      <c r="B233" s="599"/>
      <c r="C233" s="17">
        <v>10</v>
      </c>
      <c r="D233" s="17">
        <v>76</v>
      </c>
      <c r="E233" s="363">
        <v>1984</v>
      </c>
      <c r="F233" s="127">
        <f t="shared" si="15"/>
        <v>35</v>
      </c>
    </row>
    <row r="234" spans="1:6" ht="15.75" x14ac:dyDescent="0.25">
      <c r="A234" s="597" t="s">
        <v>337</v>
      </c>
      <c r="B234" s="597" t="s">
        <v>250</v>
      </c>
      <c r="C234" s="17"/>
      <c r="D234" s="17"/>
      <c r="E234" s="363"/>
      <c r="F234" s="305"/>
    </row>
    <row r="235" spans="1:6" ht="15.75" x14ac:dyDescent="0.25">
      <c r="A235" s="598"/>
      <c r="B235" s="598"/>
      <c r="C235" s="17">
        <v>35</v>
      </c>
      <c r="D235" s="17">
        <v>108</v>
      </c>
      <c r="E235" s="363">
        <v>1984</v>
      </c>
      <c r="F235" s="127">
        <f t="shared" ref="F235:F236" si="16">2019-E235</f>
        <v>35</v>
      </c>
    </row>
    <row r="236" spans="1:6" ht="15.75" x14ac:dyDescent="0.25">
      <c r="A236" s="599"/>
      <c r="B236" s="599"/>
      <c r="C236" s="17">
        <v>35</v>
      </c>
      <c r="D236" s="17">
        <v>76</v>
      </c>
      <c r="E236" s="363">
        <v>1984</v>
      </c>
      <c r="F236" s="127">
        <f t="shared" si="16"/>
        <v>35</v>
      </c>
    </row>
    <row r="237" spans="1:6" ht="15.75" x14ac:dyDescent="0.25">
      <c r="A237" s="597" t="s">
        <v>221</v>
      </c>
      <c r="B237" s="597" t="s">
        <v>2052</v>
      </c>
      <c r="C237" s="17"/>
      <c r="D237" s="17"/>
      <c r="E237" s="363"/>
      <c r="F237" s="305"/>
    </row>
    <row r="238" spans="1:6" ht="15.75" x14ac:dyDescent="0.25">
      <c r="A238" s="598"/>
      <c r="B238" s="598"/>
      <c r="C238" s="17">
        <v>22</v>
      </c>
      <c r="D238" s="17">
        <v>108</v>
      </c>
      <c r="E238" s="363">
        <v>1984</v>
      </c>
      <c r="F238" s="127">
        <f t="shared" ref="F238:F239" si="17">2019-E238</f>
        <v>35</v>
      </c>
    </row>
    <row r="239" spans="1:6" ht="15.75" x14ac:dyDescent="0.25">
      <c r="A239" s="599"/>
      <c r="B239" s="599"/>
      <c r="C239" s="17">
        <v>22</v>
      </c>
      <c r="D239" s="17">
        <v>76</v>
      </c>
      <c r="E239" s="363">
        <v>1984</v>
      </c>
      <c r="F239" s="127">
        <f t="shared" si="17"/>
        <v>35</v>
      </c>
    </row>
    <row r="240" spans="1:6" ht="15.75" x14ac:dyDescent="0.25">
      <c r="A240" s="597" t="s">
        <v>498</v>
      </c>
      <c r="B240" s="597" t="s">
        <v>422</v>
      </c>
      <c r="C240" s="17"/>
      <c r="D240" s="17"/>
      <c r="E240" s="363"/>
      <c r="F240" s="305"/>
    </row>
    <row r="241" spans="1:6" ht="15.75" x14ac:dyDescent="0.25">
      <c r="A241" s="598"/>
      <c r="B241" s="598"/>
      <c r="C241" s="17">
        <v>45</v>
      </c>
      <c r="D241" s="17">
        <v>108</v>
      </c>
      <c r="E241" s="363">
        <v>1984</v>
      </c>
      <c r="F241" s="127">
        <f t="shared" ref="F241:F242" si="18">2019-E241</f>
        <v>35</v>
      </c>
    </row>
    <row r="242" spans="1:6" ht="15.75" x14ac:dyDescent="0.25">
      <c r="A242" s="599"/>
      <c r="B242" s="599"/>
      <c r="C242" s="17">
        <v>45</v>
      </c>
      <c r="D242" s="17">
        <v>57</v>
      </c>
      <c r="E242" s="363">
        <v>1984</v>
      </c>
      <c r="F242" s="127">
        <f t="shared" si="18"/>
        <v>35</v>
      </c>
    </row>
    <row r="243" spans="1:6" ht="15.75" x14ac:dyDescent="0.25">
      <c r="A243" s="597" t="s">
        <v>612</v>
      </c>
      <c r="B243" s="597" t="s">
        <v>2053</v>
      </c>
      <c r="C243" s="17"/>
      <c r="D243" s="17"/>
      <c r="E243" s="363"/>
      <c r="F243" s="305"/>
    </row>
    <row r="244" spans="1:6" ht="15.75" x14ac:dyDescent="0.25">
      <c r="A244" s="598"/>
      <c r="B244" s="598"/>
      <c r="C244" s="17">
        <v>13</v>
      </c>
      <c r="D244" s="17">
        <v>108</v>
      </c>
      <c r="E244" s="363">
        <v>1984</v>
      </c>
      <c r="F244" s="127">
        <f t="shared" ref="F244:F245" si="19">2019-E244</f>
        <v>35</v>
      </c>
    </row>
    <row r="245" spans="1:6" ht="15.75" x14ac:dyDescent="0.25">
      <c r="A245" s="599"/>
      <c r="B245" s="599"/>
      <c r="C245" s="17">
        <v>13</v>
      </c>
      <c r="D245" s="17">
        <v>76</v>
      </c>
      <c r="E245" s="363">
        <v>1984</v>
      </c>
      <c r="F245" s="127">
        <f t="shared" si="19"/>
        <v>35</v>
      </c>
    </row>
    <row r="246" spans="1:6" ht="15.75" x14ac:dyDescent="0.25">
      <c r="A246" s="597" t="s">
        <v>422</v>
      </c>
      <c r="B246" s="597" t="s">
        <v>2054</v>
      </c>
      <c r="C246" s="17"/>
      <c r="D246" s="17"/>
      <c r="E246" s="363"/>
      <c r="F246" s="305"/>
    </row>
    <row r="247" spans="1:6" ht="15.75" x14ac:dyDescent="0.25">
      <c r="A247" s="598"/>
      <c r="B247" s="598"/>
      <c r="C247" s="17">
        <v>47</v>
      </c>
      <c r="D247" s="17">
        <v>89</v>
      </c>
      <c r="E247" s="363">
        <v>1984</v>
      </c>
      <c r="F247" s="127">
        <f t="shared" ref="F247:F248" si="20">2019-E247</f>
        <v>35</v>
      </c>
    </row>
    <row r="248" spans="1:6" ht="15.75" x14ac:dyDescent="0.25">
      <c r="A248" s="599"/>
      <c r="B248" s="599"/>
      <c r="C248" s="17">
        <v>47</v>
      </c>
      <c r="D248" s="17">
        <v>57</v>
      </c>
      <c r="E248" s="363">
        <v>1984</v>
      </c>
      <c r="F248" s="127">
        <f t="shared" si="20"/>
        <v>35</v>
      </c>
    </row>
    <row r="249" spans="1:6" ht="15.75" x14ac:dyDescent="0.25">
      <c r="A249" s="597" t="s">
        <v>2055</v>
      </c>
      <c r="B249" s="597" t="s">
        <v>1259</v>
      </c>
      <c r="C249" s="17"/>
      <c r="D249" s="17"/>
      <c r="E249" s="363"/>
      <c r="F249" s="305"/>
    </row>
    <row r="250" spans="1:6" ht="15.75" x14ac:dyDescent="0.25">
      <c r="A250" s="598"/>
      <c r="B250" s="598"/>
      <c r="C250" s="17">
        <v>6</v>
      </c>
      <c r="D250" s="17">
        <v>76</v>
      </c>
      <c r="E250" s="363">
        <v>1984</v>
      </c>
      <c r="F250" s="127">
        <f t="shared" ref="F250:F251" si="21">2019-E250</f>
        <v>35</v>
      </c>
    </row>
    <row r="251" spans="1:6" ht="15.75" x14ac:dyDescent="0.25">
      <c r="A251" s="599"/>
      <c r="B251" s="599"/>
      <c r="C251" s="17">
        <v>6</v>
      </c>
      <c r="D251" s="17">
        <v>57</v>
      </c>
      <c r="E251" s="363">
        <v>1984</v>
      </c>
      <c r="F251" s="127">
        <f t="shared" si="21"/>
        <v>35</v>
      </c>
    </row>
    <row r="252" spans="1:6" ht="15.75" x14ac:dyDescent="0.25">
      <c r="A252" s="597" t="s">
        <v>2056</v>
      </c>
      <c r="B252" s="597" t="s">
        <v>2052</v>
      </c>
      <c r="C252" s="17"/>
      <c r="D252" s="17"/>
      <c r="E252" s="363"/>
      <c r="F252" s="305"/>
    </row>
    <row r="253" spans="1:6" ht="15.75" x14ac:dyDescent="0.25">
      <c r="A253" s="598"/>
      <c r="B253" s="598"/>
      <c r="C253" s="17">
        <v>15</v>
      </c>
      <c r="D253" s="17">
        <v>76</v>
      </c>
      <c r="E253" s="363">
        <v>1984</v>
      </c>
      <c r="F253" s="127">
        <f t="shared" ref="F253:F254" si="22">2019-E253</f>
        <v>35</v>
      </c>
    </row>
    <row r="254" spans="1:6" ht="15.75" x14ac:dyDescent="0.25">
      <c r="A254" s="599"/>
      <c r="B254" s="599"/>
      <c r="C254" s="17">
        <v>15</v>
      </c>
      <c r="D254" s="132">
        <v>40</v>
      </c>
      <c r="E254" s="363">
        <v>1984</v>
      </c>
      <c r="F254" s="127">
        <f t="shared" si="22"/>
        <v>35</v>
      </c>
    </row>
    <row r="255" spans="1:6" ht="15.75" x14ac:dyDescent="0.25">
      <c r="A255" s="597" t="s">
        <v>2055</v>
      </c>
      <c r="B255" s="597" t="s">
        <v>2057</v>
      </c>
      <c r="C255" s="17"/>
      <c r="D255" s="17"/>
      <c r="E255" s="363"/>
      <c r="F255" s="305"/>
    </row>
    <row r="256" spans="1:6" ht="15.75" x14ac:dyDescent="0.25">
      <c r="A256" s="598"/>
      <c r="B256" s="598"/>
      <c r="C256" s="17">
        <v>26</v>
      </c>
      <c r="D256" s="17">
        <v>89</v>
      </c>
      <c r="E256" s="363">
        <v>1984</v>
      </c>
      <c r="F256" s="127">
        <f t="shared" ref="F256:F257" si="23">2019-E256</f>
        <v>35</v>
      </c>
    </row>
    <row r="257" spans="1:6" ht="15.75" x14ac:dyDescent="0.25">
      <c r="A257" s="599"/>
      <c r="B257" s="599"/>
      <c r="C257" s="17">
        <v>26</v>
      </c>
      <c r="D257" s="132">
        <v>32</v>
      </c>
      <c r="E257" s="363">
        <v>1984</v>
      </c>
      <c r="F257" s="127">
        <f t="shared" si="23"/>
        <v>35</v>
      </c>
    </row>
    <row r="258" spans="1:6" ht="15.75" x14ac:dyDescent="0.25">
      <c r="A258" s="597" t="s">
        <v>1182</v>
      </c>
      <c r="B258" s="597" t="s">
        <v>959</v>
      </c>
      <c r="C258" s="17"/>
      <c r="D258" s="17"/>
      <c r="E258" s="363"/>
      <c r="F258" s="305"/>
    </row>
    <row r="259" spans="1:6" ht="15.75" x14ac:dyDescent="0.25">
      <c r="A259" s="598"/>
      <c r="B259" s="598"/>
      <c r="C259" s="17">
        <v>211</v>
      </c>
      <c r="D259" s="17">
        <v>108</v>
      </c>
      <c r="E259" s="363">
        <v>1984</v>
      </c>
      <c r="F259" s="127">
        <f t="shared" ref="F259:F260" si="24">2019-E259</f>
        <v>35</v>
      </c>
    </row>
    <row r="260" spans="1:6" ht="15.75" x14ac:dyDescent="0.25">
      <c r="A260" s="599"/>
      <c r="B260" s="599"/>
      <c r="C260" s="17">
        <v>211</v>
      </c>
      <c r="D260" s="17">
        <v>76</v>
      </c>
      <c r="E260" s="363">
        <v>1984</v>
      </c>
      <c r="F260" s="127">
        <f t="shared" si="24"/>
        <v>35</v>
      </c>
    </row>
    <row r="261" spans="1:6" ht="15.75" x14ac:dyDescent="0.25">
      <c r="A261" s="597" t="s">
        <v>2058</v>
      </c>
      <c r="B261" s="597" t="s">
        <v>564</v>
      </c>
      <c r="C261" s="17"/>
      <c r="D261" s="17"/>
      <c r="E261" s="363"/>
      <c r="F261" s="305"/>
    </row>
    <row r="262" spans="1:6" ht="15.75" x14ac:dyDescent="0.25">
      <c r="A262" s="598"/>
      <c r="B262" s="598"/>
      <c r="C262" s="17">
        <v>83</v>
      </c>
      <c r="D262" s="17">
        <v>89</v>
      </c>
      <c r="E262" s="363">
        <v>1984</v>
      </c>
      <c r="F262" s="127">
        <f t="shared" ref="F262:F263" si="25">2019-E262</f>
        <v>35</v>
      </c>
    </row>
    <row r="263" spans="1:6" ht="15.75" x14ac:dyDescent="0.25">
      <c r="A263" s="599"/>
      <c r="B263" s="599"/>
      <c r="C263" s="17">
        <v>83</v>
      </c>
      <c r="D263" s="17">
        <v>57</v>
      </c>
      <c r="E263" s="363">
        <v>1984</v>
      </c>
      <c r="F263" s="127">
        <f t="shared" si="25"/>
        <v>35</v>
      </c>
    </row>
    <row r="264" spans="1:6" ht="15.75" x14ac:dyDescent="0.25">
      <c r="A264" s="597" t="s">
        <v>564</v>
      </c>
      <c r="B264" s="597" t="s">
        <v>2059</v>
      </c>
      <c r="C264" s="17"/>
      <c r="D264" s="17"/>
      <c r="E264" s="363"/>
      <c r="F264" s="305"/>
    </row>
    <row r="265" spans="1:6" ht="15.75" x14ac:dyDescent="0.25">
      <c r="A265" s="598"/>
      <c r="B265" s="598"/>
      <c r="C265" s="17">
        <v>5</v>
      </c>
      <c r="D265" s="17">
        <v>108</v>
      </c>
      <c r="E265" s="363">
        <v>1984</v>
      </c>
      <c r="F265" s="127">
        <f t="shared" ref="F265:F266" si="26">2019-E265</f>
        <v>35</v>
      </c>
    </row>
    <row r="266" spans="1:6" ht="15.75" x14ac:dyDescent="0.25">
      <c r="A266" s="599"/>
      <c r="B266" s="599"/>
      <c r="C266" s="132">
        <v>5</v>
      </c>
      <c r="D266" s="17">
        <v>32</v>
      </c>
      <c r="E266" s="363">
        <v>1984</v>
      </c>
      <c r="F266" s="127">
        <f t="shared" si="26"/>
        <v>35</v>
      </c>
    </row>
    <row r="267" spans="1:6" ht="15.75" x14ac:dyDescent="0.25">
      <c r="A267" s="597" t="s">
        <v>1090</v>
      </c>
      <c r="B267" s="597" t="s">
        <v>511</v>
      </c>
      <c r="C267" s="17"/>
      <c r="D267" s="17"/>
      <c r="E267" s="363"/>
      <c r="F267" s="305"/>
    </row>
    <row r="268" spans="1:6" ht="15.75" x14ac:dyDescent="0.25">
      <c r="A268" s="598"/>
      <c r="B268" s="598"/>
      <c r="C268" s="17">
        <v>41</v>
      </c>
      <c r="D268" s="17">
        <v>76</v>
      </c>
      <c r="E268" s="363">
        <v>1984</v>
      </c>
      <c r="F268" s="127">
        <f t="shared" ref="F268:F270" si="27">2019-E268</f>
        <v>35</v>
      </c>
    </row>
    <row r="269" spans="1:6" ht="15.75" x14ac:dyDescent="0.25">
      <c r="A269" s="598"/>
      <c r="B269" s="598"/>
      <c r="C269" s="17">
        <v>6</v>
      </c>
      <c r="D269" s="17">
        <v>57</v>
      </c>
      <c r="E269" s="363">
        <v>1984</v>
      </c>
      <c r="F269" s="127">
        <f t="shared" si="27"/>
        <v>35</v>
      </c>
    </row>
    <row r="270" spans="1:6" ht="15.75" x14ac:dyDescent="0.25">
      <c r="A270" s="599"/>
      <c r="B270" s="599"/>
      <c r="C270" s="17">
        <v>35</v>
      </c>
      <c r="D270" s="132">
        <v>40</v>
      </c>
      <c r="E270" s="363">
        <v>1984</v>
      </c>
      <c r="F270" s="127">
        <f t="shared" si="27"/>
        <v>35</v>
      </c>
    </row>
    <row r="271" spans="1:6" ht="15.75" x14ac:dyDescent="0.25">
      <c r="A271" s="597" t="s">
        <v>921</v>
      </c>
      <c r="B271" s="597" t="s">
        <v>2060</v>
      </c>
      <c r="C271" s="17"/>
      <c r="D271" s="17"/>
      <c r="E271" s="363"/>
      <c r="F271" s="305"/>
    </row>
    <row r="272" spans="1:6" ht="15.75" x14ac:dyDescent="0.25">
      <c r="A272" s="598"/>
      <c r="B272" s="598"/>
      <c r="C272" s="17">
        <v>30</v>
      </c>
      <c r="D272" s="17">
        <v>76</v>
      </c>
      <c r="E272" s="363">
        <v>1984</v>
      </c>
      <c r="F272" s="127">
        <f t="shared" ref="F272:F273" si="28">2019-E272</f>
        <v>35</v>
      </c>
    </row>
    <row r="273" spans="1:6" ht="15.75" x14ac:dyDescent="0.25">
      <c r="A273" s="599"/>
      <c r="B273" s="599"/>
      <c r="C273" s="17">
        <v>30</v>
      </c>
      <c r="D273" s="17">
        <v>57</v>
      </c>
      <c r="E273" s="363">
        <v>1984</v>
      </c>
      <c r="F273" s="127">
        <f t="shared" si="28"/>
        <v>35</v>
      </c>
    </row>
    <row r="274" spans="1:6" ht="15.75" x14ac:dyDescent="0.25">
      <c r="A274" s="597" t="s">
        <v>926</v>
      </c>
      <c r="B274" s="597" t="s">
        <v>1338</v>
      </c>
      <c r="C274" s="17"/>
      <c r="D274" s="17"/>
      <c r="E274" s="363"/>
      <c r="F274" s="305"/>
    </row>
    <row r="275" spans="1:6" ht="15.75" x14ac:dyDescent="0.25">
      <c r="A275" s="598"/>
      <c r="B275" s="598"/>
      <c r="C275" s="17">
        <v>20</v>
      </c>
      <c r="D275" s="17">
        <v>76</v>
      </c>
      <c r="E275" s="363">
        <v>1984</v>
      </c>
      <c r="F275" s="127">
        <f t="shared" ref="F275:F276" si="29">2019-E275</f>
        <v>35</v>
      </c>
    </row>
    <row r="276" spans="1:6" ht="15.75" x14ac:dyDescent="0.25">
      <c r="A276" s="599"/>
      <c r="B276" s="599"/>
      <c r="C276" s="17">
        <v>20</v>
      </c>
      <c r="D276" s="17">
        <v>76</v>
      </c>
      <c r="E276" s="363">
        <v>1984</v>
      </c>
      <c r="F276" s="127">
        <f t="shared" si="29"/>
        <v>35</v>
      </c>
    </row>
    <row r="277" spans="1:6" ht="15.75" x14ac:dyDescent="0.25">
      <c r="A277" s="597" t="s">
        <v>1273</v>
      </c>
      <c r="B277" s="597" t="s">
        <v>2061</v>
      </c>
      <c r="C277" s="17"/>
      <c r="D277" s="17"/>
      <c r="E277" s="363"/>
      <c r="F277" s="305"/>
    </row>
    <row r="278" spans="1:6" ht="15.75" x14ac:dyDescent="0.25">
      <c r="A278" s="599"/>
      <c r="B278" s="599"/>
      <c r="C278" s="17">
        <v>6</v>
      </c>
      <c r="D278" s="17">
        <v>76</v>
      </c>
      <c r="E278" s="363">
        <v>1984</v>
      </c>
      <c r="F278" s="127">
        <f t="shared" ref="F278:F279" si="30">2019-E278</f>
        <v>35</v>
      </c>
    </row>
    <row r="279" spans="1:6" ht="15.75" x14ac:dyDescent="0.25">
      <c r="A279" s="362"/>
      <c r="B279" s="362"/>
      <c r="C279" s="17">
        <v>6</v>
      </c>
      <c r="D279" s="17">
        <v>57</v>
      </c>
      <c r="E279" s="363">
        <v>1984</v>
      </c>
      <c r="F279" s="127">
        <f t="shared" si="30"/>
        <v>35</v>
      </c>
    </row>
    <row r="280" spans="1:6" ht="15.75" x14ac:dyDescent="0.25">
      <c r="A280" s="597" t="s">
        <v>1273</v>
      </c>
      <c r="B280" s="597" t="s">
        <v>2062</v>
      </c>
      <c r="C280" s="17"/>
      <c r="D280" s="17"/>
      <c r="E280" s="363"/>
      <c r="F280" s="305"/>
    </row>
    <row r="281" spans="1:6" ht="15.75" x14ac:dyDescent="0.25">
      <c r="A281" s="599"/>
      <c r="B281" s="599"/>
      <c r="C281" s="17">
        <v>58</v>
      </c>
      <c r="D281" s="17">
        <v>76</v>
      </c>
      <c r="E281" s="363">
        <v>1984</v>
      </c>
      <c r="F281" s="127">
        <f t="shared" ref="F281:F282" si="31">2019-E281</f>
        <v>35</v>
      </c>
    </row>
    <row r="282" spans="1:6" ht="15.75" x14ac:dyDescent="0.25">
      <c r="A282" s="597" t="s">
        <v>2063</v>
      </c>
      <c r="B282" s="597" t="s">
        <v>2064</v>
      </c>
      <c r="C282" s="17">
        <v>58</v>
      </c>
      <c r="D282" s="17">
        <v>57</v>
      </c>
      <c r="E282" s="363">
        <v>1984</v>
      </c>
      <c r="F282" s="127">
        <f t="shared" si="31"/>
        <v>35</v>
      </c>
    </row>
    <row r="283" spans="1:6" ht="15.75" x14ac:dyDescent="0.25">
      <c r="A283" s="599"/>
      <c r="B283" s="599"/>
      <c r="C283" s="17"/>
      <c r="D283" s="17"/>
      <c r="E283" s="363"/>
      <c r="F283" s="305"/>
    </row>
    <row r="284" spans="1:6" ht="15.75" x14ac:dyDescent="0.25">
      <c r="A284" s="360"/>
      <c r="B284" s="360"/>
      <c r="C284" s="29">
        <f>SUM(C231:C283)</f>
        <v>1346</v>
      </c>
      <c r="D284" s="17"/>
      <c r="E284" s="363"/>
      <c r="F284" s="305"/>
    </row>
  </sheetData>
  <autoFilter ref="A230:F284"/>
  <mergeCells count="170">
    <mergeCell ref="A280:A281"/>
    <mergeCell ref="B280:B281"/>
    <mergeCell ref="A282:A283"/>
    <mergeCell ref="B282:B283"/>
    <mergeCell ref="E3:E4"/>
    <mergeCell ref="F3:F4"/>
    <mergeCell ref="A271:A273"/>
    <mergeCell ref="B271:B273"/>
    <mergeCell ref="A274:A276"/>
    <mergeCell ref="B274:B276"/>
    <mergeCell ref="A277:A278"/>
    <mergeCell ref="B277:B278"/>
    <mergeCell ref="A261:A263"/>
    <mergeCell ref="B261:B263"/>
    <mergeCell ref="A264:A266"/>
    <mergeCell ref="B264:B266"/>
    <mergeCell ref="A267:A270"/>
    <mergeCell ref="B267:B270"/>
    <mergeCell ref="A255:A257"/>
    <mergeCell ref="B255:B257"/>
    <mergeCell ref="A258:A260"/>
    <mergeCell ref="B258:B260"/>
    <mergeCell ref="A246:A248"/>
    <mergeCell ref="B246:B248"/>
    <mergeCell ref="A249:A251"/>
    <mergeCell ref="B249:B251"/>
    <mergeCell ref="A252:A254"/>
    <mergeCell ref="B252:B254"/>
    <mergeCell ref="A237:A239"/>
    <mergeCell ref="B237:B239"/>
    <mergeCell ref="A240:A242"/>
    <mergeCell ref="B240:B242"/>
    <mergeCell ref="A243:A245"/>
    <mergeCell ref="B243:B245"/>
    <mergeCell ref="A225:A227"/>
    <mergeCell ref="B225:B227"/>
    <mergeCell ref="A231:A233"/>
    <mergeCell ref="B231:B233"/>
    <mergeCell ref="A234:A236"/>
    <mergeCell ref="B234:B236"/>
    <mergeCell ref="A216:A218"/>
    <mergeCell ref="B216:B218"/>
    <mergeCell ref="A219:A221"/>
    <mergeCell ref="B219:B221"/>
    <mergeCell ref="A222:A224"/>
    <mergeCell ref="B222:B224"/>
    <mergeCell ref="A207:A209"/>
    <mergeCell ref="B207:B209"/>
    <mergeCell ref="A210:A212"/>
    <mergeCell ref="B210:B212"/>
    <mergeCell ref="A213:A215"/>
    <mergeCell ref="B213:B215"/>
    <mergeCell ref="A198:A200"/>
    <mergeCell ref="B198:B200"/>
    <mergeCell ref="A201:A203"/>
    <mergeCell ref="B201:B203"/>
    <mergeCell ref="A204:A206"/>
    <mergeCell ref="B204:B206"/>
    <mergeCell ref="A189:A191"/>
    <mergeCell ref="B189:B191"/>
    <mergeCell ref="A192:A194"/>
    <mergeCell ref="B192:B194"/>
    <mergeCell ref="A195:A197"/>
    <mergeCell ref="B195:B197"/>
    <mergeCell ref="A178:A180"/>
    <mergeCell ref="B178:B180"/>
    <mergeCell ref="A181:A183"/>
    <mergeCell ref="B181:B183"/>
    <mergeCell ref="A184:A186"/>
    <mergeCell ref="B184:B186"/>
    <mergeCell ref="A169:A171"/>
    <mergeCell ref="B169:B171"/>
    <mergeCell ref="A172:A174"/>
    <mergeCell ref="B172:B174"/>
    <mergeCell ref="A175:A177"/>
    <mergeCell ref="B175:B177"/>
    <mergeCell ref="A160:A162"/>
    <mergeCell ref="B160:B162"/>
    <mergeCell ref="A163:A165"/>
    <mergeCell ref="B163:B165"/>
    <mergeCell ref="A166:A168"/>
    <mergeCell ref="B166:B168"/>
    <mergeCell ref="A154:A156"/>
    <mergeCell ref="B154:B156"/>
    <mergeCell ref="A157:A159"/>
    <mergeCell ref="B157:B159"/>
    <mergeCell ref="A142:A144"/>
    <mergeCell ref="B142:B144"/>
    <mergeCell ref="A145:A147"/>
    <mergeCell ref="B145:B147"/>
    <mergeCell ref="A148:A150"/>
    <mergeCell ref="B148:B150"/>
    <mergeCell ref="A118:A120"/>
    <mergeCell ref="B118:B120"/>
    <mergeCell ref="A121:A123"/>
    <mergeCell ref="B121:B123"/>
    <mergeCell ref="A112:A114"/>
    <mergeCell ref="B112:B114"/>
    <mergeCell ref="A106:A108"/>
    <mergeCell ref="B106:B108"/>
    <mergeCell ref="A151:A153"/>
    <mergeCell ref="B151:B153"/>
    <mergeCell ref="A133:A135"/>
    <mergeCell ref="B133:B135"/>
    <mergeCell ref="A136:A138"/>
    <mergeCell ref="B136:B138"/>
    <mergeCell ref="A139:A141"/>
    <mergeCell ref="B139:B141"/>
    <mergeCell ref="A124:A126"/>
    <mergeCell ref="B124:B126"/>
    <mergeCell ref="A127:A129"/>
    <mergeCell ref="B127:B129"/>
    <mergeCell ref="A130:A132"/>
    <mergeCell ref="B130:B132"/>
    <mergeCell ref="B115:B117"/>
    <mergeCell ref="A115:A117"/>
    <mergeCell ref="A86:A88"/>
    <mergeCell ref="A80:A82"/>
    <mergeCell ref="B80:B82"/>
    <mergeCell ref="B86:B88"/>
    <mergeCell ref="A91:A93"/>
    <mergeCell ref="B91:B93"/>
    <mergeCell ref="A97:A99"/>
    <mergeCell ref="B97:B99"/>
    <mergeCell ref="B94:B96"/>
    <mergeCell ref="A94:A96"/>
    <mergeCell ref="A109:A111"/>
    <mergeCell ref="B109:B111"/>
    <mergeCell ref="A19:A21"/>
    <mergeCell ref="B19:B21"/>
    <mergeCell ref="A22:A24"/>
    <mergeCell ref="B22:B24"/>
    <mergeCell ref="A37:A38"/>
    <mergeCell ref="B37:B38"/>
    <mergeCell ref="A7:A9"/>
    <mergeCell ref="B7:B9"/>
    <mergeCell ref="A10:A12"/>
    <mergeCell ref="B10:B12"/>
    <mergeCell ref="A13:A15"/>
    <mergeCell ref="B13:B15"/>
    <mergeCell ref="A16:A18"/>
    <mergeCell ref="B16:B18"/>
    <mergeCell ref="A28:A30"/>
    <mergeCell ref="B28:B30"/>
    <mergeCell ref="A100:A102"/>
    <mergeCell ref="B100:B102"/>
    <mergeCell ref="A103:A105"/>
    <mergeCell ref="B103:B105"/>
    <mergeCell ref="A83:A85"/>
    <mergeCell ref="B83:B85"/>
    <mergeCell ref="C1:F1"/>
    <mergeCell ref="A2:F2"/>
    <mergeCell ref="A77:A79"/>
    <mergeCell ref="B77:B79"/>
    <mergeCell ref="A3:B3"/>
    <mergeCell ref="C3:C4"/>
    <mergeCell ref="D3:D4"/>
    <mergeCell ref="A5:E5"/>
    <mergeCell ref="A25:A27"/>
    <mergeCell ref="B25:B27"/>
    <mergeCell ref="A61:A63"/>
    <mergeCell ref="B61:B63"/>
    <mergeCell ref="A68:A70"/>
    <mergeCell ref="B68:B70"/>
    <mergeCell ref="A74:A76"/>
    <mergeCell ref="B74:B76"/>
    <mergeCell ref="A31:A33"/>
    <mergeCell ref="B31:B33"/>
    <mergeCell ref="A34:A36"/>
    <mergeCell ref="B34:B3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U169"/>
  <sheetViews>
    <sheetView workbookViewId="0">
      <selection activeCell="E4" sqref="E4"/>
    </sheetView>
  </sheetViews>
  <sheetFormatPr defaultRowHeight="15.75" x14ac:dyDescent="0.25"/>
  <cols>
    <col min="1" max="1" width="5.5703125" style="184" customWidth="1"/>
    <col min="2" max="2" width="8.42578125" style="184" customWidth="1"/>
    <col min="3" max="3" width="12.7109375" style="185" customWidth="1"/>
    <col min="4" max="4" width="13" style="186" customWidth="1"/>
    <col min="5" max="5" width="28.7109375" style="185" customWidth="1"/>
    <col min="6" max="6" width="11.7109375" style="185" customWidth="1"/>
    <col min="7" max="7" width="10.5703125" style="185" customWidth="1"/>
    <col min="8" max="8" width="12.42578125" style="184" customWidth="1"/>
    <col min="9" max="9" width="10" style="184" customWidth="1"/>
    <col min="10" max="10" width="9.5703125" style="188" customWidth="1"/>
    <col min="11" max="11" width="10.28515625" style="188" customWidth="1"/>
    <col min="12" max="12" width="11.42578125" style="188" customWidth="1"/>
    <col min="13" max="13" width="11.85546875" style="188" customWidth="1"/>
    <col min="14" max="14" width="11.140625" style="188" customWidth="1"/>
    <col min="15" max="15" width="10.5703125" style="188" customWidth="1"/>
    <col min="16" max="258" width="9.140625" style="188"/>
    <col min="259" max="259" width="4.85546875" style="188" customWidth="1"/>
    <col min="260" max="260" width="8.42578125" style="188" customWidth="1"/>
    <col min="261" max="261" width="19.140625" style="188" customWidth="1"/>
    <col min="262" max="262" width="32.85546875" style="188" customWidth="1"/>
    <col min="263" max="263" width="34.85546875" style="188" customWidth="1"/>
    <col min="264" max="264" width="15.42578125" style="188" customWidth="1"/>
    <col min="265" max="265" width="18.28515625" style="188" customWidth="1"/>
    <col min="266" max="514" width="9.140625" style="188"/>
    <col min="515" max="515" width="4.85546875" style="188" customWidth="1"/>
    <col min="516" max="516" width="8.42578125" style="188" customWidth="1"/>
    <col min="517" max="517" width="19.140625" style="188" customWidth="1"/>
    <col min="518" max="518" width="32.85546875" style="188" customWidth="1"/>
    <col min="519" max="519" width="34.85546875" style="188" customWidth="1"/>
    <col min="520" max="520" width="15.42578125" style="188" customWidth="1"/>
    <col min="521" max="521" width="18.28515625" style="188" customWidth="1"/>
    <col min="522" max="770" width="9.140625" style="188"/>
    <col min="771" max="771" width="4.85546875" style="188" customWidth="1"/>
    <col min="772" max="772" width="8.42578125" style="188" customWidth="1"/>
    <col min="773" max="773" width="19.140625" style="188" customWidth="1"/>
    <col min="774" max="774" width="32.85546875" style="188" customWidth="1"/>
    <col min="775" max="775" width="34.85546875" style="188" customWidth="1"/>
    <col min="776" max="776" width="15.42578125" style="188" customWidth="1"/>
    <col min="777" max="777" width="18.28515625" style="188" customWidth="1"/>
    <col min="778" max="1026" width="9.140625" style="188"/>
    <col min="1027" max="1027" width="4.85546875" style="188" customWidth="1"/>
    <col min="1028" max="1028" width="8.42578125" style="188" customWidth="1"/>
    <col min="1029" max="1029" width="19.140625" style="188" customWidth="1"/>
    <col min="1030" max="1030" width="32.85546875" style="188" customWidth="1"/>
    <col min="1031" max="1031" width="34.85546875" style="188" customWidth="1"/>
    <col min="1032" max="1032" width="15.42578125" style="188" customWidth="1"/>
    <col min="1033" max="1033" width="18.28515625" style="188" customWidth="1"/>
    <col min="1034" max="1282" width="9.140625" style="188"/>
    <col min="1283" max="1283" width="4.85546875" style="188" customWidth="1"/>
    <col min="1284" max="1284" width="8.42578125" style="188" customWidth="1"/>
    <col min="1285" max="1285" width="19.140625" style="188" customWidth="1"/>
    <col min="1286" max="1286" width="32.85546875" style="188" customWidth="1"/>
    <col min="1287" max="1287" width="34.85546875" style="188" customWidth="1"/>
    <col min="1288" max="1288" width="15.42578125" style="188" customWidth="1"/>
    <col min="1289" max="1289" width="18.28515625" style="188" customWidth="1"/>
    <col min="1290" max="1538" width="9.140625" style="188"/>
    <col min="1539" max="1539" width="4.85546875" style="188" customWidth="1"/>
    <col min="1540" max="1540" width="8.42578125" style="188" customWidth="1"/>
    <col min="1541" max="1541" width="19.140625" style="188" customWidth="1"/>
    <col min="1542" max="1542" width="32.85546875" style="188" customWidth="1"/>
    <col min="1543" max="1543" width="34.85546875" style="188" customWidth="1"/>
    <col min="1544" max="1544" width="15.42578125" style="188" customWidth="1"/>
    <col min="1545" max="1545" width="18.28515625" style="188" customWidth="1"/>
    <col min="1546" max="1794" width="9.140625" style="188"/>
    <col min="1795" max="1795" width="4.85546875" style="188" customWidth="1"/>
    <col min="1796" max="1796" width="8.42578125" style="188" customWidth="1"/>
    <col min="1797" max="1797" width="19.140625" style="188" customWidth="1"/>
    <col min="1798" max="1798" width="32.85546875" style="188" customWidth="1"/>
    <col min="1799" max="1799" width="34.85546875" style="188" customWidth="1"/>
    <col min="1800" max="1800" width="15.42578125" style="188" customWidth="1"/>
    <col min="1801" max="1801" width="18.28515625" style="188" customWidth="1"/>
    <col min="1802" max="2050" width="9.140625" style="188"/>
    <col min="2051" max="2051" width="4.85546875" style="188" customWidth="1"/>
    <col min="2052" max="2052" width="8.42578125" style="188" customWidth="1"/>
    <col min="2053" max="2053" width="19.140625" style="188" customWidth="1"/>
    <col min="2054" max="2054" width="32.85546875" style="188" customWidth="1"/>
    <col min="2055" max="2055" width="34.85546875" style="188" customWidth="1"/>
    <col min="2056" max="2056" width="15.42578125" style="188" customWidth="1"/>
    <col min="2057" max="2057" width="18.28515625" style="188" customWidth="1"/>
    <col min="2058" max="2306" width="9.140625" style="188"/>
    <col min="2307" max="2307" width="4.85546875" style="188" customWidth="1"/>
    <col min="2308" max="2308" width="8.42578125" style="188" customWidth="1"/>
    <col min="2309" max="2309" width="19.140625" style="188" customWidth="1"/>
    <col min="2310" max="2310" width="32.85546875" style="188" customWidth="1"/>
    <col min="2311" max="2311" width="34.85546875" style="188" customWidth="1"/>
    <col min="2312" max="2312" width="15.42578125" style="188" customWidth="1"/>
    <col min="2313" max="2313" width="18.28515625" style="188" customWidth="1"/>
    <col min="2314" max="2562" width="9.140625" style="188"/>
    <col min="2563" max="2563" width="4.85546875" style="188" customWidth="1"/>
    <col min="2564" max="2564" width="8.42578125" style="188" customWidth="1"/>
    <col min="2565" max="2565" width="19.140625" style="188" customWidth="1"/>
    <col min="2566" max="2566" width="32.85546875" style="188" customWidth="1"/>
    <col min="2567" max="2567" width="34.85546875" style="188" customWidth="1"/>
    <col min="2568" max="2568" width="15.42578125" style="188" customWidth="1"/>
    <col min="2569" max="2569" width="18.28515625" style="188" customWidth="1"/>
    <col min="2570" max="2818" width="9.140625" style="188"/>
    <col min="2819" max="2819" width="4.85546875" style="188" customWidth="1"/>
    <col min="2820" max="2820" width="8.42578125" style="188" customWidth="1"/>
    <col min="2821" max="2821" width="19.140625" style="188" customWidth="1"/>
    <col min="2822" max="2822" width="32.85546875" style="188" customWidth="1"/>
    <col min="2823" max="2823" width="34.85546875" style="188" customWidth="1"/>
    <col min="2824" max="2824" width="15.42578125" style="188" customWidth="1"/>
    <col min="2825" max="2825" width="18.28515625" style="188" customWidth="1"/>
    <col min="2826" max="3074" width="9.140625" style="188"/>
    <col min="3075" max="3075" width="4.85546875" style="188" customWidth="1"/>
    <col min="3076" max="3076" width="8.42578125" style="188" customWidth="1"/>
    <col min="3077" max="3077" width="19.140625" style="188" customWidth="1"/>
    <col min="3078" max="3078" width="32.85546875" style="188" customWidth="1"/>
    <col min="3079" max="3079" width="34.85546875" style="188" customWidth="1"/>
    <col min="3080" max="3080" width="15.42578125" style="188" customWidth="1"/>
    <col min="3081" max="3081" width="18.28515625" style="188" customWidth="1"/>
    <col min="3082" max="3330" width="9.140625" style="188"/>
    <col min="3331" max="3331" width="4.85546875" style="188" customWidth="1"/>
    <col min="3332" max="3332" width="8.42578125" style="188" customWidth="1"/>
    <col min="3333" max="3333" width="19.140625" style="188" customWidth="1"/>
    <col min="3334" max="3334" width="32.85546875" style="188" customWidth="1"/>
    <col min="3335" max="3335" width="34.85546875" style="188" customWidth="1"/>
    <col min="3336" max="3336" width="15.42578125" style="188" customWidth="1"/>
    <col min="3337" max="3337" width="18.28515625" style="188" customWidth="1"/>
    <col min="3338" max="3586" width="9.140625" style="188"/>
    <col min="3587" max="3587" width="4.85546875" style="188" customWidth="1"/>
    <col min="3588" max="3588" width="8.42578125" style="188" customWidth="1"/>
    <col min="3589" max="3589" width="19.140625" style="188" customWidth="1"/>
    <col min="3590" max="3590" width="32.85546875" style="188" customWidth="1"/>
    <col min="3591" max="3591" width="34.85546875" style="188" customWidth="1"/>
    <col min="3592" max="3592" width="15.42578125" style="188" customWidth="1"/>
    <col min="3593" max="3593" width="18.28515625" style="188" customWidth="1"/>
    <col min="3594" max="3842" width="9.140625" style="188"/>
    <col min="3843" max="3843" width="4.85546875" style="188" customWidth="1"/>
    <col min="3844" max="3844" width="8.42578125" style="188" customWidth="1"/>
    <col min="3845" max="3845" width="19.140625" style="188" customWidth="1"/>
    <col min="3846" max="3846" width="32.85546875" style="188" customWidth="1"/>
    <col min="3847" max="3847" width="34.85546875" style="188" customWidth="1"/>
    <col min="3848" max="3848" width="15.42578125" style="188" customWidth="1"/>
    <col min="3849" max="3849" width="18.28515625" style="188" customWidth="1"/>
    <col min="3850" max="4098" width="9.140625" style="188"/>
    <col min="4099" max="4099" width="4.85546875" style="188" customWidth="1"/>
    <col min="4100" max="4100" width="8.42578125" style="188" customWidth="1"/>
    <col min="4101" max="4101" width="19.140625" style="188" customWidth="1"/>
    <col min="4102" max="4102" width="32.85546875" style="188" customWidth="1"/>
    <col min="4103" max="4103" width="34.85546875" style="188" customWidth="1"/>
    <col min="4104" max="4104" width="15.42578125" style="188" customWidth="1"/>
    <col min="4105" max="4105" width="18.28515625" style="188" customWidth="1"/>
    <col min="4106" max="4354" width="9.140625" style="188"/>
    <col min="4355" max="4355" width="4.85546875" style="188" customWidth="1"/>
    <col min="4356" max="4356" width="8.42578125" style="188" customWidth="1"/>
    <col min="4357" max="4357" width="19.140625" style="188" customWidth="1"/>
    <col min="4358" max="4358" width="32.85546875" style="188" customWidth="1"/>
    <col min="4359" max="4359" width="34.85546875" style="188" customWidth="1"/>
    <col min="4360" max="4360" width="15.42578125" style="188" customWidth="1"/>
    <col min="4361" max="4361" width="18.28515625" style="188" customWidth="1"/>
    <col min="4362" max="4610" width="9.140625" style="188"/>
    <col min="4611" max="4611" width="4.85546875" style="188" customWidth="1"/>
    <col min="4612" max="4612" width="8.42578125" style="188" customWidth="1"/>
    <col min="4613" max="4613" width="19.140625" style="188" customWidth="1"/>
    <col min="4614" max="4614" width="32.85546875" style="188" customWidth="1"/>
    <col min="4615" max="4615" width="34.85546875" style="188" customWidth="1"/>
    <col min="4616" max="4616" width="15.42578125" style="188" customWidth="1"/>
    <col min="4617" max="4617" width="18.28515625" style="188" customWidth="1"/>
    <col min="4618" max="4866" width="9.140625" style="188"/>
    <col min="4867" max="4867" width="4.85546875" style="188" customWidth="1"/>
    <col min="4868" max="4868" width="8.42578125" style="188" customWidth="1"/>
    <col min="4869" max="4869" width="19.140625" style="188" customWidth="1"/>
    <col min="4870" max="4870" width="32.85546875" style="188" customWidth="1"/>
    <col min="4871" max="4871" width="34.85546875" style="188" customWidth="1"/>
    <col min="4872" max="4872" width="15.42578125" style="188" customWidth="1"/>
    <col min="4873" max="4873" width="18.28515625" style="188" customWidth="1"/>
    <col min="4874" max="5122" width="9.140625" style="188"/>
    <col min="5123" max="5123" width="4.85546875" style="188" customWidth="1"/>
    <col min="5124" max="5124" width="8.42578125" style="188" customWidth="1"/>
    <col min="5125" max="5125" width="19.140625" style="188" customWidth="1"/>
    <col min="5126" max="5126" width="32.85546875" style="188" customWidth="1"/>
    <col min="5127" max="5127" width="34.85546875" style="188" customWidth="1"/>
    <col min="5128" max="5128" width="15.42578125" style="188" customWidth="1"/>
    <col min="5129" max="5129" width="18.28515625" style="188" customWidth="1"/>
    <col min="5130" max="5378" width="9.140625" style="188"/>
    <col min="5379" max="5379" width="4.85546875" style="188" customWidth="1"/>
    <col min="5380" max="5380" width="8.42578125" style="188" customWidth="1"/>
    <col min="5381" max="5381" width="19.140625" style="188" customWidth="1"/>
    <col min="5382" max="5382" width="32.85546875" style="188" customWidth="1"/>
    <col min="5383" max="5383" width="34.85546875" style="188" customWidth="1"/>
    <col min="5384" max="5384" width="15.42578125" style="188" customWidth="1"/>
    <col min="5385" max="5385" width="18.28515625" style="188" customWidth="1"/>
    <col min="5386" max="5634" width="9.140625" style="188"/>
    <col min="5635" max="5635" width="4.85546875" style="188" customWidth="1"/>
    <col min="5636" max="5636" width="8.42578125" style="188" customWidth="1"/>
    <col min="5637" max="5637" width="19.140625" style="188" customWidth="1"/>
    <col min="5638" max="5638" width="32.85546875" style="188" customWidth="1"/>
    <col min="5639" max="5639" width="34.85546875" style="188" customWidth="1"/>
    <col min="5640" max="5640" width="15.42578125" style="188" customWidth="1"/>
    <col min="5641" max="5641" width="18.28515625" style="188" customWidth="1"/>
    <col min="5642" max="5890" width="9.140625" style="188"/>
    <col min="5891" max="5891" width="4.85546875" style="188" customWidth="1"/>
    <col min="5892" max="5892" width="8.42578125" style="188" customWidth="1"/>
    <col min="5893" max="5893" width="19.140625" style="188" customWidth="1"/>
    <col min="5894" max="5894" width="32.85546875" style="188" customWidth="1"/>
    <col min="5895" max="5895" width="34.85546875" style="188" customWidth="1"/>
    <col min="5896" max="5896" width="15.42578125" style="188" customWidth="1"/>
    <col min="5897" max="5897" width="18.28515625" style="188" customWidth="1"/>
    <col min="5898" max="6146" width="9.140625" style="188"/>
    <col min="6147" max="6147" width="4.85546875" style="188" customWidth="1"/>
    <col min="6148" max="6148" width="8.42578125" style="188" customWidth="1"/>
    <col min="6149" max="6149" width="19.140625" style="188" customWidth="1"/>
    <col min="6150" max="6150" width="32.85546875" style="188" customWidth="1"/>
    <col min="6151" max="6151" width="34.85546875" style="188" customWidth="1"/>
    <col min="6152" max="6152" width="15.42578125" style="188" customWidth="1"/>
    <col min="6153" max="6153" width="18.28515625" style="188" customWidth="1"/>
    <col min="6154" max="6402" width="9.140625" style="188"/>
    <col min="6403" max="6403" width="4.85546875" style="188" customWidth="1"/>
    <col min="6404" max="6404" width="8.42578125" style="188" customWidth="1"/>
    <col min="6405" max="6405" width="19.140625" style="188" customWidth="1"/>
    <col min="6406" max="6406" width="32.85546875" style="188" customWidth="1"/>
    <col min="6407" max="6407" width="34.85546875" style="188" customWidth="1"/>
    <col min="6408" max="6408" width="15.42578125" style="188" customWidth="1"/>
    <col min="6409" max="6409" width="18.28515625" style="188" customWidth="1"/>
    <col min="6410" max="6658" width="9.140625" style="188"/>
    <col min="6659" max="6659" width="4.85546875" style="188" customWidth="1"/>
    <col min="6660" max="6660" width="8.42578125" style="188" customWidth="1"/>
    <col min="6661" max="6661" width="19.140625" style="188" customWidth="1"/>
    <col min="6662" max="6662" width="32.85546875" style="188" customWidth="1"/>
    <col min="6663" max="6663" width="34.85546875" style="188" customWidth="1"/>
    <col min="6664" max="6664" width="15.42578125" style="188" customWidth="1"/>
    <col min="6665" max="6665" width="18.28515625" style="188" customWidth="1"/>
    <col min="6666" max="6914" width="9.140625" style="188"/>
    <col min="6915" max="6915" width="4.85546875" style="188" customWidth="1"/>
    <col min="6916" max="6916" width="8.42578125" style="188" customWidth="1"/>
    <col min="6917" max="6917" width="19.140625" style="188" customWidth="1"/>
    <col min="6918" max="6918" width="32.85546875" style="188" customWidth="1"/>
    <col min="6919" max="6919" width="34.85546875" style="188" customWidth="1"/>
    <col min="6920" max="6920" width="15.42578125" style="188" customWidth="1"/>
    <col min="6921" max="6921" width="18.28515625" style="188" customWidth="1"/>
    <col min="6922" max="7170" width="9.140625" style="188"/>
    <col min="7171" max="7171" width="4.85546875" style="188" customWidth="1"/>
    <col min="7172" max="7172" width="8.42578125" style="188" customWidth="1"/>
    <col min="7173" max="7173" width="19.140625" style="188" customWidth="1"/>
    <col min="7174" max="7174" width="32.85546875" style="188" customWidth="1"/>
    <col min="7175" max="7175" width="34.85546875" style="188" customWidth="1"/>
    <col min="7176" max="7176" width="15.42578125" style="188" customWidth="1"/>
    <col min="7177" max="7177" width="18.28515625" style="188" customWidth="1"/>
    <col min="7178" max="7426" width="9.140625" style="188"/>
    <col min="7427" max="7427" width="4.85546875" style="188" customWidth="1"/>
    <col min="7428" max="7428" width="8.42578125" style="188" customWidth="1"/>
    <col min="7429" max="7429" width="19.140625" style="188" customWidth="1"/>
    <col min="7430" max="7430" width="32.85546875" style="188" customWidth="1"/>
    <col min="7431" max="7431" width="34.85546875" style="188" customWidth="1"/>
    <col min="7432" max="7432" width="15.42578125" style="188" customWidth="1"/>
    <col min="7433" max="7433" width="18.28515625" style="188" customWidth="1"/>
    <col min="7434" max="7682" width="9.140625" style="188"/>
    <col min="7683" max="7683" width="4.85546875" style="188" customWidth="1"/>
    <col min="7684" max="7684" width="8.42578125" style="188" customWidth="1"/>
    <col min="7685" max="7685" width="19.140625" style="188" customWidth="1"/>
    <col min="7686" max="7686" width="32.85546875" style="188" customWidth="1"/>
    <col min="7687" max="7687" width="34.85546875" style="188" customWidth="1"/>
    <col min="7688" max="7688" width="15.42578125" style="188" customWidth="1"/>
    <col min="7689" max="7689" width="18.28515625" style="188" customWidth="1"/>
    <col min="7690" max="7938" width="9.140625" style="188"/>
    <col min="7939" max="7939" width="4.85546875" style="188" customWidth="1"/>
    <col min="7940" max="7940" width="8.42578125" style="188" customWidth="1"/>
    <col min="7941" max="7941" width="19.140625" style="188" customWidth="1"/>
    <col min="7942" max="7942" width="32.85546875" style="188" customWidth="1"/>
    <col min="7943" max="7943" width="34.85546875" style="188" customWidth="1"/>
    <col min="7944" max="7944" width="15.42578125" style="188" customWidth="1"/>
    <col min="7945" max="7945" width="18.28515625" style="188" customWidth="1"/>
    <col min="7946" max="8194" width="9.140625" style="188"/>
    <col min="8195" max="8195" width="4.85546875" style="188" customWidth="1"/>
    <col min="8196" max="8196" width="8.42578125" style="188" customWidth="1"/>
    <col min="8197" max="8197" width="19.140625" style="188" customWidth="1"/>
    <col min="8198" max="8198" width="32.85546875" style="188" customWidth="1"/>
    <col min="8199" max="8199" width="34.85546875" style="188" customWidth="1"/>
    <col min="8200" max="8200" width="15.42578125" style="188" customWidth="1"/>
    <col min="8201" max="8201" width="18.28515625" style="188" customWidth="1"/>
    <col min="8202" max="8450" width="9.140625" style="188"/>
    <col min="8451" max="8451" width="4.85546875" style="188" customWidth="1"/>
    <col min="8452" max="8452" width="8.42578125" style="188" customWidth="1"/>
    <col min="8453" max="8453" width="19.140625" style="188" customWidth="1"/>
    <col min="8454" max="8454" width="32.85546875" style="188" customWidth="1"/>
    <col min="8455" max="8455" width="34.85546875" style="188" customWidth="1"/>
    <col min="8456" max="8456" width="15.42578125" style="188" customWidth="1"/>
    <col min="8457" max="8457" width="18.28515625" style="188" customWidth="1"/>
    <col min="8458" max="8706" width="9.140625" style="188"/>
    <col min="8707" max="8707" width="4.85546875" style="188" customWidth="1"/>
    <col min="8708" max="8708" width="8.42578125" style="188" customWidth="1"/>
    <col min="8709" max="8709" width="19.140625" style="188" customWidth="1"/>
    <col min="8710" max="8710" width="32.85546875" style="188" customWidth="1"/>
    <col min="8711" max="8711" width="34.85546875" style="188" customWidth="1"/>
    <col min="8712" max="8712" width="15.42578125" style="188" customWidth="1"/>
    <col min="8713" max="8713" width="18.28515625" style="188" customWidth="1"/>
    <col min="8714" max="8962" width="9.140625" style="188"/>
    <col min="8963" max="8963" width="4.85546875" style="188" customWidth="1"/>
    <col min="8964" max="8964" width="8.42578125" style="188" customWidth="1"/>
    <col min="8965" max="8965" width="19.140625" style="188" customWidth="1"/>
    <col min="8966" max="8966" width="32.85546875" style="188" customWidth="1"/>
    <col min="8967" max="8967" width="34.85546875" style="188" customWidth="1"/>
    <col min="8968" max="8968" width="15.42578125" style="188" customWidth="1"/>
    <col min="8969" max="8969" width="18.28515625" style="188" customWidth="1"/>
    <col min="8970" max="9218" width="9.140625" style="188"/>
    <col min="9219" max="9219" width="4.85546875" style="188" customWidth="1"/>
    <col min="9220" max="9220" width="8.42578125" style="188" customWidth="1"/>
    <col min="9221" max="9221" width="19.140625" style="188" customWidth="1"/>
    <col min="9222" max="9222" width="32.85546875" style="188" customWidth="1"/>
    <col min="9223" max="9223" width="34.85546875" style="188" customWidth="1"/>
    <col min="9224" max="9224" width="15.42578125" style="188" customWidth="1"/>
    <col min="9225" max="9225" width="18.28515625" style="188" customWidth="1"/>
    <col min="9226" max="9474" width="9.140625" style="188"/>
    <col min="9475" max="9475" width="4.85546875" style="188" customWidth="1"/>
    <col min="9476" max="9476" width="8.42578125" style="188" customWidth="1"/>
    <col min="9477" max="9477" width="19.140625" style="188" customWidth="1"/>
    <col min="9478" max="9478" width="32.85546875" style="188" customWidth="1"/>
    <col min="9479" max="9479" width="34.85546875" style="188" customWidth="1"/>
    <col min="9480" max="9480" width="15.42578125" style="188" customWidth="1"/>
    <col min="9481" max="9481" width="18.28515625" style="188" customWidth="1"/>
    <col min="9482" max="9730" width="9.140625" style="188"/>
    <col min="9731" max="9731" width="4.85546875" style="188" customWidth="1"/>
    <col min="9732" max="9732" width="8.42578125" style="188" customWidth="1"/>
    <col min="9733" max="9733" width="19.140625" style="188" customWidth="1"/>
    <col min="9734" max="9734" width="32.85546875" style="188" customWidth="1"/>
    <col min="9735" max="9735" width="34.85546875" style="188" customWidth="1"/>
    <col min="9736" max="9736" width="15.42578125" style="188" customWidth="1"/>
    <col min="9737" max="9737" width="18.28515625" style="188" customWidth="1"/>
    <col min="9738" max="9986" width="9.140625" style="188"/>
    <col min="9987" max="9987" width="4.85546875" style="188" customWidth="1"/>
    <col min="9988" max="9988" width="8.42578125" style="188" customWidth="1"/>
    <col min="9989" max="9989" width="19.140625" style="188" customWidth="1"/>
    <col min="9990" max="9990" width="32.85546875" style="188" customWidth="1"/>
    <col min="9991" max="9991" width="34.85546875" style="188" customWidth="1"/>
    <col min="9992" max="9992" width="15.42578125" style="188" customWidth="1"/>
    <col min="9993" max="9993" width="18.28515625" style="188" customWidth="1"/>
    <col min="9994" max="10242" width="9.140625" style="188"/>
    <col min="10243" max="10243" width="4.85546875" style="188" customWidth="1"/>
    <col min="10244" max="10244" width="8.42578125" style="188" customWidth="1"/>
    <col min="10245" max="10245" width="19.140625" style="188" customWidth="1"/>
    <col min="10246" max="10246" width="32.85546875" style="188" customWidth="1"/>
    <col min="10247" max="10247" width="34.85546875" style="188" customWidth="1"/>
    <col min="10248" max="10248" width="15.42578125" style="188" customWidth="1"/>
    <col min="10249" max="10249" width="18.28515625" style="188" customWidth="1"/>
    <col min="10250" max="10498" width="9.140625" style="188"/>
    <col min="10499" max="10499" width="4.85546875" style="188" customWidth="1"/>
    <col min="10500" max="10500" width="8.42578125" style="188" customWidth="1"/>
    <col min="10501" max="10501" width="19.140625" style="188" customWidth="1"/>
    <col min="10502" max="10502" width="32.85546875" style="188" customWidth="1"/>
    <col min="10503" max="10503" width="34.85546875" style="188" customWidth="1"/>
    <col min="10504" max="10504" width="15.42578125" style="188" customWidth="1"/>
    <col min="10505" max="10505" width="18.28515625" style="188" customWidth="1"/>
    <col min="10506" max="10754" width="9.140625" style="188"/>
    <col min="10755" max="10755" width="4.85546875" style="188" customWidth="1"/>
    <col min="10756" max="10756" width="8.42578125" style="188" customWidth="1"/>
    <col min="10757" max="10757" width="19.140625" style="188" customWidth="1"/>
    <col min="10758" max="10758" width="32.85546875" style="188" customWidth="1"/>
    <col min="10759" max="10759" width="34.85546875" style="188" customWidth="1"/>
    <col min="10760" max="10760" width="15.42578125" style="188" customWidth="1"/>
    <col min="10761" max="10761" width="18.28515625" style="188" customWidth="1"/>
    <col min="10762" max="11010" width="9.140625" style="188"/>
    <col min="11011" max="11011" width="4.85546875" style="188" customWidth="1"/>
    <col min="11012" max="11012" width="8.42578125" style="188" customWidth="1"/>
    <col min="11013" max="11013" width="19.140625" style="188" customWidth="1"/>
    <col min="11014" max="11014" width="32.85546875" style="188" customWidth="1"/>
    <col min="11015" max="11015" width="34.85546875" style="188" customWidth="1"/>
    <col min="11016" max="11016" width="15.42578125" style="188" customWidth="1"/>
    <col min="11017" max="11017" width="18.28515625" style="188" customWidth="1"/>
    <col min="11018" max="11266" width="9.140625" style="188"/>
    <col min="11267" max="11267" width="4.85546875" style="188" customWidth="1"/>
    <col min="11268" max="11268" width="8.42578125" style="188" customWidth="1"/>
    <col min="11269" max="11269" width="19.140625" style="188" customWidth="1"/>
    <col min="11270" max="11270" width="32.85546875" style="188" customWidth="1"/>
    <col min="11271" max="11271" width="34.85546875" style="188" customWidth="1"/>
    <col min="11272" max="11272" width="15.42578125" style="188" customWidth="1"/>
    <col min="11273" max="11273" width="18.28515625" style="188" customWidth="1"/>
    <col min="11274" max="11522" width="9.140625" style="188"/>
    <col min="11523" max="11523" width="4.85546875" style="188" customWidth="1"/>
    <col min="11524" max="11524" width="8.42578125" style="188" customWidth="1"/>
    <col min="11525" max="11525" width="19.140625" style="188" customWidth="1"/>
    <col min="11526" max="11526" width="32.85546875" style="188" customWidth="1"/>
    <col min="11527" max="11527" width="34.85546875" style="188" customWidth="1"/>
    <col min="11528" max="11528" width="15.42578125" style="188" customWidth="1"/>
    <col min="11529" max="11529" width="18.28515625" style="188" customWidth="1"/>
    <col min="11530" max="11778" width="9.140625" style="188"/>
    <col min="11779" max="11779" width="4.85546875" style="188" customWidth="1"/>
    <col min="11780" max="11780" width="8.42578125" style="188" customWidth="1"/>
    <col min="11781" max="11781" width="19.140625" style="188" customWidth="1"/>
    <col min="11782" max="11782" width="32.85546875" style="188" customWidth="1"/>
    <col min="11783" max="11783" width="34.85546875" style="188" customWidth="1"/>
    <col min="11784" max="11784" width="15.42578125" style="188" customWidth="1"/>
    <col min="11785" max="11785" width="18.28515625" style="188" customWidth="1"/>
    <col min="11786" max="12034" width="9.140625" style="188"/>
    <col min="12035" max="12035" width="4.85546875" style="188" customWidth="1"/>
    <col min="12036" max="12036" width="8.42578125" style="188" customWidth="1"/>
    <col min="12037" max="12037" width="19.140625" style="188" customWidth="1"/>
    <col min="12038" max="12038" width="32.85546875" style="188" customWidth="1"/>
    <col min="12039" max="12039" width="34.85546875" style="188" customWidth="1"/>
    <col min="12040" max="12040" width="15.42578125" style="188" customWidth="1"/>
    <col min="12041" max="12041" width="18.28515625" style="188" customWidth="1"/>
    <col min="12042" max="12290" width="9.140625" style="188"/>
    <col min="12291" max="12291" width="4.85546875" style="188" customWidth="1"/>
    <col min="12292" max="12292" width="8.42578125" style="188" customWidth="1"/>
    <col min="12293" max="12293" width="19.140625" style="188" customWidth="1"/>
    <col min="12294" max="12294" width="32.85546875" style="188" customWidth="1"/>
    <col min="12295" max="12295" width="34.85546875" style="188" customWidth="1"/>
    <col min="12296" max="12296" width="15.42578125" style="188" customWidth="1"/>
    <col min="12297" max="12297" width="18.28515625" style="188" customWidth="1"/>
    <col min="12298" max="12546" width="9.140625" style="188"/>
    <col min="12547" max="12547" width="4.85546875" style="188" customWidth="1"/>
    <col min="12548" max="12548" width="8.42578125" style="188" customWidth="1"/>
    <col min="12549" max="12549" width="19.140625" style="188" customWidth="1"/>
    <col min="12550" max="12550" width="32.85546875" style="188" customWidth="1"/>
    <col min="12551" max="12551" width="34.85546875" style="188" customWidth="1"/>
    <col min="12552" max="12552" width="15.42578125" style="188" customWidth="1"/>
    <col min="12553" max="12553" width="18.28515625" style="188" customWidth="1"/>
    <col min="12554" max="12802" width="9.140625" style="188"/>
    <col min="12803" max="12803" width="4.85546875" style="188" customWidth="1"/>
    <col min="12804" max="12804" width="8.42578125" style="188" customWidth="1"/>
    <col min="12805" max="12805" width="19.140625" style="188" customWidth="1"/>
    <col min="12806" max="12806" width="32.85546875" style="188" customWidth="1"/>
    <col min="12807" max="12807" width="34.85546875" style="188" customWidth="1"/>
    <col min="12808" max="12808" width="15.42578125" style="188" customWidth="1"/>
    <col min="12809" max="12809" width="18.28515625" style="188" customWidth="1"/>
    <col min="12810" max="13058" width="9.140625" style="188"/>
    <col min="13059" max="13059" width="4.85546875" style="188" customWidth="1"/>
    <col min="13060" max="13060" width="8.42578125" style="188" customWidth="1"/>
    <col min="13061" max="13061" width="19.140625" style="188" customWidth="1"/>
    <col min="13062" max="13062" width="32.85546875" style="188" customWidth="1"/>
    <col min="13063" max="13063" width="34.85546875" style="188" customWidth="1"/>
    <col min="13064" max="13064" width="15.42578125" style="188" customWidth="1"/>
    <col min="13065" max="13065" width="18.28515625" style="188" customWidth="1"/>
    <col min="13066" max="13314" width="9.140625" style="188"/>
    <col min="13315" max="13315" width="4.85546875" style="188" customWidth="1"/>
    <col min="13316" max="13316" width="8.42578125" style="188" customWidth="1"/>
    <col min="13317" max="13317" width="19.140625" style="188" customWidth="1"/>
    <col min="13318" max="13318" width="32.85546875" style="188" customWidth="1"/>
    <col min="13319" max="13319" width="34.85546875" style="188" customWidth="1"/>
    <col min="13320" max="13320" width="15.42578125" style="188" customWidth="1"/>
    <col min="13321" max="13321" width="18.28515625" style="188" customWidth="1"/>
    <col min="13322" max="13570" width="9.140625" style="188"/>
    <col min="13571" max="13571" width="4.85546875" style="188" customWidth="1"/>
    <col min="13572" max="13572" width="8.42578125" style="188" customWidth="1"/>
    <col min="13573" max="13573" width="19.140625" style="188" customWidth="1"/>
    <col min="13574" max="13574" width="32.85546875" style="188" customWidth="1"/>
    <col min="13575" max="13575" width="34.85546875" style="188" customWidth="1"/>
    <col min="13576" max="13576" width="15.42578125" style="188" customWidth="1"/>
    <col min="13577" max="13577" width="18.28515625" style="188" customWidth="1"/>
    <col min="13578" max="13826" width="9.140625" style="188"/>
    <col min="13827" max="13827" width="4.85546875" style="188" customWidth="1"/>
    <col min="13828" max="13828" width="8.42578125" style="188" customWidth="1"/>
    <col min="13829" max="13829" width="19.140625" style="188" customWidth="1"/>
    <col min="13830" max="13830" width="32.85546875" style="188" customWidth="1"/>
    <col min="13831" max="13831" width="34.85546875" style="188" customWidth="1"/>
    <col min="13832" max="13832" width="15.42578125" style="188" customWidth="1"/>
    <col min="13833" max="13833" width="18.28515625" style="188" customWidth="1"/>
    <col min="13834" max="14082" width="9.140625" style="188"/>
    <col min="14083" max="14083" width="4.85546875" style="188" customWidth="1"/>
    <col min="14084" max="14084" width="8.42578125" style="188" customWidth="1"/>
    <col min="14085" max="14085" width="19.140625" style="188" customWidth="1"/>
    <col min="14086" max="14086" width="32.85546875" style="188" customWidth="1"/>
    <col min="14087" max="14087" width="34.85546875" style="188" customWidth="1"/>
    <col min="14088" max="14088" width="15.42578125" style="188" customWidth="1"/>
    <col min="14089" max="14089" width="18.28515625" style="188" customWidth="1"/>
    <col min="14090" max="14338" width="9.140625" style="188"/>
    <col min="14339" max="14339" width="4.85546875" style="188" customWidth="1"/>
    <col min="14340" max="14340" width="8.42578125" style="188" customWidth="1"/>
    <col min="14341" max="14341" width="19.140625" style="188" customWidth="1"/>
    <col min="14342" max="14342" width="32.85546875" style="188" customWidth="1"/>
    <col min="14343" max="14343" width="34.85546875" style="188" customWidth="1"/>
    <col min="14344" max="14344" width="15.42578125" style="188" customWidth="1"/>
    <col min="14345" max="14345" width="18.28515625" style="188" customWidth="1"/>
    <col min="14346" max="14594" width="9.140625" style="188"/>
    <col min="14595" max="14595" width="4.85546875" style="188" customWidth="1"/>
    <col min="14596" max="14596" width="8.42578125" style="188" customWidth="1"/>
    <col min="14597" max="14597" width="19.140625" style="188" customWidth="1"/>
    <col min="14598" max="14598" width="32.85546875" style="188" customWidth="1"/>
    <col min="14599" max="14599" width="34.85546875" style="188" customWidth="1"/>
    <col min="14600" max="14600" width="15.42578125" style="188" customWidth="1"/>
    <col min="14601" max="14601" width="18.28515625" style="188" customWidth="1"/>
    <col min="14602" max="14850" width="9.140625" style="188"/>
    <col min="14851" max="14851" width="4.85546875" style="188" customWidth="1"/>
    <col min="14852" max="14852" width="8.42578125" style="188" customWidth="1"/>
    <col min="14853" max="14853" width="19.140625" style="188" customWidth="1"/>
    <col min="14854" max="14854" width="32.85546875" style="188" customWidth="1"/>
    <col min="14855" max="14855" width="34.85546875" style="188" customWidth="1"/>
    <col min="14856" max="14856" width="15.42578125" style="188" customWidth="1"/>
    <col min="14857" max="14857" width="18.28515625" style="188" customWidth="1"/>
    <col min="14858" max="15106" width="9.140625" style="188"/>
    <col min="15107" max="15107" width="4.85546875" style="188" customWidth="1"/>
    <col min="15108" max="15108" width="8.42578125" style="188" customWidth="1"/>
    <col min="15109" max="15109" width="19.140625" style="188" customWidth="1"/>
    <col min="15110" max="15110" width="32.85546875" style="188" customWidth="1"/>
    <col min="15111" max="15111" width="34.85546875" style="188" customWidth="1"/>
    <col min="15112" max="15112" width="15.42578125" style="188" customWidth="1"/>
    <col min="15113" max="15113" width="18.28515625" style="188" customWidth="1"/>
    <col min="15114" max="15362" width="9.140625" style="188"/>
    <col min="15363" max="15363" width="4.85546875" style="188" customWidth="1"/>
    <col min="15364" max="15364" width="8.42578125" style="188" customWidth="1"/>
    <col min="15365" max="15365" width="19.140625" style="188" customWidth="1"/>
    <col min="15366" max="15366" width="32.85546875" style="188" customWidth="1"/>
    <col min="15367" max="15367" width="34.85546875" style="188" customWidth="1"/>
    <col min="15368" max="15368" width="15.42578125" style="188" customWidth="1"/>
    <col min="15369" max="15369" width="18.28515625" style="188" customWidth="1"/>
    <col min="15370" max="15618" width="9.140625" style="188"/>
    <col min="15619" max="15619" width="4.85546875" style="188" customWidth="1"/>
    <col min="15620" max="15620" width="8.42578125" style="188" customWidth="1"/>
    <col min="15621" max="15621" width="19.140625" style="188" customWidth="1"/>
    <col min="15622" max="15622" width="32.85546875" style="188" customWidth="1"/>
    <col min="15623" max="15623" width="34.85546875" style="188" customWidth="1"/>
    <col min="15624" max="15624" width="15.42578125" style="188" customWidth="1"/>
    <col min="15625" max="15625" width="18.28515625" style="188" customWidth="1"/>
    <col min="15626" max="15874" width="9.140625" style="188"/>
    <col min="15875" max="15875" width="4.85546875" style="188" customWidth="1"/>
    <col min="15876" max="15876" width="8.42578125" style="188" customWidth="1"/>
    <col min="15877" max="15877" width="19.140625" style="188" customWidth="1"/>
    <col min="15878" max="15878" width="32.85546875" style="188" customWidth="1"/>
    <col min="15879" max="15879" width="34.85546875" style="188" customWidth="1"/>
    <col min="15880" max="15880" width="15.42578125" style="188" customWidth="1"/>
    <col min="15881" max="15881" width="18.28515625" style="188" customWidth="1"/>
    <col min="15882" max="16130" width="9.140625" style="188"/>
    <col min="16131" max="16131" width="4.85546875" style="188" customWidth="1"/>
    <col min="16132" max="16132" width="8.42578125" style="188" customWidth="1"/>
    <col min="16133" max="16133" width="19.140625" style="188" customWidth="1"/>
    <col min="16134" max="16134" width="32.85546875" style="188" customWidth="1"/>
    <col min="16135" max="16135" width="34.85546875" style="188" customWidth="1"/>
    <col min="16136" max="16136" width="15.42578125" style="188" customWidth="1"/>
    <col min="16137" max="16137" width="18.28515625" style="188" customWidth="1"/>
    <col min="16138" max="16384" width="9.140625" style="188"/>
  </cols>
  <sheetData>
    <row r="1" spans="1:255" x14ac:dyDescent="0.25">
      <c r="J1" s="607" t="s">
        <v>2081</v>
      </c>
      <c r="K1" s="607"/>
      <c r="L1" s="607"/>
      <c r="M1" s="607"/>
      <c r="N1" s="607"/>
      <c r="O1" s="607"/>
    </row>
    <row r="2" spans="1:255" ht="30" customHeight="1" x14ac:dyDescent="0.25">
      <c r="A2" s="609" t="s">
        <v>1640</v>
      </c>
      <c r="B2" s="609"/>
      <c r="C2" s="609"/>
      <c r="D2" s="609"/>
      <c r="E2" s="609"/>
      <c r="F2" s="609"/>
      <c r="G2" s="609"/>
      <c r="H2" s="609"/>
      <c r="I2" s="187"/>
    </row>
    <row r="3" spans="1:255" ht="57.75" customHeight="1" x14ac:dyDescent="0.25">
      <c r="A3" s="612" t="s">
        <v>1501</v>
      </c>
      <c r="B3" s="612" t="s">
        <v>1502</v>
      </c>
      <c r="C3" s="612" t="s">
        <v>1503</v>
      </c>
      <c r="D3" s="614" t="s">
        <v>1504</v>
      </c>
      <c r="E3" s="606" t="s">
        <v>1828</v>
      </c>
      <c r="F3" s="606"/>
      <c r="G3" s="606"/>
      <c r="H3" s="612" t="s">
        <v>1505</v>
      </c>
      <c r="I3" s="610" t="s">
        <v>1650</v>
      </c>
      <c r="J3" s="611"/>
      <c r="K3" s="611"/>
      <c r="L3" s="616" t="s">
        <v>1791</v>
      </c>
      <c r="M3" s="604" t="s">
        <v>1648</v>
      </c>
      <c r="N3" s="604" t="s">
        <v>1827</v>
      </c>
      <c r="O3" s="604" t="s">
        <v>1836</v>
      </c>
    </row>
    <row r="4" spans="1:255" s="192" customFormat="1" ht="49.5" customHeight="1" x14ac:dyDescent="0.25">
      <c r="A4" s="613"/>
      <c r="B4" s="613"/>
      <c r="C4" s="613"/>
      <c r="D4" s="615"/>
      <c r="E4" s="382" t="s">
        <v>2088</v>
      </c>
      <c r="F4" s="227" t="s">
        <v>1829</v>
      </c>
      <c r="G4" s="227" t="s">
        <v>1837</v>
      </c>
      <c r="H4" s="613"/>
      <c r="I4" s="189" t="s">
        <v>1645</v>
      </c>
      <c r="J4" s="190" t="s">
        <v>1646</v>
      </c>
      <c r="K4" s="218" t="s">
        <v>1647</v>
      </c>
      <c r="L4" s="617"/>
      <c r="M4" s="605"/>
      <c r="N4" s="605"/>
      <c r="O4" s="605"/>
      <c r="P4" s="191"/>
      <c r="Q4" s="191"/>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row>
    <row r="5" spans="1:255" s="192" customFormat="1" ht="16.5" customHeight="1" x14ac:dyDescent="0.25">
      <c r="A5" s="171"/>
      <c r="B5" s="171"/>
      <c r="C5" s="171"/>
      <c r="D5" s="172"/>
      <c r="E5" s="212"/>
      <c r="F5" s="212"/>
      <c r="G5" s="171"/>
      <c r="H5" s="171"/>
      <c r="I5" s="171"/>
      <c r="J5" s="193"/>
      <c r="K5" s="193"/>
      <c r="L5" s="193"/>
      <c r="M5" s="193"/>
      <c r="N5" s="193"/>
      <c r="O5" s="193"/>
      <c r="P5" s="191"/>
      <c r="Q5" s="191"/>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row>
    <row r="6" spans="1:255" s="197" customFormat="1" ht="57" customHeight="1" x14ac:dyDescent="0.25">
      <c r="A6" s="173">
        <v>1</v>
      </c>
      <c r="B6" s="173" t="s">
        <v>164</v>
      </c>
      <c r="C6" s="173" t="s">
        <v>1642</v>
      </c>
      <c r="D6" s="174" t="s">
        <v>1506</v>
      </c>
      <c r="E6" s="210" t="s">
        <v>1651</v>
      </c>
      <c r="F6" s="177">
        <v>78</v>
      </c>
      <c r="G6" s="173">
        <v>80</v>
      </c>
      <c r="H6" s="177" t="s">
        <v>1641</v>
      </c>
      <c r="I6" s="177"/>
      <c r="J6" s="194"/>
      <c r="K6" s="195">
        <f>0.05*3.14*0.08*0.08/4</f>
        <v>2.5120000000000003E-4</v>
      </c>
      <c r="L6" s="225">
        <v>10</v>
      </c>
      <c r="M6" s="194">
        <v>44</v>
      </c>
      <c r="N6" s="207">
        <f>9568*K6*SQRT(M6)/розрах!$I$133</f>
        <v>7.899243817094009E-3</v>
      </c>
      <c r="O6" s="194">
        <f>G6/1000*G6/1000*F6*0.785/розрах!$I$175</f>
        <v>1.941612737314892E-4</v>
      </c>
      <c r="P6" s="196"/>
      <c r="Q6" s="196"/>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c r="EO6" s="175"/>
      <c r="EP6" s="175"/>
      <c r="EQ6" s="175"/>
      <c r="ER6" s="175"/>
      <c r="ES6" s="175"/>
      <c r="ET6" s="175"/>
      <c r="EU6" s="175"/>
      <c r="EV6" s="175"/>
      <c r="EW6" s="175"/>
      <c r="EX6" s="175"/>
      <c r="EY6" s="175"/>
      <c r="EZ6" s="175"/>
      <c r="FA6" s="175"/>
      <c r="FB6" s="175"/>
      <c r="FC6" s="175"/>
      <c r="FD6" s="175"/>
      <c r="FE6" s="175"/>
      <c r="FF6" s="175"/>
      <c r="FG6" s="175"/>
      <c r="FH6" s="175"/>
      <c r="FI6" s="175"/>
      <c r="FJ6" s="175"/>
      <c r="FK6" s="175"/>
      <c r="FL6" s="175"/>
      <c r="FM6" s="175"/>
      <c r="FN6" s="175"/>
      <c r="FO6" s="175"/>
      <c r="FP6" s="175"/>
      <c r="FQ6" s="175"/>
      <c r="FR6" s="175"/>
      <c r="FS6" s="175"/>
      <c r="FT6" s="175"/>
      <c r="FU6" s="175"/>
      <c r="FV6" s="175"/>
      <c r="FW6" s="175"/>
      <c r="FX6" s="175"/>
      <c r="FY6" s="175"/>
      <c r="FZ6" s="175"/>
      <c r="GA6" s="175"/>
      <c r="GB6" s="175"/>
      <c r="GC6" s="175"/>
      <c r="GD6" s="175"/>
      <c r="GE6" s="175"/>
      <c r="GF6" s="175"/>
      <c r="GG6" s="175"/>
      <c r="GH6" s="175"/>
      <c r="GI6" s="175"/>
      <c r="GJ6" s="175"/>
      <c r="GK6" s="175"/>
      <c r="GL6" s="175"/>
      <c r="GM6" s="175"/>
      <c r="GN6" s="175"/>
      <c r="GO6" s="175"/>
      <c r="GP6" s="175"/>
      <c r="GQ6" s="175"/>
      <c r="GR6" s="175"/>
      <c r="GS6" s="175"/>
      <c r="GT6" s="175"/>
      <c r="GU6" s="175"/>
      <c r="GV6" s="175"/>
      <c r="GW6" s="175"/>
      <c r="GX6" s="175"/>
      <c r="GY6" s="175"/>
      <c r="GZ6" s="175"/>
      <c r="HA6" s="175"/>
      <c r="HB6" s="175"/>
      <c r="HC6" s="175"/>
      <c r="HD6" s="175"/>
      <c r="HE6" s="175"/>
      <c r="HF6" s="175"/>
      <c r="HG6" s="175"/>
      <c r="HH6" s="175"/>
      <c r="HI6" s="175"/>
      <c r="HJ6" s="175"/>
      <c r="HK6" s="175"/>
      <c r="HL6" s="175"/>
      <c r="HM6" s="175"/>
      <c r="HN6" s="175"/>
      <c r="HO6" s="175"/>
      <c r="HP6" s="175"/>
      <c r="HQ6" s="175"/>
      <c r="HR6" s="175"/>
      <c r="HS6" s="175"/>
      <c r="HT6" s="175"/>
      <c r="HU6" s="175"/>
      <c r="HV6" s="175"/>
      <c r="HW6" s="175"/>
      <c r="HX6" s="175"/>
      <c r="HY6" s="175"/>
      <c r="HZ6" s="175"/>
      <c r="IA6" s="175"/>
      <c r="IB6" s="175"/>
      <c r="IC6" s="175"/>
      <c r="ID6" s="175"/>
      <c r="IE6" s="175"/>
      <c r="IF6" s="175"/>
      <c r="IG6" s="175"/>
      <c r="IH6" s="175"/>
      <c r="II6" s="175"/>
      <c r="IJ6" s="175"/>
      <c r="IK6" s="175"/>
      <c r="IL6" s="175"/>
      <c r="IM6" s="175"/>
      <c r="IN6" s="175"/>
      <c r="IO6" s="175"/>
      <c r="IP6" s="175"/>
      <c r="IQ6" s="175"/>
      <c r="IR6" s="175"/>
      <c r="IS6" s="175"/>
      <c r="IT6" s="175"/>
      <c r="IU6" s="175"/>
    </row>
    <row r="7" spans="1:255" s="197" customFormat="1" ht="54" customHeight="1" x14ac:dyDescent="0.25">
      <c r="A7" s="173">
        <f>A6+1</f>
        <v>2</v>
      </c>
      <c r="B7" s="173" t="s">
        <v>164</v>
      </c>
      <c r="C7" s="173" t="s">
        <v>1643</v>
      </c>
      <c r="D7" s="176" t="s">
        <v>1507</v>
      </c>
      <c r="E7" s="210" t="s">
        <v>1790</v>
      </c>
      <c r="F7" s="177">
        <v>64</v>
      </c>
      <c r="G7" s="173">
        <v>50</v>
      </c>
      <c r="H7" s="177" t="s">
        <v>1641</v>
      </c>
      <c r="I7" s="177">
        <f>2/10000</f>
        <v>2.0000000000000001E-4</v>
      </c>
      <c r="J7" s="194"/>
      <c r="K7" s="194"/>
      <c r="L7" s="194">
        <v>0.5</v>
      </c>
      <c r="M7" s="194">
        <v>42</v>
      </c>
      <c r="N7" s="207">
        <f>9568*I7*SQRT(M7)/розрах!$I$133</f>
        <v>6.1446080638442755E-3</v>
      </c>
      <c r="O7" s="224">
        <f>G7/1000*G7/1000*F7*0.785/розрах!$I$175</f>
        <v>6.2231177478041413E-5</v>
      </c>
      <c r="P7" s="196"/>
      <c r="Q7" s="196"/>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c r="EO7" s="175"/>
      <c r="EP7" s="175"/>
      <c r="EQ7" s="175"/>
      <c r="ER7" s="175"/>
      <c r="ES7" s="175"/>
      <c r="ET7" s="175"/>
      <c r="EU7" s="175"/>
      <c r="EV7" s="175"/>
      <c r="EW7" s="175"/>
      <c r="EX7" s="175"/>
      <c r="EY7" s="175"/>
      <c r="EZ7" s="175"/>
      <c r="FA7" s="175"/>
      <c r="FB7" s="175"/>
      <c r="FC7" s="175"/>
      <c r="FD7" s="175"/>
      <c r="FE7" s="175"/>
      <c r="FF7" s="175"/>
      <c r="FG7" s="175"/>
      <c r="FH7" s="175"/>
      <c r="FI7" s="175"/>
      <c r="FJ7" s="175"/>
      <c r="FK7" s="175"/>
      <c r="FL7" s="175"/>
      <c r="FM7" s="175"/>
      <c r="FN7" s="175"/>
      <c r="FO7" s="175"/>
      <c r="FP7" s="175"/>
      <c r="FQ7" s="175"/>
      <c r="FR7" s="175"/>
      <c r="FS7" s="175"/>
      <c r="FT7" s="175"/>
      <c r="FU7" s="175"/>
      <c r="FV7" s="175"/>
      <c r="FW7" s="175"/>
      <c r="FX7" s="175"/>
      <c r="FY7" s="175"/>
      <c r="FZ7" s="175"/>
      <c r="GA7" s="175"/>
      <c r="GB7" s="175"/>
      <c r="GC7" s="175"/>
      <c r="GD7" s="175"/>
      <c r="GE7" s="175"/>
      <c r="GF7" s="175"/>
      <c r="GG7" s="175"/>
      <c r="GH7" s="175"/>
      <c r="GI7" s="175"/>
      <c r="GJ7" s="175"/>
      <c r="GK7" s="175"/>
      <c r="GL7" s="175"/>
      <c r="GM7" s="175"/>
      <c r="GN7" s="175"/>
      <c r="GO7" s="175"/>
      <c r="GP7" s="175"/>
      <c r="GQ7" s="175"/>
      <c r="GR7" s="175"/>
      <c r="GS7" s="175"/>
      <c r="GT7" s="175"/>
      <c r="GU7" s="175"/>
      <c r="GV7" s="175"/>
      <c r="GW7" s="175"/>
      <c r="GX7" s="175"/>
      <c r="GY7" s="175"/>
      <c r="GZ7" s="175"/>
      <c r="HA7" s="175"/>
      <c r="HB7" s="175"/>
      <c r="HC7" s="175"/>
      <c r="HD7" s="175"/>
      <c r="HE7" s="175"/>
      <c r="HF7" s="175"/>
      <c r="HG7" s="175"/>
      <c r="HH7" s="175"/>
      <c r="HI7" s="175"/>
      <c r="HJ7" s="175"/>
      <c r="HK7" s="175"/>
      <c r="HL7" s="175"/>
      <c r="HM7" s="175"/>
      <c r="HN7" s="175"/>
      <c r="HO7" s="175"/>
      <c r="HP7" s="175"/>
      <c r="HQ7" s="175"/>
      <c r="HR7" s="175"/>
      <c r="HS7" s="175"/>
      <c r="HT7" s="175"/>
      <c r="HU7" s="175"/>
      <c r="HV7" s="175"/>
      <c r="HW7" s="175"/>
      <c r="HX7" s="175"/>
      <c r="HY7" s="175"/>
      <c r="HZ7" s="175"/>
      <c r="IA7" s="175"/>
      <c r="IB7" s="175"/>
      <c r="IC7" s="175"/>
      <c r="ID7" s="175"/>
      <c r="IE7" s="175"/>
      <c r="IF7" s="175"/>
      <c r="IG7" s="175"/>
      <c r="IH7" s="175"/>
      <c r="II7" s="175"/>
      <c r="IJ7" s="175"/>
      <c r="IK7" s="175"/>
      <c r="IL7" s="175"/>
      <c r="IM7" s="175"/>
      <c r="IN7" s="175"/>
      <c r="IO7" s="175"/>
      <c r="IP7" s="175"/>
      <c r="IQ7" s="175"/>
      <c r="IR7" s="175"/>
      <c r="IS7" s="175"/>
      <c r="IT7" s="175"/>
      <c r="IU7" s="175"/>
    </row>
    <row r="8" spans="1:255" s="197" customFormat="1" ht="66.75" customHeight="1" x14ac:dyDescent="0.25">
      <c r="A8" s="173">
        <f t="shared" ref="A8:A70" si="0">A7+1</f>
        <v>3</v>
      </c>
      <c r="B8" s="173" t="s">
        <v>164</v>
      </c>
      <c r="C8" s="173" t="s">
        <v>1644</v>
      </c>
      <c r="D8" s="176" t="s">
        <v>1508</v>
      </c>
      <c r="E8" s="210" t="s">
        <v>1652</v>
      </c>
      <c r="F8" s="177">
        <v>107</v>
      </c>
      <c r="G8" s="173">
        <v>125</v>
      </c>
      <c r="H8" s="177" t="s">
        <v>1509</v>
      </c>
      <c r="I8" s="177"/>
      <c r="J8" s="194"/>
      <c r="K8" s="195">
        <f>0.05*3.14*0.125*0.125/4</f>
        <v>6.1328125000000011E-4</v>
      </c>
      <c r="L8" s="225">
        <v>6</v>
      </c>
      <c r="M8" s="194">
        <v>56</v>
      </c>
      <c r="N8" s="207">
        <f>9568*K8*SQRT(M8)/розрах!$I$133</f>
        <v>2.1756711163939936E-2</v>
      </c>
      <c r="O8" s="224">
        <f>G8/1000*G8/1000*F8*0.785/розрах!$I$175</f>
        <v>6.5026718653812799E-4</v>
      </c>
      <c r="P8" s="196"/>
      <c r="Q8" s="196"/>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5"/>
      <c r="FB8" s="175"/>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5"/>
      <c r="GF8" s="175"/>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5"/>
      <c r="HK8" s="175"/>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5"/>
      <c r="IO8" s="175"/>
      <c r="IP8" s="175"/>
      <c r="IQ8" s="175"/>
      <c r="IR8" s="175"/>
      <c r="IS8" s="175"/>
      <c r="IT8" s="175"/>
      <c r="IU8" s="175"/>
    </row>
    <row r="9" spans="1:255" s="197" customFormat="1" ht="39" customHeight="1" x14ac:dyDescent="0.25">
      <c r="A9" s="173">
        <f>A8+1</f>
        <v>4</v>
      </c>
      <c r="B9" s="173" t="s">
        <v>164</v>
      </c>
      <c r="C9" s="173" t="s">
        <v>1796</v>
      </c>
      <c r="D9" s="176" t="s">
        <v>1649</v>
      </c>
      <c r="E9" s="210" t="s">
        <v>1653</v>
      </c>
      <c r="F9" s="177">
        <v>11.9</v>
      </c>
      <c r="G9" s="173">
        <v>50</v>
      </c>
      <c r="H9" s="177" t="s">
        <v>1641</v>
      </c>
      <c r="I9" s="177">
        <v>2.9999999999999997E-4</v>
      </c>
      <c r="J9" s="194"/>
      <c r="K9" s="194"/>
      <c r="L9" s="194">
        <v>12</v>
      </c>
      <c r="M9" s="194">
        <v>40</v>
      </c>
      <c r="N9" s="207">
        <f>9568*I9*SQRT(M9)/розрах!$I$133</f>
        <v>8.994785186618658E-3</v>
      </c>
      <c r="O9" s="224">
        <f>G9/1000*G9/1000*F9*0.785/розрах!$I$175</f>
        <v>1.1571109562323325E-5</v>
      </c>
      <c r="P9" s="196"/>
      <c r="Q9" s="196"/>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175"/>
      <c r="ER9" s="175"/>
      <c r="ES9" s="175"/>
      <c r="ET9" s="175"/>
      <c r="EU9" s="175"/>
      <c r="EV9" s="175"/>
      <c r="EW9" s="175"/>
      <c r="EX9" s="175"/>
      <c r="EY9" s="175"/>
      <c r="EZ9" s="175"/>
      <c r="FA9" s="175"/>
      <c r="FB9" s="175"/>
      <c r="FC9" s="175"/>
      <c r="FD9" s="175"/>
      <c r="FE9" s="175"/>
      <c r="FF9" s="175"/>
      <c r="FG9" s="175"/>
      <c r="FH9" s="175"/>
      <c r="FI9" s="175"/>
      <c r="FJ9" s="175"/>
      <c r="FK9" s="175"/>
      <c r="FL9" s="175"/>
      <c r="FM9" s="175"/>
      <c r="FN9" s="175"/>
      <c r="FO9" s="175"/>
      <c r="FP9" s="175"/>
      <c r="FQ9" s="175"/>
      <c r="FR9" s="175"/>
      <c r="FS9" s="175"/>
      <c r="FT9" s="175"/>
      <c r="FU9" s="175"/>
      <c r="FV9" s="175"/>
      <c r="FW9" s="175"/>
      <c r="FX9" s="175"/>
      <c r="FY9" s="175"/>
      <c r="FZ9" s="175"/>
      <c r="GA9" s="175"/>
      <c r="GB9" s="175"/>
      <c r="GC9" s="175"/>
      <c r="GD9" s="175"/>
      <c r="GE9" s="175"/>
      <c r="GF9" s="175"/>
      <c r="GG9" s="175"/>
      <c r="GH9" s="175"/>
      <c r="GI9" s="175"/>
      <c r="GJ9" s="175"/>
      <c r="GK9" s="175"/>
      <c r="GL9" s="175"/>
      <c r="GM9" s="175"/>
      <c r="GN9" s="175"/>
      <c r="GO9" s="175"/>
      <c r="GP9" s="175"/>
      <c r="GQ9" s="175"/>
      <c r="GR9" s="175"/>
      <c r="GS9" s="175"/>
      <c r="GT9" s="175"/>
      <c r="GU9" s="175"/>
      <c r="GV9" s="175"/>
      <c r="GW9" s="175"/>
      <c r="GX9" s="175"/>
      <c r="GY9" s="175"/>
      <c r="GZ9" s="175"/>
      <c r="HA9" s="175"/>
      <c r="HB9" s="175"/>
      <c r="HC9" s="175"/>
      <c r="HD9" s="175"/>
      <c r="HE9" s="175"/>
      <c r="HF9" s="175"/>
      <c r="HG9" s="175"/>
      <c r="HH9" s="175"/>
      <c r="HI9" s="175"/>
      <c r="HJ9" s="175"/>
      <c r="HK9" s="175"/>
      <c r="HL9" s="175"/>
      <c r="HM9" s="175"/>
      <c r="HN9" s="175"/>
      <c r="HO9" s="175"/>
      <c r="HP9" s="175"/>
      <c r="HQ9" s="175"/>
      <c r="HR9" s="175"/>
      <c r="HS9" s="175"/>
      <c r="HT9" s="175"/>
      <c r="HU9" s="175"/>
      <c r="HV9" s="175"/>
      <c r="HW9" s="175"/>
      <c r="HX9" s="175"/>
      <c r="HY9" s="175"/>
      <c r="HZ9" s="175"/>
      <c r="IA9" s="175"/>
      <c r="IB9" s="175"/>
      <c r="IC9" s="175"/>
      <c r="ID9" s="175"/>
      <c r="IE9" s="175"/>
      <c r="IF9" s="175"/>
      <c r="IG9" s="175"/>
      <c r="IH9" s="175"/>
      <c r="II9" s="175"/>
      <c r="IJ9" s="175"/>
      <c r="IK9" s="175"/>
      <c r="IL9" s="175"/>
      <c r="IM9" s="175"/>
      <c r="IN9" s="175"/>
      <c r="IO9" s="175"/>
      <c r="IP9" s="175"/>
      <c r="IQ9" s="175"/>
      <c r="IR9" s="175"/>
      <c r="IS9" s="175"/>
      <c r="IT9" s="175"/>
      <c r="IU9" s="175"/>
    </row>
    <row r="10" spans="1:255" s="197" customFormat="1" ht="59.25" customHeight="1" x14ac:dyDescent="0.25">
      <c r="A10" s="173">
        <f t="shared" si="0"/>
        <v>5</v>
      </c>
      <c r="B10" s="173" t="s">
        <v>164</v>
      </c>
      <c r="C10" s="173" t="s">
        <v>1793</v>
      </c>
      <c r="D10" s="174" t="s">
        <v>1510</v>
      </c>
      <c r="E10" s="210" t="s">
        <v>1654</v>
      </c>
      <c r="F10" s="177">
        <v>69</v>
      </c>
      <c r="G10" s="173">
        <v>100</v>
      </c>
      <c r="H10" s="177" t="s">
        <v>1509</v>
      </c>
      <c r="I10" s="177">
        <v>5.0000000000000001E-4</v>
      </c>
      <c r="J10" s="194"/>
      <c r="K10" s="194"/>
      <c r="L10" s="194">
        <v>6</v>
      </c>
      <c r="M10" s="193">
        <v>68</v>
      </c>
      <c r="N10" s="207">
        <f>9568*I10*SQRT(M10)/розрах!$I$133</f>
        <v>1.9546275074295169E-2</v>
      </c>
      <c r="O10" s="224">
        <f>G10/1000*G10/1000*F10*0.785/розрах!$I$175</f>
        <v>2.6837195287405358E-4</v>
      </c>
      <c r="P10" s="196"/>
      <c r="Q10" s="196"/>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c r="IP10" s="175"/>
      <c r="IQ10" s="175"/>
      <c r="IR10" s="175"/>
      <c r="IS10" s="175"/>
      <c r="IT10" s="175"/>
      <c r="IU10" s="175"/>
    </row>
    <row r="11" spans="1:255" s="197" customFormat="1" ht="50.25" customHeight="1" x14ac:dyDescent="0.25">
      <c r="A11" s="173">
        <f t="shared" si="0"/>
        <v>6</v>
      </c>
      <c r="B11" s="173" t="s">
        <v>164</v>
      </c>
      <c r="C11" s="173" t="s">
        <v>1794</v>
      </c>
      <c r="D11" s="174" t="s">
        <v>1511</v>
      </c>
      <c r="E11" s="210" t="s">
        <v>1655</v>
      </c>
      <c r="F11" s="177">
        <v>65</v>
      </c>
      <c r="G11" s="173">
        <v>125</v>
      </c>
      <c r="H11" s="177" t="s">
        <v>1509</v>
      </c>
      <c r="I11" s="177">
        <v>8.4999999999999995E-4</v>
      </c>
      <c r="J11" s="194"/>
      <c r="K11" s="194"/>
      <c r="L11" s="194">
        <v>6</v>
      </c>
      <c r="M11" s="194">
        <v>52</v>
      </c>
      <c r="N11" s="207">
        <f>9568*I11*SQRT(M11)/розрах!$I$133</f>
        <v>2.9057626900847011E-2</v>
      </c>
      <c r="O11" s="224">
        <f>G11/1000*G11/1000*F11*0.785/розрах!$I$175</f>
        <v>3.9502212266334874E-4</v>
      </c>
      <c r="P11" s="196"/>
      <c r="Q11" s="196"/>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c r="IK11" s="175"/>
      <c r="IL11" s="175"/>
      <c r="IM11" s="175"/>
      <c r="IN11" s="175"/>
      <c r="IO11" s="175"/>
      <c r="IP11" s="175"/>
      <c r="IQ11" s="175"/>
      <c r="IR11" s="175"/>
      <c r="IS11" s="175"/>
      <c r="IT11" s="175"/>
      <c r="IU11" s="175"/>
    </row>
    <row r="12" spans="1:255" s="197" customFormat="1" ht="52.5" customHeight="1" x14ac:dyDescent="0.25">
      <c r="A12" s="173">
        <f t="shared" si="0"/>
        <v>7</v>
      </c>
      <c r="B12" s="173" t="s">
        <v>164</v>
      </c>
      <c r="C12" s="173" t="s">
        <v>1795</v>
      </c>
      <c r="D12" s="176" t="s">
        <v>1512</v>
      </c>
      <c r="E12" s="210" t="s">
        <v>1656</v>
      </c>
      <c r="F12" s="177">
        <v>52</v>
      </c>
      <c r="G12" s="173">
        <v>200</v>
      </c>
      <c r="H12" s="177" t="s">
        <v>1509</v>
      </c>
      <c r="I12" s="177">
        <v>1E-3</v>
      </c>
      <c r="J12" s="194"/>
      <c r="K12" s="194"/>
      <c r="L12" s="194">
        <v>6</v>
      </c>
      <c r="M12" s="194">
        <v>72</v>
      </c>
      <c r="N12" s="207">
        <f>9568*I12*SQRT(M12)/розрах!$I$133</f>
        <v>4.0225902240574894E-2</v>
      </c>
      <c r="O12" s="224">
        <f>G12/1000*G12/1000*F12*0.785/розрах!$I$175</f>
        <v>8.0900530721453822E-4</v>
      </c>
      <c r="P12" s="196"/>
      <c r="Q12" s="196"/>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c r="IP12" s="175"/>
      <c r="IQ12" s="175"/>
      <c r="IR12" s="175"/>
      <c r="IS12" s="175"/>
      <c r="IT12" s="175"/>
      <c r="IU12" s="175"/>
    </row>
    <row r="13" spans="1:255" s="197" customFormat="1" ht="59.25" customHeight="1" x14ac:dyDescent="0.25">
      <c r="A13" s="173">
        <f>A12+1</f>
        <v>8</v>
      </c>
      <c r="B13" s="173" t="s">
        <v>164</v>
      </c>
      <c r="C13" s="173" t="s">
        <v>1792</v>
      </c>
      <c r="D13" s="176" t="s">
        <v>1513</v>
      </c>
      <c r="E13" s="210" t="s">
        <v>1657</v>
      </c>
      <c r="F13" s="177">
        <v>47</v>
      </c>
      <c r="G13" s="173">
        <v>80</v>
      </c>
      <c r="H13" s="177" t="s">
        <v>1641</v>
      </c>
      <c r="I13" s="177"/>
      <c r="J13" s="194"/>
      <c r="K13" s="195">
        <f>0.05*3.14*0.08*0.008/4</f>
        <v>2.5120000000000003E-5</v>
      </c>
      <c r="L13" s="225">
        <v>15</v>
      </c>
      <c r="M13" s="194">
        <f>M6</f>
        <v>44</v>
      </c>
      <c r="N13" s="207">
        <f>9568*K13*SQRT(M13)/розрах!$I$133</f>
        <v>7.8992438170940107E-4</v>
      </c>
      <c r="O13" s="194">
        <f>G13/1000*G13/1000*F13*0.785/розрах!$I$175</f>
        <v>1.1699461365871786E-4</v>
      </c>
      <c r="P13" s="196"/>
      <c r="Q13" s="196"/>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c r="IT13" s="175"/>
      <c r="IU13" s="175"/>
    </row>
    <row r="14" spans="1:255" s="197" customFormat="1" ht="61.5" customHeight="1" x14ac:dyDescent="0.25">
      <c r="A14" s="173">
        <f t="shared" si="0"/>
        <v>9</v>
      </c>
      <c r="B14" s="173" t="s">
        <v>164</v>
      </c>
      <c r="C14" s="173" t="s">
        <v>1819</v>
      </c>
      <c r="D14" s="176" t="s">
        <v>1514</v>
      </c>
      <c r="E14" s="210" t="s">
        <v>1658</v>
      </c>
      <c r="F14" s="177">
        <v>32</v>
      </c>
      <c r="G14" s="173">
        <v>80</v>
      </c>
      <c r="H14" s="177" t="s">
        <v>1641</v>
      </c>
      <c r="I14" s="177">
        <v>2.9999999999999997E-4</v>
      </c>
      <c r="J14" s="194"/>
      <c r="K14" s="194"/>
      <c r="L14" s="194">
        <v>12</v>
      </c>
      <c r="M14" s="194">
        <v>46</v>
      </c>
      <c r="N14" s="207">
        <f>9568*I14*SQRT(M14)/розрах!$I$133</f>
        <v>9.6458325009522415E-3</v>
      </c>
      <c r="O14" s="195">
        <f>G14/1000*G14/1000*F14*0.785/розрах!$I$175</f>
        <v>7.9655907171893007E-5</v>
      </c>
      <c r="P14" s="196"/>
      <c r="Q14" s="196"/>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c r="IT14" s="175"/>
      <c r="IU14" s="175"/>
    </row>
    <row r="15" spans="1:255" s="197" customFormat="1" ht="48" customHeight="1" x14ac:dyDescent="0.25">
      <c r="A15" s="173">
        <f t="shared" si="0"/>
        <v>10</v>
      </c>
      <c r="B15" s="173" t="s">
        <v>164</v>
      </c>
      <c r="C15" s="173" t="s">
        <v>1792</v>
      </c>
      <c r="D15" s="176" t="s">
        <v>1513</v>
      </c>
      <c r="E15" s="210" t="s">
        <v>1657</v>
      </c>
      <c r="F15" s="177">
        <v>47</v>
      </c>
      <c r="G15" s="173">
        <v>50</v>
      </c>
      <c r="H15" s="177" t="s">
        <v>1641</v>
      </c>
      <c r="I15" s="177">
        <v>2.0000000000000001E-4</v>
      </c>
      <c r="J15" s="194"/>
      <c r="K15" s="194"/>
      <c r="L15" s="194">
        <v>0.5</v>
      </c>
      <c r="M15" s="194">
        <f>M13</f>
        <v>44</v>
      </c>
      <c r="N15" s="207">
        <f>9568*I15*SQRT(M15)/розрах!$I$133</f>
        <v>6.2892068607436381E-3</v>
      </c>
      <c r="O15" s="224">
        <f>G15/1000*G15/1000*F15*0.785/розрах!$I$175</f>
        <v>4.5701020960436662E-5</v>
      </c>
      <c r="P15" s="196"/>
      <c r="Q15" s="196"/>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c r="GH15" s="175"/>
      <c r="GI15" s="175"/>
      <c r="GJ15" s="175"/>
      <c r="GK15" s="175"/>
      <c r="GL15" s="175"/>
      <c r="GM15" s="175"/>
      <c r="GN15" s="175"/>
      <c r="GO15" s="175"/>
      <c r="GP15" s="175"/>
      <c r="GQ15" s="175"/>
      <c r="GR15" s="175"/>
      <c r="GS15" s="175"/>
      <c r="GT15" s="175"/>
      <c r="GU15" s="175"/>
      <c r="GV15" s="175"/>
      <c r="GW15" s="175"/>
      <c r="GX15" s="175"/>
      <c r="GY15" s="175"/>
      <c r="GZ15" s="175"/>
      <c r="HA15" s="175"/>
      <c r="HB15" s="175"/>
      <c r="HC15" s="175"/>
      <c r="HD15" s="175"/>
      <c r="HE15" s="175"/>
      <c r="HF15" s="175"/>
      <c r="HG15" s="175"/>
      <c r="HH15" s="175"/>
      <c r="HI15" s="175"/>
      <c r="HJ15" s="175"/>
      <c r="HK15" s="175"/>
      <c r="HL15" s="175"/>
      <c r="HM15" s="175"/>
      <c r="HN15" s="175"/>
      <c r="HO15" s="175"/>
      <c r="HP15" s="175"/>
      <c r="HQ15" s="175"/>
      <c r="HR15" s="175"/>
      <c r="HS15" s="175"/>
      <c r="HT15" s="175"/>
      <c r="HU15" s="175"/>
      <c r="HV15" s="175"/>
      <c r="HW15" s="175"/>
      <c r="HX15" s="175"/>
      <c r="HY15" s="175"/>
      <c r="HZ15" s="175"/>
      <c r="IA15" s="175"/>
      <c r="IB15" s="175"/>
      <c r="IC15" s="175"/>
      <c r="ID15" s="175"/>
      <c r="IE15" s="175"/>
      <c r="IF15" s="175"/>
      <c r="IG15" s="175"/>
      <c r="IH15" s="175"/>
      <c r="II15" s="175"/>
      <c r="IJ15" s="175"/>
      <c r="IK15" s="175"/>
      <c r="IL15" s="175"/>
      <c r="IM15" s="175"/>
      <c r="IN15" s="175"/>
      <c r="IO15" s="175"/>
      <c r="IP15" s="175"/>
      <c r="IQ15" s="175"/>
      <c r="IR15" s="175"/>
      <c r="IS15" s="175"/>
      <c r="IT15" s="175"/>
      <c r="IU15" s="175"/>
    </row>
    <row r="16" spans="1:255" s="197" customFormat="1" ht="67.5" customHeight="1" x14ac:dyDescent="0.25">
      <c r="A16" s="173">
        <f t="shared" si="0"/>
        <v>11</v>
      </c>
      <c r="B16" s="173" t="s">
        <v>164</v>
      </c>
      <c r="C16" s="173" t="s">
        <v>1792</v>
      </c>
      <c r="D16" s="176" t="s">
        <v>1515</v>
      </c>
      <c r="E16" s="210" t="s">
        <v>1659</v>
      </c>
      <c r="F16" s="177">
        <v>101</v>
      </c>
      <c r="G16" s="173">
        <v>100</v>
      </c>
      <c r="H16" s="177" t="s">
        <v>1641</v>
      </c>
      <c r="I16" s="177">
        <v>2.9999999999999997E-4</v>
      </c>
      <c r="J16" s="194"/>
      <c r="K16" s="194"/>
      <c r="L16" s="194">
        <v>12</v>
      </c>
      <c r="M16" s="194">
        <f>M15</f>
        <v>44</v>
      </c>
      <c r="N16" s="207">
        <f>9568*I16*SQRT(M16)/розрах!$I$133</f>
        <v>9.4338102911154555E-3</v>
      </c>
      <c r="O16" s="224">
        <f>G16/1000*G16/1000*F16*0.785/розрах!$I$175</f>
        <v>3.9283430783013638E-4</v>
      </c>
      <c r="P16" s="196"/>
      <c r="Q16" s="196"/>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row>
    <row r="17" spans="1:255" s="197" customFormat="1" ht="66" customHeight="1" x14ac:dyDescent="0.25">
      <c r="A17" s="173">
        <f t="shared" si="0"/>
        <v>12</v>
      </c>
      <c r="B17" s="173" t="s">
        <v>164</v>
      </c>
      <c r="C17" s="173" t="s">
        <v>1792</v>
      </c>
      <c r="D17" s="176" t="s">
        <v>1516</v>
      </c>
      <c r="E17" s="210" t="s">
        <v>1660</v>
      </c>
      <c r="F17" s="177">
        <v>34</v>
      </c>
      <c r="G17" s="173">
        <v>50</v>
      </c>
      <c r="H17" s="177" t="s">
        <v>1641</v>
      </c>
      <c r="I17" s="177">
        <v>2.0000000000000001E-4</v>
      </c>
      <c r="J17" s="194"/>
      <c r="K17" s="194"/>
      <c r="L17" s="194">
        <v>10</v>
      </c>
      <c r="M17" s="194">
        <f>M16</f>
        <v>44</v>
      </c>
      <c r="N17" s="207">
        <f>9568*I17*SQRT(M17)/розрах!$I$133</f>
        <v>6.2892068607436381E-3</v>
      </c>
      <c r="O17" s="224">
        <f>G17/1000*G17/1000*F17*0.785/розрах!$I$175</f>
        <v>3.3060313035209501E-5</v>
      </c>
      <c r="P17" s="196"/>
      <c r="Q17" s="196"/>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5"/>
      <c r="GF17" s="175"/>
      <c r="GG17" s="175"/>
      <c r="GH17" s="175"/>
      <c r="GI17" s="175"/>
      <c r="GJ17" s="175"/>
      <c r="GK17" s="175"/>
      <c r="GL17" s="175"/>
      <c r="GM17" s="175"/>
      <c r="GN17" s="175"/>
      <c r="GO17" s="175"/>
      <c r="GP17" s="175"/>
      <c r="GQ17" s="175"/>
      <c r="GR17" s="175"/>
      <c r="GS17" s="175"/>
      <c r="GT17" s="175"/>
      <c r="GU17" s="175"/>
      <c r="GV17" s="175"/>
      <c r="GW17" s="175"/>
      <c r="GX17" s="175"/>
      <c r="GY17" s="175"/>
      <c r="GZ17" s="175"/>
      <c r="HA17" s="175"/>
      <c r="HB17" s="175"/>
      <c r="HC17" s="175"/>
      <c r="HD17" s="175"/>
      <c r="HE17" s="175"/>
      <c r="HF17" s="175"/>
      <c r="HG17" s="175"/>
      <c r="HH17" s="175"/>
      <c r="HI17" s="175"/>
      <c r="HJ17" s="175"/>
      <c r="HK17" s="175"/>
      <c r="HL17" s="175"/>
      <c r="HM17" s="175"/>
      <c r="HN17" s="175"/>
      <c r="HO17" s="175"/>
      <c r="HP17" s="175"/>
      <c r="HQ17" s="175"/>
      <c r="HR17" s="175"/>
      <c r="HS17" s="175"/>
      <c r="HT17" s="175"/>
      <c r="HU17" s="175"/>
      <c r="HV17" s="175"/>
      <c r="HW17" s="175"/>
      <c r="HX17" s="175"/>
      <c r="HY17" s="175"/>
      <c r="HZ17" s="175"/>
      <c r="IA17" s="175"/>
      <c r="IB17" s="175"/>
      <c r="IC17" s="175"/>
      <c r="ID17" s="175"/>
      <c r="IE17" s="175"/>
      <c r="IF17" s="175"/>
      <c r="IG17" s="175"/>
      <c r="IH17" s="175"/>
      <c r="II17" s="175"/>
      <c r="IJ17" s="175"/>
      <c r="IK17" s="175"/>
      <c r="IL17" s="175"/>
      <c r="IM17" s="175"/>
      <c r="IN17" s="175"/>
      <c r="IO17" s="175"/>
      <c r="IP17" s="175"/>
      <c r="IQ17" s="175"/>
      <c r="IR17" s="175"/>
      <c r="IS17" s="175"/>
      <c r="IT17" s="175"/>
      <c r="IU17" s="175"/>
    </row>
    <row r="18" spans="1:255" s="197" customFormat="1" ht="66" customHeight="1" x14ac:dyDescent="0.25">
      <c r="A18" s="173">
        <f t="shared" si="0"/>
        <v>13</v>
      </c>
      <c r="B18" s="173" t="s">
        <v>164</v>
      </c>
      <c r="C18" s="173" t="s">
        <v>1792</v>
      </c>
      <c r="D18" s="176" t="s">
        <v>1517</v>
      </c>
      <c r="E18" s="210" t="s">
        <v>1661</v>
      </c>
      <c r="F18" s="177">
        <v>106</v>
      </c>
      <c r="G18" s="173">
        <v>125</v>
      </c>
      <c r="H18" s="177" t="s">
        <v>1641</v>
      </c>
      <c r="I18" s="177">
        <v>6.9999999999999999E-4</v>
      </c>
      <c r="J18" s="194"/>
      <c r="K18" s="194"/>
      <c r="L18" s="194">
        <v>12</v>
      </c>
      <c r="M18" s="194">
        <f>M17</f>
        <v>44</v>
      </c>
      <c r="N18" s="207">
        <f>9568*I18*SQRT(M18)/розрах!$I$133</f>
        <v>2.2012224012602732E-2</v>
      </c>
      <c r="O18" s="224">
        <f>G18/1000*G18/1000*F18*0.785/розрах!$I$175</f>
        <v>6.44189923112538E-4</v>
      </c>
      <c r="P18" s="196"/>
      <c r="Q18" s="196"/>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c r="FG18" s="175"/>
      <c r="FH18" s="175"/>
      <c r="FI18" s="175"/>
      <c r="FJ18" s="175"/>
      <c r="FK18" s="175"/>
      <c r="FL18" s="175"/>
      <c r="FM18" s="175"/>
      <c r="FN18" s="175"/>
      <c r="FO18" s="175"/>
      <c r="FP18" s="175"/>
      <c r="FQ18" s="175"/>
      <c r="FR18" s="175"/>
      <c r="FS18" s="175"/>
      <c r="FT18" s="175"/>
      <c r="FU18" s="175"/>
      <c r="FV18" s="175"/>
      <c r="FW18" s="175"/>
      <c r="FX18" s="175"/>
      <c r="FY18" s="175"/>
      <c r="FZ18" s="175"/>
      <c r="GA18" s="175"/>
      <c r="GB18" s="175"/>
      <c r="GC18" s="175"/>
      <c r="GD18" s="175"/>
      <c r="GE18" s="175"/>
      <c r="GF18" s="175"/>
      <c r="GG18" s="175"/>
      <c r="GH18" s="175"/>
      <c r="GI18" s="175"/>
      <c r="GJ18" s="175"/>
      <c r="GK18" s="175"/>
      <c r="GL18" s="175"/>
      <c r="GM18" s="175"/>
      <c r="GN18" s="175"/>
      <c r="GO18" s="175"/>
      <c r="GP18" s="175"/>
      <c r="GQ18" s="175"/>
      <c r="GR18" s="175"/>
      <c r="GS18" s="175"/>
      <c r="GT18" s="175"/>
      <c r="GU18" s="175"/>
      <c r="GV18" s="175"/>
      <c r="GW18" s="175"/>
      <c r="GX18" s="175"/>
      <c r="GY18" s="175"/>
      <c r="GZ18" s="175"/>
      <c r="HA18" s="175"/>
      <c r="HB18" s="175"/>
      <c r="HC18" s="175"/>
      <c r="HD18" s="175"/>
      <c r="HE18" s="175"/>
      <c r="HF18" s="175"/>
      <c r="HG18" s="175"/>
      <c r="HH18" s="175"/>
      <c r="HI18" s="175"/>
      <c r="HJ18" s="175"/>
      <c r="HK18" s="175"/>
      <c r="HL18" s="175"/>
      <c r="HM18" s="175"/>
      <c r="HN18" s="175"/>
      <c r="HO18" s="175"/>
      <c r="HP18" s="175"/>
      <c r="HQ18" s="175"/>
      <c r="HR18" s="175"/>
      <c r="HS18" s="175"/>
      <c r="HT18" s="175"/>
      <c r="HU18" s="175"/>
      <c r="HV18" s="175"/>
      <c r="HW18" s="175"/>
      <c r="HX18" s="175"/>
      <c r="HY18" s="175"/>
      <c r="HZ18" s="175"/>
      <c r="IA18" s="175"/>
      <c r="IB18" s="175"/>
      <c r="IC18" s="175"/>
      <c r="ID18" s="175"/>
      <c r="IE18" s="175"/>
      <c r="IF18" s="175"/>
      <c r="IG18" s="175"/>
      <c r="IH18" s="175"/>
      <c r="II18" s="175"/>
      <c r="IJ18" s="175"/>
      <c r="IK18" s="175"/>
      <c r="IL18" s="175"/>
      <c r="IM18" s="175"/>
      <c r="IN18" s="175"/>
      <c r="IO18" s="175"/>
      <c r="IP18" s="175"/>
      <c r="IQ18" s="175"/>
      <c r="IR18" s="175"/>
      <c r="IS18" s="175"/>
      <c r="IT18" s="175"/>
      <c r="IU18" s="175"/>
    </row>
    <row r="19" spans="1:255" s="197" customFormat="1" ht="46.5" customHeight="1" x14ac:dyDescent="0.25">
      <c r="A19" s="173">
        <f t="shared" si="0"/>
        <v>14</v>
      </c>
      <c r="B19" s="173" t="s">
        <v>164</v>
      </c>
      <c r="C19" s="173" t="s">
        <v>1820</v>
      </c>
      <c r="D19" s="176" t="s">
        <v>1518</v>
      </c>
      <c r="E19" s="210" t="s">
        <v>1662</v>
      </c>
      <c r="F19" s="177">
        <v>103</v>
      </c>
      <c r="G19" s="173">
        <v>100</v>
      </c>
      <c r="H19" s="177" t="s">
        <v>1641</v>
      </c>
      <c r="I19" s="177">
        <v>2.0000000000000001E-4</v>
      </c>
      <c r="J19" s="194"/>
      <c r="K19" s="194"/>
      <c r="L19" s="194">
        <v>0.5</v>
      </c>
      <c r="M19" s="194">
        <v>38</v>
      </c>
      <c r="N19" s="207">
        <f>9568*I19*SQRT(M19)/розрах!$I$133</f>
        <v>5.844688092647079E-3</v>
      </c>
      <c r="O19" s="224">
        <f>G19/1000*G19/1000*F19*0.785/розрах!$I$175</f>
        <v>4.0061320501489159E-4</v>
      </c>
      <c r="P19" s="196"/>
      <c r="Q19" s="196"/>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row>
    <row r="20" spans="1:255" s="197" customFormat="1" ht="63" customHeight="1" x14ac:dyDescent="0.25">
      <c r="A20" s="173">
        <f t="shared" si="0"/>
        <v>15</v>
      </c>
      <c r="B20" s="173" t="s">
        <v>164</v>
      </c>
      <c r="C20" s="173" t="s">
        <v>1797</v>
      </c>
      <c r="D20" s="176" t="s">
        <v>1519</v>
      </c>
      <c r="E20" s="210" t="s">
        <v>1663</v>
      </c>
      <c r="F20" s="177">
        <v>89</v>
      </c>
      <c r="G20" s="173">
        <v>100</v>
      </c>
      <c r="H20" s="177" t="s">
        <v>1509</v>
      </c>
      <c r="I20" s="177">
        <v>5.9999999999999995E-4</v>
      </c>
      <c r="J20" s="194"/>
      <c r="K20" s="194"/>
      <c r="L20" s="194">
        <v>6</v>
      </c>
      <c r="M20" s="194">
        <v>54</v>
      </c>
      <c r="N20" s="207">
        <f>9568*I20*SQRT(M20)/розрах!$I$133</f>
        <v>2.0901991938292341E-2</v>
      </c>
      <c r="O20" s="224">
        <f>G20/1000*G20/1000*F20*0.785/розрах!$I$175</f>
        <v>3.4616092472160531E-4</v>
      </c>
      <c r="P20" s="196"/>
      <c r="Q20" s="196"/>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row>
    <row r="21" spans="1:255" s="197" customFormat="1" ht="63.75" customHeight="1" x14ac:dyDescent="0.25">
      <c r="A21" s="173">
        <f t="shared" si="0"/>
        <v>16</v>
      </c>
      <c r="B21" s="173" t="s">
        <v>164</v>
      </c>
      <c r="C21" s="173" t="s">
        <v>1806</v>
      </c>
      <c r="D21" s="176" t="s">
        <v>1520</v>
      </c>
      <c r="E21" s="210" t="s">
        <v>1664</v>
      </c>
      <c r="F21" s="177">
        <v>50</v>
      </c>
      <c r="G21" s="173">
        <v>100</v>
      </c>
      <c r="H21" s="177" t="s">
        <v>1641</v>
      </c>
      <c r="I21" s="177">
        <v>5.0000000000000001E-3</v>
      </c>
      <c r="J21" s="194"/>
      <c r="K21" s="194"/>
      <c r="L21" s="194">
        <v>10</v>
      </c>
      <c r="M21" s="194">
        <v>30</v>
      </c>
      <c r="N21" s="207">
        <f>9568*I21*SQRT(M21)/розрах!$I$133</f>
        <v>0.12982854121992854</v>
      </c>
      <c r="O21" s="224">
        <f>G21/1000*G21/1000*F21*0.785/розрах!$I$175</f>
        <v>1.944724296188794E-4</v>
      </c>
      <c r="P21" s="196"/>
      <c r="Q21" s="196"/>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row>
    <row r="22" spans="1:255" s="197" customFormat="1" ht="60" customHeight="1" x14ac:dyDescent="0.25">
      <c r="A22" s="173">
        <f t="shared" si="0"/>
        <v>17</v>
      </c>
      <c r="B22" s="173" t="s">
        <v>164</v>
      </c>
      <c r="C22" s="173" t="s">
        <v>1806</v>
      </c>
      <c r="D22" s="176" t="s">
        <v>1521</v>
      </c>
      <c r="E22" s="210" t="s">
        <v>1665</v>
      </c>
      <c r="F22" s="177">
        <v>38</v>
      </c>
      <c r="G22" s="173">
        <v>70</v>
      </c>
      <c r="H22" s="177" t="s">
        <v>1509</v>
      </c>
      <c r="I22" s="177">
        <v>2E-3</v>
      </c>
      <c r="J22" s="194"/>
      <c r="K22" s="194"/>
      <c r="L22" s="194">
        <v>6</v>
      </c>
      <c r="M22" s="194">
        <v>53</v>
      </c>
      <c r="N22" s="207">
        <f>9568*I22*SQRT(M22)/розрах!$I$133</f>
        <v>6.9025168592743241E-2</v>
      </c>
      <c r="O22" s="224">
        <f>G22/1000*G22/1000*F22*0.785/розрах!$I$175</f>
        <v>7.2421532790070692E-5</v>
      </c>
      <c r="P22" s="196"/>
      <c r="Q22" s="196"/>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row>
    <row r="23" spans="1:255" s="197" customFormat="1" ht="68.25" customHeight="1" x14ac:dyDescent="0.25">
      <c r="A23" s="173">
        <f t="shared" si="0"/>
        <v>18</v>
      </c>
      <c r="B23" s="173" t="s">
        <v>164</v>
      </c>
      <c r="C23" s="173" t="s">
        <v>1797</v>
      </c>
      <c r="D23" s="176" t="s">
        <v>1522</v>
      </c>
      <c r="E23" s="210" t="s">
        <v>1666</v>
      </c>
      <c r="F23" s="177">
        <v>74</v>
      </c>
      <c r="G23" s="173">
        <v>100</v>
      </c>
      <c r="H23" s="177" t="s">
        <v>1509</v>
      </c>
      <c r="I23" s="177">
        <v>2.9999999999999997E-4</v>
      </c>
      <c r="J23" s="194"/>
      <c r="K23" s="194"/>
      <c r="L23" s="194">
        <v>6</v>
      </c>
      <c r="M23" s="194">
        <v>54</v>
      </c>
      <c r="N23" s="207">
        <f>9568*I23*SQRT(M23)/розрах!$I$133</f>
        <v>1.0450995969146171E-2</v>
      </c>
      <c r="O23" s="224">
        <f>G23/1000*G23/1000*F23*0.785/розрах!$I$175</f>
        <v>2.8781919583594146E-4</v>
      </c>
      <c r="P23" s="196"/>
      <c r="Q23" s="196"/>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c r="IO23" s="175"/>
      <c r="IP23" s="175"/>
      <c r="IQ23" s="175"/>
      <c r="IR23" s="175"/>
      <c r="IS23" s="175"/>
      <c r="IT23" s="175"/>
      <c r="IU23" s="175"/>
    </row>
    <row r="24" spans="1:255" s="197" customFormat="1" ht="67.5" customHeight="1" x14ac:dyDescent="0.25">
      <c r="A24" s="173">
        <f t="shared" si="0"/>
        <v>19</v>
      </c>
      <c r="B24" s="173" t="s">
        <v>164</v>
      </c>
      <c r="C24" s="173" t="s">
        <v>1821</v>
      </c>
      <c r="D24" s="176" t="s">
        <v>1523</v>
      </c>
      <c r="E24" s="210" t="s">
        <v>1667</v>
      </c>
      <c r="F24" s="177">
        <v>158</v>
      </c>
      <c r="G24" s="173">
        <v>100</v>
      </c>
      <c r="H24" s="177" t="s">
        <v>1641</v>
      </c>
      <c r="I24" s="177">
        <v>5.0000000000000001E-4</v>
      </c>
      <c r="J24" s="194"/>
      <c r="K24" s="194"/>
      <c r="L24" s="194">
        <v>12</v>
      </c>
      <c r="M24" s="194">
        <v>51</v>
      </c>
      <c r="N24" s="207">
        <f>9568*I24*SQRT(M24)/розрах!$I$133</f>
        <v>1.6927570763698187E-2</v>
      </c>
      <c r="O24" s="224">
        <f>G24/1000*G24/1000*F24*0.785/розрах!$I$175</f>
        <v>6.14532877595659E-4</v>
      </c>
      <c r="P24" s="196"/>
      <c r="Q24" s="196"/>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row>
    <row r="25" spans="1:255" s="197" customFormat="1" ht="63" customHeight="1" x14ac:dyDescent="0.25">
      <c r="A25" s="173">
        <f t="shared" si="0"/>
        <v>20</v>
      </c>
      <c r="B25" s="173" t="s">
        <v>164</v>
      </c>
      <c r="C25" s="173" t="s">
        <v>1821</v>
      </c>
      <c r="D25" s="176" t="s">
        <v>1524</v>
      </c>
      <c r="E25" s="210" t="s">
        <v>1669</v>
      </c>
      <c r="F25" s="177">
        <v>48</v>
      </c>
      <c r="G25" s="173">
        <v>100</v>
      </c>
      <c r="H25" s="177" t="s">
        <v>1641</v>
      </c>
      <c r="I25" s="177">
        <v>6.0000000000000001E-3</v>
      </c>
      <c r="J25" s="194"/>
      <c r="K25" s="194"/>
      <c r="L25" s="194">
        <v>12</v>
      </c>
      <c r="M25" s="194">
        <v>51</v>
      </c>
      <c r="N25" s="207">
        <f>9568*I25*SQRT(M25)/розрах!$I$133</f>
        <v>0.20313084916437824</v>
      </c>
      <c r="O25" s="224">
        <f>G25/1000*G25/1000*F25*0.785/розрах!$I$175</f>
        <v>1.8669353243412422E-4</v>
      </c>
      <c r="P25" s="196"/>
      <c r="Q25" s="196"/>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c r="IK25" s="175"/>
      <c r="IL25" s="175"/>
      <c r="IM25" s="175"/>
      <c r="IN25" s="175"/>
      <c r="IO25" s="175"/>
      <c r="IP25" s="175"/>
      <c r="IQ25" s="175"/>
      <c r="IR25" s="175"/>
      <c r="IS25" s="175"/>
      <c r="IT25" s="175"/>
      <c r="IU25" s="175"/>
    </row>
    <row r="26" spans="1:255" s="197" customFormat="1" ht="70.5" customHeight="1" x14ac:dyDescent="0.25">
      <c r="A26" s="173">
        <f t="shared" si="0"/>
        <v>21</v>
      </c>
      <c r="B26" s="173" t="s">
        <v>164</v>
      </c>
      <c r="C26" s="173" t="s">
        <v>1821</v>
      </c>
      <c r="D26" s="176" t="s">
        <v>1525</v>
      </c>
      <c r="E26" s="210" t="s">
        <v>1668</v>
      </c>
      <c r="F26" s="177">
        <v>71</v>
      </c>
      <c r="G26" s="173">
        <v>150</v>
      </c>
      <c r="H26" s="177" t="s">
        <v>1509</v>
      </c>
      <c r="I26" s="177">
        <v>1.5E-3</v>
      </c>
      <c r="J26" s="194"/>
      <c r="K26" s="194"/>
      <c r="L26" s="194">
        <v>6</v>
      </c>
      <c r="M26" s="194">
        <v>62</v>
      </c>
      <c r="N26" s="207">
        <f>9568*I26*SQRT(M26)/розрах!$I$133</f>
        <v>5.5992086239439326E-2</v>
      </c>
      <c r="O26" s="224">
        <f>G26/1000*G26/1000*F26*0.785/розрах!$I$175</f>
        <v>6.2133941263231964E-4</v>
      </c>
      <c r="P26" s="196"/>
      <c r="Q26" s="196"/>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c r="IO26" s="175"/>
      <c r="IP26" s="175"/>
      <c r="IQ26" s="175"/>
      <c r="IR26" s="175"/>
      <c r="IS26" s="175"/>
      <c r="IT26" s="175"/>
      <c r="IU26" s="175"/>
    </row>
    <row r="27" spans="1:255" s="197" customFormat="1" ht="62.25" customHeight="1" x14ac:dyDescent="0.25">
      <c r="A27" s="173">
        <f t="shared" si="0"/>
        <v>22</v>
      </c>
      <c r="B27" s="173" t="s">
        <v>164</v>
      </c>
      <c r="C27" s="173" t="s">
        <v>1793</v>
      </c>
      <c r="D27" s="176" t="s">
        <v>1526</v>
      </c>
      <c r="E27" s="210" t="s">
        <v>1670</v>
      </c>
      <c r="F27" s="177">
        <v>66</v>
      </c>
      <c r="G27" s="173">
        <v>70</v>
      </c>
      <c r="H27" s="177" t="s">
        <v>1641</v>
      </c>
      <c r="I27" s="177">
        <v>2.0000000000000001E-4</v>
      </c>
      <c r="J27" s="194"/>
      <c r="K27" s="194"/>
      <c r="L27" s="194">
        <v>0.5</v>
      </c>
      <c r="M27" s="194">
        <v>40</v>
      </c>
      <c r="N27" s="207">
        <f>9568*I27*SQRT(M27)/розрах!$I$133</f>
        <v>5.9965234577457728E-3</v>
      </c>
      <c r="O27" s="224">
        <f>G27/1000*G27/1000*F27*0.785/розрах!$I$175</f>
        <v>1.2578476747749119E-4</v>
      </c>
      <c r="P27" s="196"/>
      <c r="Q27" s="196"/>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row>
    <row r="28" spans="1:255" s="197" customFormat="1" ht="73.5" customHeight="1" x14ac:dyDescent="0.25">
      <c r="A28" s="173">
        <f t="shared" si="0"/>
        <v>23</v>
      </c>
      <c r="B28" s="173" t="s">
        <v>164</v>
      </c>
      <c r="C28" s="173" t="s">
        <v>1797</v>
      </c>
      <c r="D28" s="176" t="s">
        <v>1522</v>
      </c>
      <c r="E28" s="210" t="s">
        <v>1666</v>
      </c>
      <c r="F28" s="177">
        <v>74</v>
      </c>
      <c r="G28" s="173">
        <v>80</v>
      </c>
      <c r="H28" s="177" t="s">
        <v>1641</v>
      </c>
      <c r="I28" s="177"/>
      <c r="J28" s="194"/>
      <c r="K28" s="195">
        <f>0.05*3.14*0.08*0.08/4</f>
        <v>2.5120000000000003E-4</v>
      </c>
      <c r="L28" s="225">
        <v>12</v>
      </c>
      <c r="M28" s="194">
        <v>32</v>
      </c>
      <c r="N28" s="207">
        <f>9568*K28*SQRT(M28)/розрах!$I$133</f>
        <v>6.7364977618882783E-3</v>
      </c>
      <c r="O28" s="194">
        <f>G28/1000*G28/1000*F28*0.785/розрах!$I$175</f>
        <v>1.8420428533500257E-4</v>
      </c>
      <c r="P28" s="196"/>
      <c r="Q28" s="196"/>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c r="IK28" s="175"/>
      <c r="IL28" s="175"/>
      <c r="IM28" s="175"/>
      <c r="IN28" s="175"/>
      <c r="IO28" s="175"/>
      <c r="IP28" s="175"/>
      <c r="IQ28" s="175"/>
      <c r="IR28" s="175"/>
      <c r="IS28" s="175"/>
      <c r="IT28" s="175"/>
      <c r="IU28" s="175"/>
    </row>
    <row r="29" spans="1:255" s="197" customFormat="1" ht="65.25" customHeight="1" x14ac:dyDescent="0.25">
      <c r="A29" s="173">
        <f t="shared" si="0"/>
        <v>24</v>
      </c>
      <c r="B29" s="173" t="s">
        <v>164</v>
      </c>
      <c r="C29" s="173" t="s">
        <v>1797</v>
      </c>
      <c r="D29" s="176" t="s">
        <v>1527</v>
      </c>
      <c r="E29" s="210" t="s">
        <v>1671</v>
      </c>
      <c r="F29" s="177">
        <v>56</v>
      </c>
      <c r="G29" s="173">
        <v>150</v>
      </c>
      <c r="H29" s="177" t="s">
        <v>1509</v>
      </c>
      <c r="I29" s="177"/>
      <c r="J29" s="194"/>
      <c r="K29" s="195">
        <f>0.05*3.14*0.15*0.15/4</f>
        <v>8.8312500000000012E-4</v>
      </c>
      <c r="L29" s="225">
        <v>6</v>
      </c>
      <c r="M29" s="194">
        <v>54</v>
      </c>
      <c r="N29" s="207">
        <f>9568*K29*SQRT(M29)/розрах!$I$133</f>
        <v>3.0765119384174051E-2</v>
      </c>
      <c r="O29" s="224">
        <f>G29/1000*G29/1000*F29*0.785/розрах!$I$175</f>
        <v>4.9007052263957615E-4</v>
      </c>
      <c r="P29" s="196"/>
      <c r="Q29" s="196"/>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c r="IK29" s="175"/>
      <c r="IL29" s="175"/>
      <c r="IM29" s="175"/>
      <c r="IN29" s="175"/>
      <c r="IO29" s="175"/>
      <c r="IP29" s="175"/>
      <c r="IQ29" s="175"/>
      <c r="IR29" s="175"/>
      <c r="IS29" s="175"/>
      <c r="IT29" s="175"/>
      <c r="IU29" s="175"/>
    </row>
    <row r="30" spans="1:255" s="197" customFormat="1" ht="62.25" customHeight="1" x14ac:dyDescent="0.25">
      <c r="A30" s="173">
        <f t="shared" si="0"/>
        <v>25</v>
      </c>
      <c r="B30" s="173" t="s">
        <v>164</v>
      </c>
      <c r="C30" s="173" t="s">
        <v>1808</v>
      </c>
      <c r="D30" s="176" t="s">
        <v>1528</v>
      </c>
      <c r="E30" s="210" t="s">
        <v>1672</v>
      </c>
      <c r="F30" s="177">
        <v>28</v>
      </c>
      <c r="G30" s="173">
        <v>100</v>
      </c>
      <c r="H30" s="177" t="s">
        <v>1509</v>
      </c>
      <c r="I30" s="177">
        <v>2.0000000000000001E-4</v>
      </c>
      <c r="J30" s="194"/>
      <c r="K30" s="194"/>
      <c r="L30" s="194">
        <v>0.5</v>
      </c>
      <c r="M30" s="194">
        <v>61</v>
      </c>
      <c r="N30" s="207">
        <f>9568*I30*SQRT(M30)/розрах!$I$133</f>
        <v>7.4051602081538622E-3</v>
      </c>
      <c r="O30" s="224">
        <f>G30/1000*G30/1000*F30*0.785/розрах!$I$175</f>
        <v>1.0890456058657247E-4</v>
      </c>
      <c r="P30" s="196"/>
      <c r="Q30" s="196"/>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c r="IK30" s="175"/>
      <c r="IL30" s="175"/>
      <c r="IM30" s="175"/>
      <c r="IN30" s="175"/>
      <c r="IO30" s="175"/>
      <c r="IP30" s="175"/>
      <c r="IQ30" s="175"/>
      <c r="IR30" s="175"/>
      <c r="IS30" s="175"/>
      <c r="IT30" s="175"/>
      <c r="IU30" s="175"/>
    </row>
    <row r="31" spans="1:255" s="197" customFormat="1" ht="70.5" customHeight="1" x14ac:dyDescent="0.25">
      <c r="A31" s="173">
        <f t="shared" si="0"/>
        <v>26</v>
      </c>
      <c r="B31" s="173" t="s">
        <v>164</v>
      </c>
      <c r="C31" s="173" t="s">
        <v>1807</v>
      </c>
      <c r="D31" s="176" t="s">
        <v>1529</v>
      </c>
      <c r="E31" s="210" t="s">
        <v>1673</v>
      </c>
      <c r="F31" s="177">
        <v>40</v>
      </c>
      <c r="G31" s="173">
        <v>50</v>
      </c>
      <c r="H31" s="177" t="s">
        <v>1641</v>
      </c>
      <c r="I31" s="177">
        <v>2.0000000000000001E-4</v>
      </c>
      <c r="J31" s="194"/>
      <c r="K31" s="194"/>
      <c r="L31" s="194">
        <v>0.5</v>
      </c>
      <c r="M31" s="194">
        <v>59</v>
      </c>
      <c r="N31" s="207">
        <f>9568*I31*SQRT(M31)/розрах!$I$133</f>
        <v>7.2827524349974027E-3</v>
      </c>
      <c r="O31" s="224">
        <f>G31/1000*G31/1000*F31*0.785/розрах!$I$175</f>
        <v>3.8894485923775885E-5</v>
      </c>
      <c r="P31" s="196"/>
      <c r="Q31" s="196"/>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c r="IT31" s="175"/>
      <c r="IU31" s="175"/>
    </row>
    <row r="32" spans="1:255" s="197" customFormat="1" ht="67.5" customHeight="1" x14ac:dyDescent="0.25">
      <c r="A32" s="173">
        <f t="shared" si="0"/>
        <v>27</v>
      </c>
      <c r="B32" s="173" t="s">
        <v>164</v>
      </c>
      <c r="C32" s="173" t="s">
        <v>1793</v>
      </c>
      <c r="D32" s="176" t="s">
        <v>1530</v>
      </c>
      <c r="E32" s="210" t="s">
        <v>1674</v>
      </c>
      <c r="F32" s="177">
        <v>86</v>
      </c>
      <c r="G32" s="173">
        <v>100</v>
      </c>
      <c r="H32" s="177" t="s">
        <v>1641</v>
      </c>
      <c r="I32" s="177">
        <v>2.0000000000000001E-4</v>
      </c>
      <c r="J32" s="194"/>
      <c r="K32" s="194"/>
      <c r="L32" s="194">
        <v>0.5</v>
      </c>
      <c r="M32" s="194">
        <v>44</v>
      </c>
      <c r="N32" s="207">
        <f>9568*I32*SQRT(M32)/розрах!$I$133</f>
        <v>6.2892068607436381E-3</v>
      </c>
      <c r="O32" s="224">
        <f>G32/1000*G32/1000*F32*0.785/розрах!$I$175</f>
        <v>3.3449257894447258E-4</v>
      </c>
      <c r="P32" s="196"/>
      <c r="Q32" s="196"/>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c r="IO32" s="175"/>
      <c r="IP32" s="175"/>
      <c r="IQ32" s="175"/>
      <c r="IR32" s="175"/>
      <c r="IS32" s="175"/>
      <c r="IT32" s="175"/>
      <c r="IU32" s="175"/>
    </row>
    <row r="33" spans="1:255" s="197" customFormat="1" ht="61.5" customHeight="1" x14ac:dyDescent="0.25">
      <c r="A33" s="173">
        <f t="shared" si="0"/>
        <v>28</v>
      </c>
      <c r="B33" s="173" t="s">
        <v>164</v>
      </c>
      <c r="C33" s="173" t="s">
        <v>1793</v>
      </c>
      <c r="D33" s="174" t="s">
        <v>1531</v>
      </c>
      <c r="E33" s="210" t="s">
        <v>1675</v>
      </c>
      <c r="F33" s="177">
        <v>80</v>
      </c>
      <c r="G33" s="173">
        <v>125</v>
      </c>
      <c r="H33" s="177" t="s">
        <v>1641</v>
      </c>
      <c r="I33" s="177">
        <v>5.9999999999999995E-4</v>
      </c>
      <c r="J33" s="194"/>
      <c r="K33" s="194"/>
      <c r="L33" s="194">
        <v>12</v>
      </c>
      <c r="M33" s="194">
        <v>40</v>
      </c>
      <c r="N33" s="207">
        <f>9568*I33*SQRT(M33)/розрах!$I$133</f>
        <v>1.7989570373237316E-2</v>
      </c>
      <c r="O33" s="224">
        <f>G33/1000*G33/1000*F33*0.785/розрах!$I$175</f>
        <v>4.8618107404719852E-4</v>
      </c>
      <c r="P33" s="196"/>
      <c r="Q33" s="196"/>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c r="IO33" s="175"/>
      <c r="IP33" s="175"/>
      <c r="IQ33" s="175"/>
      <c r="IR33" s="175"/>
      <c r="IS33" s="175"/>
      <c r="IT33" s="175"/>
      <c r="IU33" s="175"/>
    </row>
    <row r="34" spans="1:255" s="197" customFormat="1" ht="66" customHeight="1" x14ac:dyDescent="0.25">
      <c r="A34" s="173">
        <f t="shared" si="0"/>
        <v>29</v>
      </c>
      <c r="B34" s="173" t="s">
        <v>164</v>
      </c>
      <c r="C34" s="173" t="s">
        <v>1808</v>
      </c>
      <c r="D34" s="176" t="s">
        <v>1532</v>
      </c>
      <c r="E34" s="213" t="s">
        <v>1676</v>
      </c>
      <c r="F34" s="173">
        <v>62</v>
      </c>
      <c r="G34" s="173">
        <v>80</v>
      </c>
      <c r="H34" s="177" t="s">
        <v>1641</v>
      </c>
      <c r="I34" s="177">
        <v>2.9999999999999997E-4</v>
      </c>
      <c r="J34" s="194"/>
      <c r="K34" s="194"/>
      <c r="L34" s="194">
        <v>12</v>
      </c>
      <c r="M34" s="194">
        <v>36</v>
      </c>
      <c r="N34" s="207">
        <f>9568*I34*SQRT(M34)/розрах!$I$133</f>
        <v>8.5332024760972937E-3</v>
      </c>
      <c r="O34" s="194">
        <f>G34/1000*G34/1000*F34*0.785/розрах!$I$175</f>
        <v>1.5433332014554271E-4</v>
      </c>
      <c r="P34" s="196"/>
      <c r="Q34" s="196"/>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c r="GH34" s="175"/>
      <c r="GI34" s="175"/>
      <c r="GJ34" s="175"/>
      <c r="GK34" s="175"/>
      <c r="GL34" s="175"/>
      <c r="GM34" s="175"/>
      <c r="GN34" s="175"/>
      <c r="GO34" s="175"/>
      <c r="GP34" s="175"/>
      <c r="GQ34" s="175"/>
      <c r="GR34" s="175"/>
      <c r="GS34" s="175"/>
      <c r="GT34" s="175"/>
      <c r="GU34" s="175"/>
      <c r="GV34" s="175"/>
      <c r="GW34" s="175"/>
      <c r="GX34" s="175"/>
      <c r="GY34" s="175"/>
      <c r="GZ34" s="175"/>
      <c r="HA34" s="175"/>
      <c r="HB34" s="175"/>
      <c r="HC34" s="175"/>
      <c r="HD34" s="175"/>
      <c r="HE34" s="175"/>
      <c r="HF34" s="175"/>
      <c r="HG34" s="175"/>
      <c r="HH34" s="175"/>
      <c r="HI34" s="175"/>
      <c r="HJ34" s="175"/>
      <c r="HK34" s="175"/>
      <c r="HL34" s="175"/>
      <c r="HM34" s="175"/>
      <c r="HN34" s="175"/>
      <c r="HO34" s="175"/>
      <c r="HP34" s="175"/>
      <c r="HQ34" s="175"/>
      <c r="HR34" s="175"/>
      <c r="HS34" s="175"/>
      <c r="HT34" s="175"/>
      <c r="HU34" s="175"/>
      <c r="HV34" s="175"/>
      <c r="HW34" s="175"/>
      <c r="HX34" s="175"/>
      <c r="HY34" s="175"/>
      <c r="HZ34" s="175"/>
      <c r="IA34" s="175"/>
      <c r="IB34" s="175"/>
      <c r="IC34" s="175"/>
      <c r="ID34" s="175"/>
      <c r="IE34" s="175"/>
      <c r="IF34" s="175"/>
      <c r="IG34" s="175"/>
      <c r="IH34" s="175"/>
      <c r="II34" s="175"/>
      <c r="IJ34" s="175"/>
      <c r="IK34" s="175"/>
      <c r="IL34" s="175"/>
      <c r="IM34" s="175"/>
      <c r="IN34" s="175"/>
      <c r="IO34" s="175"/>
      <c r="IP34" s="175"/>
      <c r="IQ34" s="175"/>
      <c r="IR34" s="175"/>
      <c r="IS34" s="175"/>
      <c r="IT34" s="175"/>
      <c r="IU34" s="175"/>
    </row>
    <row r="35" spans="1:255" s="197" customFormat="1" ht="65.25" customHeight="1" x14ac:dyDescent="0.25">
      <c r="A35" s="173">
        <f t="shared" si="0"/>
        <v>30</v>
      </c>
      <c r="B35" s="173" t="s">
        <v>164</v>
      </c>
      <c r="C35" s="173" t="s">
        <v>1792</v>
      </c>
      <c r="D35" s="176" t="s">
        <v>1533</v>
      </c>
      <c r="E35" s="213" t="s">
        <v>1677</v>
      </c>
      <c r="F35" s="173">
        <v>55</v>
      </c>
      <c r="G35" s="173">
        <v>80</v>
      </c>
      <c r="H35" s="177" t="s">
        <v>1641</v>
      </c>
      <c r="I35" s="177">
        <v>2.9999999999999997E-4</v>
      </c>
      <c r="J35" s="194"/>
      <c r="K35" s="194"/>
      <c r="L35" s="194">
        <v>10</v>
      </c>
      <c r="M35" s="194">
        <v>44</v>
      </c>
      <c r="N35" s="207">
        <f>9568*I35*SQRT(M35)/розрах!$I$133</f>
        <v>9.4338102911154555E-3</v>
      </c>
      <c r="O35" s="194">
        <f>G35/1000*G35/1000*F35*0.785/розрах!$I$175</f>
        <v>1.3690859045169113E-4</v>
      </c>
      <c r="P35" s="196"/>
      <c r="Q35" s="196"/>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c r="GE35" s="175"/>
      <c r="GF35" s="175"/>
      <c r="GG35" s="175"/>
      <c r="GH35" s="175"/>
      <c r="GI35" s="175"/>
      <c r="GJ35" s="175"/>
      <c r="GK35" s="175"/>
      <c r="GL35" s="175"/>
      <c r="GM35" s="175"/>
      <c r="GN35" s="175"/>
      <c r="GO35" s="175"/>
      <c r="GP35" s="175"/>
      <c r="GQ35" s="175"/>
      <c r="GR35" s="175"/>
      <c r="GS35" s="175"/>
      <c r="GT35" s="175"/>
      <c r="GU35" s="175"/>
      <c r="GV35" s="175"/>
      <c r="GW35" s="175"/>
      <c r="GX35" s="175"/>
      <c r="GY35" s="175"/>
      <c r="GZ35" s="175"/>
      <c r="HA35" s="175"/>
      <c r="HB35" s="175"/>
      <c r="HC35" s="175"/>
      <c r="HD35" s="175"/>
      <c r="HE35" s="175"/>
      <c r="HF35" s="175"/>
      <c r="HG35" s="175"/>
      <c r="HH35" s="175"/>
      <c r="HI35" s="175"/>
      <c r="HJ35" s="175"/>
      <c r="HK35" s="175"/>
      <c r="HL35" s="175"/>
      <c r="HM35" s="175"/>
      <c r="HN35" s="175"/>
      <c r="HO35" s="175"/>
      <c r="HP35" s="175"/>
      <c r="HQ35" s="175"/>
      <c r="HR35" s="175"/>
      <c r="HS35" s="175"/>
      <c r="HT35" s="175"/>
      <c r="HU35" s="175"/>
      <c r="HV35" s="175"/>
      <c r="HW35" s="175"/>
      <c r="HX35" s="175"/>
      <c r="HY35" s="175"/>
      <c r="HZ35" s="175"/>
      <c r="IA35" s="175"/>
      <c r="IB35" s="175"/>
      <c r="IC35" s="175"/>
      <c r="ID35" s="175"/>
      <c r="IE35" s="175"/>
      <c r="IF35" s="175"/>
      <c r="IG35" s="175"/>
      <c r="IH35" s="175"/>
      <c r="II35" s="175"/>
      <c r="IJ35" s="175"/>
      <c r="IK35" s="175"/>
      <c r="IL35" s="175"/>
      <c r="IM35" s="175"/>
      <c r="IN35" s="175"/>
      <c r="IO35" s="175"/>
      <c r="IP35" s="175"/>
      <c r="IQ35" s="175"/>
      <c r="IR35" s="175"/>
      <c r="IS35" s="175"/>
      <c r="IT35" s="175"/>
      <c r="IU35" s="175"/>
    </row>
    <row r="36" spans="1:255" s="197" customFormat="1" ht="74.25" customHeight="1" x14ac:dyDescent="0.25">
      <c r="A36" s="173">
        <f t="shared" si="0"/>
        <v>31</v>
      </c>
      <c r="B36" s="173" t="s">
        <v>164</v>
      </c>
      <c r="C36" s="173" t="s">
        <v>1808</v>
      </c>
      <c r="D36" s="176" t="s">
        <v>1534</v>
      </c>
      <c r="E36" s="213" t="s">
        <v>1678</v>
      </c>
      <c r="F36" s="173">
        <v>62</v>
      </c>
      <c r="G36" s="173">
        <v>100</v>
      </c>
      <c r="H36" s="177" t="s">
        <v>1509</v>
      </c>
      <c r="I36" s="177">
        <v>4.0000000000000002E-4</v>
      </c>
      <c r="J36" s="194"/>
      <c r="K36" s="194"/>
      <c r="L36" s="194">
        <v>6</v>
      </c>
      <c r="M36" s="194">
        <v>61</v>
      </c>
      <c r="N36" s="207">
        <f>9568*I36*SQRT(M36)/розрах!$I$133</f>
        <v>1.4810320416307724E-2</v>
      </c>
      <c r="O36" s="224">
        <f>G36/1000*G36/1000*F36*0.785/розрах!$I$175</f>
        <v>2.4114581272741045E-4</v>
      </c>
      <c r="P36" s="196"/>
      <c r="Q36" s="196"/>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175"/>
      <c r="FN36" s="175"/>
      <c r="FO36" s="175"/>
      <c r="FP36" s="175"/>
      <c r="FQ36" s="175"/>
      <c r="FR36" s="175"/>
      <c r="FS36" s="175"/>
      <c r="FT36" s="175"/>
      <c r="FU36" s="175"/>
      <c r="FV36" s="175"/>
      <c r="FW36" s="175"/>
      <c r="FX36" s="175"/>
      <c r="FY36" s="175"/>
      <c r="FZ36" s="175"/>
      <c r="GA36" s="175"/>
      <c r="GB36" s="175"/>
      <c r="GC36" s="175"/>
      <c r="GD36" s="175"/>
      <c r="GE36" s="175"/>
      <c r="GF36" s="175"/>
      <c r="GG36" s="175"/>
      <c r="GH36" s="175"/>
      <c r="GI36" s="175"/>
      <c r="GJ36" s="175"/>
      <c r="GK36" s="175"/>
      <c r="GL36" s="175"/>
      <c r="GM36" s="175"/>
      <c r="GN36" s="175"/>
      <c r="GO36" s="175"/>
      <c r="GP36" s="175"/>
      <c r="GQ36" s="175"/>
      <c r="GR36" s="175"/>
      <c r="GS36" s="175"/>
      <c r="GT36" s="175"/>
      <c r="GU36" s="175"/>
      <c r="GV36" s="175"/>
      <c r="GW36" s="175"/>
      <c r="GX36" s="175"/>
      <c r="GY36" s="175"/>
      <c r="GZ36" s="175"/>
      <c r="HA36" s="175"/>
      <c r="HB36" s="175"/>
      <c r="HC36" s="175"/>
      <c r="HD36" s="175"/>
      <c r="HE36" s="175"/>
      <c r="HF36" s="175"/>
      <c r="HG36" s="175"/>
      <c r="HH36" s="175"/>
      <c r="HI36" s="175"/>
      <c r="HJ36" s="175"/>
      <c r="HK36" s="175"/>
      <c r="HL36" s="175"/>
      <c r="HM36" s="175"/>
      <c r="HN36" s="175"/>
      <c r="HO36" s="175"/>
      <c r="HP36" s="175"/>
      <c r="HQ36" s="175"/>
      <c r="HR36" s="175"/>
      <c r="HS36" s="175"/>
      <c r="HT36" s="175"/>
      <c r="HU36" s="175"/>
      <c r="HV36" s="175"/>
      <c r="HW36" s="175"/>
      <c r="HX36" s="175"/>
      <c r="HY36" s="175"/>
      <c r="HZ36" s="175"/>
      <c r="IA36" s="175"/>
      <c r="IB36" s="175"/>
      <c r="IC36" s="175"/>
      <c r="ID36" s="175"/>
      <c r="IE36" s="175"/>
      <c r="IF36" s="175"/>
      <c r="IG36" s="175"/>
      <c r="IH36" s="175"/>
      <c r="II36" s="175"/>
      <c r="IJ36" s="175"/>
      <c r="IK36" s="175"/>
      <c r="IL36" s="175"/>
      <c r="IM36" s="175"/>
      <c r="IN36" s="175"/>
      <c r="IO36" s="175"/>
      <c r="IP36" s="175"/>
      <c r="IQ36" s="175"/>
      <c r="IR36" s="175"/>
      <c r="IS36" s="175"/>
      <c r="IT36" s="175"/>
      <c r="IU36" s="175"/>
    </row>
    <row r="37" spans="1:255" s="197" customFormat="1" ht="66.75" customHeight="1" x14ac:dyDescent="0.25">
      <c r="A37" s="173">
        <f t="shared" si="0"/>
        <v>32</v>
      </c>
      <c r="B37" s="173" t="s">
        <v>164</v>
      </c>
      <c r="C37" s="173" t="s">
        <v>1808</v>
      </c>
      <c r="D37" s="176" t="s">
        <v>1680</v>
      </c>
      <c r="E37" s="213" t="s">
        <v>1679</v>
      </c>
      <c r="F37" s="173">
        <v>50</v>
      </c>
      <c r="G37" s="173">
        <v>100</v>
      </c>
      <c r="H37" s="177" t="s">
        <v>1641</v>
      </c>
      <c r="I37" s="177">
        <v>4.0000000000000002E-4</v>
      </c>
      <c r="J37" s="194"/>
      <c r="K37" s="194"/>
      <c r="L37" s="194">
        <v>10</v>
      </c>
      <c r="M37" s="194">
        <v>36</v>
      </c>
      <c r="N37" s="207">
        <f>9568*I37*SQRT(M37)/розрах!$I$133</f>
        <v>1.1377603301463061E-2</v>
      </c>
      <c r="O37" s="224">
        <f>G37/1000*G37/1000*F37*0.785/розрах!$I$175</f>
        <v>1.944724296188794E-4</v>
      </c>
      <c r="P37" s="196"/>
      <c r="Q37" s="196"/>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c r="FV37" s="175"/>
      <c r="FW37" s="175"/>
      <c r="FX37" s="175"/>
      <c r="FY37" s="175"/>
      <c r="FZ37" s="175"/>
      <c r="GA37" s="175"/>
      <c r="GB37" s="175"/>
      <c r="GC37" s="175"/>
      <c r="GD37" s="175"/>
      <c r="GE37" s="175"/>
      <c r="GF37" s="175"/>
      <c r="GG37" s="175"/>
      <c r="GH37" s="175"/>
      <c r="GI37" s="175"/>
      <c r="GJ37" s="175"/>
      <c r="GK37" s="175"/>
      <c r="GL37" s="175"/>
      <c r="GM37" s="175"/>
      <c r="GN37" s="175"/>
      <c r="GO37" s="175"/>
      <c r="GP37" s="175"/>
      <c r="GQ37" s="175"/>
      <c r="GR37" s="175"/>
      <c r="GS37" s="175"/>
      <c r="GT37" s="175"/>
      <c r="GU37" s="175"/>
      <c r="GV37" s="175"/>
      <c r="GW37" s="175"/>
      <c r="GX37" s="175"/>
      <c r="GY37" s="175"/>
      <c r="GZ37" s="175"/>
      <c r="HA37" s="175"/>
      <c r="HB37" s="175"/>
      <c r="HC37" s="175"/>
      <c r="HD37" s="175"/>
      <c r="HE37" s="175"/>
      <c r="HF37" s="175"/>
      <c r="HG37" s="175"/>
      <c r="HH37" s="175"/>
      <c r="HI37" s="175"/>
      <c r="HJ37" s="175"/>
      <c r="HK37" s="175"/>
      <c r="HL37" s="175"/>
      <c r="HM37" s="175"/>
      <c r="HN37" s="175"/>
      <c r="HO37" s="175"/>
      <c r="HP37" s="175"/>
      <c r="HQ37" s="175"/>
      <c r="HR37" s="175"/>
      <c r="HS37" s="175"/>
      <c r="HT37" s="175"/>
      <c r="HU37" s="175"/>
      <c r="HV37" s="175"/>
      <c r="HW37" s="175"/>
      <c r="HX37" s="175"/>
      <c r="HY37" s="175"/>
      <c r="HZ37" s="175"/>
      <c r="IA37" s="175"/>
      <c r="IB37" s="175"/>
      <c r="IC37" s="175"/>
      <c r="ID37" s="175"/>
      <c r="IE37" s="175"/>
      <c r="IF37" s="175"/>
      <c r="IG37" s="175"/>
      <c r="IH37" s="175"/>
      <c r="II37" s="175"/>
      <c r="IJ37" s="175"/>
      <c r="IK37" s="175"/>
      <c r="IL37" s="175"/>
      <c r="IM37" s="175"/>
      <c r="IN37" s="175"/>
      <c r="IO37" s="175"/>
      <c r="IP37" s="175"/>
      <c r="IQ37" s="175"/>
      <c r="IR37" s="175"/>
      <c r="IS37" s="175"/>
      <c r="IT37" s="175"/>
      <c r="IU37" s="175"/>
    </row>
    <row r="38" spans="1:255" s="197" customFormat="1" ht="74.25" customHeight="1" x14ac:dyDescent="0.25">
      <c r="A38" s="173">
        <f t="shared" si="0"/>
        <v>33</v>
      </c>
      <c r="B38" s="173" t="s">
        <v>164</v>
      </c>
      <c r="C38" s="173" t="s">
        <v>1814</v>
      </c>
      <c r="D38" s="176" t="s">
        <v>1536</v>
      </c>
      <c r="E38" s="213" t="s">
        <v>1681</v>
      </c>
      <c r="F38" s="173">
        <v>62</v>
      </c>
      <c r="G38" s="173">
        <v>200</v>
      </c>
      <c r="H38" s="177" t="s">
        <v>1509</v>
      </c>
      <c r="I38" s="177">
        <v>2.5000000000000001E-3</v>
      </c>
      <c r="J38" s="194"/>
      <c r="K38" s="194"/>
      <c r="L38" s="194">
        <v>6</v>
      </c>
      <c r="M38" s="194">
        <v>53</v>
      </c>
      <c r="N38" s="207">
        <f>9568*I38*SQRT(M38)/розрах!$I$133</f>
        <v>8.6281460740929072E-2</v>
      </c>
      <c r="O38" s="224">
        <f>G38/1000*G38/1000*F38*0.785/розрах!$I$175</f>
        <v>9.6458325090964178E-4</v>
      </c>
      <c r="P38" s="196"/>
      <c r="Q38" s="196"/>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5"/>
      <c r="FI38" s="175"/>
      <c r="FJ38" s="175"/>
      <c r="FK38" s="175"/>
      <c r="FL38" s="175"/>
      <c r="FM38" s="175"/>
      <c r="FN38" s="175"/>
      <c r="FO38" s="175"/>
      <c r="FP38" s="175"/>
      <c r="FQ38" s="175"/>
      <c r="FR38" s="175"/>
      <c r="FS38" s="175"/>
      <c r="FT38" s="175"/>
      <c r="FU38" s="175"/>
      <c r="FV38" s="175"/>
      <c r="FW38" s="175"/>
      <c r="FX38" s="175"/>
      <c r="FY38" s="175"/>
      <c r="FZ38" s="175"/>
      <c r="GA38" s="175"/>
      <c r="GB38" s="175"/>
      <c r="GC38" s="175"/>
      <c r="GD38" s="175"/>
      <c r="GE38" s="175"/>
      <c r="GF38" s="175"/>
      <c r="GG38" s="175"/>
      <c r="GH38" s="175"/>
      <c r="GI38" s="175"/>
      <c r="GJ38" s="175"/>
      <c r="GK38" s="175"/>
      <c r="GL38" s="175"/>
      <c r="GM38" s="175"/>
      <c r="GN38" s="175"/>
      <c r="GO38" s="175"/>
      <c r="GP38" s="175"/>
      <c r="GQ38" s="175"/>
      <c r="GR38" s="175"/>
      <c r="GS38" s="175"/>
      <c r="GT38" s="175"/>
      <c r="GU38" s="175"/>
      <c r="GV38" s="175"/>
      <c r="GW38" s="175"/>
      <c r="GX38" s="175"/>
      <c r="GY38" s="175"/>
      <c r="GZ38" s="175"/>
      <c r="HA38" s="175"/>
      <c r="HB38" s="175"/>
      <c r="HC38" s="175"/>
      <c r="HD38" s="175"/>
      <c r="HE38" s="175"/>
      <c r="HF38" s="175"/>
      <c r="HG38" s="175"/>
      <c r="HH38" s="175"/>
      <c r="HI38" s="175"/>
      <c r="HJ38" s="175"/>
      <c r="HK38" s="175"/>
      <c r="HL38" s="175"/>
      <c r="HM38" s="175"/>
      <c r="HN38" s="175"/>
      <c r="HO38" s="175"/>
      <c r="HP38" s="175"/>
      <c r="HQ38" s="175"/>
      <c r="HR38" s="175"/>
      <c r="HS38" s="175"/>
      <c r="HT38" s="175"/>
      <c r="HU38" s="175"/>
      <c r="HV38" s="175"/>
      <c r="HW38" s="175"/>
      <c r="HX38" s="175"/>
      <c r="HY38" s="175"/>
      <c r="HZ38" s="175"/>
      <c r="IA38" s="175"/>
      <c r="IB38" s="175"/>
      <c r="IC38" s="175"/>
      <c r="ID38" s="175"/>
      <c r="IE38" s="175"/>
      <c r="IF38" s="175"/>
      <c r="IG38" s="175"/>
      <c r="IH38" s="175"/>
      <c r="II38" s="175"/>
      <c r="IJ38" s="175"/>
      <c r="IK38" s="175"/>
      <c r="IL38" s="175"/>
      <c r="IM38" s="175"/>
      <c r="IN38" s="175"/>
      <c r="IO38" s="175"/>
      <c r="IP38" s="175"/>
      <c r="IQ38" s="175"/>
      <c r="IR38" s="175"/>
      <c r="IS38" s="175"/>
      <c r="IT38" s="175"/>
      <c r="IU38" s="175"/>
    </row>
    <row r="39" spans="1:255" s="197" customFormat="1" ht="61.5" customHeight="1" x14ac:dyDescent="0.25">
      <c r="A39" s="173">
        <f t="shared" si="0"/>
        <v>34</v>
      </c>
      <c r="B39" s="173" t="s">
        <v>164</v>
      </c>
      <c r="C39" s="173" t="s">
        <v>1795</v>
      </c>
      <c r="D39" s="176" t="s">
        <v>1537</v>
      </c>
      <c r="E39" s="213" t="s">
        <v>1682</v>
      </c>
      <c r="F39" s="173">
        <v>78</v>
      </c>
      <c r="G39" s="173">
        <v>200</v>
      </c>
      <c r="H39" s="177" t="s">
        <v>1509</v>
      </c>
      <c r="I39" s="177">
        <v>8.9999999999999998E-4</v>
      </c>
      <c r="J39" s="194"/>
      <c r="K39" s="194"/>
      <c r="L39" s="194">
        <v>6</v>
      </c>
      <c r="M39" s="194">
        <v>72</v>
      </c>
      <c r="N39" s="207">
        <f>9568*I39*SQRT(M39)/розрах!$I$133</f>
        <v>3.6203312016517414E-2</v>
      </c>
      <c r="O39" s="224">
        <f>G39/1000*G39/1000*F39*0.785/розрах!$I$175</f>
        <v>1.2135079608218075E-3</v>
      </c>
      <c r="P39" s="196"/>
      <c r="Q39" s="196"/>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175"/>
      <c r="FN39" s="175"/>
      <c r="FO39" s="175"/>
      <c r="FP39" s="175"/>
      <c r="FQ39" s="175"/>
      <c r="FR39" s="175"/>
      <c r="FS39" s="175"/>
      <c r="FT39" s="175"/>
      <c r="FU39" s="175"/>
      <c r="FV39" s="175"/>
      <c r="FW39" s="175"/>
      <c r="FX39" s="175"/>
      <c r="FY39" s="175"/>
      <c r="FZ39" s="175"/>
      <c r="GA39" s="175"/>
      <c r="GB39" s="175"/>
      <c r="GC39" s="175"/>
      <c r="GD39" s="175"/>
      <c r="GE39" s="175"/>
      <c r="GF39" s="175"/>
      <c r="GG39" s="175"/>
      <c r="GH39" s="175"/>
      <c r="GI39" s="175"/>
      <c r="GJ39" s="175"/>
      <c r="GK39" s="175"/>
      <c r="GL39" s="175"/>
      <c r="GM39" s="175"/>
      <c r="GN39" s="175"/>
      <c r="GO39" s="175"/>
      <c r="GP39" s="175"/>
      <c r="GQ39" s="175"/>
      <c r="GR39" s="175"/>
      <c r="GS39" s="175"/>
      <c r="GT39" s="175"/>
      <c r="GU39" s="175"/>
      <c r="GV39" s="175"/>
      <c r="GW39" s="175"/>
      <c r="GX39" s="175"/>
      <c r="GY39" s="175"/>
      <c r="GZ39" s="175"/>
      <c r="HA39" s="175"/>
      <c r="HB39" s="175"/>
      <c r="HC39" s="175"/>
      <c r="HD39" s="175"/>
      <c r="HE39" s="175"/>
      <c r="HF39" s="175"/>
      <c r="HG39" s="175"/>
      <c r="HH39" s="175"/>
      <c r="HI39" s="175"/>
      <c r="HJ39" s="175"/>
      <c r="HK39" s="175"/>
      <c r="HL39" s="175"/>
      <c r="HM39" s="175"/>
      <c r="HN39" s="175"/>
      <c r="HO39" s="175"/>
      <c r="HP39" s="175"/>
      <c r="HQ39" s="175"/>
      <c r="HR39" s="175"/>
      <c r="HS39" s="175"/>
      <c r="HT39" s="175"/>
      <c r="HU39" s="175"/>
      <c r="HV39" s="175"/>
      <c r="HW39" s="175"/>
      <c r="HX39" s="175"/>
      <c r="HY39" s="175"/>
      <c r="HZ39" s="175"/>
      <c r="IA39" s="175"/>
      <c r="IB39" s="175"/>
      <c r="IC39" s="175"/>
      <c r="ID39" s="175"/>
      <c r="IE39" s="175"/>
      <c r="IF39" s="175"/>
      <c r="IG39" s="175"/>
      <c r="IH39" s="175"/>
      <c r="II39" s="175"/>
      <c r="IJ39" s="175"/>
      <c r="IK39" s="175"/>
      <c r="IL39" s="175"/>
      <c r="IM39" s="175"/>
      <c r="IN39" s="175"/>
      <c r="IO39" s="175"/>
      <c r="IP39" s="175"/>
      <c r="IQ39" s="175"/>
      <c r="IR39" s="175"/>
      <c r="IS39" s="175"/>
      <c r="IT39" s="175"/>
      <c r="IU39" s="175"/>
    </row>
    <row r="40" spans="1:255" s="197" customFormat="1" ht="63.75" customHeight="1" x14ac:dyDescent="0.25">
      <c r="A40" s="173">
        <f t="shared" si="0"/>
        <v>35</v>
      </c>
      <c r="B40" s="173" t="s">
        <v>164</v>
      </c>
      <c r="C40" s="173" t="s">
        <v>1795</v>
      </c>
      <c r="D40" s="176" t="s">
        <v>1538</v>
      </c>
      <c r="E40" s="213" t="s">
        <v>1683</v>
      </c>
      <c r="F40" s="173">
        <v>76</v>
      </c>
      <c r="G40" s="173">
        <v>100</v>
      </c>
      <c r="H40" s="177" t="s">
        <v>1509</v>
      </c>
      <c r="I40" s="177">
        <v>2.0000000000000001E-4</v>
      </c>
      <c r="J40" s="194"/>
      <c r="K40" s="194"/>
      <c r="L40" s="194">
        <v>0.5</v>
      </c>
      <c r="M40" s="194">
        <v>72</v>
      </c>
      <c r="N40" s="207">
        <f>9568*I40*SQRT(M40)/розрах!$I$133</f>
        <v>8.0451804481149799E-3</v>
      </c>
      <c r="O40" s="224">
        <f>G40/1000*G40/1000*F40*0.785/розрах!$I$175</f>
        <v>2.9559809302069667E-4</v>
      </c>
      <c r="P40" s="196"/>
      <c r="Q40" s="196"/>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5"/>
      <c r="FI40" s="175"/>
      <c r="FJ40" s="175"/>
      <c r="FK40" s="175"/>
      <c r="FL40" s="175"/>
      <c r="FM40" s="175"/>
      <c r="FN40" s="175"/>
      <c r="FO40" s="175"/>
      <c r="FP40" s="175"/>
      <c r="FQ40" s="175"/>
      <c r="FR40" s="175"/>
      <c r="FS40" s="175"/>
      <c r="FT40" s="175"/>
      <c r="FU40" s="175"/>
      <c r="FV40" s="175"/>
      <c r="FW40" s="175"/>
      <c r="FX40" s="175"/>
      <c r="FY40" s="175"/>
      <c r="FZ40" s="175"/>
      <c r="GA40" s="175"/>
      <c r="GB40" s="175"/>
      <c r="GC40" s="175"/>
      <c r="GD40" s="175"/>
      <c r="GE40" s="175"/>
      <c r="GF40" s="175"/>
      <c r="GG40" s="175"/>
      <c r="GH40" s="175"/>
      <c r="GI40" s="175"/>
      <c r="GJ40" s="175"/>
      <c r="GK40" s="175"/>
      <c r="GL40" s="175"/>
      <c r="GM40" s="175"/>
      <c r="GN40" s="175"/>
      <c r="GO40" s="175"/>
      <c r="GP40" s="175"/>
      <c r="GQ40" s="175"/>
      <c r="GR40" s="175"/>
      <c r="GS40" s="175"/>
      <c r="GT40" s="175"/>
      <c r="GU40" s="175"/>
      <c r="GV40" s="175"/>
      <c r="GW40" s="175"/>
      <c r="GX40" s="175"/>
      <c r="GY40" s="175"/>
      <c r="GZ40" s="175"/>
      <c r="HA40" s="175"/>
      <c r="HB40" s="175"/>
      <c r="HC40" s="175"/>
      <c r="HD40" s="175"/>
      <c r="HE40" s="175"/>
      <c r="HF40" s="175"/>
      <c r="HG40" s="175"/>
      <c r="HH40" s="175"/>
      <c r="HI40" s="175"/>
      <c r="HJ40" s="175"/>
      <c r="HK40" s="175"/>
      <c r="HL40" s="175"/>
      <c r="HM40" s="175"/>
      <c r="HN40" s="175"/>
      <c r="HO40" s="175"/>
      <c r="HP40" s="175"/>
      <c r="HQ40" s="175"/>
      <c r="HR40" s="175"/>
      <c r="HS40" s="175"/>
      <c r="HT40" s="175"/>
      <c r="HU40" s="175"/>
      <c r="HV40" s="175"/>
      <c r="HW40" s="175"/>
      <c r="HX40" s="175"/>
      <c r="HY40" s="175"/>
      <c r="HZ40" s="175"/>
      <c r="IA40" s="175"/>
      <c r="IB40" s="175"/>
      <c r="IC40" s="175"/>
      <c r="ID40" s="175"/>
      <c r="IE40" s="175"/>
      <c r="IF40" s="175"/>
      <c r="IG40" s="175"/>
      <c r="IH40" s="175"/>
      <c r="II40" s="175"/>
      <c r="IJ40" s="175"/>
      <c r="IK40" s="175"/>
      <c r="IL40" s="175"/>
      <c r="IM40" s="175"/>
      <c r="IN40" s="175"/>
      <c r="IO40" s="175"/>
      <c r="IP40" s="175"/>
      <c r="IQ40" s="175"/>
      <c r="IR40" s="175"/>
      <c r="IS40" s="175"/>
      <c r="IT40" s="175"/>
      <c r="IU40" s="175"/>
    </row>
    <row r="41" spans="1:255" s="197" customFormat="1" ht="51.75" customHeight="1" x14ac:dyDescent="0.25">
      <c r="A41" s="173">
        <f t="shared" si="0"/>
        <v>36</v>
      </c>
      <c r="B41" s="173" t="s">
        <v>164</v>
      </c>
      <c r="C41" s="173" t="s">
        <v>1795</v>
      </c>
      <c r="D41" s="176" t="s">
        <v>1539</v>
      </c>
      <c r="E41" s="213" t="s">
        <v>1684</v>
      </c>
      <c r="F41" s="173">
        <v>76</v>
      </c>
      <c r="G41" s="173">
        <v>100</v>
      </c>
      <c r="H41" s="177" t="s">
        <v>1509</v>
      </c>
      <c r="I41" s="177">
        <v>5.9999999999999995E-4</v>
      </c>
      <c r="J41" s="194"/>
      <c r="K41" s="194"/>
      <c r="L41" s="194">
        <v>6</v>
      </c>
      <c r="M41" s="194">
        <v>72</v>
      </c>
      <c r="N41" s="207">
        <f>9568*I41*SQRT(M41)/розрах!$I$133</f>
        <v>2.4135541344344938E-2</v>
      </c>
      <c r="O41" s="224">
        <f>G41/1000*G41/1000*F41*0.785/розрах!$I$175</f>
        <v>2.9559809302069667E-4</v>
      </c>
      <c r="P41" s="196"/>
      <c r="Q41" s="196"/>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175"/>
      <c r="FN41" s="175"/>
      <c r="FO41" s="175"/>
      <c r="FP41" s="175"/>
      <c r="FQ41" s="175"/>
      <c r="FR41" s="175"/>
      <c r="FS41" s="175"/>
      <c r="FT41" s="175"/>
      <c r="FU41" s="175"/>
      <c r="FV41" s="175"/>
      <c r="FW41" s="175"/>
      <c r="FX41" s="175"/>
      <c r="FY41" s="175"/>
      <c r="FZ41" s="175"/>
      <c r="GA41" s="175"/>
      <c r="GB41" s="175"/>
      <c r="GC41" s="175"/>
      <c r="GD41" s="175"/>
      <c r="GE41" s="175"/>
      <c r="GF41" s="175"/>
      <c r="GG41" s="175"/>
      <c r="GH41" s="175"/>
      <c r="GI41" s="175"/>
      <c r="GJ41" s="175"/>
      <c r="GK41" s="175"/>
      <c r="GL41" s="175"/>
      <c r="GM41" s="175"/>
      <c r="GN41" s="175"/>
      <c r="GO41" s="175"/>
      <c r="GP41" s="175"/>
      <c r="GQ41" s="175"/>
      <c r="GR41" s="175"/>
      <c r="GS41" s="175"/>
      <c r="GT41" s="175"/>
      <c r="GU41" s="175"/>
      <c r="GV41" s="175"/>
      <c r="GW41" s="175"/>
      <c r="GX41" s="175"/>
      <c r="GY41" s="175"/>
      <c r="GZ41" s="175"/>
      <c r="HA41" s="175"/>
      <c r="HB41" s="175"/>
      <c r="HC41" s="175"/>
      <c r="HD41" s="175"/>
      <c r="HE41" s="175"/>
      <c r="HF41" s="175"/>
      <c r="HG41" s="175"/>
      <c r="HH41" s="175"/>
      <c r="HI41" s="175"/>
      <c r="HJ41" s="175"/>
      <c r="HK41" s="175"/>
      <c r="HL41" s="175"/>
      <c r="HM41" s="175"/>
      <c r="HN41" s="175"/>
      <c r="HO41" s="175"/>
      <c r="HP41" s="175"/>
      <c r="HQ41" s="175"/>
      <c r="HR41" s="175"/>
      <c r="HS41" s="175"/>
      <c r="HT41" s="175"/>
      <c r="HU41" s="175"/>
      <c r="HV41" s="175"/>
      <c r="HW41" s="175"/>
      <c r="HX41" s="175"/>
      <c r="HY41" s="175"/>
      <c r="HZ41" s="175"/>
      <c r="IA41" s="175"/>
      <c r="IB41" s="175"/>
      <c r="IC41" s="175"/>
      <c r="ID41" s="175"/>
      <c r="IE41" s="175"/>
      <c r="IF41" s="175"/>
      <c r="IG41" s="175"/>
      <c r="IH41" s="175"/>
      <c r="II41" s="175"/>
      <c r="IJ41" s="175"/>
      <c r="IK41" s="175"/>
      <c r="IL41" s="175"/>
      <c r="IM41" s="175"/>
      <c r="IN41" s="175"/>
      <c r="IO41" s="175"/>
      <c r="IP41" s="175"/>
      <c r="IQ41" s="175"/>
      <c r="IR41" s="175"/>
      <c r="IS41" s="175"/>
      <c r="IT41" s="175"/>
      <c r="IU41" s="175"/>
    </row>
    <row r="42" spans="1:255" s="197" customFormat="1" ht="72" customHeight="1" x14ac:dyDescent="0.25">
      <c r="A42" s="173">
        <f t="shared" si="0"/>
        <v>37</v>
      </c>
      <c r="B42" s="173" t="s">
        <v>164</v>
      </c>
      <c r="C42" s="173" t="s">
        <v>1814</v>
      </c>
      <c r="D42" s="176" t="s">
        <v>1540</v>
      </c>
      <c r="E42" s="213" t="s">
        <v>1685</v>
      </c>
      <c r="F42" s="173">
        <v>62</v>
      </c>
      <c r="G42" s="173">
        <v>200</v>
      </c>
      <c r="H42" s="177" t="s">
        <v>1509</v>
      </c>
      <c r="I42" s="177">
        <v>1.5E-3</v>
      </c>
      <c r="J42" s="194"/>
      <c r="K42" s="194"/>
      <c r="L42" s="194">
        <v>5</v>
      </c>
      <c r="M42" s="194">
        <v>53</v>
      </c>
      <c r="N42" s="207">
        <f>9568*I42*SQRT(M42)/розрах!$I$133</f>
        <v>5.1768876444557438E-2</v>
      </c>
      <c r="O42" s="224">
        <f>G42/1000*G42/1000*F42*0.785/розрах!$I$175</f>
        <v>9.6458325090964178E-4</v>
      </c>
      <c r="P42" s="196"/>
      <c r="Q42" s="196"/>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175"/>
      <c r="FN42" s="175"/>
      <c r="FO42" s="175"/>
      <c r="FP42" s="175"/>
      <c r="FQ42" s="175"/>
      <c r="FR42" s="175"/>
      <c r="FS42" s="175"/>
      <c r="FT42" s="175"/>
      <c r="FU42" s="175"/>
      <c r="FV42" s="175"/>
      <c r="FW42" s="175"/>
      <c r="FX42" s="175"/>
      <c r="FY42" s="175"/>
      <c r="FZ42" s="175"/>
      <c r="GA42" s="175"/>
      <c r="GB42" s="175"/>
      <c r="GC42" s="175"/>
      <c r="GD42" s="175"/>
      <c r="GE42" s="175"/>
      <c r="GF42" s="175"/>
      <c r="GG42" s="175"/>
      <c r="GH42" s="175"/>
      <c r="GI42" s="175"/>
      <c r="GJ42" s="175"/>
      <c r="GK42" s="175"/>
      <c r="GL42" s="175"/>
      <c r="GM42" s="175"/>
      <c r="GN42" s="175"/>
      <c r="GO42" s="175"/>
      <c r="GP42" s="175"/>
      <c r="GQ42" s="175"/>
      <c r="GR42" s="175"/>
      <c r="GS42" s="175"/>
      <c r="GT42" s="175"/>
      <c r="GU42" s="175"/>
      <c r="GV42" s="175"/>
      <c r="GW42" s="175"/>
      <c r="GX42" s="175"/>
      <c r="GY42" s="175"/>
      <c r="GZ42" s="175"/>
      <c r="HA42" s="175"/>
      <c r="HB42" s="175"/>
      <c r="HC42" s="175"/>
      <c r="HD42" s="175"/>
      <c r="HE42" s="175"/>
      <c r="HF42" s="175"/>
      <c r="HG42" s="175"/>
      <c r="HH42" s="175"/>
      <c r="HI42" s="175"/>
      <c r="HJ42" s="175"/>
      <c r="HK42" s="175"/>
      <c r="HL42" s="175"/>
      <c r="HM42" s="175"/>
      <c r="HN42" s="175"/>
      <c r="HO42" s="175"/>
      <c r="HP42" s="175"/>
      <c r="HQ42" s="175"/>
      <c r="HR42" s="175"/>
      <c r="HS42" s="175"/>
      <c r="HT42" s="175"/>
      <c r="HU42" s="175"/>
      <c r="HV42" s="175"/>
      <c r="HW42" s="175"/>
      <c r="HX42" s="175"/>
      <c r="HY42" s="175"/>
      <c r="HZ42" s="175"/>
      <c r="IA42" s="175"/>
      <c r="IB42" s="175"/>
      <c r="IC42" s="175"/>
      <c r="ID42" s="175"/>
      <c r="IE42" s="175"/>
      <c r="IF42" s="175"/>
      <c r="IG42" s="175"/>
      <c r="IH42" s="175"/>
      <c r="II42" s="175"/>
      <c r="IJ42" s="175"/>
      <c r="IK42" s="175"/>
      <c r="IL42" s="175"/>
      <c r="IM42" s="175"/>
      <c r="IN42" s="175"/>
      <c r="IO42" s="175"/>
      <c r="IP42" s="175"/>
      <c r="IQ42" s="175"/>
      <c r="IR42" s="175"/>
      <c r="IS42" s="175"/>
      <c r="IT42" s="175"/>
      <c r="IU42" s="175"/>
    </row>
    <row r="43" spans="1:255" s="197" customFormat="1" ht="54.75" customHeight="1" x14ac:dyDescent="0.25">
      <c r="A43" s="173">
        <f t="shared" si="0"/>
        <v>38</v>
      </c>
      <c r="B43" s="173" t="s">
        <v>164</v>
      </c>
      <c r="C43" s="173" t="s">
        <v>1807</v>
      </c>
      <c r="D43" s="176" t="s">
        <v>1541</v>
      </c>
      <c r="E43" s="213" t="s">
        <v>1686</v>
      </c>
      <c r="F43" s="173">
        <v>29</v>
      </c>
      <c r="G43" s="173">
        <v>50</v>
      </c>
      <c r="H43" s="177" t="s">
        <v>1641</v>
      </c>
      <c r="I43" s="177">
        <v>2.0000000000000001E-4</v>
      </c>
      <c r="J43" s="194"/>
      <c r="K43" s="194"/>
      <c r="L43" s="194">
        <v>0.5</v>
      </c>
      <c r="M43" s="194">
        <v>59</v>
      </c>
      <c r="N43" s="207">
        <f>9568*I43*SQRT(M43)/розрах!$I$133</f>
        <v>7.2827524349974027E-3</v>
      </c>
      <c r="O43" s="224">
        <f>G43/1000*G43/1000*F43*0.785/розрах!$I$175</f>
        <v>2.8198502294737511E-5</v>
      </c>
      <c r="P43" s="196"/>
      <c r="Q43" s="196"/>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row>
    <row r="44" spans="1:255" s="197" customFormat="1" ht="56.25" customHeight="1" x14ac:dyDescent="0.25">
      <c r="A44" s="173">
        <f t="shared" si="0"/>
        <v>39</v>
      </c>
      <c r="B44" s="173" t="s">
        <v>164</v>
      </c>
      <c r="C44" s="173" t="s">
        <v>1795</v>
      </c>
      <c r="D44" s="176" t="s">
        <v>1542</v>
      </c>
      <c r="E44" s="213" t="s">
        <v>1687</v>
      </c>
      <c r="F44" s="173">
        <v>32</v>
      </c>
      <c r="G44" s="173">
        <v>150</v>
      </c>
      <c r="H44" s="177" t="s">
        <v>1509</v>
      </c>
      <c r="I44" s="177">
        <v>6.9999999999999999E-4</v>
      </c>
      <c r="J44" s="194"/>
      <c r="K44" s="194"/>
      <c r="L44" s="194">
        <v>6</v>
      </c>
      <c r="M44" s="194">
        <v>72</v>
      </c>
      <c r="N44" s="207">
        <f>9568*I44*SQRT(M44)/розрах!$I$133</f>
        <v>2.8158131568402429E-2</v>
      </c>
      <c r="O44" s="224">
        <f>G44/1000*G44/1000*F44*0.785/розрах!$I$175</f>
        <v>2.8004029865118631E-4</v>
      </c>
      <c r="P44" s="196"/>
      <c r="Q44" s="196"/>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c r="GH44" s="175"/>
      <c r="GI44" s="175"/>
      <c r="GJ44" s="175"/>
      <c r="GK44" s="175"/>
      <c r="GL44" s="175"/>
      <c r="GM44" s="175"/>
      <c r="GN44" s="175"/>
      <c r="GO44" s="175"/>
      <c r="GP44" s="175"/>
      <c r="GQ44" s="175"/>
      <c r="GR44" s="175"/>
      <c r="GS44" s="175"/>
      <c r="GT44" s="175"/>
      <c r="GU44" s="175"/>
      <c r="GV44" s="175"/>
      <c r="GW44" s="175"/>
      <c r="GX44" s="175"/>
      <c r="GY44" s="175"/>
      <c r="GZ44" s="175"/>
      <c r="HA44" s="175"/>
      <c r="HB44" s="175"/>
      <c r="HC44" s="175"/>
      <c r="HD44" s="175"/>
      <c r="HE44" s="175"/>
      <c r="HF44" s="175"/>
      <c r="HG44" s="175"/>
      <c r="HH44" s="175"/>
      <c r="HI44" s="175"/>
      <c r="HJ44" s="175"/>
      <c r="HK44" s="175"/>
      <c r="HL44" s="175"/>
      <c r="HM44" s="175"/>
      <c r="HN44" s="175"/>
      <c r="HO44" s="175"/>
      <c r="HP44" s="175"/>
      <c r="HQ44" s="175"/>
      <c r="HR44" s="175"/>
      <c r="HS44" s="175"/>
      <c r="HT44" s="175"/>
      <c r="HU44" s="175"/>
      <c r="HV44" s="175"/>
      <c r="HW44" s="175"/>
      <c r="HX44" s="175"/>
      <c r="HY44" s="175"/>
      <c r="HZ44" s="175"/>
      <c r="IA44" s="175"/>
      <c r="IB44" s="175"/>
      <c r="IC44" s="175"/>
      <c r="ID44" s="175"/>
      <c r="IE44" s="175"/>
      <c r="IF44" s="175"/>
      <c r="IG44" s="175"/>
      <c r="IH44" s="175"/>
      <c r="II44" s="175"/>
      <c r="IJ44" s="175"/>
      <c r="IK44" s="175"/>
      <c r="IL44" s="175"/>
      <c r="IM44" s="175"/>
      <c r="IN44" s="175"/>
      <c r="IO44" s="175"/>
      <c r="IP44" s="175"/>
      <c r="IQ44" s="175"/>
      <c r="IR44" s="175"/>
      <c r="IS44" s="175"/>
      <c r="IT44" s="175"/>
      <c r="IU44" s="175"/>
    </row>
    <row r="45" spans="1:255" s="197" customFormat="1" ht="81.75" customHeight="1" x14ac:dyDescent="0.25">
      <c r="A45" s="173">
        <f t="shared" si="0"/>
        <v>40</v>
      </c>
      <c r="B45" s="173" t="s">
        <v>164</v>
      </c>
      <c r="C45" s="173" t="s">
        <v>1798</v>
      </c>
      <c r="D45" s="176" t="s">
        <v>1799</v>
      </c>
      <c r="E45" s="213" t="s">
        <v>1688</v>
      </c>
      <c r="F45" s="173">
        <v>58</v>
      </c>
      <c r="G45" s="173">
        <v>125</v>
      </c>
      <c r="H45" s="177" t="s">
        <v>1509</v>
      </c>
      <c r="I45" s="177">
        <v>1.1000000000000001E-3</v>
      </c>
      <c r="J45" s="194"/>
      <c r="K45" s="194"/>
      <c r="L45" s="194">
        <v>5</v>
      </c>
      <c r="M45" s="194">
        <v>56</v>
      </c>
      <c r="N45" s="207">
        <f>9568*I45*SQRT(M45)/розрах!$I$133</f>
        <v>3.9023502316977605E-2</v>
      </c>
      <c r="O45" s="224">
        <f>G45/1000*G45/1000*F45*0.785/розрах!$I$175</f>
        <v>3.5248127868421891E-4</v>
      </c>
      <c r="P45" s="196"/>
      <c r="Q45" s="196"/>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row>
    <row r="46" spans="1:255" s="197" customFormat="1" ht="47.25" customHeight="1" x14ac:dyDescent="0.25">
      <c r="A46" s="173">
        <f t="shared" si="0"/>
        <v>41</v>
      </c>
      <c r="B46" s="173" t="s">
        <v>164</v>
      </c>
      <c r="C46" s="173" t="s">
        <v>1807</v>
      </c>
      <c r="D46" s="176" t="s">
        <v>1543</v>
      </c>
      <c r="E46" s="213" t="s">
        <v>1689</v>
      </c>
      <c r="F46" s="173">
        <v>29</v>
      </c>
      <c r="G46" s="173">
        <v>50</v>
      </c>
      <c r="H46" s="177" t="s">
        <v>1641</v>
      </c>
      <c r="I46" s="177">
        <v>2.0000000000000001E-4</v>
      </c>
      <c r="J46" s="194"/>
      <c r="K46" s="194"/>
      <c r="L46" s="194">
        <v>0.5</v>
      </c>
      <c r="M46" s="194">
        <v>59</v>
      </c>
      <c r="N46" s="207">
        <f>9568*I46*SQRT(M46)/розрах!$I$133</f>
        <v>7.2827524349974027E-3</v>
      </c>
      <c r="O46" s="224">
        <f>G46/1000*G46/1000*F46*0.785/розрах!$I$175</f>
        <v>2.8198502294737511E-5</v>
      </c>
      <c r="P46" s="196"/>
      <c r="Q46" s="196"/>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c r="DD46" s="175"/>
      <c r="DE46" s="175"/>
      <c r="DF46" s="175"/>
      <c r="DG46" s="175"/>
      <c r="DH46" s="175"/>
      <c r="DI46" s="175"/>
      <c r="DJ46" s="175"/>
      <c r="DK46" s="175"/>
      <c r="DL46" s="175"/>
      <c r="DM46" s="175"/>
      <c r="DN46" s="175"/>
      <c r="DO46" s="175"/>
      <c r="DP46" s="175"/>
      <c r="DQ46" s="175"/>
      <c r="DR46" s="175"/>
      <c r="DS46" s="175"/>
      <c r="DT46" s="175"/>
      <c r="DU46" s="175"/>
      <c r="DV46" s="175"/>
      <c r="DW46" s="175"/>
      <c r="DX46" s="175"/>
      <c r="DY46" s="175"/>
      <c r="DZ46" s="175"/>
      <c r="EA46" s="175"/>
      <c r="EB46" s="175"/>
      <c r="EC46" s="175"/>
      <c r="ED46" s="175"/>
      <c r="EE46" s="175"/>
      <c r="EF46" s="175"/>
      <c r="EG46" s="175"/>
      <c r="EH46" s="175"/>
      <c r="EI46" s="175"/>
      <c r="EJ46" s="175"/>
      <c r="EK46" s="175"/>
      <c r="EL46" s="175"/>
      <c r="EM46" s="175"/>
      <c r="EN46" s="175"/>
      <c r="EO46" s="175"/>
      <c r="EP46" s="175"/>
      <c r="EQ46" s="175"/>
      <c r="ER46" s="175"/>
      <c r="ES46" s="175"/>
      <c r="ET46" s="175"/>
      <c r="EU46" s="175"/>
      <c r="EV46" s="175"/>
      <c r="EW46" s="175"/>
      <c r="EX46" s="175"/>
      <c r="EY46" s="175"/>
      <c r="EZ46" s="175"/>
      <c r="FA46" s="175"/>
      <c r="FB46" s="175"/>
      <c r="FC46" s="175"/>
      <c r="FD46" s="175"/>
      <c r="FE46" s="175"/>
      <c r="FF46" s="175"/>
      <c r="FG46" s="175"/>
      <c r="FH46" s="175"/>
      <c r="FI46" s="175"/>
      <c r="FJ46" s="175"/>
      <c r="FK46" s="175"/>
      <c r="FL46" s="175"/>
      <c r="FM46" s="175"/>
      <c r="FN46" s="175"/>
      <c r="FO46" s="175"/>
      <c r="FP46" s="175"/>
      <c r="FQ46" s="175"/>
      <c r="FR46" s="175"/>
      <c r="FS46" s="175"/>
      <c r="FT46" s="175"/>
      <c r="FU46" s="175"/>
      <c r="FV46" s="175"/>
      <c r="FW46" s="175"/>
      <c r="FX46" s="175"/>
      <c r="FY46" s="175"/>
      <c r="FZ46" s="175"/>
      <c r="GA46" s="175"/>
      <c r="GB46" s="175"/>
      <c r="GC46" s="175"/>
      <c r="GD46" s="175"/>
      <c r="GE46" s="175"/>
      <c r="GF46" s="175"/>
      <c r="GG46" s="175"/>
      <c r="GH46" s="175"/>
      <c r="GI46" s="175"/>
      <c r="GJ46" s="175"/>
      <c r="GK46" s="175"/>
      <c r="GL46" s="175"/>
      <c r="GM46" s="175"/>
      <c r="GN46" s="175"/>
      <c r="GO46" s="175"/>
      <c r="GP46" s="175"/>
      <c r="GQ46" s="175"/>
      <c r="GR46" s="175"/>
      <c r="GS46" s="175"/>
      <c r="GT46" s="175"/>
      <c r="GU46" s="175"/>
      <c r="GV46" s="175"/>
      <c r="GW46" s="175"/>
      <c r="GX46" s="175"/>
      <c r="GY46" s="175"/>
      <c r="GZ46" s="175"/>
      <c r="HA46" s="175"/>
      <c r="HB46" s="175"/>
      <c r="HC46" s="175"/>
      <c r="HD46" s="175"/>
      <c r="HE46" s="175"/>
      <c r="HF46" s="175"/>
      <c r="HG46" s="175"/>
      <c r="HH46" s="175"/>
      <c r="HI46" s="175"/>
      <c r="HJ46" s="175"/>
      <c r="HK46" s="175"/>
      <c r="HL46" s="175"/>
      <c r="HM46" s="175"/>
      <c r="HN46" s="175"/>
      <c r="HO46" s="175"/>
      <c r="HP46" s="175"/>
      <c r="HQ46" s="175"/>
      <c r="HR46" s="175"/>
      <c r="HS46" s="175"/>
      <c r="HT46" s="175"/>
      <c r="HU46" s="175"/>
      <c r="HV46" s="175"/>
      <c r="HW46" s="175"/>
      <c r="HX46" s="175"/>
      <c r="HY46" s="175"/>
      <c r="HZ46" s="175"/>
      <c r="IA46" s="175"/>
      <c r="IB46" s="175"/>
      <c r="IC46" s="175"/>
      <c r="ID46" s="175"/>
      <c r="IE46" s="175"/>
      <c r="IF46" s="175"/>
      <c r="IG46" s="175"/>
      <c r="IH46" s="175"/>
      <c r="II46" s="175"/>
      <c r="IJ46" s="175"/>
      <c r="IK46" s="175"/>
      <c r="IL46" s="175"/>
      <c r="IM46" s="175"/>
      <c r="IN46" s="175"/>
      <c r="IO46" s="175"/>
      <c r="IP46" s="175"/>
      <c r="IQ46" s="175"/>
      <c r="IR46" s="175"/>
      <c r="IS46" s="175"/>
      <c r="IT46" s="175"/>
      <c r="IU46" s="175"/>
    </row>
    <row r="47" spans="1:255" s="197" customFormat="1" ht="75" customHeight="1" x14ac:dyDescent="0.25">
      <c r="A47" s="173">
        <f t="shared" si="0"/>
        <v>42</v>
      </c>
      <c r="B47" s="173" t="s">
        <v>164</v>
      </c>
      <c r="C47" s="173" t="s">
        <v>1807</v>
      </c>
      <c r="D47" s="176" t="s">
        <v>1544</v>
      </c>
      <c r="E47" s="213" t="s">
        <v>1690</v>
      </c>
      <c r="F47" s="173">
        <v>92</v>
      </c>
      <c r="G47" s="173">
        <v>80</v>
      </c>
      <c r="H47" s="177" t="s">
        <v>1641</v>
      </c>
      <c r="I47" s="177">
        <v>2.0000000000000001E-4</v>
      </c>
      <c r="J47" s="194"/>
      <c r="K47" s="194"/>
      <c r="L47" s="194">
        <v>0.5</v>
      </c>
      <c r="M47" s="194">
        <v>59</v>
      </c>
      <c r="N47" s="207">
        <f>9568*I47*SQRT(M47)/розрах!$I$133</f>
        <v>7.2827524349974027E-3</v>
      </c>
      <c r="O47" s="194">
        <f>G47/1000*G47/1000*F47*0.785/розрах!$I$175</f>
        <v>2.2901073311919237E-4</v>
      </c>
      <c r="P47" s="196"/>
      <c r="Q47" s="196"/>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c r="CR47" s="175"/>
      <c r="CS47" s="175"/>
      <c r="CT47" s="175"/>
      <c r="CU47" s="175"/>
      <c r="CV47" s="175"/>
      <c r="CW47" s="175"/>
      <c r="CX47" s="175"/>
      <c r="CY47" s="175"/>
      <c r="CZ47" s="175"/>
      <c r="DA47" s="175"/>
      <c r="DB47" s="175"/>
      <c r="DC47" s="175"/>
      <c r="DD47" s="175"/>
      <c r="DE47" s="175"/>
      <c r="DF47" s="175"/>
      <c r="DG47" s="175"/>
      <c r="DH47" s="175"/>
      <c r="DI47" s="175"/>
      <c r="DJ47" s="175"/>
      <c r="DK47" s="175"/>
      <c r="DL47" s="175"/>
      <c r="DM47" s="175"/>
      <c r="DN47" s="175"/>
      <c r="DO47" s="175"/>
      <c r="DP47" s="175"/>
      <c r="DQ47" s="175"/>
      <c r="DR47" s="175"/>
      <c r="DS47" s="175"/>
      <c r="DT47" s="175"/>
      <c r="DU47" s="175"/>
      <c r="DV47" s="175"/>
      <c r="DW47" s="175"/>
      <c r="DX47" s="175"/>
      <c r="DY47" s="175"/>
      <c r="DZ47" s="175"/>
      <c r="EA47" s="175"/>
      <c r="EB47" s="175"/>
      <c r="EC47" s="175"/>
      <c r="ED47" s="175"/>
      <c r="EE47" s="175"/>
      <c r="EF47" s="175"/>
      <c r="EG47" s="175"/>
      <c r="EH47" s="175"/>
      <c r="EI47" s="175"/>
      <c r="EJ47" s="175"/>
      <c r="EK47" s="175"/>
      <c r="EL47" s="175"/>
      <c r="EM47" s="175"/>
      <c r="EN47" s="175"/>
      <c r="EO47" s="175"/>
      <c r="EP47" s="175"/>
      <c r="EQ47" s="175"/>
      <c r="ER47" s="175"/>
      <c r="ES47" s="175"/>
      <c r="ET47" s="175"/>
      <c r="EU47" s="175"/>
      <c r="EV47" s="175"/>
      <c r="EW47" s="175"/>
      <c r="EX47" s="175"/>
      <c r="EY47" s="175"/>
      <c r="EZ47" s="175"/>
      <c r="FA47" s="175"/>
      <c r="FB47" s="175"/>
      <c r="FC47" s="175"/>
      <c r="FD47" s="175"/>
      <c r="FE47" s="175"/>
      <c r="FF47" s="175"/>
      <c r="FG47" s="175"/>
      <c r="FH47" s="175"/>
      <c r="FI47" s="175"/>
      <c r="FJ47" s="175"/>
      <c r="FK47" s="175"/>
      <c r="FL47" s="175"/>
      <c r="FM47" s="175"/>
      <c r="FN47" s="175"/>
      <c r="FO47" s="175"/>
      <c r="FP47" s="175"/>
      <c r="FQ47" s="175"/>
      <c r="FR47" s="175"/>
      <c r="FS47" s="175"/>
      <c r="FT47" s="175"/>
      <c r="FU47" s="175"/>
      <c r="FV47" s="175"/>
      <c r="FW47" s="175"/>
      <c r="FX47" s="175"/>
      <c r="FY47" s="175"/>
      <c r="FZ47" s="175"/>
      <c r="GA47" s="175"/>
      <c r="GB47" s="175"/>
      <c r="GC47" s="175"/>
      <c r="GD47" s="175"/>
      <c r="GE47" s="175"/>
      <c r="GF47" s="175"/>
      <c r="GG47" s="175"/>
      <c r="GH47" s="175"/>
      <c r="GI47" s="175"/>
      <c r="GJ47" s="175"/>
      <c r="GK47" s="175"/>
      <c r="GL47" s="175"/>
      <c r="GM47" s="175"/>
      <c r="GN47" s="175"/>
      <c r="GO47" s="175"/>
      <c r="GP47" s="175"/>
      <c r="GQ47" s="175"/>
      <c r="GR47" s="175"/>
      <c r="GS47" s="175"/>
      <c r="GT47" s="175"/>
      <c r="GU47" s="175"/>
      <c r="GV47" s="175"/>
      <c r="GW47" s="175"/>
      <c r="GX47" s="175"/>
      <c r="GY47" s="175"/>
      <c r="GZ47" s="175"/>
      <c r="HA47" s="175"/>
      <c r="HB47" s="175"/>
      <c r="HC47" s="175"/>
      <c r="HD47" s="175"/>
      <c r="HE47" s="175"/>
      <c r="HF47" s="175"/>
      <c r="HG47" s="175"/>
      <c r="HH47" s="175"/>
      <c r="HI47" s="175"/>
      <c r="HJ47" s="175"/>
      <c r="HK47" s="175"/>
      <c r="HL47" s="175"/>
      <c r="HM47" s="175"/>
      <c r="HN47" s="175"/>
      <c r="HO47" s="175"/>
      <c r="HP47" s="175"/>
      <c r="HQ47" s="175"/>
      <c r="HR47" s="175"/>
      <c r="HS47" s="175"/>
      <c r="HT47" s="175"/>
      <c r="HU47" s="175"/>
      <c r="HV47" s="175"/>
      <c r="HW47" s="175"/>
      <c r="HX47" s="175"/>
      <c r="HY47" s="175"/>
      <c r="HZ47" s="175"/>
      <c r="IA47" s="175"/>
      <c r="IB47" s="175"/>
      <c r="IC47" s="175"/>
      <c r="ID47" s="175"/>
      <c r="IE47" s="175"/>
      <c r="IF47" s="175"/>
      <c r="IG47" s="175"/>
      <c r="IH47" s="175"/>
      <c r="II47" s="175"/>
      <c r="IJ47" s="175"/>
      <c r="IK47" s="175"/>
      <c r="IL47" s="175"/>
      <c r="IM47" s="175"/>
      <c r="IN47" s="175"/>
      <c r="IO47" s="175"/>
      <c r="IP47" s="175"/>
      <c r="IQ47" s="175"/>
      <c r="IR47" s="175"/>
      <c r="IS47" s="175"/>
      <c r="IT47" s="175"/>
      <c r="IU47" s="175"/>
    </row>
    <row r="48" spans="1:255" s="197" customFormat="1" ht="52.5" customHeight="1" x14ac:dyDescent="0.25">
      <c r="A48" s="173">
        <f t="shared" si="0"/>
        <v>43</v>
      </c>
      <c r="B48" s="173" t="s">
        <v>164</v>
      </c>
      <c r="C48" s="173" t="s">
        <v>1800</v>
      </c>
      <c r="D48" s="176" t="s">
        <v>1801</v>
      </c>
      <c r="E48" s="213" t="s">
        <v>1691</v>
      </c>
      <c r="F48" s="173">
        <v>104</v>
      </c>
      <c r="G48" s="173">
        <v>70</v>
      </c>
      <c r="H48" s="177" t="s">
        <v>1641</v>
      </c>
      <c r="I48" s="177">
        <v>4.0000000000000002E-4</v>
      </c>
      <c r="J48" s="194"/>
      <c r="K48" s="194"/>
      <c r="L48" s="194">
        <v>15</v>
      </c>
      <c r="M48" s="194">
        <v>43</v>
      </c>
      <c r="N48" s="207">
        <f>9568*I48*SQRT(M48)/розрах!$I$133</f>
        <v>1.2434655700539917E-2</v>
      </c>
      <c r="O48" s="224">
        <f>G48/1000*G48/1000*F48*0.785/розрах!$I$175</f>
        <v>1.9820630026756191E-4</v>
      </c>
      <c r="P48" s="196"/>
      <c r="Q48" s="196"/>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75"/>
      <c r="FH48" s="175"/>
      <c r="FI48" s="175"/>
      <c r="FJ48" s="175"/>
      <c r="FK48" s="175"/>
      <c r="FL48" s="175"/>
      <c r="FM48" s="175"/>
      <c r="FN48" s="175"/>
      <c r="FO48" s="175"/>
      <c r="FP48" s="175"/>
      <c r="FQ48" s="175"/>
      <c r="FR48" s="175"/>
      <c r="FS48" s="175"/>
      <c r="FT48" s="175"/>
      <c r="FU48" s="175"/>
      <c r="FV48" s="175"/>
      <c r="FW48" s="175"/>
      <c r="FX48" s="175"/>
      <c r="FY48" s="175"/>
      <c r="FZ48" s="175"/>
      <c r="GA48" s="175"/>
      <c r="GB48" s="175"/>
      <c r="GC48" s="175"/>
      <c r="GD48" s="175"/>
      <c r="GE48" s="175"/>
      <c r="GF48" s="175"/>
      <c r="GG48" s="175"/>
      <c r="GH48" s="175"/>
      <c r="GI48" s="175"/>
      <c r="GJ48" s="175"/>
      <c r="GK48" s="175"/>
      <c r="GL48" s="175"/>
      <c r="GM48" s="175"/>
      <c r="GN48" s="175"/>
      <c r="GO48" s="175"/>
      <c r="GP48" s="175"/>
      <c r="GQ48" s="175"/>
      <c r="GR48" s="175"/>
      <c r="GS48" s="175"/>
      <c r="GT48" s="175"/>
      <c r="GU48" s="175"/>
      <c r="GV48" s="175"/>
      <c r="GW48" s="175"/>
      <c r="GX48" s="175"/>
      <c r="GY48" s="175"/>
      <c r="GZ48" s="175"/>
      <c r="HA48" s="175"/>
      <c r="HB48" s="175"/>
      <c r="HC48" s="175"/>
      <c r="HD48" s="175"/>
      <c r="HE48" s="175"/>
      <c r="HF48" s="175"/>
      <c r="HG48" s="175"/>
      <c r="HH48" s="175"/>
      <c r="HI48" s="175"/>
      <c r="HJ48" s="175"/>
      <c r="HK48" s="175"/>
      <c r="HL48" s="175"/>
      <c r="HM48" s="175"/>
      <c r="HN48" s="175"/>
      <c r="HO48" s="175"/>
      <c r="HP48" s="175"/>
      <c r="HQ48" s="175"/>
      <c r="HR48" s="175"/>
      <c r="HS48" s="175"/>
      <c r="HT48" s="175"/>
      <c r="HU48" s="175"/>
      <c r="HV48" s="175"/>
      <c r="HW48" s="175"/>
      <c r="HX48" s="175"/>
      <c r="HY48" s="175"/>
      <c r="HZ48" s="175"/>
      <c r="IA48" s="175"/>
      <c r="IB48" s="175"/>
      <c r="IC48" s="175"/>
      <c r="ID48" s="175"/>
      <c r="IE48" s="175"/>
      <c r="IF48" s="175"/>
      <c r="IG48" s="175"/>
      <c r="IH48" s="175"/>
      <c r="II48" s="175"/>
      <c r="IJ48" s="175"/>
      <c r="IK48" s="175"/>
      <c r="IL48" s="175"/>
      <c r="IM48" s="175"/>
      <c r="IN48" s="175"/>
      <c r="IO48" s="175"/>
      <c r="IP48" s="175"/>
      <c r="IQ48" s="175"/>
      <c r="IR48" s="175"/>
      <c r="IS48" s="175"/>
      <c r="IT48" s="175"/>
      <c r="IU48" s="175"/>
    </row>
    <row r="49" spans="1:255" s="197" customFormat="1" ht="63.75" customHeight="1" x14ac:dyDescent="0.25">
      <c r="A49" s="173">
        <f t="shared" si="0"/>
        <v>44</v>
      </c>
      <c r="B49" s="173" t="s">
        <v>164</v>
      </c>
      <c r="C49" s="173" t="s">
        <v>1800</v>
      </c>
      <c r="D49" s="176" t="s">
        <v>1545</v>
      </c>
      <c r="E49" s="213" t="s">
        <v>1830</v>
      </c>
      <c r="F49" s="173">
        <v>32</v>
      </c>
      <c r="G49" s="173">
        <v>100</v>
      </c>
      <c r="H49" s="177" t="s">
        <v>1509</v>
      </c>
      <c r="I49" s="177">
        <v>2.9999999999999997E-4</v>
      </c>
      <c r="J49" s="194"/>
      <c r="K49" s="194"/>
      <c r="L49" s="194">
        <v>6</v>
      </c>
      <c r="M49" s="194">
        <v>55</v>
      </c>
      <c r="N49" s="207">
        <f>9568*I49*SQRT(M49)/розрах!$I$133</f>
        <v>1.054732054888562E-2</v>
      </c>
      <c r="O49" s="224">
        <f>G49/1000*G49/1000*F49*0.785/розрах!$I$175</f>
        <v>1.2446235495608283E-4</v>
      </c>
      <c r="P49" s="196"/>
      <c r="Q49" s="196"/>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c r="GH49" s="175"/>
      <c r="GI49" s="175"/>
      <c r="GJ49" s="175"/>
      <c r="GK49" s="175"/>
      <c r="GL49" s="175"/>
      <c r="GM49" s="175"/>
      <c r="GN49" s="175"/>
      <c r="GO49" s="175"/>
      <c r="GP49" s="175"/>
      <c r="GQ49" s="175"/>
      <c r="GR49" s="175"/>
      <c r="GS49" s="175"/>
      <c r="GT49" s="175"/>
      <c r="GU49" s="175"/>
      <c r="GV49" s="175"/>
      <c r="GW49" s="175"/>
      <c r="GX49" s="175"/>
      <c r="GY49" s="175"/>
      <c r="GZ49" s="175"/>
      <c r="HA49" s="175"/>
      <c r="HB49" s="175"/>
      <c r="HC49" s="175"/>
      <c r="HD49" s="175"/>
      <c r="HE49" s="175"/>
      <c r="HF49" s="175"/>
      <c r="HG49" s="175"/>
      <c r="HH49" s="175"/>
      <c r="HI49" s="175"/>
      <c r="HJ49" s="175"/>
      <c r="HK49" s="175"/>
      <c r="HL49" s="175"/>
      <c r="HM49" s="175"/>
      <c r="HN49" s="175"/>
      <c r="HO49" s="175"/>
      <c r="HP49" s="175"/>
      <c r="HQ49" s="175"/>
      <c r="HR49" s="175"/>
      <c r="HS49" s="175"/>
      <c r="HT49" s="175"/>
      <c r="HU49" s="175"/>
      <c r="HV49" s="175"/>
      <c r="HW49" s="175"/>
      <c r="HX49" s="175"/>
      <c r="HY49" s="175"/>
      <c r="HZ49" s="175"/>
      <c r="IA49" s="175"/>
      <c r="IB49" s="175"/>
      <c r="IC49" s="175"/>
      <c r="ID49" s="175"/>
      <c r="IE49" s="175"/>
      <c r="IF49" s="175"/>
      <c r="IG49" s="175"/>
      <c r="IH49" s="175"/>
      <c r="II49" s="175"/>
      <c r="IJ49" s="175"/>
      <c r="IK49" s="175"/>
      <c r="IL49" s="175"/>
      <c r="IM49" s="175"/>
      <c r="IN49" s="175"/>
      <c r="IO49" s="175"/>
      <c r="IP49" s="175"/>
      <c r="IQ49" s="175"/>
      <c r="IR49" s="175"/>
      <c r="IS49" s="175"/>
      <c r="IT49" s="175"/>
      <c r="IU49" s="175"/>
    </row>
    <row r="50" spans="1:255" s="197" customFormat="1" ht="63.75" customHeight="1" x14ac:dyDescent="0.25">
      <c r="A50" s="173">
        <f t="shared" si="0"/>
        <v>45</v>
      </c>
      <c r="B50" s="173" t="s">
        <v>164</v>
      </c>
      <c r="C50" s="173" t="s">
        <v>1795</v>
      </c>
      <c r="D50" s="176" t="s">
        <v>1693</v>
      </c>
      <c r="E50" s="213" t="s">
        <v>1692</v>
      </c>
      <c r="F50" s="173">
        <v>72</v>
      </c>
      <c r="G50" s="173">
        <v>100</v>
      </c>
      <c r="H50" s="177" t="s">
        <v>1509</v>
      </c>
      <c r="I50" s="177">
        <v>2.9999999999999997E-4</v>
      </c>
      <c r="J50" s="194"/>
      <c r="K50" s="194"/>
      <c r="L50" s="194">
        <v>6</v>
      </c>
      <c r="M50" s="194">
        <v>72</v>
      </c>
      <c r="N50" s="207">
        <f>9568*I50*SQRT(M50)/розрах!$I$133</f>
        <v>1.2067770672172469E-2</v>
      </c>
      <c r="O50" s="224">
        <f>G50/1000*G50/1000*F50*0.785/розрах!$I$175</f>
        <v>2.8004029865118631E-4</v>
      </c>
      <c r="P50" s="196"/>
      <c r="Q50" s="196"/>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c r="GH50" s="175"/>
      <c r="GI50" s="175"/>
      <c r="GJ50" s="175"/>
      <c r="GK50" s="175"/>
      <c r="GL50" s="175"/>
      <c r="GM50" s="175"/>
      <c r="GN50" s="175"/>
      <c r="GO50" s="175"/>
      <c r="GP50" s="175"/>
      <c r="GQ50" s="175"/>
      <c r="GR50" s="175"/>
      <c r="GS50" s="175"/>
      <c r="GT50" s="175"/>
      <c r="GU50" s="175"/>
      <c r="GV50" s="175"/>
      <c r="GW50" s="175"/>
      <c r="GX50" s="175"/>
      <c r="GY50" s="175"/>
      <c r="GZ50" s="175"/>
      <c r="HA50" s="175"/>
      <c r="HB50" s="175"/>
      <c r="HC50" s="175"/>
      <c r="HD50" s="175"/>
      <c r="HE50" s="175"/>
      <c r="HF50" s="175"/>
      <c r="HG50" s="175"/>
      <c r="HH50" s="175"/>
      <c r="HI50" s="175"/>
      <c r="HJ50" s="175"/>
      <c r="HK50" s="175"/>
      <c r="HL50" s="175"/>
      <c r="HM50" s="175"/>
      <c r="HN50" s="175"/>
      <c r="HO50" s="175"/>
      <c r="HP50" s="175"/>
      <c r="HQ50" s="175"/>
      <c r="HR50" s="175"/>
      <c r="HS50" s="175"/>
      <c r="HT50" s="175"/>
      <c r="HU50" s="175"/>
      <c r="HV50" s="175"/>
      <c r="HW50" s="175"/>
      <c r="HX50" s="175"/>
      <c r="HY50" s="175"/>
      <c r="HZ50" s="175"/>
      <c r="IA50" s="175"/>
      <c r="IB50" s="175"/>
      <c r="IC50" s="175"/>
      <c r="ID50" s="175"/>
      <c r="IE50" s="175"/>
      <c r="IF50" s="175"/>
      <c r="IG50" s="175"/>
      <c r="IH50" s="175"/>
      <c r="II50" s="175"/>
      <c r="IJ50" s="175"/>
      <c r="IK50" s="175"/>
      <c r="IL50" s="175"/>
      <c r="IM50" s="175"/>
      <c r="IN50" s="175"/>
      <c r="IO50" s="175"/>
      <c r="IP50" s="175"/>
      <c r="IQ50" s="175"/>
      <c r="IR50" s="175"/>
      <c r="IS50" s="175"/>
      <c r="IT50" s="175"/>
      <c r="IU50" s="175"/>
    </row>
    <row r="51" spans="1:255" s="197" customFormat="1" ht="60.75" customHeight="1" x14ac:dyDescent="0.25">
      <c r="A51" s="173">
        <f t="shared" si="0"/>
        <v>46</v>
      </c>
      <c r="B51" s="173" t="s">
        <v>164</v>
      </c>
      <c r="C51" s="173" t="s">
        <v>1817</v>
      </c>
      <c r="D51" s="176" t="s">
        <v>1546</v>
      </c>
      <c r="E51" s="213" t="s">
        <v>1694</v>
      </c>
      <c r="F51" s="173">
        <v>55</v>
      </c>
      <c r="G51" s="173">
        <v>80</v>
      </c>
      <c r="H51" s="177" t="s">
        <v>1641</v>
      </c>
      <c r="I51" s="177">
        <v>2.0000000000000001E-4</v>
      </c>
      <c r="J51" s="194"/>
      <c r="K51" s="194"/>
      <c r="L51" s="194">
        <v>0.5</v>
      </c>
      <c r="M51" s="194">
        <v>42</v>
      </c>
      <c r="N51" s="207">
        <f>9568*I51*SQRT(M51)/розрах!$I$133</f>
        <v>6.1446080638442755E-3</v>
      </c>
      <c r="O51" s="194">
        <f>G51/1000*G51/1000*F51*0.785/розрах!$I$175</f>
        <v>1.3690859045169113E-4</v>
      </c>
      <c r="P51" s="196"/>
      <c r="Q51" s="196"/>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5"/>
      <c r="DM51" s="175"/>
      <c r="DN51" s="175"/>
      <c r="DO51" s="175"/>
      <c r="DP51" s="175"/>
      <c r="DQ51" s="175"/>
      <c r="DR51" s="175"/>
      <c r="DS51" s="175"/>
      <c r="DT51" s="175"/>
      <c r="DU51" s="175"/>
      <c r="DV51" s="175"/>
      <c r="DW51" s="175"/>
      <c r="DX51" s="175"/>
      <c r="DY51" s="175"/>
      <c r="DZ51" s="175"/>
      <c r="EA51" s="175"/>
      <c r="EB51" s="175"/>
      <c r="EC51" s="175"/>
      <c r="ED51" s="175"/>
      <c r="EE51" s="175"/>
      <c r="EF51" s="175"/>
      <c r="EG51" s="175"/>
      <c r="EH51" s="175"/>
      <c r="EI51" s="175"/>
      <c r="EJ51" s="175"/>
      <c r="EK51" s="175"/>
      <c r="EL51" s="175"/>
      <c r="EM51" s="175"/>
      <c r="EN51" s="175"/>
      <c r="EO51" s="175"/>
      <c r="EP51" s="175"/>
      <c r="EQ51" s="175"/>
      <c r="ER51" s="175"/>
      <c r="ES51" s="175"/>
      <c r="ET51" s="175"/>
      <c r="EU51" s="175"/>
      <c r="EV51" s="175"/>
      <c r="EW51" s="175"/>
      <c r="EX51" s="175"/>
      <c r="EY51" s="175"/>
      <c r="EZ51" s="175"/>
      <c r="FA51" s="175"/>
      <c r="FB51" s="175"/>
      <c r="FC51" s="175"/>
      <c r="FD51" s="175"/>
      <c r="FE51" s="175"/>
      <c r="FF51" s="175"/>
      <c r="FG51" s="175"/>
      <c r="FH51" s="175"/>
      <c r="FI51" s="175"/>
      <c r="FJ51" s="175"/>
      <c r="FK51" s="175"/>
      <c r="FL51" s="175"/>
      <c r="FM51" s="175"/>
      <c r="FN51" s="175"/>
      <c r="FO51" s="175"/>
      <c r="FP51" s="175"/>
      <c r="FQ51" s="175"/>
      <c r="FR51" s="175"/>
      <c r="FS51" s="175"/>
      <c r="FT51" s="175"/>
      <c r="FU51" s="175"/>
      <c r="FV51" s="175"/>
      <c r="FW51" s="175"/>
      <c r="FX51" s="175"/>
      <c r="FY51" s="175"/>
      <c r="FZ51" s="175"/>
      <c r="GA51" s="175"/>
      <c r="GB51" s="175"/>
      <c r="GC51" s="175"/>
      <c r="GD51" s="175"/>
      <c r="GE51" s="175"/>
      <c r="GF51" s="175"/>
      <c r="GG51" s="175"/>
      <c r="GH51" s="175"/>
      <c r="GI51" s="175"/>
      <c r="GJ51" s="175"/>
      <c r="GK51" s="175"/>
      <c r="GL51" s="175"/>
      <c r="GM51" s="175"/>
      <c r="GN51" s="175"/>
      <c r="GO51" s="175"/>
      <c r="GP51" s="175"/>
      <c r="GQ51" s="175"/>
      <c r="GR51" s="175"/>
      <c r="GS51" s="175"/>
      <c r="GT51" s="175"/>
      <c r="GU51" s="175"/>
      <c r="GV51" s="175"/>
      <c r="GW51" s="175"/>
      <c r="GX51" s="175"/>
      <c r="GY51" s="175"/>
      <c r="GZ51" s="175"/>
      <c r="HA51" s="175"/>
      <c r="HB51" s="175"/>
      <c r="HC51" s="175"/>
      <c r="HD51" s="175"/>
      <c r="HE51" s="175"/>
      <c r="HF51" s="175"/>
      <c r="HG51" s="175"/>
      <c r="HH51" s="175"/>
      <c r="HI51" s="175"/>
      <c r="HJ51" s="175"/>
      <c r="HK51" s="175"/>
      <c r="HL51" s="175"/>
      <c r="HM51" s="175"/>
      <c r="HN51" s="175"/>
      <c r="HO51" s="175"/>
      <c r="HP51" s="175"/>
      <c r="HQ51" s="175"/>
      <c r="HR51" s="175"/>
      <c r="HS51" s="175"/>
      <c r="HT51" s="175"/>
      <c r="HU51" s="175"/>
      <c r="HV51" s="175"/>
      <c r="HW51" s="175"/>
      <c r="HX51" s="175"/>
      <c r="HY51" s="175"/>
      <c r="HZ51" s="175"/>
      <c r="IA51" s="175"/>
      <c r="IB51" s="175"/>
      <c r="IC51" s="175"/>
      <c r="ID51" s="175"/>
      <c r="IE51" s="175"/>
      <c r="IF51" s="175"/>
      <c r="IG51" s="175"/>
      <c r="IH51" s="175"/>
      <c r="II51" s="175"/>
      <c r="IJ51" s="175"/>
      <c r="IK51" s="175"/>
      <c r="IL51" s="175"/>
      <c r="IM51" s="175"/>
      <c r="IN51" s="175"/>
      <c r="IO51" s="175"/>
      <c r="IP51" s="175"/>
      <c r="IQ51" s="175"/>
      <c r="IR51" s="175"/>
      <c r="IS51" s="175"/>
      <c r="IT51" s="175"/>
      <c r="IU51" s="175"/>
    </row>
    <row r="52" spans="1:255" s="197" customFormat="1" ht="63.75" customHeight="1" x14ac:dyDescent="0.25">
      <c r="A52" s="173">
        <f t="shared" si="0"/>
        <v>47</v>
      </c>
      <c r="B52" s="173" t="s">
        <v>164</v>
      </c>
      <c r="C52" s="173" t="s">
        <v>1797</v>
      </c>
      <c r="D52" s="176" t="s">
        <v>1527</v>
      </c>
      <c r="E52" s="210" t="s">
        <v>1671</v>
      </c>
      <c r="F52" s="177">
        <v>56</v>
      </c>
      <c r="G52" s="173">
        <v>80</v>
      </c>
      <c r="H52" s="177" t="s">
        <v>1641</v>
      </c>
      <c r="I52" s="177">
        <v>4.0000000000000002E-4</v>
      </c>
      <c r="J52" s="194"/>
      <c r="K52" s="194"/>
      <c r="L52" s="194">
        <v>12</v>
      </c>
      <c r="M52" s="194">
        <v>32</v>
      </c>
      <c r="N52" s="207">
        <f>9568*I52*SQRT(M52)/розрах!$I$133</f>
        <v>1.0726907264153309E-2</v>
      </c>
      <c r="O52" s="194">
        <f>G52/1000*G52/1000*F52*0.785/розрах!$I$175</f>
        <v>1.3939783755081273E-4</v>
      </c>
      <c r="P52" s="196"/>
      <c r="Q52" s="196"/>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c r="ES52" s="175"/>
      <c r="ET52" s="175"/>
      <c r="EU52" s="175"/>
      <c r="EV52" s="175"/>
      <c r="EW52" s="175"/>
      <c r="EX52" s="175"/>
      <c r="EY52" s="175"/>
      <c r="EZ52" s="175"/>
      <c r="FA52" s="175"/>
      <c r="FB52" s="175"/>
      <c r="FC52" s="175"/>
      <c r="FD52" s="175"/>
      <c r="FE52" s="175"/>
      <c r="FF52" s="175"/>
      <c r="FG52" s="175"/>
      <c r="FH52" s="175"/>
      <c r="FI52" s="175"/>
      <c r="FJ52" s="175"/>
      <c r="FK52" s="175"/>
      <c r="FL52" s="175"/>
      <c r="FM52" s="175"/>
      <c r="FN52" s="175"/>
      <c r="FO52" s="175"/>
      <c r="FP52" s="175"/>
      <c r="FQ52" s="175"/>
      <c r="FR52" s="175"/>
      <c r="FS52" s="175"/>
      <c r="FT52" s="175"/>
      <c r="FU52" s="175"/>
      <c r="FV52" s="175"/>
      <c r="FW52" s="175"/>
      <c r="FX52" s="175"/>
      <c r="FY52" s="175"/>
      <c r="FZ52" s="175"/>
      <c r="GA52" s="175"/>
      <c r="GB52" s="175"/>
      <c r="GC52" s="175"/>
      <c r="GD52" s="175"/>
      <c r="GE52" s="175"/>
      <c r="GF52" s="175"/>
      <c r="GG52" s="175"/>
      <c r="GH52" s="175"/>
      <c r="GI52" s="175"/>
      <c r="GJ52" s="175"/>
      <c r="GK52" s="175"/>
      <c r="GL52" s="175"/>
      <c r="GM52" s="175"/>
      <c r="GN52" s="175"/>
      <c r="GO52" s="175"/>
      <c r="GP52" s="175"/>
      <c r="GQ52" s="175"/>
      <c r="GR52" s="175"/>
      <c r="GS52" s="175"/>
      <c r="GT52" s="175"/>
      <c r="GU52" s="175"/>
      <c r="GV52" s="175"/>
      <c r="GW52" s="175"/>
      <c r="GX52" s="175"/>
      <c r="GY52" s="175"/>
      <c r="GZ52" s="175"/>
      <c r="HA52" s="175"/>
      <c r="HB52" s="175"/>
      <c r="HC52" s="175"/>
      <c r="HD52" s="175"/>
      <c r="HE52" s="175"/>
      <c r="HF52" s="175"/>
      <c r="HG52" s="175"/>
      <c r="HH52" s="175"/>
      <c r="HI52" s="175"/>
      <c r="HJ52" s="175"/>
      <c r="HK52" s="175"/>
      <c r="HL52" s="175"/>
      <c r="HM52" s="175"/>
      <c r="HN52" s="175"/>
      <c r="HO52" s="175"/>
      <c r="HP52" s="175"/>
      <c r="HQ52" s="175"/>
      <c r="HR52" s="175"/>
      <c r="HS52" s="175"/>
      <c r="HT52" s="175"/>
      <c r="HU52" s="175"/>
      <c r="HV52" s="175"/>
      <c r="HW52" s="175"/>
      <c r="HX52" s="175"/>
      <c r="HY52" s="175"/>
      <c r="HZ52" s="175"/>
      <c r="IA52" s="175"/>
      <c r="IB52" s="175"/>
      <c r="IC52" s="175"/>
      <c r="ID52" s="175"/>
      <c r="IE52" s="175"/>
      <c r="IF52" s="175"/>
      <c r="IG52" s="175"/>
      <c r="IH52" s="175"/>
      <c r="II52" s="175"/>
      <c r="IJ52" s="175"/>
      <c r="IK52" s="175"/>
      <c r="IL52" s="175"/>
      <c r="IM52" s="175"/>
      <c r="IN52" s="175"/>
      <c r="IO52" s="175"/>
      <c r="IP52" s="175"/>
      <c r="IQ52" s="175"/>
      <c r="IR52" s="175"/>
      <c r="IS52" s="175"/>
      <c r="IT52" s="175"/>
      <c r="IU52" s="175"/>
    </row>
    <row r="53" spans="1:255" s="197" customFormat="1" ht="60" customHeight="1" x14ac:dyDescent="0.25">
      <c r="A53" s="173">
        <f t="shared" si="0"/>
        <v>48</v>
      </c>
      <c r="B53" s="173" t="s">
        <v>164</v>
      </c>
      <c r="C53" s="173" t="s">
        <v>1797</v>
      </c>
      <c r="D53" s="176" t="s">
        <v>1527</v>
      </c>
      <c r="E53" s="210" t="s">
        <v>1671</v>
      </c>
      <c r="F53" s="177">
        <v>56</v>
      </c>
      <c r="G53" s="173">
        <v>150</v>
      </c>
      <c r="H53" s="177" t="s">
        <v>1509</v>
      </c>
      <c r="I53" s="177">
        <v>5.9999999999999995E-4</v>
      </c>
      <c r="J53" s="194"/>
      <c r="K53" s="194"/>
      <c r="L53" s="194">
        <v>6</v>
      </c>
      <c r="M53" s="194">
        <v>54</v>
      </c>
      <c r="N53" s="207">
        <f>9568*I53*SQRT(M53)/розрах!$I$133</f>
        <v>2.0901991938292341E-2</v>
      </c>
      <c r="O53" s="224">
        <f>G53/1000*G53/1000*F53*0.785/розрах!$I$175</f>
        <v>4.9007052263957615E-4</v>
      </c>
      <c r="P53" s="196"/>
      <c r="Q53" s="196"/>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c r="EC53" s="175"/>
      <c r="ED53" s="175"/>
      <c r="EE53" s="175"/>
      <c r="EF53" s="175"/>
      <c r="EG53" s="175"/>
      <c r="EH53" s="175"/>
      <c r="EI53" s="175"/>
      <c r="EJ53" s="175"/>
      <c r="EK53" s="175"/>
      <c r="EL53" s="175"/>
      <c r="EM53" s="175"/>
      <c r="EN53" s="175"/>
      <c r="EO53" s="175"/>
      <c r="EP53" s="175"/>
      <c r="EQ53" s="175"/>
      <c r="ER53" s="175"/>
      <c r="ES53" s="175"/>
      <c r="ET53" s="175"/>
      <c r="EU53" s="175"/>
      <c r="EV53" s="175"/>
      <c r="EW53" s="175"/>
      <c r="EX53" s="175"/>
      <c r="EY53" s="175"/>
      <c r="EZ53" s="175"/>
      <c r="FA53" s="175"/>
      <c r="FB53" s="175"/>
      <c r="FC53" s="175"/>
      <c r="FD53" s="175"/>
      <c r="FE53" s="175"/>
      <c r="FF53" s="175"/>
      <c r="FG53" s="175"/>
      <c r="FH53" s="175"/>
      <c r="FI53" s="175"/>
      <c r="FJ53" s="175"/>
      <c r="FK53" s="175"/>
      <c r="FL53" s="175"/>
      <c r="FM53" s="175"/>
      <c r="FN53" s="175"/>
      <c r="FO53" s="175"/>
      <c r="FP53" s="175"/>
      <c r="FQ53" s="175"/>
      <c r="FR53" s="175"/>
      <c r="FS53" s="175"/>
      <c r="FT53" s="175"/>
      <c r="FU53" s="175"/>
      <c r="FV53" s="175"/>
      <c r="FW53" s="175"/>
      <c r="FX53" s="175"/>
      <c r="FY53" s="175"/>
      <c r="FZ53" s="175"/>
      <c r="GA53" s="175"/>
      <c r="GB53" s="175"/>
      <c r="GC53" s="175"/>
      <c r="GD53" s="175"/>
      <c r="GE53" s="175"/>
      <c r="GF53" s="175"/>
      <c r="GG53" s="175"/>
      <c r="GH53" s="175"/>
      <c r="GI53" s="175"/>
      <c r="GJ53" s="175"/>
      <c r="GK53" s="175"/>
      <c r="GL53" s="175"/>
      <c r="GM53" s="175"/>
      <c r="GN53" s="175"/>
      <c r="GO53" s="175"/>
      <c r="GP53" s="175"/>
      <c r="GQ53" s="175"/>
      <c r="GR53" s="175"/>
      <c r="GS53" s="175"/>
      <c r="GT53" s="175"/>
      <c r="GU53" s="175"/>
      <c r="GV53" s="175"/>
      <c r="GW53" s="175"/>
      <c r="GX53" s="175"/>
      <c r="GY53" s="175"/>
      <c r="GZ53" s="175"/>
      <c r="HA53" s="175"/>
      <c r="HB53" s="175"/>
      <c r="HC53" s="175"/>
      <c r="HD53" s="175"/>
      <c r="HE53" s="175"/>
      <c r="HF53" s="175"/>
      <c r="HG53" s="175"/>
      <c r="HH53" s="175"/>
      <c r="HI53" s="175"/>
      <c r="HJ53" s="175"/>
      <c r="HK53" s="175"/>
      <c r="HL53" s="175"/>
      <c r="HM53" s="175"/>
      <c r="HN53" s="175"/>
      <c r="HO53" s="175"/>
      <c r="HP53" s="175"/>
      <c r="HQ53" s="175"/>
      <c r="HR53" s="175"/>
      <c r="HS53" s="175"/>
      <c r="HT53" s="175"/>
      <c r="HU53" s="175"/>
      <c r="HV53" s="175"/>
      <c r="HW53" s="175"/>
      <c r="HX53" s="175"/>
      <c r="HY53" s="175"/>
      <c r="HZ53" s="175"/>
      <c r="IA53" s="175"/>
      <c r="IB53" s="175"/>
      <c r="IC53" s="175"/>
      <c r="ID53" s="175"/>
      <c r="IE53" s="175"/>
      <c r="IF53" s="175"/>
      <c r="IG53" s="175"/>
      <c r="IH53" s="175"/>
      <c r="II53" s="175"/>
      <c r="IJ53" s="175"/>
      <c r="IK53" s="175"/>
      <c r="IL53" s="175"/>
      <c r="IM53" s="175"/>
      <c r="IN53" s="175"/>
      <c r="IO53" s="175"/>
      <c r="IP53" s="175"/>
      <c r="IQ53" s="175"/>
      <c r="IR53" s="175"/>
      <c r="IS53" s="175"/>
      <c r="IT53" s="175"/>
      <c r="IU53" s="175"/>
    </row>
    <row r="54" spans="1:255" s="197" customFormat="1" ht="60.75" customHeight="1" x14ac:dyDescent="0.25">
      <c r="A54" s="173">
        <f t="shared" si="0"/>
        <v>49</v>
      </c>
      <c r="B54" s="173" t="s">
        <v>164</v>
      </c>
      <c r="C54" s="173" t="s">
        <v>1797</v>
      </c>
      <c r="D54" s="176" t="s">
        <v>1547</v>
      </c>
      <c r="E54" s="213" t="s">
        <v>1695</v>
      </c>
      <c r="F54" s="173">
        <v>16</v>
      </c>
      <c r="G54" s="173">
        <v>70</v>
      </c>
      <c r="H54" s="177" t="s">
        <v>1641</v>
      </c>
      <c r="I54" s="177">
        <v>5.0000000000000001E-4</v>
      </c>
      <c r="J54" s="194"/>
      <c r="K54" s="194"/>
      <c r="L54" s="194">
        <v>15</v>
      </c>
      <c r="M54" s="194">
        <v>32</v>
      </c>
      <c r="N54" s="207">
        <f>9568*I54*SQRT(M54)/розрах!$I$133</f>
        <v>1.3408634080191635E-2</v>
      </c>
      <c r="O54" s="224">
        <f>G54/1000*G54/1000*F54*0.785/розрах!$I$175</f>
        <v>3.0493276964240294E-5</v>
      </c>
      <c r="P54" s="196"/>
      <c r="Q54" s="196"/>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row>
    <row r="55" spans="1:255" s="197" customFormat="1" ht="76.5" customHeight="1" x14ac:dyDescent="0.25">
      <c r="A55" s="173">
        <f t="shared" si="0"/>
        <v>50</v>
      </c>
      <c r="B55" s="173" t="s">
        <v>164</v>
      </c>
      <c r="C55" s="173" t="s">
        <v>1821</v>
      </c>
      <c r="D55" s="176" t="s">
        <v>1548</v>
      </c>
      <c r="E55" s="213" t="s">
        <v>1696</v>
      </c>
      <c r="F55" s="173">
        <v>251</v>
      </c>
      <c r="G55" s="173">
        <v>150</v>
      </c>
      <c r="H55" s="177" t="s">
        <v>1509</v>
      </c>
      <c r="I55" s="177"/>
      <c r="J55" s="194"/>
      <c r="K55" s="195">
        <f>0.05*3.14*0.15*0.15/4</f>
        <v>8.8312500000000012E-4</v>
      </c>
      <c r="L55" s="225">
        <v>6</v>
      </c>
      <c r="M55" s="194">
        <v>62</v>
      </c>
      <c r="N55" s="207">
        <f>9568*K55*SQRT(M55)/розрах!$I$133</f>
        <v>3.2965340773469909E-2</v>
      </c>
      <c r="O55" s="224">
        <f>G55/1000*G55/1000*F55*0.785/розрах!$I$175</f>
        <v>2.1965660925452428E-3</v>
      </c>
      <c r="P55" s="196"/>
      <c r="Q55" s="196"/>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c r="ES55" s="175"/>
      <c r="ET55" s="175"/>
      <c r="EU55" s="175"/>
      <c r="EV55" s="175"/>
      <c r="EW55" s="175"/>
      <c r="EX55" s="175"/>
      <c r="EY55" s="175"/>
      <c r="EZ55" s="175"/>
      <c r="FA55" s="175"/>
      <c r="FB55" s="175"/>
      <c r="FC55" s="175"/>
      <c r="FD55" s="175"/>
      <c r="FE55" s="175"/>
      <c r="FF55" s="175"/>
      <c r="FG55" s="175"/>
      <c r="FH55" s="175"/>
      <c r="FI55" s="175"/>
      <c r="FJ55" s="175"/>
      <c r="FK55" s="175"/>
      <c r="FL55" s="175"/>
      <c r="FM55" s="175"/>
      <c r="FN55" s="175"/>
      <c r="FO55" s="175"/>
      <c r="FP55" s="175"/>
      <c r="FQ55" s="175"/>
      <c r="FR55" s="175"/>
      <c r="FS55" s="175"/>
      <c r="FT55" s="175"/>
      <c r="FU55" s="175"/>
      <c r="FV55" s="175"/>
      <c r="FW55" s="175"/>
      <c r="FX55" s="175"/>
      <c r="FY55" s="175"/>
      <c r="FZ55" s="175"/>
      <c r="GA55" s="175"/>
      <c r="GB55" s="175"/>
      <c r="GC55" s="175"/>
      <c r="GD55" s="175"/>
      <c r="GE55" s="175"/>
      <c r="GF55" s="175"/>
      <c r="GG55" s="175"/>
      <c r="GH55" s="175"/>
      <c r="GI55" s="175"/>
      <c r="GJ55" s="175"/>
      <c r="GK55" s="175"/>
      <c r="GL55" s="175"/>
      <c r="GM55" s="175"/>
      <c r="GN55" s="175"/>
      <c r="GO55" s="175"/>
      <c r="GP55" s="175"/>
      <c r="GQ55" s="175"/>
      <c r="GR55" s="175"/>
      <c r="GS55" s="175"/>
      <c r="GT55" s="175"/>
      <c r="GU55" s="175"/>
      <c r="GV55" s="175"/>
      <c r="GW55" s="175"/>
      <c r="GX55" s="175"/>
      <c r="GY55" s="175"/>
      <c r="GZ55" s="175"/>
      <c r="HA55" s="175"/>
      <c r="HB55" s="175"/>
      <c r="HC55" s="175"/>
      <c r="HD55" s="175"/>
      <c r="HE55" s="175"/>
      <c r="HF55" s="175"/>
      <c r="HG55" s="175"/>
      <c r="HH55" s="175"/>
      <c r="HI55" s="175"/>
      <c r="HJ55" s="175"/>
      <c r="HK55" s="175"/>
      <c r="HL55" s="175"/>
      <c r="HM55" s="175"/>
      <c r="HN55" s="175"/>
      <c r="HO55" s="175"/>
      <c r="HP55" s="175"/>
      <c r="HQ55" s="175"/>
      <c r="HR55" s="175"/>
      <c r="HS55" s="175"/>
      <c r="HT55" s="175"/>
      <c r="HU55" s="175"/>
      <c r="HV55" s="175"/>
      <c r="HW55" s="175"/>
      <c r="HX55" s="175"/>
      <c r="HY55" s="175"/>
      <c r="HZ55" s="175"/>
      <c r="IA55" s="175"/>
      <c r="IB55" s="175"/>
      <c r="IC55" s="175"/>
      <c r="ID55" s="175"/>
      <c r="IE55" s="175"/>
      <c r="IF55" s="175"/>
      <c r="IG55" s="175"/>
      <c r="IH55" s="175"/>
      <c r="II55" s="175"/>
      <c r="IJ55" s="175"/>
      <c r="IK55" s="175"/>
      <c r="IL55" s="175"/>
      <c r="IM55" s="175"/>
      <c r="IN55" s="175"/>
      <c r="IO55" s="175"/>
      <c r="IP55" s="175"/>
      <c r="IQ55" s="175"/>
      <c r="IR55" s="175"/>
      <c r="IS55" s="175"/>
      <c r="IT55" s="175"/>
      <c r="IU55" s="175"/>
    </row>
    <row r="56" spans="1:255" s="197" customFormat="1" ht="64.5" customHeight="1" x14ac:dyDescent="0.25">
      <c r="A56" s="173">
        <f t="shared" si="0"/>
        <v>51</v>
      </c>
      <c r="B56" s="173" t="s">
        <v>164</v>
      </c>
      <c r="C56" s="173" t="s">
        <v>1818</v>
      </c>
      <c r="D56" s="176" t="s">
        <v>1546</v>
      </c>
      <c r="E56" s="213" t="s">
        <v>1697</v>
      </c>
      <c r="F56" s="173">
        <v>76</v>
      </c>
      <c r="G56" s="173">
        <v>70</v>
      </c>
      <c r="H56" s="177" t="s">
        <v>1641</v>
      </c>
      <c r="I56" s="177">
        <v>2.0000000000000001E-4</v>
      </c>
      <c r="J56" s="194"/>
      <c r="K56" s="194"/>
      <c r="L56" s="194">
        <v>0.5</v>
      </c>
      <c r="M56" s="194">
        <v>42</v>
      </c>
      <c r="N56" s="207">
        <f>9568*I56*SQRT(M56)/розрах!$I$133</f>
        <v>6.1446080638442755E-3</v>
      </c>
      <c r="O56" s="224">
        <f>G56/1000*G56/1000*F56*0.785/розрах!$I$175</f>
        <v>1.4484306558014138E-4</v>
      </c>
      <c r="P56" s="196"/>
      <c r="Q56" s="196"/>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c r="EC56" s="175"/>
      <c r="ED56" s="175"/>
      <c r="EE56" s="175"/>
      <c r="EF56" s="175"/>
      <c r="EG56" s="175"/>
      <c r="EH56" s="175"/>
      <c r="EI56" s="175"/>
      <c r="EJ56" s="175"/>
      <c r="EK56" s="175"/>
      <c r="EL56" s="175"/>
      <c r="EM56" s="175"/>
      <c r="EN56" s="175"/>
      <c r="EO56" s="175"/>
      <c r="EP56" s="175"/>
      <c r="EQ56" s="175"/>
      <c r="ER56" s="175"/>
      <c r="ES56" s="175"/>
      <c r="ET56" s="175"/>
      <c r="EU56" s="175"/>
      <c r="EV56" s="175"/>
      <c r="EW56" s="175"/>
      <c r="EX56" s="175"/>
      <c r="EY56" s="175"/>
      <c r="EZ56" s="175"/>
      <c r="FA56" s="175"/>
      <c r="FB56" s="175"/>
      <c r="FC56" s="175"/>
      <c r="FD56" s="175"/>
      <c r="FE56" s="175"/>
      <c r="FF56" s="175"/>
      <c r="FG56" s="175"/>
      <c r="FH56" s="175"/>
      <c r="FI56" s="175"/>
      <c r="FJ56" s="175"/>
      <c r="FK56" s="175"/>
      <c r="FL56" s="175"/>
      <c r="FM56" s="175"/>
      <c r="FN56" s="175"/>
      <c r="FO56" s="175"/>
      <c r="FP56" s="175"/>
      <c r="FQ56" s="175"/>
      <c r="FR56" s="175"/>
      <c r="FS56" s="175"/>
      <c r="FT56" s="175"/>
      <c r="FU56" s="175"/>
      <c r="FV56" s="175"/>
      <c r="FW56" s="175"/>
      <c r="FX56" s="175"/>
      <c r="FY56" s="175"/>
      <c r="FZ56" s="175"/>
      <c r="GA56" s="175"/>
      <c r="GB56" s="175"/>
      <c r="GC56" s="175"/>
      <c r="GD56" s="175"/>
      <c r="GE56" s="175"/>
      <c r="GF56" s="175"/>
      <c r="GG56" s="175"/>
      <c r="GH56" s="175"/>
      <c r="GI56" s="175"/>
      <c r="GJ56" s="175"/>
      <c r="GK56" s="175"/>
      <c r="GL56" s="175"/>
      <c r="GM56" s="175"/>
      <c r="GN56" s="175"/>
      <c r="GO56" s="175"/>
      <c r="GP56" s="175"/>
      <c r="GQ56" s="175"/>
      <c r="GR56" s="175"/>
      <c r="GS56" s="175"/>
      <c r="GT56" s="175"/>
      <c r="GU56" s="175"/>
      <c r="GV56" s="175"/>
      <c r="GW56" s="175"/>
      <c r="GX56" s="175"/>
      <c r="GY56" s="175"/>
      <c r="GZ56" s="175"/>
      <c r="HA56" s="175"/>
      <c r="HB56" s="175"/>
      <c r="HC56" s="175"/>
      <c r="HD56" s="175"/>
      <c r="HE56" s="175"/>
      <c r="HF56" s="175"/>
      <c r="HG56" s="175"/>
      <c r="HH56" s="175"/>
      <c r="HI56" s="175"/>
      <c r="HJ56" s="175"/>
      <c r="HK56" s="175"/>
      <c r="HL56" s="175"/>
      <c r="HM56" s="175"/>
      <c r="HN56" s="175"/>
      <c r="HO56" s="175"/>
      <c r="HP56" s="175"/>
      <c r="HQ56" s="175"/>
      <c r="HR56" s="175"/>
      <c r="HS56" s="175"/>
      <c r="HT56" s="175"/>
      <c r="HU56" s="175"/>
      <c r="HV56" s="175"/>
      <c r="HW56" s="175"/>
      <c r="HX56" s="175"/>
      <c r="HY56" s="175"/>
      <c r="HZ56" s="175"/>
      <c r="IA56" s="175"/>
      <c r="IB56" s="175"/>
      <c r="IC56" s="175"/>
      <c r="ID56" s="175"/>
      <c r="IE56" s="175"/>
      <c r="IF56" s="175"/>
      <c r="IG56" s="175"/>
      <c r="IH56" s="175"/>
      <c r="II56" s="175"/>
      <c r="IJ56" s="175"/>
      <c r="IK56" s="175"/>
      <c r="IL56" s="175"/>
      <c r="IM56" s="175"/>
      <c r="IN56" s="175"/>
      <c r="IO56" s="175"/>
      <c r="IP56" s="175"/>
      <c r="IQ56" s="175"/>
      <c r="IR56" s="175"/>
      <c r="IS56" s="175"/>
      <c r="IT56" s="175"/>
      <c r="IU56" s="175"/>
    </row>
    <row r="57" spans="1:255" s="197" customFormat="1" ht="61.5" customHeight="1" x14ac:dyDescent="0.25">
      <c r="A57" s="173">
        <f t="shared" si="0"/>
        <v>52</v>
      </c>
      <c r="B57" s="173" t="s">
        <v>164</v>
      </c>
      <c r="C57" s="173" t="s">
        <v>1793</v>
      </c>
      <c r="D57" s="174" t="s">
        <v>1549</v>
      </c>
      <c r="E57" s="210" t="s">
        <v>1698</v>
      </c>
      <c r="F57" s="177">
        <v>14</v>
      </c>
      <c r="G57" s="173">
        <v>50</v>
      </c>
      <c r="H57" s="177" t="s">
        <v>1641</v>
      </c>
      <c r="I57" s="177">
        <v>2.0000000000000001E-4</v>
      </c>
      <c r="J57" s="194"/>
      <c r="K57" s="194"/>
      <c r="L57" s="194">
        <v>14</v>
      </c>
      <c r="M57" s="194">
        <v>40</v>
      </c>
      <c r="N57" s="207">
        <f>9568*I57*SQRT(M57)/розрах!$I$133</f>
        <v>5.9965234577457728E-3</v>
      </c>
      <c r="O57" s="224">
        <f>G57/1000*G57/1000*F57*0.785/розрах!$I$175</f>
        <v>1.3613070073321559E-5</v>
      </c>
      <c r="P57" s="196"/>
      <c r="Q57" s="196"/>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c r="DZ57" s="175"/>
      <c r="EA57" s="175"/>
      <c r="EB57" s="175"/>
      <c r="EC57" s="175"/>
      <c r="ED57" s="175"/>
      <c r="EE57" s="175"/>
      <c r="EF57" s="175"/>
      <c r="EG57" s="175"/>
      <c r="EH57" s="175"/>
      <c r="EI57" s="175"/>
      <c r="EJ57" s="175"/>
      <c r="EK57" s="175"/>
      <c r="EL57" s="175"/>
      <c r="EM57" s="175"/>
      <c r="EN57" s="175"/>
      <c r="EO57" s="175"/>
      <c r="EP57" s="175"/>
      <c r="EQ57" s="175"/>
      <c r="ER57" s="175"/>
      <c r="ES57" s="175"/>
      <c r="ET57" s="175"/>
      <c r="EU57" s="175"/>
      <c r="EV57" s="175"/>
      <c r="EW57" s="175"/>
      <c r="EX57" s="175"/>
      <c r="EY57" s="175"/>
      <c r="EZ57" s="175"/>
      <c r="FA57" s="175"/>
      <c r="FB57" s="175"/>
      <c r="FC57" s="175"/>
      <c r="FD57" s="175"/>
      <c r="FE57" s="175"/>
      <c r="FF57" s="175"/>
      <c r="FG57" s="175"/>
      <c r="FH57" s="175"/>
      <c r="FI57" s="175"/>
      <c r="FJ57" s="175"/>
      <c r="FK57" s="175"/>
      <c r="FL57" s="175"/>
      <c r="FM57" s="175"/>
      <c r="FN57" s="175"/>
      <c r="FO57" s="175"/>
      <c r="FP57" s="175"/>
      <c r="FQ57" s="175"/>
      <c r="FR57" s="175"/>
      <c r="FS57" s="175"/>
      <c r="FT57" s="175"/>
      <c r="FU57" s="175"/>
      <c r="FV57" s="175"/>
      <c r="FW57" s="175"/>
      <c r="FX57" s="175"/>
      <c r="FY57" s="175"/>
      <c r="FZ57" s="175"/>
      <c r="GA57" s="175"/>
      <c r="GB57" s="175"/>
      <c r="GC57" s="175"/>
      <c r="GD57" s="175"/>
      <c r="GE57" s="175"/>
      <c r="GF57" s="175"/>
      <c r="GG57" s="175"/>
      <c r="GH57" s="175"/>
      <c r="GI57" s="175"/>
      <c r="GJ57" s="175"/>
      <c r="GK57" s="175"/>
      <c r="GL57" s="175"/>
      <c r="GM57" s="175"/>
      <c r="GN57" s="175"/>
      <c r="GO57" s="175"/>
      <c r="GP57" s="175"/>
      <c r="GQ57" s="175"/>
      <c r="GR57" s="175"/>
      <c r="GS57" s="175"/>
      <c r="GT57" s="175"/>
      <c r="GU57" s="175"/>
      <c r="GV57" s="175"/>
      <c r="GW57" s="175"/>
      <c r="GX57" s="175"/>
      <c r="GY57" s="175"/>
      <c r="GZ57" s="175"/>
      <c r="HA57" s="175"/>
      <c r="HB57" s="175"/>
      <c r="HC57" s="175"/>
      <c r="HD57" s="175"/>
      <c r="HE57" s="175"/>
      <c r="HF57" s="175"/>
      <c r="HG57" s="175"/>
      <c r="HH57" s="175"/>
      <c r="HI57" s="175"/>
      <c r="HJ57" s="175"/>
      <c r="HK57" s="175"/>
      <c r="HL57" s="175"/>
      <c r="HM57" s="175"/>
      <c r="HN57" s="175"/>
      <c r="HO57" s="175"/>
      <c r="HP57" s="175"/>
      <c r="HQ57" s="175"/>
      <c r="HR57" s="175"/>
      <c r="HS57" s="175"/>
      <c r="HT57" s="175"/>
      <c r="HU57" s="175"/>
      <c r="HV57" s="175"/>
      <c r="HW57" s="175"/>
      <c r="HX57" s="175"/>
      <c r="HY57" s="175"/>
      <c r="HZ57" s="175"/>
      <c r="IA57" s="175"/>
      <c r="IB57" s="175"/>
      <c r="IC57" s="175"/>
      <c r="ID57" s="175"/>
      <c r="IE57" s="175"/>
      <c r="IF57" s="175"/>
      <c r="IG57" s="175"/>
      <c r="IH57" s="175"/>
      <c r="II57" s="175"/>
      <c r="IJ57" s="175"/>
      <c r="IK57" s="175"/>
      <c r="IL57" s="175"/>
      <c r="IM57" s="175"/>
      <c r="IN57" s="175"/>
      <c r="IO57" s="175"/>
      <c r="IP57" s="175"/>
      <c r="IQ57" s="175"/>
      <c r="IR57" s="175"/>
      <c r="IS57" s="175"/>
      <c r="IT57" s="175"/>
      <c r="IU57" s="175"/>
    </row>
    <row r="58" spans="1:255" s="197" customFormat="1" ht="64.5" customHeight="1" x14ac:dyDescent="0.25">
      <c r="A58" s="173">
        <f t="shared" si="0"/>
        <v>53</v>
      </c>
      <c r="B58" s="173" t="s">
        <v>164</v>
      </c>
      <c r="C58" s="173" t="s">
        <v>1794</v>
      </c>
      <c r="D58" s="176" t="s">
        <v>1550</v>
      </c>
      <c r="E58" s="213" t="s">
        <v>1699</v>
      </c>
      <c r="F58" s="173">
        <v>52</v>
      </c>
      <c r="G58" s="173">
        <v>100</v>
      </c>
      <c r="H58" s="177" t="s">
        <v>1509</v>
      </c>
      <c r="I58" s="177">
        <v>2.9999999999999997E-4</v>
      </c>
      <c r="J58" s="194"/>
      <c r="K58" s="194"/>
      <c r="L58" s="194">
        <v>6</v>
      </c>
      <c r="M58" s="194">
        <v>52</v>
      </c>
      <c r="N58" s="207">
        <f>9568*I58*SQRT(M58)/розрах!$I$133</f>
        <v>1.0255633023828356E-2</v>
      </c>
      <c r="O58" s="224">
        <f>G58/1000*G58/1000*F58*0.785/розрах!$I$175</f>
        <v>2.0225132680363455E-4</v>
      </c>
      <c r="P58" s="196"/>
      <c r="Q58" s="196"/>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5"/>
      <c r="CP58" s="175"/>
      <c r="CQ58" s="175"/>
      <c r="CR58" s="175"/>
      <c r="CS58" s="175"/>
      <c r="CT58" s="175"/>
      <c r="CU58" s="175"/>
      <c r="CV58" s="175"/>
      <c r="CW58" s="175"/>
      <c r="CX58" s="175"/>
      <c r="CY58" s="175"/>
      <c r="CZ58" s="175"/>
      <c r="DA58" s="175"/>
      <c r="DB58" s="175"/>
      <c r="DC58" s="175"/>
      <c r="DD58" s="175"/>
      <c r="DE58" s="175"/>
      <c r="DF58" s="175"/>
      <c r="DG58" s="175"/>
      <c r="DH58" s="175"/>
      <c r="DI58" s="175"/>
      <c r="DJ58" s="175"/>
      <c r="DK58" s="175"/>
      <c r="DL58" s="175"/>
      <c r="DM58" s="175"/>
      <c r="DN58" s="175"/>
      <c r="DO58" s="175"/>
      <c r="DP58" s="175"/>
      <c r="DQ58" s="175"/>
      <c r="DR58" s="175"/>
      <c r="DS58" s="175"/>
      <c r="DT58" s="175"/>
      <c r="DU58" s="175"/>
      <c r="DV58" s="175"/>
      <c r="DW58" s="175"/>
      <c r="DX58" s="175"/>
      <c r="DY58" s="175"/>
      <c r="DZ58" s="175"/>
      <c r="EA58" s="175"/>
      <c r="EB58" s="175"/>
      <c r="EC58" s="175"/>
      <c r="ED58" s="175"/>
      <c r="EE58" s="175"/>
      <c r="EF58" s="175"/>
      <c r="EG58" s="175"/>
      <c r="EH58" s="175"/>
      <c r="EI58" s="175"/>
      <c r="EJ58" s="175"/>
      <c r="EK58" s="175"/>
      <c r="EL58" s="175"/>
      <c r="EM58" s="175"/>
      <c r="EN58" s="175"/>
      <c r="EO58" s="175"/>
      <c r="EP58" s="175"/>
      <c r="EQ58" s="175"/>
      <c r="ER58" s="175"/>
      <c r="ES58" s="175"/>
      <c r="ET58" s="175"/>
      <c r="EU58" s="175"/>
      <c r="EV58" s="175"/>
      <c r="EW58" s="175"/>
      <c r="EX58" s="175"/>
      <c r="EY58" s="175"/>
      <c r="EZ58" s="175"/>
      <c r="FA58" s="175"/>
      <c r="FB58" s="175"/>
      <c r="FC58" s="175"/>
      <c r="FD58" s="175"/>
      <c r="FE58" s="175"/>
      <c r="FF58" s="175"/>
      <c r="FG58" s="175"/>
      <c r="FH58" s="175"/>
      <c r="FI58" s="175"/>
      <c r="FJ58" s="175"/>
      <c r="FK58" s="175"/>
      <c r="FL58" s="175"/>
      <c r="FM58" s="175"/>
      <c r="FN58" s="175"/>
      <c r="FO58" s="175"/>
      <c r="FP58" s="175"/>
      <c r="FQ58" s="175"/>
      <c r="FR58" s="175"/>
      <c r="FS58" s="175"/>
      <c r="FT58" s="175"/>
      <c r="FU58" s="175"/>
      <c r="FV58" s="175"/>
      <c r="FW58" s="175"/>
      <c r="FX58" s="175"/>
      <c r="FY58" s="175"/>
      <c r="FZ58" s="175"/>
      <c r="GA58" s="175"/>
      <c r="GB58" s="175"/>
      <c r="GC58" s="175"/>
      <c r="GD58" s="175"/>
      <c r="GE58" s="175"/>
      <c r="GF58" s="175"/>
      <c r="GG58" s="175"/>
      <c r="GH58" s="175"/>
      <c r="GI58" s="175"/>
      <c r="GJ58" s="175"/>
      <c r="GK58" s="175"/>
      <c r="GL58" s="175"/>
      <c r="GM58" s="175"/>
      <c r="GN58" s="175"/>
      <c r="GO58" s="175"/>
      <c r="GP58" s="175"/>
      <c r="GQ58" s="175"/>
      <c r="GR58" s="175"/>
      <c r="GS58" s="175"/>
      <c r="GT58" s="175"/>
      <c r="GU58" s="175"/>
      <c r="GV58" s="175"/>
      <c r="GW58" s="175"/>
      <c r="GX58" s="175"/>
      <c r="GY58" s="175"/>
      <c r="GZ58" s="175"/>
      <c r="HA58" s="175"/>
      <c r="HB58" s="175"/>
      <c r="HC58" s="175"/>
      <c r="HD58" s="175"/>
      <c r="HE58" s="175"/>
      <c r="HF58" s="175"/>
      <c r="HG58" s="175"/>
      <c r="HH58" s="175"/>
      <c r="HI58" s="175"/>
      <c r="HJ58" s="175"/>
      <c r="HK58" s="175"/>
      <c r="HL58" s="175"/>
      <c r="HM58" s="175"/>
      <c r="HN58" s="175"/>
      <c r="HO58" s="175"/>
      <c r="HP58" s="175"/>
      <c r="HQ58" s="175"/>
      <c r="HR58" s="175"/>
      <c r="HS58" s="175"/>
      <c r="HT58" s="175"/>
      <c r="HU58" s="175"/>
      <c r="HV58" s="175"/>
      <c r="HW58" s="175"/>
      <c r="HX58" s="175"/>
      <c r="HY58" s="175"/>
      <c r="HZ58" s="175"/>
      <c r="IA58" s="175"/>
      <c r="IB58" s="175"/>
      <c r="IC58" s="175"/>
      <c r="ID58" s="175"/>
      <c r="IE58" s="175"/>
      <c r="IF58" s="175"/>
      <c r="IG58" s="175"/>
      <c r="IH58" s="175"/>
      <c r="II58" s="175"/>
      <c r="IJ58" s="175"/>
      <c r="IK58" s="175"/>
      <c r="IL58" s="175"/>
      <c r="IM58" s="175"/>
      <c r="IN58" s="175"/>
      <c r="IO58" s="175"/>
      <c r="IP58" s="175"/>
      <c r="IQ58" s="175"/>
      <c r="IR58" s="175"/>
      <c r="IS58" s="175"/>
      <c r="IT58" s="175"/>
      <c r="IU58" s="175"/>
    </row>
    <row r="59" spans="1:255" s="197" customFormat="1" ht="72.75" customHeight="1" x14ac:dyDescent="0.25">
      <c r="A59" s="173">
        <f t="shared" si="0"/>
        <v>54</v>
      </c>
      <c r="B59" s="173" t="s">
        <v>164</v>
      </c>
      <c r="C59" s="173" t="s">
        <v>1794</v>
      </c>
      <c r="D59" s="176" t="s">
        <v>1551</v>
      </c>
      <c r="E59" s="213" t="s">
        <v>1700</v>
      </c>
      <c r="F59" s="173">
        <v>100</v>
      </c>
      <c r="G59" s="173">
        <v>125</v>
      </c>
      <c r="H59" s="177" t="s">
        <v>1641</v>
      </c>
      <c r="I59" s="177"/>
      <c r="J59" s="194"/>
      <c r="K59" s="195">
        <f>0.05*3.14*0.125*0.125/4</f>
        <v>6.1328125000000011E-4</v>
      </c>
      <c r="L59" s="225">
        <v>12</v>
      </c>
      <c r="M59" s="194">
        <v>44</v>
      </c>
      <c r="N59" s="207">
        <f>9568*K59*SQRT(M59)/розрах!$I$133</f>
        <v>1.9285263225327177E-2</v>
      </c>
      <c r="O59" s="224">
        <f>G59/1000*G59/1000*F59*0.785/розрах!$I$175</f>
        <v>6.0772634255899804E-4</v>
      </c>
      <c r="P59" s="196"/>
      <c r="Q59" s="196"/>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5"/>
      <c r="DM59" s="175"/>
      <c r="DN59" s="175"/>
      <c r="DO59" s="175"/>
      <c r="DP59" s="175"/>
      <c r="DQ59" s="175"/>
      <c r="DR59" s="175"/>
      <c r="DS59" s="175"/>
      <c r="DT59" s="175"/>
      <c r="DU59" s="175"/>
      <c r="DV59" s="175"/>
      <c r="DW59" s="175"/>
      <c r="DX59" s="175"/>
      <c r="DY59" s="175"/>
      <c r="DZ59" s="175"/>
      <c r="EA59" s="175"/>
      <c r="EB59" s="175"/>
      <c r="EC59" s="175"/>
      <c r="ED59" s="175"/>
      <c r="EE59" s="175"/>
      <c r="EF59" s="175"/>
      <c r="EG59" s="175"/>
      <c r="EH59" s="175"/>
      <c r="EI59" s="175"/>
      <c r="EJ59" s="175"/>
      <c r="EK59" s="175"/>
      <c r="EL59" s="175"/>
      <c r="EM59" s="175"/>
      <c r="EN59" s="175"/>
      <c r="EO59" s="175"/>
      <c r="EP59" s="175"/>
      <c r="EQ59" s="175"/>
      <c r="ER59" s="175"/>
      <c r="ES59" s="175"/>
      <c r="ET59" s="175"/>
      <c r="EU59" s="175"/>
      <c r="EV59" s="175"/>
      <c r="EW59" s="175"/>
      <c r="EX59" s="175"/>
      <c r="EY59" s="175"/>
      <c r="EZ59" s="175"/>
      <c r="FA59" s="175"/>
      <c r="FB59" s="175"/>
      <c r="FC59" s="175"/>
      <c r="FD59" s="175"/>
      <c r="FE59" s="175"/>
      <c r="FF59" s="175"/>
      <c r="FG59" s="175"/>
      <c r="FH59" s="175"/>
      <c r="FI59" s="175"/>
      <c r="FJ59" s="175"/>
      <c r="FK59" s="175"/>
      <c r="FL59" s="175"/>
      <c r="FM59" s="175"/>
      <c r="FN59" s="175"/>
      <c r="FO59" s="175"/>
      <c r="FP59" s="175"/>
      <c r="FQ59" s="175"/>
      <c r="FR59" s="175"/>
      <c r="FS59" s="175"/>
      <c r="FT59" s="175"/>
      <c r="FU59" s="175"/>
      <c r="FV59" s="175"/>
      <c r="FW59" s="175"/>
      <c r="FX59" s="175"/>
      <c r="FY59" s="175"/>
      <c r="FZ59" s="175"/>
      <c r="GA59" s="175"/>
      <c r="GB59" s="175"/>
      <c r="GC59" s="175"/>
      <c r="GD59" s="175"/>
      <c r="GE59" s="175"/>
      <c r="GF59" s="175"/>
      <c r="GG59" s="175"/>
      <c r="GH59" s="175"/>
      <c r="GI59" s="175"/>
      <c r="GJ59" s="175"/>
      <c r="GK59" s="175"/>
      <c r="GL59" s="175"/>
      <c r="GM59" s="175"/>
      <c r="GN59" s="175"/>
      <c r="GO59" s="175"/>
      <c r="GP59" s="175"/>
      <c r="GQ59" s="175"/>
      <c r="GR59" s="175"/>
      <c r="GS59" s="175"/>
      <c r="GT59" s="175"/>
      <c r="GU59" s="175"/>
      <c r="GV59" s="175"/>
      <c r="GW59" s="175"/>
      <c r="GX59" s="175"/>
      <c r="GY59" s="175"/>
      <c r="GZ59" s="175"/>
      <c r="HA59" s="175"/>
      <c r="HB59" s="175"/>
      <c r="HC59" s="175"/>
      <c r="HD59" s="175"/>
      <c r="HE59" s="175"/>
      <c r="HF59" s="175"/>
      <c r="HG59" s="175"/>
      <c r="HH59" s="175"/>
      <c r="HI59" s="175"/>
      <c r="HJ59" s="175"/>
      <c r="HK59" s="175"/>
      <c r="HL59" s="175"/>
      <c r="HM59" s="175"/>
      <c r="HN59" s="175"/>
      <c r="HO59" s="175"/>
      <c r="HP59" s="175"/>
      <c r="HQ59" s="175"/>
      <c r="HR59" s="175"/>
      <c r="HS59" s="175"/>
      <c r="HT59" s="175"/>
      <c r="HU59" s="175"/>
      <c r="HV59" s="175"/>
      <c r="HW59" s="175"/>
      <c r="HX59" s="175"/>
      <c r="HY59" s="175"/>
      <c r="HZ59" s="175"/>
      <c r="IA59" s="175"/>
      <c r="IB59" s="175"/>
      <c r="IC59" s="175"/>
      <c r="ID59" s="175"/>
      <c r="IE59" s="175"/>
      <c r="IF59" s="175"/>
      <c r="IG59" s="175"/>
      <c r="IH59" s="175"/>
      <c r="II59" s="175"/>
      <c r="IJ59" s="175"/>
      <c r="IK59" s="175"/>
      <c r="IL59" s="175"/>
      <c r="IM59" s="175"/>
      <c r="IN59" s="175"/>
      <c r="IO59" s="175"/>
      <c r="IP59" s="175"/>
      <c r="IQ59" s="175"/>
      <c r="IR59" s="175"/>
      <c r="IS59" s="175"/>
      <c r="IT59" s="175"/>
      <c r="IU59" s="175"/>
    </row>
    <row r="60" spans="1:255" s="197" customFormat="1" ht="66" customHeight="1" x14ac:dyDescent="0.25">
      <c r="A60" s="173">
        <f t="shared" si="0"/>
        <v>55</v>
      </c>
      <c r="B60" s="173" t="s">
        <v>164</v>
      </c>
      <c r="C60" s="173" t="s">
        <v>1817</v>
      </c>
      <c r="D60" s="176" t="s">
        <v>1546</v>
      </c>
      <c r="E60" s="213" t="s">
        <v>1701</v>
      </c>
      <c r="F60" s="173">
        <v>55</v>
      </c>
      <c r="G60" s="173">
        <v>100</v>
      </c>
      <c r="H60" s="177" t="s">
        <v>1509</v>
      </c>
      <c r="I60" s="177">
        <v>2.0000000000000001E-4</v>
      </c>
      <c r="J60" s="194"/>
      <c r="K60" s="194"/>
      <c r="L60" s="194">
        <v>0.5</v>
      </c>
      <c r="M60" s="194">
        <v>58</v>
      </c>
      <c r="N60" s="207">
        <f>9568*I60*SQRT(M60)/розрах!$I$133</f>
        <v>7.2207704360392339E-3</v>
      </c>
      <c r="O60" s="224">
        <f>G60/1000*G60/1000*F60*0.785/розрах!$I$175</f>
        <v>2.1391967258076736E-4</v>
      </c>
      <c r="P60" s="196"/>
      <c r="Q60" s="196"/>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175"/>
      <c r="CX60" s="175"/>
      <c r="CY60" s="175"/>
      <c r="CZ60" s="175"/>
      <c r="DA60" s="175"/>
      <c r="DB60" s="175"/>
      <c r="DC60" s="175"/>
      <c r="DD60" s="175"/>
      <c r="DE60" s="175"/>
      <c r="DF60" s="175"/>
      <c r="DG60" s="175"/>
      <c r="DH60" s="175"/>
      <c r="DI60" s="175"/>
      <c r="DJ60" s="175"/>
      <c r="DK60" s="175"/>
      <c r="DL60" s="175"/>
      <c r="DM60" s="175"/>
      <c r="DN60" s="175"/>
      <c r="DO60" s="175"/>
      <c r="DP60" s="175"/>
      <c r="DQ60" s="175"/>
      <c r="DR60" s="175"/>
      <c r="DS60" s="175"/>
      <c r="DT60" s="175"/>
      <c r="DU60" s="175"/>
      <c r="DV60" s="175"/>
      <c r="DW60" s="175"/>
      <c r="DX60" s="175"/>
      <c r="DY60" s="175"/>
      <c r="DZ60" s="175"/>
      <c r="EA60" s="175"/>
      <c r="EB60" s="175"/>
      <c r="EC60" s="175"/>
      <c r="ED60" s="175"/>
      <c r="EE60" s="175"/>
      <c r="EF60" s="175"/>
      <c r="EG60" s="175"/>
      <c r="EH60" s="175"/>
      <c r="EI60" s="175"/>
      <c r="EJ60" s="175"/>
      <c r="EK60" s="175"/>
      <c r="EL60" s="175"/>
      <c r="EM60" s="175"/>
      <c r="EN60" s="175"/>
      <c r="EO60" s="175"/>
      <c r="EP60" s="175"/>
      <c r="EQ60" s="175"/>
      <c r="ER60" s="175"/>
      <c r="ES60" s="175"/>
      <c r="ET60" s="175"/>
      <c r="EU60" s="175"/>
      <c r="EV60" s="175"/>
      <c r="EW60" s="175"/>
      <c r="EX60" s="175"/>
      <c r="EY60" s="175"/>
      <c r="EZ60" s="175"/>
      <c r="FA60" s="175"/>
      <c r="FB60" s="175"/>
      <c r="FC60" s="175"/>
      <c r="FD60" s="175"/>
      <c r="FE60" s="175"/>
      <c r="FF60" s="175"/>
      <c r="FG60" s="175"/>
      <c r="FH60" s="175"/>
      <c r="FI60" s="175"/>
      <c r="FJ60" s="175"/>
      <c r="FK60" s="175"/>
      <c r="FL60" s="175"/>
      <c r="FM60" s="175"/>
      <c r="FN60" s="175"/>
      <c r="FO60" s="175"/>
      <c r="FP60" s="175"/>
      <c r="FQ60" s="175"/>
      <c r="FR60" s="175"/>
      <c r="FS60" s="175"/>
      <c r="FT60" s="175"/>
      <c r="FU60" s="175"/>
      <c r="FV60" s="175"/>
      <c r="FW60" s="175"/>
      <c r="FX60" s="175"/>
      <c r="FY60" s="175"/>
      <c r="FZ60" s="175"/>
      <c r="GA60" s="175"/>
      <c r="GB60" s="175"/>
      <c r="GC60" s="175"/>
      <c r="GD60" s="175"/>
      <c r="GE60" s="175"/>
      <c r="GF60" s="175"/>
      <c r="GG60" s="175"/>
      <c r="GH60" s="175"/>
      <c r="GI60" s="175"/>
      <c r="GJ60" s="175"/>
      <c r="GK60" s="175"/>
      <c r="GL60" s="175"/>
      <c r="GM60" s="175"/>
      <c r="GN60" s="175"/>
      <c r="GO60" s="175"/>
      <c r="GP60" s="175"/>
      <c r="GQ60" s="175"/>
      <c r="GR60" s="175"/>
      <c r="GS60" s="175"/>
      <c r="GT60" s="175"/>
      <c r="GU60" s="175"/>
      <c r="GV60" s="175"/>
      <c r="GW60" s="175"/>
      <c r="GX60" s="175"/>
      <c r="GY60" s="175"/>
      <c r="GZ60" s="175"/>
      <c r="HA60" s="175"/>
      <c r="HB60" s="175"/>
      <c r="HC60" s="175"/>
      <c r="HD60" s="175"/>
      <c r="HE60" s="175"/>
      <c r="HF60" s="175"/>
      <c r="HG60" s="175"/>
      <c r="HH60" s="175"/>
      <c r="HI60" s="175"/>
      <c r="HJ60" s="175"/>
      <c r="HK60" s="175"/>
      <c r="HL60" s="175"/>
      <c r="HM60" s="175"/>
      <c r="HN60" s="175"/>
      <c r="HO60" s="175"/>
      <c r="HP60" s="175"/>
      <c r="HQ60" s="175"/>
      <c r="HR60" s="175"/>
      <c r="HS60" s="175"/>
      <c r="HT60" s="175"/>
      <c r="HU60" s="175"/>
      <c r="HV60" s="175"/>
      <c r="HW60" s="175"/>
      <c r="HX60" s="175"/>
      <c r="HY60" s="175"/>
      <c r="HZ60" s="175"/>
      <c r="IA60" s="175"/>
      <c r="IB60" s="175"/>
      <c r="IC60" s="175"/>
      <c r="ID60" s="175"/>
      <c r="IE60" s="175"/>
      <c r="IF60" s="175"/>
      <c r="IG60" s="175"/>
      <c r="IH60" s="175"/>
      <c r="II60" s="175"/>
      <c r="IJ60" s="175"/>
      <c r="IK60" s="175"/>
      <c r="IL60" s="175"/>
      <c r="IM60" s="175"/>
      <c r="IN60" s="175"/>
      <c r="IO60" s="175"/>
      <c r="IP60" s="175"/>
      <c r="IQ60" s="175"/>
      <c r="IR60" s="175"/>
      <c r="IS60" s="175"/>
      <c r="IT60" s="175"/>
      <c r="IU60" s="175"/>
    </row>
    <row r="61" spans="1:255" s="197" customFormat="1" ht="69" customHeight="1" x14ac:dyDescent="0.25">
      <c r="A61" s="173">
        <f t="shared" si="0"/>
        <v>56</v>
      </c>
      <c r="B61" s="173" t="s">
        <v>164</v>
      </c>
      <c r="C61" s="173" t="s">
        <v>1817</v>
      </c>
      <c r="D61" s="176" t="s">
        <v>1546</v>
      </c>
      <c r="E61" s="213" t="s">
        <v>1701</v>
      </c>
      <c r="F61" s="173">
        <v>55</v>
      </c>
      <c r="G61" s="173">
        <v>80</v>
      </c>
      <c r="H61" s="177" t="s">
        <v>1641</v>
      </c>
      <c r="I61" s="177">
        <v>2.0000000000000001E-4</v>
      </c>
      <c r="J61" s="194"/>
      <c r="K61" s="194"/>
      <c r="L61" s="194">
        <v>0.5</v>
      </c>
      <c r="M61" s="194">
        <v>42</v>
      </c>
      <c r="N61" s="207">
        <f>9568*I61*SQRT(M61)/розрах!$I$133</f>
        <v>6.1446080638442755E-3</v>
      </c>
      <c r="O61" s="194">
        <f>G61/1000*G61/1000*F61*0.785/розрах!$I$175</f>
        <v>1.3690859045169113E-4</v>
      </c>
      <c r="P61" s="196"/>
      <c r="Q61" s="196"/>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5"/>
      <c r="CP61" s="175"/>
      <c r="CQ61" s="175"/>
      <c r="CR61" s="175"/>
      <c r="CS61" s="175"/>
      <c r="CT61" s="175"/>
      <c r="CU61" s="175"/>
      <c r="CV61" s="175"/>
      <c r="CW61" s="175"/>
      <c r="CX61" s="175"/>
      <c r="CY61" s="175"/>
      <c r="CZ61" s="175"/>
      <c r="DA61" s="175"/>
      <c r="DB61" s="175"/>
      <c r="DC61" s="175"/>
      <c r="DD61" s="175"/>
      <c r="DE61" s="175"/>
      <c r="DF61" s="175"/>
      <c r="DG61" s="175"/>
      <c r="DH61" s="175"/>
      <c r="DI61" s="175"/>
      <c r="DJ61" s="175"/>
      <c r="DK61" s="175"/>
      <c r="DL61" s="175"/>
      <c r="DM61" s="175"/>
      <c r="DN61" s="175"/>
      <c r="DO61" s="175"/>
      <c r="DP61" s="175"/>
      <c r="DQ61" s="175"/>
      <c r="DR61" s="175"/>
      <c r="DS61" s="175"/>
      <c r="DT61" s="175"/>
      <c r="DU61" s="175"/>
      <c r="DV61" s="175"/>
      <c r="DW61" s="175"/>
      <c r="DX61" s="175"/>
      <c r="DY61" s="175"/>
      <c r="DZ61" s="175"/>
      <c r="EA61" s="175"/>
      <c r="EB61" s="175"/>
      <c r="EC61" s="175"/>
      <c r="ED61" s="175"/>
      <c r="EE61" s="175"/>
      <c r="EF61" s="175"/>
      <c r="EG61" s="175"/>
      <c r="EH61" s="175"/>
      <c r="EI61" s="175"/>
      <c r="EJ61" s="175"/>
      <c r="EK61" s="175"/>
      <c r="EL61" s="175"/>
      <c r="EM61" s="175"/>
      <c r="EN61" s="175"/>
      <c r="EO61" s="175"/>
      <c r="EP61" s="175"/>
      <c r="EQ61" s="175"/>
      <c r="ER61" s="175"/>
      <c r="ES61" s="175"/>
      <c r="ET61" s="175"/>
      <c r="EU61" s="175"/>
      <c r="EV61" s="175"/>
      <c r="EW61" s="175"/>
      <c r="EX61" s="175"/>
      <c r="EY61" s="175"/>
      <c r="EZ61" s="175"/>
      <c r="FA61" s="175"/>
      <c r="FB61" s="175"/>
      <c r="FC61" s="175"/>
      <c r="FD61" s="175"/>
      <c r="FE61" s="175"/>
      <c r="FF61" s="175"/>
      <c r="FG61" s="175"/>
      <c r="FH61" s="175"/>
      <c r="FI61" s="175"/>
      <c r="FJ61" s="175"/>
      <c r="FK61" s="175"/>
      <c r="FL61" s="175"/>
      <c r="FM61" s="175"/>
      <c r="FN61" s="175"/>
      <c r="FO61" s="175"/>
      <c r="FP61" s="175"/>
      <c r="FQ61" s="175"/>
      <c r="FR61" s="175"/>
      <c r="FS61" s="175"/>
      <c r="FT61" s="175"/>
      <c r="FU61" s="175"/>
      <c r="FV61" s="175"/>
      <c r="FW61" s="175"/>
      <c r="FX61" s="175"/>
      <c r="FY61" s="175"/>
      <c r="FZ61" s="175"/>
      <c r="GA61" s="175"/>
      <c r="GB61" s="175"/>
      <c r="GC61" s="175"/>
      <c r="GD61" s="175"/>
      <c r="GE61" s="175"/>
      <c r="GF61" s="175"/>
      <c r="GG61" s="175"/>
      <c r="GH61" s="175"/>
      <c r="GI61" s="175"/>
      <c r="GJ61" s="175"/>
      <c r="GK61" s="175"/>
      <c r="GL61" s="175"/>
      <c r="GM61" s="175"/>
      <c r="GN61" s="175"/>
      <c r="GO61" s="175"/>
      <c r="GP61" s="175"/>
      <c r="GQ61" s="175"/>
      <c r="GR61" s="175"/>
      <c r="GS61" s="175"/>
      <c r="GT61" s="175"/>
      <c r="GU61" s="175"/>
      <c r="GV61" s="175"/>
      <c r="GW61" s="175"/>
      <c r="GX61" s="175"/>
      <c r="GY61" s="175"/>
      <c r="GZ61" s="175"/>
      <c r="HA61" s="175"/>
      <c r="HB61" s="175"/>
      <c r="HC61" s="175"/>
      <c r="HD61" s="175"/>
      <c r="HE61" s="175"/>
      <c r="HF61" s="175"/>
      <c r="HG61" s="175"/>
      <c r="HH61" s="175"/>
      <c r="HI61" s="175"/>
      <c r="HJ61" s="175"/>
      <c r="HK61" s="175"/>
      <c r="HL61" s="175"/>
      <c r="HM61" s="175"/>
      <c r="HN61" s="175"/>
      <c r="HO61" s="175"/>
      <c r="HP61" s="175"/>
      <c r="HQ61" s="175"/>
      <c r="HR61" s="175"/>
      <c r="HS61" s="175"/>
      <c r="HT61" s="175"/>
      <c r="HU61" s="175"/>
      <c r="HV61" s="175"/>
      <c r="HW61" s="175"/>
      <c r="HX61" s="175"/>
      <c r="HY61" s="175"/>
      <c r="HZ61" s="175"/>
      <c r="IA61" s="175"/>
      <c r="IB61" s="175"/>
      <c r="IC61" s="175"/>
      <c r="ID61" s="175"/>
      <c r="IE61" s="175"/>
      <c r="IF61" s="175"/>
      <c r="IG61" s="175"/>
      <c r="IH61" s="175"/>
      <c r="II61" s="175"/>
      <c r="IJ61" s="175"/>
      <c r="IK61" s="175"/>
      <c r="IL61" s="175"/>
      <c r="IM61" s="175"/>
      <c r="IN61" s="175"/>
      <c r="IO61" s="175"/>
      <c r="IP61" s="175"/>
      <c r="IQ61" s="175"/>
      <c r="IR61" s="175"/>
      <c r="IS61" s="175"/>
      <c r="IT61" s="175"/>
      <c r="IU61" s="175"/>
    </row>
    <row r="62" spans="1:255" s="197" customFormat="1" ht="69.75" customHeight="1" x14ac:dyDescent="0.25">
      <c r="A62" s="173">
        <f t="shared" si="0"/>
        <v>57</v>
      </c>
      <c r="B62" s="173" t="s">
        <v>164</v>
      </c>
      <c r="C62" s="173" t="s">
        <v>1817</v>
      </c>
      <c r="D62" s="176" t="s">
        <v>1552</v>
      </c>
      <c r="E62" s="213" t="s">
        <v>1702</v>
      </c>
      <c r="F62" s="173">
        <v>16</v>
      </c>
      <c r="G62" s="173">
        <v>100</v>
      </c>
      <c r="H62" s="177" t="s">
        <v>1641</v>
      </c>
      <c r="I62" s="177"/>
      <c r="J62" s="207">
        <f>0.75*3.14*0.1*0.1/4</f>
        <v>5.8875000000000004E-3</v>
      </c>
      <c r="K62" s="194"/>
      <c r="L62" s="194"/>
      <c r="M62" s="194">
        <v>42</v>
      </c>
      <c r="N62" s="207">
        <f>9568*J62*SQRT(M62)/розрах!$I$133</f>
        <v>0.18088189987941583</v>
      </c>
      <c r="O62" s="224">
        <f>G62/1000*G62/1000*F62*0.785/розрах!$I$175</f>
        <v>6.2231177478041413E-5</v>
      </c>
      <c r="P62" s="196"/>
      <c r="Q62" s="196"/>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c r="CM62" s="175"/>
      <c r="CN62" s="175"/>
      <c r="CO62" s="175"/>
      <c r="CP62" s="175"/>
      <c r="CQ62" s="175"/>
      <c r="CR62" s="175"/>
      <c r="CS62" s="175"/>
      <c r="CT62" s="175"/>
      <c r="CU62" s="175"/>
      <c r="CV62" s="175"/>
      <c r="CW62" s="175"/>
      <c r="CX62" s="175"/>
      <c r="CY62" s="175"/>
      <c r="CZ62" s="175"/>
      <c r="DA62" s="175"/>
      <c r="DB62" s="175"/>
      <c r="DC62" s="175"/>
      <c r="DD62" s="175"/>
      <c r="DE62" s="175"/>
      <c r="DF62" s="175"/>
      <c r="DG62" s="175"/>
      <c r="DH62" s="175"/>
      <c r="DI62" s="175"/>
      <c r="DJ62" s="175"/>
      <c r="DK62" s="175"/>
      <c r="DL62" s="175"/>
      <c r="DM62" s="175"/>
      <c r="DN62" s="175"/>
      <c r="DO62" s="175"/>
      <c r="DP62" s="175"/>
      <c r="DQ62" s="175"/>
      <c r="DR62" s="175"/>
      <c r="DS62" s="175"/>
      <c r="DT62" s="175"/>
      <c r="DU62" s="175"/>
      <c r="DV62" s="175"/>
      <c r="DW62" s="175"/>
      <c r="DX62" s="175"/>
      <c r="DY62" s="175"/>
      <c r="DZ62" s="175"/>
      <c r="EA62" s="175"/>
      <c r="EB62" s="175"/>
      <c r="EC62" s="175"/>
      <c r="ED62" s="175"/>
      <c r="EE62" s="175"/>
      <c r="EF62" s="175"/>
      <c r="EG62" s="175"/>
      <c r="EH62" s="175"/>
      <c r="EI62" s="175"/>
      <c r="EJ62" s="175"/>
      <c r="EK62" s="175"/>
      <c r="EL62" s="175"/>
      <c r="EM62" s="175"/>
      <c r="EN62" s="175"/>
      <c r="EO62" s="175"/>
      <c r="EP62" s="175"/>
      <c r="EQ62" s="175"/>
      <c r="ER62" s="175"/>
      <c r="ES62" s="175"/>
      <c r="ET62" s="175"/>
      <c r="EU62" s="175"/>
      <c r="EV62" s="175"/>
      <c r="EW62" s="175"/>
      <c r="EX62" s="175"/>
      <c r="EY62" s="175"/>
      <c r="EZ62" s="175"/>
      <c r="FA62" s="175"/>
      <c r="FB62" s="175"/>
      <c r="FC62" s="175"/>
      <c r="FD62" s="175"/>
      <c r="FE62" s="175"/>
      <c r="FF62" s="175"/>
      <c r="FG62" s="175"/>
      <c r="FH62" s="175"/>
      <c r="FI62" s="175"/>
      <c r="FJ62" s="175"/>
      <c r="FK62" s="175"/>
      <c r="FL62" s="175"/>
      <c r="FM62" s="175"/>
      <c r="FN62" s="175"/>
      <c r="FO62" s="175"/>
      <c r="FP62" s="175"/>
      <c r="FQ62" s="175"/>
      <c r="FR62" s="175"/>
      <c r="FS62" s="175"/>
      <c r="FT62" s="175"/>
      <c r="FU62" s="175"/>
      <c r="FV62" s="175"/>
      <c r="FW62" s="175"/>
      <c r="FX62" s="175"/>
      <c r="FY62" s="175"/>
      <c r="FZ62" s="175"/>
      <c r="GA62" s="175"/>
      <c r="GB62" s="175"/>
      <c r="GC62" s="175"/>
      <c r="GD62" s="175"/>
      <c r="GE62" s="175"/>
      <c r="GF62" s="175"/>
      <c r="GG62" s="175"/>
      <c r="GH62" s="175"/>
      <c r="GI62" s="175"/>
      <c r="GJ62" s="175"/>
      <c r="GK62" s="175"/>
      <c r="GL62" s="175"/>
      <c r="GM62" s="175"/>
      <c r="GN62" s="175"/>
      <c r="GO62" s="175"/>
      <c r="GP62" s="175"/>
      <c r="GQ62" s="175"/>
      <c r="GR62" s="175"/>
      <c r="GS62" s="175"/>
      <c r="GT62" s="175"/>
      <c r="GU62" s="175"/>
      <c r="GV62" s="175"/>
      <c r="GW62" s="175"/>
      <c r="GX62" s="175"/>
      <c r="GY62" s="175"/>
      <c r="GZ62" s="175"/>
      <c r="HA62" s="175"/>
      <c r="HB62" s="175"/>
      <c r="HC62" s="175"/>
      <c r="HD62" s="175"/>
      <c r="HE62" s="175"/>
      <c r="HF62" s="175"/>
      <c r="HG62" s="175"/>
      <c r="HH62" s="175"/>
      <c r="HI62" s="175"/>
      <c r="HJ62" s="175"/>
      <c r="HK62" s="175"/>
      <c r="HL62" s="175"/>
      <c r="HM62" s="175"/>
      <c r="HN62" s="175"/>
      <c r="HO62" s="175"/>
      <c r="HP62" s="175"/>
      <c r="HQ62" s="175"/>
      <c r="HR62" s="175"/>
      <c r="HS62" s="175"/>
      <c r="HT62" s="175"/>
      <c r="HU62" s="175"/>
      <c r="HV62" s="175"/>
      <c r="HW62" s="175"/>
      <c r="HX62" s="175"/>
      <c r="HY62" s="175"/>
      <c r="HZ62" s="175"/>
      <c r="IA62" s="175"/>
      <c r="IB62" s="175"/>
      <c r="IC62" s="175"/>
      <c r="ID62" s="175"/>
      <c r="IE62" s="175"/>
      <c r="IF62" s="175"/>
      <c r="IG62" s="175"/>
      <c r="IH62" s="175"/>
      <c r="II62" s="175"/>
      <c r="IJ62" s="175"/>
      <c r="IK62" s="175"/>
      <c r="IL62" s="175"/>
      <c r="IM62" s="175"/>
      <c r="IN62" s="175"/>
      <c r="IO62" s="175"/>
      <c r="IP62" s="175"/>
      <c r="IQ62" s="175"/>
      <c r="IR62" s="175"/>
      <c r="IS62" s="175"/>
      <c r="IT62" s="175"/>
      <c r="IU62" s="175"/>
    </row>
    <row r="63" spans="1:255" s="197" customFormat="1" ht="54" customHeight="1" x14ac:dyDescent="0.25">
      <c r="A63" s="173">
        <f t="shared" si="0"/>
        <v>58</v>
      </c>
      <c r="B63" s="173" t="s">
        <v>164</v>
      </c>
      <c r="C63" s="173" t="s">
        <v>1794</v>
      </c>
      <c r="D63" s="176" t="s">
        <v>1553</v>
      </c>
      <c r="E63" s="213" t="s">
        <v>1703</v>
      </c>
      <c r="F63" s="173">
        <v>12</v>
      </c>
      <c r="G63" s="173">
        <v>80</v>
      </c>
      <c r="H63" s="177" t="s">
        <v>1509</v>
      </c>
      <c r="I63" s="177">
        <v>2.0000000000000001E-4</v>
      </c>
      <c r="J63" s="194"/>
      <c r="K63" s="194"/>
      <c r="L63" s="194">
        <v>0.5</v>
      </c>
      <c r="M63" s="194">
        <v>52</v>
      </c>
      <c r="N63" s="207">
        <f>9568*I63*SQRT(M63)/розрах!$I$133</f>
        <v>6.8370886825522385E-3</v>
      </c>
      <c r="O63" s="195">
        <f>G63/1000*G63/1000*F63*0.785/розрах!$I$175</f>
        <v>2.9870965189459878E-5</v>
      </c>
      <c r="P63" s="196"/>
      <c r="Q63" s="196"/>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c r="CM63" s="175"/>
      <c r="CN63" s="175"/>
      <c r="CO63" s="175"/>
      <c r="CP63" s="175"/>
      <c r="CQ63" s="175"/>
      <c r="CR63" s="175"/>
      <c r="CS63" s="175"/>
      <c r="CT63" s="175"/>
      <c r="CU63" s="175"/>
      <c r="CV63" s="175"/>
      <c r="CW63" s="175"/>
      <c r="CX63" s="175"/>
      <c r="CY63" s="175"/>
      <c r="CZ63" s="175"/>
      <c r="DA63" s="175"/>
      <c r="DB63" s="175"/>
      <c r="DC63" s="175"/>
      <c r="DD63" s="175"/>
      <c r="DE63" s="175"/>
      <c r="DF63" s="175"/>
      <c r="DG63" s="175"/>
      <c r="DH63" s="175"/>
      <c r="DI63" s="175"/>
      <c r="DJ63" s="175"/>
      <c r="DK63" s="175"/>
      <c r="DL63" s="175"/>
      <c r="DM63" s="175"/>
      <c r="DN63" s="175"/>
      <c r="DO63" s="175"/>
      <c r="DP63" s="175"/>
      <c r="DQ63" s="175"/>
      <c r="DR63" s="175"/>
      <c r="DS63" s="175"/>
      <c r="DT63" s="175"/>
      <c r="DU63" s="175"/>
      <c r="DV63" s="175"/>
      <c r="DW63" s="175"/>
      <c r="DX63" s="175"/>
      <c r="DY63" s="175"/>
      <c r="DZ63" s="175"/>
      <c r="EA63" s="175"/>
      <c r="EB63" s="175"/>
      <c r="EC63" s="175"/>
      <c r="ED63" s="175"/>
      <c r="EE63" s="175"/>
      <c r="EF63" s="175"/>
      <c r="EG63" s="175"/>
      <c r="EH63" s="175"/>
      <c r="EI63" s="175"/>
      <c r="EJ63" s="175"/>
      <c r="EK63" s="175"/>
      <c r="EL63" s="175"/>
      <c r="EM63" s="175"/>
      <c r="EN63" s="175"/>
      <c r="EO63" s="175"/>
      <c r="EP63" s="175"/>
      <c r="EQ63" s="175"/>
      <c r="ER63" s="175"/>
      <c r="ES63" s="175"/>
      <c r="ET63" s="175"/>
      <c r="EU63" s="175"/>
      <c r="EV63" s="175"/>
      <c r="EW63" s="175"/>
      <c r="EX63" s="175"/>
      <c r="EY63" s="175"/>
      <c r="EZ63" s="175"/>
      <c r="FA63" s="175"/>
      <c r="FB63" s="175"/>
      <c r="FC63" s="175"/>
      <c r="FD63" s="175"/>
      <c r="FE63" s="175"/>
      <c r="FF63" s="175"/>
      <c r="FG63" s="175"/>
      <c r="FH63" s="175"/>
      <c r="FI63" s="175"/>
      <c r="FJ63" s="175"/>
      <c r="FK63" s="175"/>
      <c r="FL63" s="175"/>
      <c r="FM63" s="175"/>
      <c r="FN63" s="175"/>
      <c r="FO63" s="175"/>
      <c r="FP63" s="175"/>
      <c r="FQ63" s="175"/>
      <c r="FR63" s="175"/>
      <c r="FS63" s="175"/>
      <c r="FT63" s="175"/>
      <c r="FU63" s="175"/>
      <c r="FV63" s="175"/>
      <c r="FW63" s="175"/>
      <c r="FX63" s="175"/>
      <c r="FY63" s="175"/>
      <c r="FZ63" s="175"/>
      <c r="GA63" s="175"/>
      <c r="GB63" s="175"/>
      <c r="GC63" s="175"/>
      <c r="GD63" s="175"/>
      <c r="GE63" s="175"/>
      <c r="GF63" s="175"/>
      <c r="GG63" s="175"/>
      <c r="GH63" s="175"/>
      <c r="GI63" s="175"/>
      <c r="GJ63" s="175"/>
      <c r="GK63" s="175"/>
      <c r="GL63" s="175"/>
      <c r="GM63" s="175"/>
      <c r="GN63" s="175"/>
      <c r="GO63" s="175"/>
      <c r="GP63" s="175"/>
      <c r="GQ63" s="175"/>
      <c r="GR63" s="175"/>
      <c r="GS63" s="175"/>
      <c r="GT63" s="175"/>
      <c r="GU63" s="175"/>
      <c r="GV63" s="175"/>
      <c r="GW63" s="175"/>
      <c r="GX63" s="175"/>
      <c r="GY63" s="175"/>
      <c r="GZ63" s="175"/>
      <c r="HA63" s="175"/>
      <c r="HB63" s="175"/>
      <c r="HC63" s="175"/>
      <c r="HD63" s="175"/>
      <c r="HE63" s="175"/>
      <c r="HF63" s="175"/>
      <c r="HG63" s="175"/>
      <c r="HH63" s="175"/>
      <c r="HI63" s="175"/>
      <c r="HJ63" s="175"/>
      <c r="HK63" s="175"/>
      <c r="HL63" s="175"/>
      <c r="HM63" s="175"/>
      <c r="HN63" s="175"/>
      <c r="HO63" s="175"/>
      <c r="HP63" s="175"/>
      <c r="HQ63" s="175"/>
      <c r="HR63" s="175"/>
      <c r="HS63" s="175"/>
      <c r="HT63" s="175"/>
      <c r="HU63" s="175"/>
      <c r="HV63" s="175"/>
      <c r="HW63" s="175"/>
      <c r="HX63" s="175"/>
      <c r="HY63" s="175"/>
      <c r="HZ63" s="175"/>
      <c r="IA63" s="175"/>
      <c r="IB63" s="175"/>
      <c r="IC63" s="175"/>
      <c r="ID63" s="175"/>
      <c r="IE63" s="175"/>
      <c r="IF63" s="175"/>
      <c r="IG63" s="175"/>
      <c r="IH63" s="175"/>
      <c r="II63" s="175"/>
      <c r="IJ63" s="175"/>
      <c r="IK63" s="175"/>
      <c r="IL63" s="175"/>
      <c r="IM63" s="175"/>
      <c r="IN63" s="175"/>
      <c r="IO63" s="175"/>
      <c r="IP63" s="175"/>
      <c r="IQ63" s="175"/>
      <c r="IR63" s="175"/>
      <c r="IS63" s="175"/>
      <c r="IT63" s="175"/>
      <c r="IU63" s="175"/>
    </row>
    <row r="64" spans="1:255" s="197" customFormat="1" ht="77.25" customHeight="1" x14ac:dyDescent="0.25">
      <c r="A64" s="173">
        <f t="shared" si="0"/>
        <v>59</v>
      </c>
      <c r="B64" s="173" t="s">
        <v>164</v>
      </c>
      <c r="C64" s="173" t="s">
        <v>1794</v>
      </c>
      <c r="D64" s="176" t="s">
        <v>1554</v>
      </c>
      <c r="E64" s="213" t="s">
        <v>1704</v>
      </c>
      <c r="F64" s="173">
        <v>102</v>
      </c>
      <c r="G64" s="173">
        <v>100</v>
      </c>
      <c r="H64" s="177" t="s">
        <v>1641</v>
      </c>
      <c r="I64" s="177">
        <v>4.0000000000000002E-4</v>
      </c>
      <c r="J64" s="194"/>
      <c r="K64" s="194"/>
      <c r="L64" s="194">
        <v>12</v>
      </c>
      <c r="M64" s="194">
        <v>44</v>
      </c>
      <c r="N64" s="207">
        <f>9568*I64*SQRT(M64)/розрах!$I$133</f>
        <v>1.2578413721487276E-2</v>
      </c>
      <c r="O64" s="224">
        <f>G64/1000*G64/1000*F64*0.785/розрах!$I$175</f>
        <v>3.9672375642251401E-4</v>
      </c>
      <c r="P64" s="196"/>
      <c r="Q64" s="196"/>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c r="CM64" s="175"/>
      <c r="CN64" s="175"/>
      <c r="CO64" s="175"/>
      <c r="CP64" s="175"/>
      <c r="CQ64" s="175"/>
      <c r="CR64" s="175"/>
      <c r="CS64" s="175"/>
      <c r="CT64" s="175"/>
      <c r="CU64" s="175"/>
      <c r="CV64" s="175"/>
      <c r="CW64" s="175"/>
      <c r="CX64" s="175"/>
      <c r="CY64" s="175"/>
      <c r="CZ64" s="175"/>
      <c r="DA64" s="175"/>
      <c r="DB64" s="175"/>
      <c r="DC64" s="175"/>
      <c r="DD64" s="175"/>
      <c r="DE64" s="175"/>
      <c r="DF64" s="175"/>
      <c r="DG64" s="175"/>
      <c r="DH64" s="175"/>
      <c r="DI64" s="175"/>
      <c r="DJ64" s="175"/>
      <c r="DK64" s="175"/>
      <c r="DL64" s="175"/>
      <c r="DM64" s="175"/>
      <c r="DN64" s="175"/>
      <c r="DO64" s="175"/>
      <c r="DP64" s="175"/>
      <c r="DQ64" s="175"/>
      <c r="DR64" s="175"/>
      <c r="DS64" s="175"/>
      <c r="DT64" s="175"/>
      <c r="DU64" s="175"/>
      <c r="DV64" s="175"/>
      <c r="DW64" s="175"/>
      <c r="DX64" s="175"/>
      <c r="DY64" s="175"/>
      <c r="DZ64" s="175"/>
      <c r="EA64" s="175"/>
      <c r="EB64" s="175"/>
      <c r="EC64" s="175"/>
      <c r="ED64" s="175"/>
      <c r="EE64" s="175"/>
      <c r="EF64" s="175"/>
      <c r="EG64" s="175"/>
      <c r="EH64" s="175"/>
      <c r="EI64" s="175"/>
      <c r="EJ64" s="175"/>
      <c r="EK64" s="175"/>
      <c r="EL64" s="175"/>
      <c r="EM64" s="175"/>
      <c r="EN64" s="175"/>
      <c r="EO64" s="175"/>
      <c r="EP64" s="175"/>
      <c r="EQ64" s="175"/>
      <c r="ER64" s="175"/>
      <c r="ES64" s="175"/>
      <c r="ET64" s="175"/>
      <c r="EU64" s="175"/>
      <c r="EV64" s="175"/>
      <c r="EW64" s="175"/>
      <c r="EX64" s="175"/>
      <c r="EY64" s="175"/>
      <c r="EZ64" s="175"/>
      <c r="FA64" s="175"/>
      <c r="FB64" s="175"/>
      <c r="FC64" s="175"/>
      <c r="FD64" s="175"/>
      <c r="FE64" s="175"/>
      <c r="FF64" s="175"/>
      <c r="FG64" s="175"/>
      <c r="FH64" s="175"/>
      <c r="FI64" s="175"/>
      <c r="FJ64" s="175"/>
      <c r="FK64" s="175"/>
      <c r="FL64" s="175"/>
      <c r="FM64" s="175"/>
      <c r="FN64" s="175"/>
      <c r="FO64" s="175"/>
      <c r="FP64" s="175"/>
      <c r="FQ64" s="175"/>
      <c r="FR64" s="175"/>
      <c r="FS64" s="175"/>
      <c r="FT64" s="175"/>
      <c r="FU64" s="175"/>
      <c r="FV64" s="175"/>
      <c r="FW64" s="175"/>
      <c r="FX64" s="175"/>
      <c r="FY64" s="175"/>
      <c r="FZ64" s="175"/>
      <c r="GA64" s="175"/>
      <c r="GB64" s="175"/>
      <c r="GC64" s="175"/>
      <c r="GD64" s="175"/>
      <c r="GE64" s="175"/>
      <c r="GF64" s="175"/>
      <c r="GG64" s="175"/>
      <c r="GH64" s="175"/>
      <c r="GI64" s="175"/>
      <c r="GJ64" s="175"/>
      <c r="GK64" s="175"/>
      <c r="GL64" s="175"/>
      <c r="GM64" s="175"/>
      <c r="GN64" s="175"/>
      <c r="GO64" s="175"/>
      <c r="GP64" s="175"/>
      <c r="GQ64" s="175"/>
      <c r="GR64" s="175"/>
      <c r="GS64" s="175"/>
      <c r="GT64" s="175"/>
      <c r="GU64" s="175"/>
      <c r="GV64" s="175"/>
      <c r="GW64" s="175"/>
      <c r="GX64" s="175"/>
      <c r="GY64" s="175"/>
      <c r="GZ64" s="175"/>
      <c r="HA64" s="175"/>
      <c r="HB64" s="175"/>
      <c r="HC64" s="175"/>
      <c r="HD64" s="175"/>
      <c r="HE64" s="175"/>
      <c r="HF64" s="175"/>
      <c r="HG64" s="175"/>
      <c r="HH64" s="175"/>
      <c r="HI64" s="175"/>
      <c r="HJ64" s="175"/>
      <c r="HK64" s="175"/>
      <c r="HL64" s="175"/>
      <c r="HM64" s="175"/>
      <c r="HN64" s="175"/>
      <c r="HO64" s="175"/>
      <c r="HP64" s="175"/>
      <c r="HQ64" s="175"/>
      <c r="HR64" s="175"/>
      <c r="HS64" s="175"/>
      <c r="HT64" s="175"/>
      <c r="HU64" s="175"/>
      <c r="HV64" s="175"/>
      <c r="HW64" s="175"/>
      <c r="HX64" s="175"/>
      <c r="HY64" s="175"/>
      <c r="HZ64" s="175"/>
      <c r="IA64" s="175"/>
      <c r="IB64" s="175"/>
      <c r="IC64" s="175"/>
      <c r="ID64" s="175"/>
      <c r="IE64" s="175"/>
      <c r="IF64" s="175"/>
      <c r="IG64" s="175"/>
      <c r="IH64" s="175"/>
      <c r="II64" s="175"/>
      <c r="IJ64" s="175"/>
      <c r="IK64" s="175"/>
      <c r="IL64" s="175"/>
      <c r="IM64" s="175"/>
      <c r="IN64" s="175"/>
      <c r="IO64" s="175"/>
      <c r="IP64" s="175"/>
      <c r="IQ64" s="175"/>
      <c r="IR64" s="175"/>
      <c r="IS64" s="175"/>
      <c r="IT64" s="175"/>
      <c r="IU64" s="175"/>
    </row>
    <row r="65" spans="1:255" s="197" customFormat="1" ht="75.75" customHeight="1" x14ac:dyDescent="0.25">
      <c r="A65" s="173">
        <f t="shared" si="0"/>
        <v>60</v>
      </c>
      <c r="B65" s="173" t="s">
        <v>164</v>
      </c>
      <c r="C65" s="173" t="s">
        <v>1821</v>
      </c>
      <c r="D65" s="176" t="s">
        <v>1555</v>
      </c>
      <c r="E65" s="213" t="s">
        <v>1705</v>
      </c>
      <c r="F65" s="173">
        <v>68</v>
      </c>
      <c r="G65" s="173">
        <v>150</v>
      </c>
      <c r="H65" s="177" t="s">
        <v>1509</v>
      </c>
      <c r="I65" s="177">
        <v>2.9999999999999997E-4</v>
      </c>
      <c r="J65" s="194"/>
      <c r="K65" s="194"/>
      <c r="L65" s="194">
        <v>6</v>
      </c>
      <c r="M65" s="194">
        <v>62</v>
      </c>
      <c r="N65" s="207">
        <f>9568*I65*SQRT(M65)/розрах!$I$133</f>
        <v>1.1198417247887863E-2</v>
      </c>
      <c r="O65" s="224">
        <f>G65/1000*G65/1000*F65*0.785/розрах!$I$175</f>
        <v>5.9508563463377096E-4</v>
      </c>
      <c r="P65" s="196"/>
      <c r="Q65" s="196"/>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75"/>
      <c r="EA65" s="175"/>
      <c r="EB65" s="175"/>
      <c r="EC65" s="175"/>
      <c r="ED65" s="175"/>
      <c r="EE65" s="175"/>
      <c r="EF65" s="175"/>
      <c r="EG65" s="175"/>
      <c r="EH65" s="175"/>
      <c r="EI65" s="175"/>
      <c r="EJ65" s="175"/>
      <c r="EK65" s="175"/>
      <c r="EL65" s="175"/>
      <c r="EM65" s="175"/>
      <c r="EN65" s="175"/>
      <c r="EO65" s="175"/>
      <c r="EP65" s="175"/>
      <c r="EQ65" s="175"/>
      <c r="ER65" s="175"/>
      <c r="ES65" s="175"/>
      <c r="ET65" s="175"/>
      <c r="EU65" s="175"/>
      <c r="EV65" s="175"/>
      <c r="EW65" s="175"/>
      <c r="EX65" s="175"/>
      <c r="EY65" s="175"/>
      <c r="EZ65" s="175"/>
      <c r="FA65" s="175"/>
      <c r="FB65" s="175"/>
      <c r="FC65" s="175"/>
      <c r="FD65" s="175"/>
      <c r="FE65" s="175"/>
      <c r="FF65" s="175"/>
      <c r="FG65" s="175"/>
      <c r="FH65" s="175"/>
      <c r="FI65" s="175"/>
      <c r="FJ65" s="175"/>
      <c r="FK65" s="175"/>
      <c r="FL65" s="175"/>
      <c r="FM65" s="175"/>
      <c r="FN65" s="175"/>
      <c r="FO65" s="175"/>
      <c r="FP65" s="175"/>
      <c r="FQ65" s="175"/>
      <c r="FR65" s="175"/>
      <c r="FS65" s="175"/>
      <c r="FT65" s="175"/>
      <c r="FU65" s="175"/>
      <c r="FV65" s="175"/>
      <c r="FW65" s="175"/>
      <c r="FX65" s="175"/>
      <c r="FY65" s="175"/>
      <c r="FZ65" s="175"/>
      <c r="GA65" s="175"/>
      <c r="GB65" s="175"/>
      <c r="GC65" s="175"/>
      <c r="GD65" s="175"/>
      <c r="GE65" s="175"/>
      <c r="GF65" s="175"/>
      <c r="GG65" s="175"/>
      <c r="GH65" s="175"/>
      <c r="GI65" s="175"/>
      <c r="GJ65" s="175"/>
      <c r="GK65" s="175"/>
      <c r="GL65" s="175"/>
      <c r="GM65" s="175"/>
      <c r="GN65" s="175"/>
      <c r="GO65" s="175"/>
      <c r="GP65" s="175"/>
      <c r="GQ65" s="175"/>
      <c r="GR65" s="175"/>
      <c r="GS65" s="175"/>
      <c r="GT65" s="175"/>
      <c r="GU65" s="175"/>
      <c r="GV65" s="175"/>
      <c r="GW65" s="175"/>
      <c r="GX65" s="175"/>
      <c r="GY65" s="175"/>
      <c r="GZ65" s="175"/>
      <c r="HA65" s="175"/>
      <c r="HB65" s="175"/>
      <c r="HC65" s="175"/>
      <c r="HD65" s="175"/>
      <c r="HE65" s="175"/>
      <c r="HF65" s="175"/>
      <c r="HG65" s="175"/>
      <c r="HH65" s="175"/>
      <c r="HI65" s="175"/>
      <c r="HJ65" s="175"/>
      <c r="HK65" s="175"/>
      <c r="HL65" s="175"/>
      <c r="HM65" s="175"/>
      <c r="HN65" s="175"/>
      <c r="HO65" s="175"/>
      <c r="HP65" s="175"/>
      <c r="HQ65" s="175"/>
      <c r="HR65" s="175"/>
      <c r="HS65" s="175"/>
      <c r="HT65" s="175"/>
      <c r="HU65" s="175"/>
      <c r="HV65" s="175"/>
      <c r="HW65" s="175"/>
      <c r="HX65" s="175"/>
      <c r="HY65" s="175"/>
      <c r="HZ65" s="175"/>
      <c r="IA65" s="175"/>
      <c r="IB65" s="175"/>
      <c r="IC65" s="175"/>
      <c r="ID65" s="175"/>
      <c r="IE65" s="175"/>
      <c r="IF65" s="175"/>
      <c r="IG65" s="175"/>
      <c r="IH65" s="175"/>
      <c r="II65" s="175"/>
      <c r="IJ65" s="175"/>
      <c r="IK65" s="175"/>
      <c r="IL65" s="175"/>
      <c r="IM65" s="175"/>
      <c r="IN65" s="175"/>
      <c r="IO65" s="175"/>
      <c r="IP65" s="175"/>
      <c r="IQ65" s="175"/>
      <c r="IR65" s="175"/>
      <c r="IS65" s="175"/>
      <c r="IT65" s="175"/>
      <c r="IU65" s="175"/>
    </row>
    <row r="66" spans="1:255" s="197" customFormat="1" ht="83.25" customHeight="1" x14ac:dyDescent="0.25">
      <c r="A66" s="173">
        <f t="shared" si="0"/>
        <v>61</v>
      </c>
      <c r="B66" s="173" t="s">
        <v>164</v>
      </c>
      <c r="C66" s="173" t="s">
        <v>1797</v>
      </c>
      <c r="D66" s="176" t="s">
        <v>1556</v>
      </c>
      <c r="E66" s="213" t="s">
        <v>1706</v>
      </c>
      <c r="F66" s="173">
        <v>91</v>
      </c>
      <c r="G66" s="173">
        <v>50</v>
      </c>
      <c r="H66" s="177" t="s">
        <v>1641</v>
      </c>
      <c r="I66" s="177">
        <v>2.0000000000000001E-4</v>
      </c>
      <c r="J66" s="194"/>
      <c r="K66" s="194"/>
      <c r="L66" s="194">
        <v>0.5</v>
      </c>
      <c r="M66" s="194">
        <v>32</v>
      </c>
      <c r="N66" s="207">
        <f>9568*I66*SQRT(M66)/розрах!$I$133</f>
        <v>5.3634536320766547E-3</v>
      </c>
      <c r="O66" s="224">
        <f>G66/1000*G66/1000*F66*0.785/розрах!$I$175</f>
        <v>8.8484955476590129E-5</v>
      </c>
      <c r="P66" s="196"/>
      <c r="Q66" s="196"/>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75"/>
      <c r="DI66" s="175"/>
      <c r="DJ66" s="175"/>
      <c r="DK66" s="175"/>
      <c r="DL66" s="175"/>
      <c r="DM66" s="175"/>
      <c r="DN66" s="175"/>
      <c r="DO66" s="175"/>
      <c r="DP66" s="175"/>
      <c r="DQ66" s="175"/>
      <c r="DR66" s="175"/>
      <c r="DS66" s="175"/>
      <c r="DT66" s="175"/>
      <c r="DU66" s="175"/>
      <c r="DV66" s="175"/>
      <c r="DW66" s="175"/>
      <c r="DX66" s="175"/>
      <c r="DY66" s="175"/>
      <c r="DZ66" s="175"/>
      <c r="EA66" s="175"/>
      <c r="EB66" s="175"/>
      <c r="EC66" s="175"/>
      <c r="ED66" s="175"/>
      <c r="EE66" s="175"/>
      <c r="EF66" s="175"/>
      <c r="EG66" s="175"/>
      <c r="EH66" s="175"/>
      <c r="EI66" s="175"/>
      <c r="EJ66" s="175"/>
      <c r="EK66" s="175"/>
      <c r="EL66" s="175"/>
      <c r="EM66" s="175"/>
      <c r="EN66" s="175"/>
      <c r="EO66" s="175"/>
      <c r="EP66" s="175"/>
      <c r="EQ66" s="175"/>
      <c r="ER66" s="175"/>
      <c r="ES66" s="175"/>
      <c r="ET66" s="175"/>
      <c r="EU66" s="175"/>
      <c r="EV66" s="175"/>
      <c r="EW66" s="175"/>
      <c r="EX66" s="175"/>
      <c r="EY66" s="175"/>
      <c r="EZ66" s="175"/>
      <c r="FA66" s="175"/>
      <c r="FB66" s="175"/>
      <c r="FC66" s="175"/>
      <c r="FD66" s="175"/>
      <c r="FE66" s="175"/>
      <c r="FF66" s="175"/>
      <c r="FG66" s="175"/>
      <c r="FH66" s="175"/>
      <c r="FI66" s="175"/>
      <c r="FJ66" s="175"/>
      <c r="FK66" s="175"/>
      <c r="FL66" s="175"/>
      <c r="FM66" s="175"/>
      <c r="FN66" s="175"/>
      <c r="FO66" s="175"/>
      <c r="FP66" s="175"/>
      <c r="FQ66" s="175"/>
      <c r="FR66" s="175"/>
      <c r="FS66" s="175"/>
      <c r="FT66" s="175"/>
      <c r="FU66" s="175"/>
      <c r="FV66" s="175"/>
      <c r="FW66" s="175"/>
      <c r="FX66" s="175"/>
      <c r="FY66" s="175"/>
      <c r="FZ66" s="175"/>
      <c r="GA66" s="175"/>
      <c r="GB66" s="175"/>
      <c r="GC66" s="175"/>
      <c r="GD66" s="175"/>
      <c r="GE66" s="175"/>
      <c r="GF66" s="175"/>
      <c r="GG66" s="175"/>
      <c r="GH66" s="175"/>
      <c r="GI66" s="175"/>
      <c r="GJ66" s="175"/>
      <c r="GK66" s="175"/>
      <c r="GL66" s="175"/>
      <c r="GM66" s="175"/>
      <c r="GN66" s="175"/>
      <c r="GO66" s="175"/>
      <c r="GP66" s="175"/>
      <c r="GQ66" s="175"/>
      <c r="GR66" s="175"/>
      <c r="GS66" s="175"/>
      <c r="GT66" s="175"/>
      <c r="GU66" s="175"/>
      <c r="GV66" s="175"/>
      <c r="GW66" s="175"/>
      <c r="GX66" s="175"/>
      <c r="GY66" s="175"/>
      <c r="GZ66" s="175"/>
      <c r="HA66" s="175"/>
      <c r="HB66" s="175"/>
      <c r="HC66" s="175"/>
      <c r="HD66" s="175"/>
      <c r="HE66" s="175"/>
      <c r="HF66" s="175"/>
      <c r="HG66" s="175"/>
      <c r="HH66" s="175"/>
      <c r="HI66" s="175"/>
      <c r="HJ66" s="175"/>
      <c r="HK66" s="175"/>
      <c r="HL66" s="175"/>
      <c r="HM66" s="175"/>
      <c r="HN66" s="175"/>
      <c r="HO66" s="175"/>
      <c r="HP66" s="175"/>
      <c r="HQ66" s="175"/>
      <c r="HR66" s="175"/>
      <c r="HS66" s="175"/>
      <c r="HT66" s="175"/>
      <c r="HU66" s="175"/>
      <c r="HV66" s="175"/>
      <c r="HW66" s="175"/>
      <c r="HX66" s="175"/>
      <c r="HY66" s="175"/>
      <c r="HZ66" s="175"/>
      <c r="IA66" s="175"/>
      <c r="IB66" s="175"/>
      <c r="IC66" s="175"/>
      <c r="ID66" s="175"/>
      <c r="IE66" s="175"/>
      <c r="IF66" s="175"/>
      <c r="IG66" s="175"/>
      <c r="IH66" s="175"/>
      <c r="II66" s="175"/>
      <c r="IJ66" s="175"/>
      <c r="IK66" s="175"/>
      <c r="IL66" s="175"/>
      <c r="IM66" s="175"/>
      <c r="IN66" s="175"/>
      <c r="IO66" s="175"/>
      <c r="IP66" s="175"/>
      <c r="IQ66" s="175"/>
      <c r="IR66" s="175"/>
      <c r="IS66" s="175"/>
      <c r="IT66" s="175"/>
      <c r="IU66" s="175"/>
    </row>
    <row r="67" spans="1:255" s="197" customFormat="1" ht="66.75" customHeight="1" x14ac:dyDescent="0.25">
      <c r="A67" s="173">
        <f t="shared" si="0"/>
        <v>62</v>
      </c>
      <c r="B67" s="173" t="s">
        <v>164</v>
      </c>
      <c r="C67" s="173" t="s">
        <v>1792</v>
      </c>
      <c r="D67" s="176" t="s">
        <v>1557</v>
      </c>
      <c r="E67" s="213" t="s">
        <v>1707</v>
      </c>
      <c r="F67" s="173">
        <v>34</v>
      </c>
      <c r="G67" s="173">
        <v>50</v>
      </c>
      <c r="H67" s="177" t="s">
        <v>1641</v>
      </c>
      <c r="I67" s="177">
        <v>2.0000000000000001E-4</v>
      </c>
      <c r="J67" s="198"/>
      <c r="K67" s="198"/>
      <c r="L67" s="194">
        <v>0.5</v>
      </c>
      <c r="M67" s="194">
        <v>44</v>
      </c>
      <c r="N67" s="207">
        <f>9568*I67*SQRT(M67)/розрах!$I$133</f>
        <v>6.2892068607436381E-3</v>
      </c>
      <c r="O67" s="224">
        <f>G67/1000*G67/1000*F67*0.785/розрах!$I$175</f>
        <v>3.3060313035209501E-5</v>
      </c>
      <c r="P67" s="196"/>
      <c r="Q67" s="196"/>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c r="CM67" s="175"/>
      <c r="CN67" s="175"/>
      <c r="CO67" s="175"/>
      <c r="CP67" s="175"/>
      <c r="CQ67" s="175"/>
      <c r="CR67" s="175"/>
      <c r="CS67" s="175"/>
      <c r="CT67" s="175"/>
      <c r="CU67" s="175"/>
      <c r="CV67" s="175"/>
      <c r="CW67" s="175"/>
      <c r="CX67" s="175"/>
      <c r="CY67" s="175"/>
      <c r="CZ67" s="175"/>
      <c r="DA67" s="175"/>
      <c r="DB67" s="175"/>
      <c r="DC67" s="175"/>
      <c r="DD67" s="175"/>
      <c r="DE67" s="175"/>
      <c r="DF67" s="175"/>
      <c r="DG67" s="175"/>
      <c r="DH67" s="175"/>
      <c r="DI67" s="175"/>
      <c r="DJ67" s="175"/>
      <c r="DK67" s="175"/>
      <c r="DL67" s="175"/>
      <c r="DM67" s="175"/>
      <c r="DN67" s="175"/>
      <c r="DO67" s="175"/>
      <c r="DP67" s="175"/>
      <c r="DQ67" s="175"/>
      <c r="DR67" s="175"/>
      <c r="DS67" s="175"/>
      <c r="DT67" s="175"/>
      <c r="DU67" s="175"/>
      <c r="DV67" s="175"/>
      <c r="DW67" s="175"/>
      <c r="DX67" s="175"/>
      <c r="DY67" s="175"/>
      <c r="DZ67" s="175"/>
      <c r="EA67" s="175"/>
      <c r="EB67" s="175"/>
      <c r="EC67" s="175"/>
      <c r="ED67" s="175"/>
      <c r="EE67" s="175"/>
      <c r="EF67" s="175"/>
      <c r="EG67" s="175"/>
      <c r="EH67" s="175"/>
      <c r="EI67" s="175"/>
      <c r="EJ67" s="175"/>
      <c r="EK67" s="175"/>
      <c r="EL67" s="175"/>
      <c r="EM67" s="175"/>
      <c r="EN67" s="175"/>
      <c r="EO67" s="175"/>
      <c r="EP67" s="175"/>
      <c r="EQ67" s="175"/>
      <c r="ER67" s="175"/>
      <c r="ES67" s="175"/>
      <c r="ET67" s="175"/>
      <c r="EU67" s="175"/>
      <c r="EV67" s="175"/>
      <c r="EW67" s="175"/>
      <c r="EX67" s="175"/>
      <c r="EY67" s="175"/>
      <c r="EZ67" s="175"/>
      <c r="FA67" s="175"/>
      <c r="FB67" s="175"/>
      <c r="FC67" s="175"/>
      <c r="FD67" s="175"/>
      <c r="FE67" s="175"/>
      <c r="FF67" s="175"/>
      <c r="FG67" s="175"/>
      <c r="FH67" s="175"/>
      <c r="FI67" s="175"/>
      <c r="FJ67" s="175"/>
      <c r="FK67" s="175"/>
      <c r="FL67" s="175"/>
      <c r="FM67" s="175"/>
      <c r="FN67" s="175"/>
      <c r="FO67" s="175"/>
      <c r="FP67" s="175"/>
      <c r="FQ67" s="175"/>
      <c r="FR67" s="175"/>
      <c r="FS67" s="175"/>
      <c r="FT67" s="175"/>
      <c r="FU67" s="175"/>
      <c r="FV67" s="175"/>
      <c r="FW67" s="175"/>
      <c r="FX67" s="175"/>
      <c r="FY67" s="175"/>
      <c r="FZ67" s="175"/>
      <c r="GA67" s="175"/>
      <c r="GB67" s="175"/>
      <c r="GC67" s="175"/>
      <c r="GD67" s="175"/>
      <c r="GE67" s="175"/>
      <c r="GF67" s="175"/>
      <c r="GG67" s="175"/>
      <c r="GH67" s="175"/>
      <c r="GI67" s="175"/>
      <c r="GJ67" s="175"/>
      <c r="GK67" s="175"/>
      <c r="GL67" s="175"/>
      <c r="GM67" s="175"/>
      <c r="GN67" s="175"/>
      <c r="GO67" s="175"/>
      <c r="GP67" s="175"/>
      <c r="GQ67" s="175"/>
      <c r="GR67" s="175"/>
      <c r="GS67" s="175"/>
      <c r="GT67" s="175"/>
      <c r="GU67" s="175"/>
      <c r="GV67" s="175"/>
      <c r="GW67" s="175"/>
      <c r="GX67" s="175"/>
      <c r="GY67" s="175"/>
      <c r="GZ67" s="175"/>
      <c r="HA67" s="175"/>
      <c r="HB67" s="175"/>
      <c r="HC67" s="175"/>
      <c r="HD67" s="175"/>
      <c r="HE67" s="175"/>
      <c r="HF67" s="175"/>
      <c r="HG67" s="175"/>
      <c r="HH67" s="175"/>
      <c r="HI67" s="175"/>
      <c r="HJ67" s="175"/>
      <c r="HK67" s="175"/>
      <c r="HL67" s="175"/>
      <c r="HM67" s="175"/>
      <c r="HN67" s="175"/>
      <c r="HO67" s="175"/>
      <c r="HP67" s="175"/>
      <c r="HQ67" s="175"/>
      <c r="HR67" s="175"/>
      <c r="HS67" s="175"/>
      <c r="HT67" s="175"/>
      <c r="HU67" s="175"/>
      <c r="HV67" s="175"/>
      <c r="HW67" s="175"/>
      <c r="HX67" s="175"/>
      <c r="HY67" s="175"/>
      <c r="HZ67" s="175"/>
      <c r="IA67" s="175"/>
      <c r="IB67" s="175"/>
      <c r="IC67" s="175"/>
      <c r="ID67" s="175"/>
      <c r="IE67" s="175"/>
      <c r="IF67" s="175"/>
      <c r="IG67" s="175"/>
      <c r="IH67" s="175"/>
      <c r="II67" s="175"/>
      <c r="IJ67" s="175"/>
      <c r="IK67" s="175"/>
      <c r="IL67" s="175"/>
      <c r="IM67" s="175"/>
      <c r="IN67" s="175"/>
      <c r="IO67" s="175"/>
      <c r="IP67" s="175"/>
      <c r="IQ67" s="175"/>
      <c r="IR67" s="175"/>
      <c r="IS67" s="175"/>
      <c r="IT67" s="175"/>
      <c r="IU67" s="175"/>
    </row>
    <row r="68" spans="1:255" s="197" customFormat="1" ht="58.5" customHeight="1" x14ac:dyDescent="0.25">
      <c r="A68" s="173">
        <f t="shared" si="0"/>
        <v>63</v>
      </c>
      <c r="B68" s="173" t="s">
        <v>164</v>
      </c>
      <c r="C68" s="173" t="s">
        <v>1793</v>
      </c>
      <c r="D68" s="176" t="s">
        <v>1558</v>
      </c>
      <c r="E68" s="213" t="s">
        <v>1831</v>
      </c>
      <c r="F68" s="173">
        <v>29</v>
      </c>
      <c r="G68" s="173">
        <v>50</v>
      </c>
      <c r="H68" s="177" t="s">
        <v>1641</v>
      </c>
      <c r="I68" s="177">
        <v>2.0000000000000001E-4</v>
      </c>
      <c r="J68" s="194"/>
      <c r="K68" s="194"/>
      <c r="L68" s="194">
        <v>0.5</v>
      </c>
      <c r="M68" s="194">
        <v>40</v>
      </c>
      <c r="N68" s="207">
        <f>9568*I68*SQRT(M68)/розрах!$I$133</f>
        <v>5.9965234577457728E-3</v>
      </c>
      <c r="O68" s="224">
        <f>G68/1000*G68/1000*F68*0.785/розрах!$I$175</f>
        <v>2.8198502294737511E-5</v>
      </c>
      <c r="P68" s="196"/>
      <c r="Q68" s="196"/>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5"/>
      <c r="EC68" s="175"/>
      <c r="ED68" s="175"/>
      <c r="EE68" s="175"/>
      <c r="EF68" s="175"/>
      <c r="EG68" s="175"/>
      <c r="EH68" s="175"/>
      <c r="EI68" s="175"/>
      <c r="EJ68" s="175"/>
      <c r="EK68" s="175"/>
      <c r="EL68" s="175"/>
      <c r="EM68" s="175"/>
      <c r="EN68" s="175"/>
      <c r="EO68" s="175"/>
      <c r="EP68" s="175"/>
      <c r="EQ68" s="175"/>
      <c r="ER68" s="175"/>
      <c r="ES68" s="175"/>
      <c r="ET68" s="175"/>
      <c r="EU68" s="175"/>
      <c r="EV68" s="175"/>
      <c r="EW68" s="175"/>
      <c r="EX68" s="175"/>
      <c r="EY68" s="175"/>
      <c r="EZ68" s="175"/>
      <c r="FA68" s="175"/>
      <c r="FB68" s="175"/>
      <c r="FC68" s="175"/>
      <c r="FD68" s="175"/>
      <c r="FE68" s="175"/>
      <c r="FF68" s="175"/>
      <c r="FG68" s="175"/>
      <c r="FH68" s="175"/>
      <c r="FI68" s="175"/>
      <c r="FJ68" s="175"/>
      <c r="FK68" s="175"/>
      <c r="FL68" s="175"/>
      <c r="FM68" s="175"/>
      <c r="FN68" s="175"/>
      <c r="FO68" s="175"/>
      <c r="FP68" s="175"/>
      <c r="FQ68" s="175"/>
      <c r="FR68" s="175"/>
      <c r="FS68" s="175"/>
      <c r="FT68" s="175"/>
      <c r="FU68" s="175"/>
      <c r="FV68" s="175"/>
      <c r="FW68" s="175"/>
      <c r="FX68" s="175"/>
      <c r="FY68" s="175"/>
      <c r="FZ68" s="175"/>
      <c r="GA68" s="175"/>
      <c r="GB68" s="175"/>
      <c r="GC68" s="175"/>
      <c r="GD68" s="175"/>
      <c r="GE68" s="175"/>
      <c r="GF68" s="175"/>
      <c r="GG68" s="175"/>
      <c r="GH68" s="175"/>
      <c r="GI68" s="175"/>
      <c r="GJ68" s="175"/>
      <c r="GK68" s="175"/>
      <c r="GL68" s="175"/>
      <c r="GM68" s="175"/>
      <c r="GN68" s="175"/>
      <c r="GO68" s="175"/>
      <c r="GP68" s="175"/>
      <c r="GQ68" s="175"/>
      <c r="GR68" s="175"/>
      <c r="GS68" s="175"/>
      <c r="GT68" s="175"/>
      <c r="GU68" s="175"/>
      <c r="GV68" s="175"/>
      <c r="GW68" s="175"/>
      <c r="GX68" s="175"/>
      <c r="GY68" s="175"/>
      <c r="GZ68" s="175"/>
      <c r="HA68" s="175"/>
      <c r="HB68" s="175"/>
      <c r="HC68" s="175"/>
      <c r="HD68" s="175"/>
      <c r="HE68" s="175"/>
      <c r="HF68" s="175"/>
      <c r="HG68" s="175"/>
      <c r="HH68" s="175"/>
      <c r="HI68" s="175"/>
      <c r="HJ68" s="175"/>
      <c r="HK68" s="175"/>
      <c r="HL68" s="175"/>
      <c r="HM68" s="175"/>
      <c r="HN68" s="175"/>
      <c r="HO68" s="175"/>
      <c r="HP68" s="175"/>
      <c r="HQ68" s="175"/>
      <c r="HR68" s="175"/>
      <c r="HS68" s="175"/>
      <c r="HT68" s="175"/>
      <c r="HU68" s="175"/>
      <c r="HV68" s="175"/>
      <c r="HW68" s="175"/>
      <c r="HX68" s="175"/>
      <c r="HY68" s="175"/>
      <c r="HZ68" s="175"/>
      <c r="IA68" s="175"/>
      <c r="IB68" s="175"/>
      <c r="IC68" s="175"/>
      <c r="ID68" s="175"/>
      <c r="IE68" s="175"/>
      <c r="IF68" s="175"/>
      <c r="IG68" s="175"/>
      <c r="IH68" s="175"/>
      <c r="II68" s="175"/>
      <c r="IJ68" s="175"/>
      <c r="IK68" s="175"/>
      <c r="IL68" s="175"/>
      <c r="IM68" s="175"/>
      <c r="IN68" s="175"/>
      <c r="IO68" s="175"/>
      <c r="IP68" s="175"/>
      <c r="IQ68" s="175"/>
      <c r="IR68" s="175"/>
      <c r="IS68" s="175"/>
      <c r="IT68" s="175"/>
      <c r="IU68" s="175"/>
    </row>
    <row r="69" spans="1:255" s="197" customFormat="1" ht="74.25" customHeight="1" x14ac:dyDescent="0.25">
      <c r="A69" s="173">
        <f t="shared" si="0"/>
        <v>64</v>
      </c>
      <c r="B69" s="173" t="s">
        <v>164</v>
      </c>
      <c r="C69" s="173" t="s">
        <v>1559</v>
      </c>
      <c r="D69" s="176" t="s">
        <v>1560</v>
      </c>
      <c r="E69" s="198" t="s">
        <v>1708</v>
      </c>
      <c r="F69" s="233">
        <v>137</v>
      </c>
      <c r="G69" s="173">
        <v>70</v>
      </c>
      <c r="H69" s="177" t="s">
        <v>1509</v>
      </c>
      <c r="I69" s="200">
        <v>2.5000000000000001E-4</v>
      </c>
      <c r="J69" s="194"/>
      <c r="K69" s="194"/>
      <c r="L69" s="194">
        <v>5</v>
      </c>
      <c r="M69" s="194">
        <v>56</v>
      </c>
      <c r="N69" s="207">
        <f>9568*I69*SQRT(M69)/розрах!$I$133</f>
        <v>8.8689777993130915E-3</v>
      </c>
      <c r="O69" s="224">
        <f>G69/1000*G69/1000*F69*0.785/розрах!$I$175</f>
        <v>2.6109868400630751E-4</v>
      </c>
      <c r="P69" s="196"/>
      <c r="Q69" s="196"/>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75"/>
      <c r="EA69" s="175"/>
      <c r="EB69" s="175"/>
      <c r="EC69" s="175"/>
      <c r="ED69" s="175"/>
      <c r="EE69" s="175"/>
      <c r="EF69" s="175"/>
      <c r="EG69" s="175"/>
      <c r="EH69" s="175"/>
      <c r="EI69" s="175"/>
      <c r="EJ69" s="175"/>
      <c r="EK69" s="175"/>
      <c r="EL69" s="175"/>
      <c r="EM69" s="175"/>
      <c r="EN69" s="175"/>
      <c r="EO69" s="175"/>
      <c r="EP69" s="175"/>
      <c r="EQ69" s="175"/>
      <c r="ER69" s="175"/>
      <c r="ES69" s="175"/>
      <c r="ET69" s="175"/>
      <c r="EU69" s="175"/>
      <c r="EV69" s="175"/>
      <c r="EW69" s="175"/>
      <c r="EX69" s="175"/>
      <c r="EY69" s="175"/>
      <c r="EZ69" s="175"/>
      <c r="FA69" s="175"/>
      <c r="FB69" s="175"/>
      <c r="FC69" s="175"/>
      <c r="FD69" s="175"/>
      <c r="FE69" s="175"/>
      <c r="FF69" s="175"/>
      <c r="FG69" s="175"/>
      <c r="FH69" s="175"/>
      <c r="FI69" s="175"/>
      <c r="FJ69" s="175"/>
      <c r="FK69" s="175"/>
      <c r="FL69" s="175"/>
      <c r="FM69" s="175"/>
      <c r="FN69" s="175"/>
      <c r="FO69" s="175"/>
      <c r="FP69" s="175"/>
      <c r="FQ69" s="175"/>
      <c r="FR69" s="175"/>
      <c r="FS69" s="175"/>
      <c r="FT69" s="175"/>
      <c r="FU69" s="175"/>
      <c r="FV69" s="175"/>
      <c r="FW69" s="175"/>
      <c r="FX69" s="175"/>
      <c r="FY69" s="175"/>
      <c r="FZ69" s="175"/>
      <c r="GA69" s="175"/>
      <c r="GB69" s="175"/>
      <c r="GC69" s="175"/>
      <c r="GD69" s="175"/>
      <c r="GE69" s="175"/>
      <c r="GF69" s="175"/>
      <c r="GG69" s="175"/>
      <c r="GH69" s="175"/>
      <c r="GI69" s="175"/>
      <c r="GJ69" s="175"/>
      <c r="GK69" s="175"/>
      <c r="GL69" s="175"/>
      <c r="GM69" s="175"/>
      <c r="GN69" s="175"/>
      <c r="GO69" s="175"/>
      <c r="GP69" s="175"/>
      <c r="GQ69" s="175"/>
      <c r="GR69" s="175"/>
      <c r="GS69" s="175"/>
      <c r="GT69" s="175"/>
      <c r="GU69" s="175"/>
      <c r="GV69" s="175"/>
      <c r="GW69" s="175"/>
      <c r="GX69" s="175"/>
      <c r="GY69" s="175"/>
      <c r="GZ69" s="175"/>
      <c r="HA69" s="175"/>
      <c r="HB69" s="175"/>
      <c r="HC69" s="175"/>
      <c r="HD69" s="175"/>
      <c r="HE69" s="175"/>
      <c r="HF69" s="175"/>
      <c r="HG69" s="175"/>
      <c r="HH69" s="175"/>
      <c r="HI69" s="175"/>
      <c r="HJ69" s="175"/>
      <c r="HK69" s="175"/>
      <c r="HL69" s="175"/>
      <c r="HM69" s="175"/>
      <c r="HN69" s="175"/>
      <c r="HO69" s="175"/>
      <c r="HP69" s="175"/>
      <c r="HQ69" s="175"/>
      <c r="HR69" s="175"/>
      <c r="HS69" s="175"/>
      <c r="HT69" s="175"/>
      <c r="HU69" s="175"/>
      <c r="HV69" s="175"/>
      <c r="HW69" s="175"/>
      <c r="HX69" s="175"/>
      <c r="HY69" s="175"/>
      <c r="HZ69" s="175"/>
      <c r="IA69" s="175"/>
      <c r="IB69" s="175"/>
      <c r="IC69" s="175"/>
      <c r="ID69" s="175"/>
      <c r="IE69" s="175"/>
      <c r="IF69" s="175"/>
      <c r="IG69" s="175"/>
      <c r="IH69" s="175"/>
      <c r="II69" s="175"/>
      <c r="IJ69" s="175"/>
      <c r="IK69" s="175"/>
      <c r="IL69" s="175"/>
      <c r="IM69" s="175"/>
      <c r="IN69" s="175"/>
      <c r="IO69" s="175"/>
      <c r="IP69" s="175"/>
      <c r="IQ69" s="175"/>
      <c r="IR69" s="175"/>
      <c r="IS69" s="175"/>
      <c r="IT69" s="175"/>
      <c r="IU69" s="175"/>
    </row>
    <row r="70" spans="1:255" s="197" customFormat="1" ht="72" customHeight="1" x14ac:dyDescent="0.25">
      <c r="A70" s="173">
        <f t="shared" si="0"/>
        <v>65</v>
      </c>
      <c r="B70" s="173" t="s">
        <v>164</v>
      </c>
      <c r="C70" s="173" t="s">
        <v>1559</v>
      </c>
      <c r="D70" s="176" t="s">
        <v>1561</v>
      </c>
      <c r="E70" s="198" t="s">
        <v>1709</v>
      </c>
      <c r="F70" s="177">
        <v>87</v>
      </c>
      <c r="G70" s="173">
        <v>100</v>
      </c>
      <c r="H70" s="177" t="s">
        <v>1509</v>
      </c>
      <c r="I70" s="200">
        <v>2.4000000000000001E-4</v>
      </c>
      <c r="J70" s="194"/>
      <c r="K70" s="194"/>
      <c r="L70" s="194">
        <v>4</v>
      </c>
      <c r="M70" s="194">
        <v>56</v>
      </c>
      <c r="N70" s="207">
        <f>9568*I70*SQRT(M70)/розрах!$I$133</f>
        <v>8.5142186873405704E-3</v>
      </c>
      <c r="O70" s="224">
        <f>G70/1000*G70/1000*F70*0.785/розрах!$I$175</f>
        <v>3.3838202753685016E-4</v>
      </c>
      <c r="P70" s="196"/>
      <c r="Q70" s="196"/>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c r="ES70" s="175"/>
      <c r="ET70" s="175"/>
      <c r="EU70" s="175"/>
      <c r="EV70" s="175"/>
      <c r="EW70" s="175"/>
      <c r="EX70" s="175"/>
      <c r="EY70" s="175"/>
      <c r="EZ70" s="175"/>
      <c r="FA70" s="175"/>
      <c r="FB70" s="175"/>
      <c r="FC70" s="175"/>
      <c r="FD70" s="175"/>
      <c r="FE70" s="175"/>
      <c r="FF70" s="175"/>
      <c r="FG70" s="175"/>
      <c r="FH70" s="175"/>
      <c r="FI70" s="175"/>
      <c r="FJ70" s="175"/>
      <c r="FK70" s="175"/>
      <c r="FL70" s="175"/>
      <c r="FM70" s="175"/>
      <c r="FN70" s="175"/>
      <c r="FO70" s="175"/>
      <c r="FP70" s="175"/>
      <c r="FQ70" s="175"/>
      <c r="FR70" s="175"/>
      <c r="FS70" s="175"/>
      <c r="FT70" s="175"/>
      <c r="FU70" s="175"/>
      <c r="FV70" s="175"/>
      <c r="FW70" s="175"/>
      <c r="FX70" s="175"/>
      <c r="FY70" s="175"/>
      <c r="FZ70" s="175"/>
      <c r="GA70" s="175"/>
      <c r="GB70" s="175"/>
      <c r="GC70" s="175"/>
      <c r="GD70" s="175"/>
      <c r="GE70" s="175"/>
      <c r="GF70" s="175"/>
      <c r="GG70" s="175"/>
      <c r="GH70" s="175"/>
      <c r="GI70" s="175"/>
      <c r="GJ70" s="175"/>
      <c r="GK70" s="175"/>
      <c r="GL70" s="175"/>
      <c r="GM70" s="175"/>
      <c r="GN70" s="175"/>
      <c r="GO70" s="175"/>
      <c r="GP70" s="175"/>
      <c r="GQ70" s="175"/>
      <c r="GR70" s="175"/>
      <c r="GS70" s="175"/>
      <c r="GT70" s="175"/>
      <c r="GU70" s="175"/>
      <c r="GV70" s="175"/>
      <c r="GW70" s="175"/>
      <c r="GX70" s="175"/>
      <c r="GY70" s="175"/>
      <c r="GZ70" s="175"/>
      <c r="HA70" s="175"/>
      <c r="HB70" s="175"/>
      <c r="HC70" s="175"/>
      <c r="HD70" s="175"/>
      <c r="HE70" s="175"/>
      <c r="HF70" s="175"/>
      <c r="HG70" s="175"/>
      <c r="HH70" s="175"/>
      <c r="HI70" s="175"/>
      <c r="HJ70" s="175"/>
      <c r="HK70" s="175"/>
      <c r="HL70" s="175"/>
      <c r="HM70" s="175"/>
      <c r="HN70" s="175"/>
      <c r="HO70" s="175"/>
      <c r="HP70" s="175"/>
      <c r="HQ70" s="175"/>
      <c r="HR70" s="175"/>
      <c r="HS70" s="175"/>
      <c r="HT70" s="175"/>
      <c r="HU70" s="175"/>
      <c r="HV70" s="175"/>
      <c r="HW70" s="175"/>
      <c r="HX70" s="175"/>
      <c r="HY70" s="175"/>
      <c r="HZ70" s="175"/>
      <c r="IA70" s="175"/>
      <c r="IB70" s="175"/>
      <c r="IC70" s="175"/>
      <c r="ID70" s="175"/>
      <c r="IE70" s="175"/>
      <c r="IF70" s="175"/>
      <c r="IG70" s="175"/>
      <c r="IH70" s="175"/>
      <c r="II70" s="175"/>
      <c r="IJ70" s="175"/>
      <c r="IK70" s="175"/>
      <c r="IL70" s="175"/>
      <c r="IM70" s="175"/>
      <c r="IN70" s="175"/>
      <c r="IO70" s="175"/>
      <c r="IP70" s="175"/>
      <c r="IQ70" s="175"/>
      <c r="IR70" s="175"/>
      <c r="IS70" s="175"/>
      <c r="IT70" s="175"/>
      <c r="IU70" s="175"/>
    </row>
    <row r="71" spans="1:255" s="197" customFormat="1" ht="60.75" customHeight="1" x14ac:dyDescent="0.25">
      <c r="A71" s="173">
        <f t="shared" ref="A71:A136" si="1">A70+1</f>
        <v>66</v>
      </c>
      <c r="B71" s="200" t="s">
        <v>164</v>
      </c>
      <c r="C71" s="200" t="s">
        <v>1642</v>
      </c>
      <c r="D71" s="177" t="s">
        <v>1712</v>
      </c>
      <c r="E71" s="210" t="s">
        <v>1710</v>
      </c>
      <c r="F71" s="177">
        <v>30</v>
      </c>
      <c r="G71" s="173">
        <v>80</v>
      </c>
      <c r="H71" s="177" t="s">
        <v>1641</v>
      </c>
      <c r="I71" s="177">
        <v>2.0000000000000001E-4</v>
      </c>
      <c r="J71" s="194"/>
      <c r="K71" s="194"/>
      <c r="L71" s="194">
        <v>0.5</v>
      </c>
      <c r="M71" s="194">
        <v>44</v>
      </c>
      <c r="N71" s="207">
        <f>9568*I71*SQRT(M71)/розрах!$I$133</f>
        <v>6.2892068607436381E-3</v>
      </c>
      <c r="O71" s="195">
        <f>G71/1000*G71/1000*F71*0.785/розрах!$I$175</f>
        <v>7.4677412973649693E-5</v>
      </c>
      <c r="P71" s="196"/>
      <c r="Q71" s="196"/>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c r="CM71" s="175"/>
      <c r="CN71" s="175"/>
      <c r="CO71" s="175"/>
      <c r="CP71" s="175"/>
      <c r="CQ71" s="175"/>
      <c r="CR71" s="175"/>
      <c r="CS71" s="175"/>
      <c r="CT71" s="175"/>
      <c r="CU71" s="175"/>
      <c r="CV71" s="175"/>
      <c r="CW71" s="175"/>
      <c r="CX71" s="175"/>
      <c r="CY71" s="175"/>
      <c r="CZ71" s="175"/>
      <c r="DA71" s="175"/>
      <c r="DB71" s="175"/>
      <c r="DC71" s="175"/>
      <c r="DD71" s="175"/>
      <c r="DE71" s="175"/>
      <c r="DF71" s="175"/>
      <c r="DG71" s="175"/>
      <c r="DH71" s="175"/>
      <c r="DI71" s="175"/>
      <c r="DJ71" s="175"/>
      <c r="DK71" s="175"/>
      <c r="DL71" s="175"/>
      <c r="DM71" s="175"/>
      <c r="DN71" s="175"/>
      <c r="DO71" s="175"/>
      <c r="DP71" s="175"/>
      <c r="DQ71" s="175"/>
      <c r="DR71" s="175"/>
      <c r="DS71" s="175"/>
      <c r="DT71" s="175"/>
      <c r="DU71" s="175"/>
      <c r="DV71" s="175"/>
      <c r="DW71" s="175"/>
      <c r="DX71" s="175"/>
      <c r="DY71" s="175"/>
      <c r="DZ71" s="175"/>
      <c r="EA71" s="175"/>
      <c r="EB71" s="175"/>
      <c r="EC71" s="175"/>
      <c r="ED71" s="175"/>
      <c r="EE71" s="175"/>
      <c r="EF71" s="175"/>
      <c r="EG71" s="175"/>
      <c r="EH71" s="175"/>
      <c r="EI71" s="175"/>
      <c r="EJ71" s="175"/>
      <c r="EK71" s="175"/>
      <c r="EL71" s="175"/>
      <c r="EM71" s="175"/>
      <c r="EN71" s="175"/>
      <c r="EO71" s="175"/>
      <c r="EP71" s="175"/>
      <c r="EQ71" s="175"/>
      <c r="ER71" s="175"/>
      <c r="ES71" s="175"/>
      <c r="ET71" s="175"/>
      <c r="EU71" s="175"/>
      <c r="EV71" s="175"/>
      <c r="EW71" s="175"/>
      <c r="EX71" s="175"/>
      <c r="EY71" s="175"/>
      <c r="EZ71" s="175"/>
      <c r="FA71" s="175"/>
      <c r="FB71" s="175"/>
      <c r="FC71" s="175"/>
      <c r="FD71" s="175"/>
      <c r="FE71" s="175"/>
      <c r="FF71" s="175"/>
      <c r="FG71" s="175"/>
      <c r="FH71" s="175"/>
      <c r="FI71" s="175"/>
      <c r="FJ71" s="175"/>
      <c r="FK71" s="175"/>
      <c r="FL71" s="175"/>
      <c r="FM71" s="175"/>
      <c r="FN71" s="175"/>
      <c r="FO71" s="175"/>
      <c r="FP71" s="175"/>
      <c r="FQ71" s="175"/>
      <c r="FR71" s="175"/>
      <c r="FS71" s="175"/>
      <c r="FT71" s="175"/>
      <c r="FU71" s="175"/>
      <c r="FV71" s="175"/>
      <c r="FW71" s="175"/>
      <c r="FX71" s="175"/>
      <c r="FY71" s="175"/>
      <c r="FZ71" s="175"/>
      <c r="GA71" s="175"/>
      <c r="GB71" s="175"/>
      <c r="GC71" s="175"/>
      <c r="GD71" s="175"/>
      <c r="GE71" s="175"/>
      <c r="GF71" s="175"/>
      <c r="GG71" s="175"/>
      <c r="GH71" s="175"/>
      <c r="GI71" s="175"/>
      <c r="GJ71" s="175"/>
      <c r="GK71" s="175"/>
      <c r="GL71" s="175"/>
      <c r="GM71" s="175"/>
      <c r="GN71" s="175"/>
      <c r="GO71" s="175"/>
      <c r="GP71" s="175"/>
      <c r="GQ71" s="175"/>
      <c r="GR71" s="175"/>
      <c r="GS71" s="175"/>
      <c r="GT71" s="175"/>
      <c r="GU71" s="175"/>
      <c r="GV71" s="175"/>
      <c r="GW71" s="175"/>
      <c r="GX71" s="175"/>
      <c r="GY71" s="175"/>
      <c r="GZ71" s="175"/>
      <c r="HA71" s="175"/>
      <c r="HB71" s="175"/>
      <c r="HC71" s="175"/>
      <c r="HD71" s="175"/>
      <c r="HE71" s="175"/>
      <c r="HF71" s="175"/>
      <c r="HG71" s="175"/>
      <c r="HH71" s="175"/>
      <c r="HI71" s="175"/>
      <c r="HJ71" s="175"/>
      <c r="HK71" s="175"/>
      <c r="HL71" s="175"/>
      <c r="HM71" s="175"/>
      <c r="HN71" s="175"/>
      <c r="HO71" s="175"/>
      <c r="HP71" s="175"/>
      <c r="HQ71" s="175"/>
      <c r="HR71" s="175"/>
      <c r="HS71" s="175"/>
      <c r="HT71" s="175"/>
      <c r="HU71" s="175"/>
      <c r="HV71" s="175"/>
      <c r="HW71" s="175"/>
      <c r="HX71" s="175"/>
      <c r="HY71" s="175"/>
      <c r="HZ71" s="175"/>
      <c r="IA71" s="175"/>
      <c r="IB71" s="175"/>
      <c r="IC71" s="175"/>
      <c r="ID71" s="175"/>
      <c r="IE71" s="175"/>
      <c r="IF71" s="175"/>
      <c r="IG71" s="175"/>
      <c r="IH71" s="175"/>
      <c r="II71" s="175"/>
      <c r="IJ71" s="175"/>
      <c r="IK71" s="175"/>
      <c r="IL71" s="175"/>
      <c r="IM71" s="175"/>
      <c r="IN71" s="175"/>
      <c r="IO71" s="175"/>
      <c r="IP71" s="175"/>
      <c r="IQ71" s="175"/>
      <c r="IR71" s="175"/>
      <c r="IS71" s="175"/>
      <c r="IT71" s="175"/>
      <c r="IU71" s="175"/>
    </row>
    <row r="72" spans="1:255" s="197" customFormat="1" ht="68.25" customHeight="1" x14ac:dyDescent="0.25">
      <c r="A72" s="223">
        <f t="shared" si="1"/>
        <v>67</v>
      </c>
      <c r="B72" s="200" t="s">
        <v>164</v>
      </c>
      <c r="C72" s="205" t="s">
        <v>1815</v>
      </c>
      <c r="D72" s="176" t="s">
        <v>1562</v>
      </c>
      <c r="E72" s="213" t="s">
        <v>1711</v>
      </c>
      <c r="F72" s="173">
        <v>52</v>
      </c>
      <c r="G72" s="173">
        <v>70</v>
      </c>
      <c r="H72" s="177" t="s">
        <v>1509</v>
      </c>
      <c r="I72" s="177">
        <v>2.0000000000000001E-4</v>
      </c>
      <c r="J72" s="194"/>
      <c r="K72" s="194"/>
      <c r="L72" s="194">
        <v>0.5</v>
      </c>
      <c r="M72" s="194">
        <v>53</v>
      </c>
      <c r="N72" s="207">
        <f>9568*I72*SQRT(M72)/розрах!$I$133</f>
        <v>6.9025168592743253E-3</v>
      </c>
      <c r="O72" s="224">
        <f>G72/1000*G72/1000*F72*0.785/розрах!$I$175</f>
        <v>9.9103150133780953E-5</v>
      </c>
      <c r="P72" s="196"/>
      <c r="Q72" s="196"/>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5"/>
      <c r="EC72" s="175"/>
      <c r="ED72" s="175"/>
      <c r="EE72" s="175"/>
      <c r="EF72" s="175"/>
      <c r="EG72" s="175"/>
      <c r="EH72" s="175"/>
      <c r="EI72" s="175"/>
      <c r="EJ72" s="175"/>
      <c r="EK72" s="175"/>
      <c r="EL72" s="175"/>
      <c r="EM72" s="175"/>
      <c r="EN72" s="175"/>
      <c r="EO72" s="175"/>
      <c r="EP72" s="175"/>
      <c r="EQ72" s="175"/>
      <c r="ER72" s="175"/>
      <c r="ES72" s="175"/>
      <c r="ET72" s="175"/>
      <c r="EU72" s="175"/>
      <c r="EV72" s="175"/>
      <c r="EW72" s="175"/>
      <c r="EX72" s="175"/>
      <c r="EY72" s="175"/>
      <c r="EZ72" s="175"/>
      <c r="FA72" s="175"/>
      <c r="FB72" s="175"/>
      <c r="FC72" s="175"/>
      <c r="FD72" s="175"/>
      <c r="FE72" s="175"/>
      <c r="FF72" s="175"/>
      <c r="FG72" s="175"/>
      <c r="FH72" s="175"/>
      <c r="FI72" s="175"/>
      <c r="FJ72" s="175"/>
      <c r="FK72" s="175"/>
      <c r="FL72" s="175"/>
      <c r="FM72" s="175"/>
      <c r="FN72" s="175"/>
      <c r="FO72" s="175"/>
      <c r="FP72" s="175"/>
      <c r="FQ72" s="175"/>
      <c r="FR72" s="175"/>
      <c r="FS72" s="175"/>
      <c r="FT72" s="175"/>
      <c r="FU72" s="175"/>
      <c r="FV72" s="175"/>
      <c r="FW72" s="175"/>
      <c r="FX72" s="175"/>
      <c r="FY72" s="175"/>
      <c r="FZ72" s="175"/>
      <c r="GA72" s="175"/>
      <c r="GB72" s="175"/>
      <c r="GC72" s="175"/>
      <c r="GD72" s="175"/>
      <c r="GE72" s="175"/>
      <c r="GF72" s="175"/>
      <c r="GG72" s="175"/>
      <c r="GH72" s="175"/>
      <c r="GI72" s="175"/>
      <c r="GJ72" s="175"/>
      <c r="GK72" s="175"/>
      <c r="GL72" s="175"/>
      <c r="GM72" s="175"/>
      <c r="GN72" s="175"/>
      <c r="GO72" s="175"/>
      <c r="GP72" s="175"/>
      <c r="GQ72" s="175"/>
      <c r="GR72" s="175"/>
      <c r="GS72" s="175"/>
      <c r="GT72" s="175"/>
      <c r="GU72" s="175"/>
      <c r="GV72" s="175"/>
      <c r="GW72" s="175"/>
      <c r="GX72" s="175"/>
      <c r="GY72" s="175"/>
      <c r="GZ72" s="175"/>
      <c r="HA72" s="175"/>
      <c r="HB72" s="175"/>
      <c r="HC72" s="175"/>
      <c r="HD72" s="175"/>
      <c r="HE72" s="175"/>
      <c r="HF72" s="175"/>
      <c r="HG72" s="175"/>
      <c r="HH72" s="175"/>
      <c r="HI72" s="175"/>
      <c r="HJ72" s="175"/>
      <c r="HK72" s="175"/>
      <c r="HL72" s="175"/>
      <c r="HM72" s="175"/>
      <c r="HN72" s="175"/>
      <c r="HO72" s="175"/>
      <c r="HP72" s="175"/>
      <c r="HQ72" s="175"/>
      <c r="HR72" s="175"/>
      <c r="HS72" s="175"/>
      <c r="HT72" s="175"/>
      <c r="HU72" s="175"/>
      <c r="HV72" s="175"/>
      <c r="HW72" s="175"/>
      <c r="HX72" s="175"/>
      <c r="HY72" s="175"/>
      <c r="HZ72" s="175"/>
      <c r="IA72" s="175"/>
      <c r="IB72" s="175"/>
      <c r="IC72" s="175"/>
      <c r="ID72" s="175"/>
      <c r="IE72" s="175"/>
      <c r="IF72" s="175"/>
      <c r="IG72" s="175"/>
      <c r="IH72" s="175"/>
      <c r="II72" s="175"/>
      <c r="IJ72" s="175"/>
      <c r="IK72" s="175"/>
      <c r="IL72" s="175"/>
      <c r="IM72" s="175"/>
      <c r="IN72" s="175"/>
      <c r="IO72" s="175"/>
      <c r="IP72" s="175"/>
      <c r="IQ72" s="175"/>
      <c r="IR72" s="175"/>
      <c r="IS72" s="175"/>
      <c r="IT72" s="175"/>
      <c r="IU72" s="175"/>
    </row>
    <row r="73" spans="1:255" s="197" customFormat="1" ht="68.25" customHeight="1" x14ac:dyDescent="0.25">
      <c r="A73" s="223">
        <f t="shared" si="1"/>
        <v>68</v>
      </c>
      <c r="B73" s="200" t="s">
        <v>164</v>
      </c>
      <c r="C73" s="205" t="s">
        <v>1815</v>
      </c>
      <c r="D73" s="219" t="s">
        <v>1562</v>
      </c>
      <c r="E73" s="213" t="s">
        <v>1711</v>
      </c>
      <c r="F73" s="173">
        <v>52</v>
      </c>
      <c r="G73" s="173">
        <v>50</v>
      </c>
      <c r="H73" s="177" t="s">
        <v>1641</v>
      </c>
      <c r="I73" s="177">
        <v>2.0000000000000001E-4</v>
      </c>
      <c r="J73" s="194"/>
      <c r="K73" s="194"/>
      <c r="L73" s="194">
        <v>0.5</v>
      </c>
      <c r="M73" s="194">
        <v>38</v>
      </c>
      <c r="N73" s="207">
        <f>9568*I73*SQRT(M73)/розрах!$I$133</f>
        <v>5.844688092647079E-3</v>
      </c>
      <c r="O73" s="224">
        <f>G73/1000*G73/1000*F73*0.785/розрах!$I$175</f>
        <v>5.0562831700908639E-5</v>
      </c>
      <c r="P73" s="196"/>
      <c r="Q73" s="196"/>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5"/>
      <c r="DF73" s="175"/>
      <c r="DG73" s="175"/>
      <c r="DH73" s="175"/>
      <c r="DI73" s="175"/>
      <c r="DJ73" s="175"/>
      <c r="DK73" s="175"/>
      <c r="DL73" s="175"/>
      <c r="DM73" s="175"/>
      <c r="DN73" s="175"/>
      <c r="DO73" s="175"/>
      <c r="DP73" s="175"/>
      <c r="DQ73" s="175"/>
      <c r="DR73" s="175"/>
      <c r="DS73" s="175"/>
      <c r="DT73" s="175"/>
      <c r="DU73" s="175"/>
      <c r="DV73" s="175"/>
      <c r="DW73" s="175"/>
      <c r="DX73" s="175"/>
      <c r="DY73" s="175"/>
      <c r="DZ73" s="175"/>
      <c r="EA73" s="175"/>
      <c r="EB73" s="175"/>
      <c r="EC73" s="175"/>
      <c r="ED73" s="175"/>
      <c r="EE73" s="175"/>
      <c r="EF73" s="175"/>
      <c r="EG73" s="175"/>
      <c r="EH73" s="175"/>
      <c r="EI73" s="175"/>
      <c r="EJ73" s="175"/>
      <c r="EK73" s="175"/>
      <c r="EL73" s="175"/>
      <c r="EM73" s="175"/>
      <c r="EN73" s="175"/>
      <c r="EO73" s="175"/>
      <c r="EP73" s="175"/>
      <c r="EQ73" s="175"/>
      <c r="ER73" s="175"/>
      <c r="ES73" s="175"/>
      <c r="ET73" s="175"/>
      <c r="EU73" s="175"/>
      <c r="EV73" s="175"/>
      <c r="EW73" s="175"/>
      <c r="EX73" s="175"/>
      <c r="EY73" s="175"/>
      <c r="EZ73" s="175"/>
      <c r="FA73" s="175"/>
      <c r="FB73" s="175"/>
      <c r="FC73" s="175"/>
      <c r="FD73" s="175"/>
      <c r="FE73" s="175"/>
      <c r="FF73" s="175"/>
      <c r="FG73" s="175"/>
      <c r="FH73" s="175"/>
      <c r="FI73" s="175"/>
      <c r="FJ73" s="175"/>
      <c r="FK73" s="175"/>
      <c r="FL73" s="175"/>
      <c r="FM73" s="175"/>
      <c r="FN73" s="175"/>
      <c r="FO73" s="175"/>
      <c r="FP73" s="175"/>
      <c r="FQ73" s="175"/>
      <c r="FR73" s="175"/>
      <c r="FS73" s="175"/>
      <c r="FT73" s="175"/>
      <c r="FU73" s="175"/>
      <c r="FV73" s="175"/>
      <c r="FW73" s="175"/>
      <c r="FX73" s="175"/>
      <c r="FY73" s="175"/>
      <c r="FZ73" s="175"/>
      <c r="GA73" s="175"/>
      <c r="GB73" s="175"/>
      <c r="GC73" s="175"/>
      <c r="GD73" s="175"/>
      <c r="GE73" s="175"/>
      <c r="GF73" s="175"/>
      <c r="GG73" s="175"/>
      <c r="GH73" s="175"/>
      <c r="GI73" s="175"/>
      <c r="GJ73" s="175"/>
      <c r="GK73" s="175"/>
      <c r="GL73" s="175"/>
      <c r="GM73" s="175"/>
      <c r="GN73" s="175"/>
      <c r="GO73" s="175"/>
      <c r="GP73" s="175"/>
      <c r="GQ73" s="175"/>
      <c r="GR73" s="175"/>
      <c r="GS73" s="175"/>
      <c r="GT73" s="175"/>
      <c r="GU73" s="175"/>
      <c r="GV73" s="175"/>
      <c r="GW73" s="175"/>
      <c r="GX73" s="175"/>
      <c r="GY73" s="175"/>
      <c r="GZ73" s="175"/>
      <c r="HA73" s="175"/>
      <c r="HB73" s="175"/>
      <c r="HC73" s="175"/>
      <c r="HD73" s="175"/>
      <c r="HE73" s="175"/>
      <c r="HF73" s="175"/>
      <c r="HG73" s="175"/>
      <c r="HH73" s="175"/>
      <c r="HI73" s="175"/>
      <c r="HJ73" s="175"/>
      <c r="HK73" s="175"/>
      <c r="HL73" s="175"/>
      <c r="HM73" s="175"/>
      <c r="HN73" s="175"/>
      <c r="HO73" s="175"/>
      <c r="HP73" s="175"/>
      <c r="HQ73" s="175"/>
      <c r="HR73" s="175"/>
      <c r="HS73" s="175"/>
      <c r="HT73" s="175"/>
      <c r="HU73" s="175"/>
      <c r="HV73" s="175"/>
      <c r="HW73" s="175"/>
      <c r="HX73" s="175"/>
      <c r="HY73" s="175"/>
      <c r="HZ73" s="175"/>
      <c r="IA73" s="175"/>
      <c r="IB73" s="175"/>
      <c r="IC73" s="175"/>
      <c r="ID73" s="175"/>
      <c r="IE73" s="175"/>
      <c r="IF73" s="175"/>
      <c r="IG73" s="175"/>
      <c r="IH73" s="175"/>
      <c r="II73" s="175"/>
      <c r="IJ73" s="175"/>
      <c r="IK73" s="175"/>
      <c r="IL73" s="175"/>
      <c r="IM73" s="175"/>
      <c r="IN73" s="175"/>
      <c r="IO73" s="175"/>
      <c r="IP73" s="175"/>
      <c r="IQ73" s="175"/>
      <c r="IR73" s="175"/>
      <c r="IS73" s="175"/>
      <c r="IT73" s="175"/>
      <c r="IU73" s="175"/>
    </row>
    <row r="74" spans="1:255" s="197" customFormat="1" ht="64.5" customHeight="1" x14ac:dyDescent="0.25">
      <c r="A74" s="222">
        <f t="shared" si="1"/>
        <v>69</v>
      </c>
      <c r="B74" s="200" t="s">
        <v>164</v>
      </c>
      <c r="C74" s="205" t="s">
        <v>1803</v>
      </c>
      <c r="D74" s="176" t="s">
        <v>1563</v>
      </c>
      <c r="E74" s="213" t="s">
        <v>1713</v>
      </c>
      <c r="F74" s="173">
        <v>47</v>
      </c>
      <c r="G74" s="173">
        <v>50</v>
      </c>
      <c r="H74" s="177" t="s">
        <v>1641</v>
      </c>
      <c r="I74" s="177">
        <v>2.0000000000000001E-4</v>
      </c>
      <c r="J74" s="194"/>
      <c r="K74" s="194"/>
      <c r="L74" s="194">
        <v>0.5</v>
      </c>
      <c r="M74" s="194">
        <v>40</v>
      </c>
      <c r="N74" s="207">
        <f>9568*I74*SQRT(M74)/розрах!$I$133</f>
        <v>5.9965234577457728E-3</v>
      </c>
      <c r="O74" s="224">
        <f>G74/1000*G74/1000*F74*0.785/розрах!$I$175</f>
        <v>4.5701020960436662E-5</v>
      </c>
      <c r="P74" s="196"/>
      <c r="Q74" s="196"/>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c r="CB74" s="175"/>
      <c r="CC74" s="175"/>
      <c r="CD74" s="175"/>
      <c r="CE74" s="175"/>
      <c r="CF74" s="175"/>
      <c r="CG74" s="175"/>
      <c r="CH74" s="175"/>
      <c r="CI74" s="175"/>
      <c r="CJ74" s="175"/>
      <c r="CK74" s="175"/>
      <c r="CL74" s="175"/>
      <c r="CM74" s="175"/>
      <c r="CN74" s="175"/>
      <c r="CO74" s="175"/>
      <c r="CP74" s="175"/>
      <c r="CQ74" s="175"/>
      <c r="CR74" s="175"/>
      <c r="CS74" s="175"/>
      <c r="CT74" s="175"/>
      <c r="CU74" s="175"/>
      <c r="CV74" s="175"/>
      <c r="CW74" s="175"/>
      <c r="CX74" s="175"/>
      <c r="CY74" s="175"/>
      <c r="CZ74" s="175"/>
      <c r="DA74" s="175"/>
      <c r="DB74" s="175"/>
      <c r="DC74" s="175"/>
      <c r="DD74" s="175"/>
      <c r="DE74" s="175"/>
      <c r="DF74" s="175"/>
      <c r="DG74" s="175"/>
      <c r="DH74" s="175"/>
      <c r="DI74" s="175"/>
      <c r="DJ74" s="175"/>
      <c r="DK74" s="175"/>
      <c r="DL74" s="175"/>
      <c r="DM74" s="175"/>
      <c r="DN74" s="175"/>
      <c r="DO74" s="175"/>
      <c r="DP74" s="175"/>
      <c r="DQ74" s="175"/>
      <c r="DR74" s="175"/>
      <c r="DS74" s="175"/>
      <c r="DT74" s="175"/>
      <c r="DU74" s="175"/>
      <c r="DV74" s="175"/>
      <c r="DW74" s="175"/>
      <c r="DX74" s="175"/>
      <c r="DY74" s="175"/>
      <c r="DZ74" s="175"/>
      <c r="EA74" s="175"/>
      <c r="EB74" s="175"/>
      <c r="EC74" s="175"/>
      <c r="ED74" s="175"/>
      <c r="EE74" s="175"/>
      <c r="EF74" s="175"/>
      <c r="EG74" s="175"/>
      <c r="EH74" s="175"/>
      <c r="EI74" s="175"/>
      <c r="EJ74" s="175"/>
      <c r="EK74" s="175"/>
      <c r="EL74" s="175"/>
      <c r="EM74" s="175"/>
      <c r="EN74" s="175"/>
      <c r="EO74" s="175"/>
      <c r="EP74" s="175"/>
      <c r="EQ74" s="175"/>
      <c r="ER74" s="175"/>
      <c r="ES74" s="175"/>
      <c r="ET74" s="175"/>
      <c r="EU74" s="175"/>
      <c r="EV74" s="175"/>
      <c r="EW74" s="175"/>
      <c r="EX74" s="175"/>
      <c r="EY74" s="175"/>
      <c r="EZ74" s="175"/>
      <c r="FA74" s="175"/>
      <c r="FB74" s="175"/>
      <c r="FC74" s="175"/>
      <c r="FD74" s="175"/>
      <c r="FE74" s="175"/>
      <c r="FF74" s="175"/>
      <c r="FG74" s="175"/>
      <c r="FH74" s="175"/>
      <c r="FI74" s="175"/>
      <c r="FJ74" s="175"/>
      <c r="FK74" s="175"/>
      <c r="FL74" s="175"/>
      <c r="FM74" s="175"/>
      <c r="FN74" s="175"/>
      <c r="FO74" s="175"/>
      <c r="FP74" s="175"/>
      <c r="FQ74" s="175"/>
      <c r="FR74" s="175"/>
      <c r="FS74" s="175"/>
      <c r="FT74" s="175"/>
      <c r="FU74" s="175"/>
      <c r="FV74" s="175"/>
      <c r="FW74" s="175"/>
      <c r="FX74" s="175"/>
      <c r="FY74" s="175"/>
      <c r="FZ74" s="175"/>
      <c r="GA74" s="175"/>
      <c r="GB74" s="175"/>
      <c r="GC74" s="175"/>
      <c r="GD74" s="175"/>
      <c r="GE74" s="175"/>
      <c r="GF74" s="175"/>
      <c r="GG74" s="175"/>
      <c r="GH74" s="175"/>
      <c r="GI74" s="175"/>
      <c r="GJ74" s="175"/>
      <c r="GK74" s="175"/>
      <c r="GL74" s="175"/>
      <c r="GM74" s="175"/>
      <c r="GN74" s="175"/>
      <c r="GO74" s="175"/>
      <c r="GP74" s="175"/>
      <c r="GQ74" s="175"/>
      <c r="GR74" s="175"/>
      <c r="GS74" s="175"/>
      <c r="GT74" s="175"/>
      <c r="GU74" s="175"/>
      <c r="GV74" s="175"/>
      <c r="GW74" s="175"/>
      <c r="GX74" s="175"/>
      <c r="GY74" s="175"/>
      <c r="GZ74" s="175"/>
      <c r="HA74" s="175"/>
      <c r="HB74" s="175"/>
      <c r="HC74" s="175"/>
      <c r="HD74" s="175"/>
      <c r="HE74" s="175"/>
      <c r="HF74" s="175"/>
      <c r="HG74" s="175"/>
      <c r="HH74" s="175"/>
      <c r="HI74" s="175"/>
      <c r="HJ74" s="175"/>
      <c r="HK74" s="175"/>
      <c r="HL74" s="175"/>
      <c r="HM74" s="175"/>
      <c r="HN74" s="175"/>
      <c r="HO74" s="175"/>
      <c r="HP74" s="175"/>
      <c r="HQ74" s="175"/>
      <c r="HR74" s="175"/>
      <c r="HS74" s="175"/>
      <c r="HT74" s="175"/>
      <c r="HU74" s="175"/>
      <c r="HV74" s="175"/>
      <c r="HW74" s="175"/>
      <c r="HX74" s="175"/>
      <c r="HY74" s="175"/>
      <c r="HZ74" s="175"/>
      <c r="IA74" s="175"/>
      <c r="IB74" s="175"/>
      <c r="IC74" s="175"/>
      <c r="ID74" s="175"/>
      <c r="IE74" s="175"/>
      <c r="IF74" s="175"/>
      <c r="IG74" s="175"/>
      <c r="IH74" s="175"/>
      <c r="II74" s="175"/>
      <c r="IJ74" s="175"/>
      <c r="IK74" s="175"/>
      <c r="IL74" s="175"/>
      <c r="IM74" s="175"/>
      <c r="IN74" s="175"/>
      <c r="IO74" s="175"/>
      <c r="IP74" s="175"/>
      <c r="IQ74" s="175"/>
      <c r="IR74" s="175"/>
      <c r="IS74" s="175"/>
      <c r="IT74" s="175"/>
      <c r="IU74" s="175"/>
    </row>
    <row r="75" spans="1:255" s="197" customFormat="1" ht="53.25" customHeight="1" x14ac:dyDescent="0.25">
      <c r="A75" s="173">
        <f t="shared" si="1"/>
        <v>70</v>
      </c>
      <c r="B75" s="200" t="s">
        <v>164</v>
      </c>
      <c r="C75" s="173" t="s">
        <v>1809</v>
      </c>
      <c r="D75" s="176" t="s">
        <v>1564</v>
      </c>
      <c r="E75" s="213" t="s">
        <v>1714</v>
      </c>
      <c r="F75" s="173">
        <v>27</v>
      </c>
      <c r="G75" s="173">
        <v>80</v>
      </c>
      <c r="H75" s="177" t="s">
        <v>1641</v>
      </c>
      <c r="I75" s="177">
        <v>2.9999999999999997E-4</v>
      </c>
      <c r="J75" s="194"/>
      <c r="K75" s="194"/>
      <c r="L75" s="194">
        <v>10</v>
      </c>
      <c r="M75" s="194">
        <v>48</v>
      </c>
      <c r="N75" s="207">
        <f>9568*I75*SQRT(M75)/розрах!$I$133</f>
        <v>9.8532934932487066E-3</v>
      </c>
      <c r="O75" s="195">
        <f>G75/1000*G75/1000*F75*0.785/розрах!$I$175</f>
        <v>6.7209671676284727E-5</v>
      </c>
      <c r="P75" s="196"/>
      <c r="Q75" s="196"/>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75"/>
      <c r="EA75" s="175"/>
      <c r="EB75" s="175"/>
      <c r="EC75" s="175"/>
      <c r="ED75" s="175"/>
      <c r="EE75" s="175"/>
      <c r="EF75" s="175"/>
      <c r="EG75" s="175"/>
      <c r="EH75" s="175"/>
      <c r="EI75" s="175"/>
      <c r="EJ75" s="175"/>
      <c r="EK75" s="175"/>
      <c r="EL75" s="175"/>
      <c r="EM75" s="175"/>
      <c r="EN75" s="175"/>
      <c r="EO75" s="175"/>
      <c r="EP75" s="175"/>
      <c r="EQ75" s="175"/>
      <c r="ER75" s="175"/>
      <c r="ES75" s="175"/>
      <c r="ET75" s="175"/>
      <c r="EU75" s="175"/>
      <c r="EV75" s="175"/>
      <c r="EW75" s="175"/>
      <c r="EX75" s="175"/>
      <c r="EY75" s="175"/>
      <c r="EZ75" s="175"/>
      <c r="FA75" s="175"/>
      <c r="FB75" s="175"/>
      <c r="FC75" s="175"/>
      <c r="FD75" s="175"/>
      <c r="FE75" s="175"/>
      <c r="FF75" s="175"/>
      <c r="FG75" s="175"/>
      <c r="FH75" s="175"/>
      <c r="FI75" s="175"/>
      <c r="FJ75" s="175"/>
      <c r="FK75" s="175"/>
      <c r="FL75" s="175"/>
      <c r="FM75" s="175"/>
      <c r="FN75" s="175"/>
      <c r="FO75" s="175"/>
      <c r="FP75" s="175"/>
      <c r="FQ75" s="175"/>
      <c r="FR75" s="175"/>
      <c r="FS75" s="175"/>
      <c r="FT75" s="175"/>
      <c r="FU75" s="175"/>
      <c r="FV75" s="175"/>
      <c r="FW75" s="175"/>
      <c r="FX75" s="175"/>
      <c r="FY75" s="175"/>
      <c r="FZ75" s="175"/>
      <c r="GA75" s="175"/>
      <c r="GB75" s="175"/>
      <c r="GC75" s="175"/>
      <c r="GD75" s="175"/>
      <c r="GE75" s="175"/>
      <c r="GF75" s="175"/>
      <c r="GG75" s="175"/>
      <c r="GH75" s="175"/>
      <c r="GI75" s="175"/>
      <c r="GJ75" s="175"/>
      <c r="GK75" s="175"/>
      <c r="GL75" s="175"/>
      <c r="GM75" s="175"/>
      <c r="GN75" s="175"/>
      <c r="GO75" s="175"/>
      <c r="GP75" s="175"/>
      <c r="GQ75" s="175"/>
      <c r="GR75" s="175"/>
      <c r="GS75" s="175"/>
      <c r="GT75" s="175"/>
      <c r="GU75" s="175"/>
      <c r="GV75" s="175"/>
      <c r="GW75" s="175"/>
      <c r="GX75" s="175"/>
      <c r="GY75" s="175"/>
      <c r="GZ75" s="175"/>
      <c r="HA75" s="175"/>
      <c r="HB75" s="175"/>
      <c r="HC75" s="175"/>
      <c r="HD75" s="175"/>
      <c r="HE75" s="175"/>
      <c r="HF75" s="175"/>
      <c r="HG75" s="175"/>
      <c r="HH75" s="175"/>
      <c r="HI75" s="175"/>
      <c r="HJ75" s="175"/>
      <c r="HK75" s="175"/>
      <c r="HL75" s="175"/>
      <c r="HM75" s="175"/>
      <c r="HN75" s="175"/>
      <c r="HO75" s="175"/>
      <c r="HP75" s="175"/>
      <c r="HQ75" s="175"/>
      <c r="HR75" s="175"/>
      <c r="HS75" s="175"/>
      <c r="HT75" s="175"/>
      <c r="HU75" s="175"/>
      <c r="HV75" s="175"/>
      <c r="HW75" s="175"/>
      <c r="HX75" s="175"/>
      <c r="HY75" s="175"/>
      <c r="HZ75" s="175"/>
      <c r="IA75" s="175"/>
      <c r="IB75" s="175"/>
      <c r="IC75" s="175"/>
      <c r="ID75" s="175"/>
      <c r="IE75" s="175"/>
      <c r="IF75" s="175"/>
      <c r="IG75" s="175"/>
      <c r="IH75" s="175"/>
      <c r="II75" s="175"/>
      <c r="IJ75" s="175"/>
      <c r="IK75" s="175"/>
      <c r="IL75" s="175"/>
      <c r="IM75" s="175"/>
      <c r="IN75" s="175"/>
      <c r="IO75" s="175"/>
      <c r="IP75" s="175"/>
      <c r="IQ75" s="175"/>
      <c r="IR75" s="175"/>
      <c r="IS75" s="175"/>
      <c r="IT75" s="175"/>
      <c r="IU75" s="175"/>
    </row>
    <row r="76" spans="1:255" s="197" customFormat="1" ht="63" customHeight="1" x14ac:dyDescent="0.25">
      <c r="A76" s="173">
        <f t="shared" si="1"/>
        <v>71</v>
      </c>
      <c r="B76" s="173" t="s">
        <v>164</v>
      </c>
      <c r="C76" s="173" t="s">
        <v>1808</v>
      </c>
      <c r="D76" s="176" t="s">
        <v>1535</v>
      </c>
      <c r="E76" s="213" t="s">
        <v>1715</v>
      </c>
      <c r="F76" s="173">
        <v>50</v>
      </c>
      <c r="G76" s="173">
        <v>125</v>
      </c>
      <c r="H76" s="177" t="s">
        <v>1509</v>
      </c>
      <c r="I76" s="177"/>
      <c r="J76" s="194"/>
      <c r="K76" s="195">
        <f>0.05*3.14*0.125*0.125/4</f>
        <v>6.1328125000000011E-4</v>
      </c>
      <c r="L76" s="225">
        <v>5</v>
      </c>
      <c r="M76" s="194">
        <v>61</v>
      </c>
      <c r="N76" s="207">
        <f>9568*K76*SQRT(M76)/розрах!$I$133</f>
        <v>2.2707229544534309E-2</v>
      </c>
      <c r="O76" s="224">
        <f>G76/1000*G76/1000*F76*0.785/розрах!$I$175</f>
        <v>3.0386317127949902E-4</v>
      </c>
      <c r="P76" s="196"/>
      <c r="Q76" s="196"/>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c r="FT76" s="175"/>
      <c r="FU76" s="175"/>
      <c r="FV76" s="175"/>
      <c r="FW76" s="175"/>
      <c r="FX76" s="175"/>
      <c r="FY76" s="175"/>
      <c r="FZ76" s="175"/>
      <c r="GA76" s="175"/>
      <c r="GB76" s="175"/>
      <c r="GC76" s="175"/>
      <c r="GD76" s="175"/>
      <c r="GE76" s="175"/>
      <c r="GF76" s="175"/>
      <c r="GG76" s="175"/>
      <c r="GH76" s="175"/>
      <c r="GI76" s="175"/>
      <c r="GJ76" s="175"/>
      <c r="GK76" s="175"/>
      <c r="GL76" s="175"/>
      <c r="GM76" s="175"/>
      <c r="GN76" s="175"/>
      <c r="GO76" s="175"/>
      <c r="GP76" s="175"/>
      <c r="GQ76" s="175"/>
      <c r="GR76" s="175"/>
      <c r="GS76" s="175"/>
      <c r="GT76" s="175"/>
      <c r="GU76" s="175"/>
      <c r="GV76" s="175"/>
      <c r="GW76" s="175"/>
      <c r="GX76" s="175"/>
      <c r="GY76" s="175"/>
      <c r="GZ76" s="175"/>
      <c r="HA76" s="175"/>
      <c r="HB76" s="175"/>
      <c r="HC76" s="175"/>
      <c r="HD76" s="175"/>
      <c r="HE76" s="175"/>
      <c r="HF76" s="175"/>
      <c r="HG76" s="175"/>
      <c r="HH76" s="175"/>
      <c r="HI76" s="175"/>
      <c r="HJ76" s="175"/>
      <c r="HK76" s="175"/>
      <c r="HL76" s="175"/>
      <c r="HM76" s="175"/>
      <c r="HN76" s="175"/>
      <c r="HO76" s="175"/>
      <c r="HP76" s="175"/>
      <c r="HQ76" s="175"/>
      <c r="HR76" s="175"/>
      <c r="HS76" s="175"/>
      <c r="HT76" s="175"/>
      <c r="HU76" s="175"/>
      <c r="HV76" s="175"/>
      <c r="HW76" s="175"/>
      <c r="HX76" s="175"/>
      <c r="HY76" s="175"/>
      <c r="HZ76" s="175"/>
      <c r="IA76" s="175"/>
      <c r="IB76" s="175"/>
      <c r="IC76" s="175"/>
      <c r="ID76" s="175"/>
      <c r="IE76" s="175"/>
      <c r="IF76" s="175"/>
      <c r="IG76" s="175"/>
      <c r="IH76" s="175"/>
      <c r="II76" s="175"/>
      <c r="IJ76" s="175"/>
      <c r="IK76" s="175"/>
      <c r="IL76" s="175"/>
      <c r="IM76" s="175"/>
      <c r="IN76" s="175"/>
      <c r="IO76" s="175"/>
      <c r="IP76" s="175"/>
      <c r="IQ76" s="175"/>
      <c r="IR76" s="175"/>
      <c r="IS76" s="175"/>
      <c r="IT76" s="175"/>
      <c r="IU76" s="175"/>
    </row>
    <row r="77" spans="1:255" s="197" customFormat="1" ht="67.5" customHeight="1" x14ac:dyDescent="0.25">
      <c r="A77" s="173">
        <f t="shared" si="1"/>
        <v>72</v>
      </c>
      <c r="B77" s="173" t="s">
        <v>164</v>
      </c>
      <c r="C77" s="173" t="s">
        <v>1808</v>
      </c>
      <c r="D77" s="176" t="s">
        <v>1535</v>
      </c>
      <c r="E77" s="213" t="s">
        <v>1715</v>
      </c>
      <c r="F77" s="173">
        <v>50</v>
      </c>
      <c r="G77" s="173">
        <v>100</v>
      </c>
      <c r="H77" s="177" t="s">
        <v>1641</v>
      </c>
      <c r="I77" s="177">
        <v>2.5999999999999998E-4</v>
      </c>
      <c r="J77" s="194"/>
      <c r="K77" s="194"/>
      <c r="L77" s="194">
        <v>10</v>
      </c>
      <c r="M77" s="194">
        <v>36</v>
      </c>
      <c r="N77" s="207">
        <f>9568*I77*SQRT(M77)/розрах!$I$133</f>
        <v>7.3954421459509886E-3</v>
      </c>
      <c r="O77" s="224">
        <f>G77/1000*G77/1000*F77*0.785/розрах!$I$175</f>
        <v>1.944724296188794E-4</v>
      </c>
      <c r="P77" s="196"/>
      <c r="Q77" s="196"/>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75"/>
      <c r="DO77" s="175"/>
      <c r="DP77" s="175"/>
      <c r="DQ77" s="175"/>
      <c r="DR77" s="175"/>
      <c r="DS77" s="175"/>
      <c r="DT77" s="175"/>
      <c r="DU77" s="175"/>
      <c r="DV77" s="175"/>
      <c r="DW77" s="175"/>
      <c r="DX77" s="175"/>
      <c r="DY77" s="175"/>
      <c r="DZ77" s="175"/>
      <c r="EA77" s="175"/>
      <c r="EB77" s="175"/>
      <c r="EC77" s="175"/>
      <c r="ED77" s="175"/>
      <c r="EE77" s="175"/>
      <c r="EF77" s="175"/>
      <c r="EG77" s="175"/>
      <c r="EH77" s="175"/>
      <c r="EI77" s="175"/>
      <c r="EJ77" s="175"/>
      <c r="EK77" s="175"/>
      <c r="EL77" s="175"/>
      <c r="EM77" s="175"/>
      <c r="EN77" s="175"/>
      <c r="EO77" s="175"/>
      <c r="EP77" s="175"/>
      <c r="EQ77" s="175"/>
      <c r="ER77" s="175"/>
      <c r="ES77" s="175"/>
      <c r="ET77" s="175"/>
      <c r="EU77" s="175"/>
      <c r="EV77" s="175"/>
      <c r="EW77" s="175"/>
      <c r="EX77" s="175"/>
      <c r="EY77" s="175"/>
      <c r="EZ77" s="175"/>
      <c r="FA77" s="175"/>
      <c r="FB77" s="175"/>
      <c r="FC77" s="175"/>
      <c r="FD77" s="175"/>
      <c r="FE77" s="175"/>
      <c r="FF77" s="175"/>
      <c r="FG77" s="175"/>
      <c r="FH77" s="175"/>
      <c r="FI77" s="175"/>
      <c r="FJ77" s="175"/>
      <c r="FK77" s="175"/>
      <c r="FL77" s="175"/>
      <c r="FM77" s="175"/>
      <c r="FN77" s="175"/>
      <c r="FO77" s="175"/>
      <c r="FP77" s="175"/>
      <c r="FQ77" s="175"/>
      <c r="FR77" s="175"/>
      <c r="FS77" s="175"/>
      <c r="FT77" s="175"/>
      <c r="FU77" s="175"/>
      <c r="FV77" s="175"/>
      <c r="FW77" s="175"/>
      <c r="FX77" s="175"/>
      <c r="FY77" s="175"/>
      <c r="FZ77" s="175"/>
      <c r="GA77" s="175"/>
      <c r="GB77" s="175"/>
      <c r="GC77" s="175"/>
      <c r="GD77" s="175"/>
      <c r="GE77" s="175"/>
      <c r="GF77" s="175"/>
      <c r="GG77" s="175"/>
      <c r="GH77" s="175"/>
      <c r="GI77" s="175"/>
      <c r="GJ77" s="175"/>
      <c r="GK77" s="175"/>
      <c r="GL77" s="175"/>
      <c r="GM77" s="175"/>
      <c r="GN77" s="175"/>
      <c r="GO77" s="175"/>
      <c r="GP77" s="175"/>
      <c r="GQ77" s="175"/>
      <c r="GR77" s="175"/>
      <c r="GS77" s="175"/>
      <c r="GT77" s="175"/>
      <c r="GU77" s="175"/>
      <c r="GV77" s="175"/>
      <c r="GW77" s="175"/>
      <c r="GX77" s="175"/>
      <c r="GY77" s="175"/>
      <c r="GZ77" s="175"/>
      <c r="HA77" s="175"/>
      <c r="HB77" s="175"/>
      <c r="HC77" s="175"/>
      <c r="HD77" s="175"/>
      <c r="HE77" s="175"/>
      <c r="HF77" s="175"/>
      <c r="HG77" s="175"/>
      <c r="HH77" s="175"/>
      <c r="HI77" s="175"/>
      <c r="HJ77" s="175"/>
      <c r="HK77" s="175"/>
      <c r="HL77" s="175"/>
      <c r="HM77" s="175"/>
      <c r="HN77" s="175"/>
      <c r="HO77" s="175"/>
      <c r="HP77" s="175"/>
      <c r="HQ77" s="175"/>
      <c r="HR77" s="175"/>
      <c r="HS77" s="175"/>
      <c r="HT77" s="175"/>
      <c r="HU77" s="175"/>
      <c r="HV77" s="175"/>
      <c r="HW77" s="175"/>
      <c r="HX77" s="175"/>
      <c r="HY77" s="175"/>
      <c r="HZ77" s="175"/>
      <c r="IA77" s="175"/>
      <c r="IB77" s="175"/>
      <c r="IC77" s="175"/>
      <c r="ID77" s="175"/>
      <c r="IE77" s="175"/>
      <c r="IF77" s="175"/>
      <c r="IG77" s="175"/>
      <c r="IH77" s="175"/>
      <c r="II77" s="175"/>
      <c r="IJ77" s="175"/>
      <c r="IK77" s="175"/>
      <c r="IL77" s="175"/>
      <c r="IM77" s="175"/>
      <c r="IN77" s="175"/>
      <c r="IO77" s="175"/>
      <c r="IP77" s="175"/>
      <c r="IQ77" s="175"/>
      <c r="IR77" s="175"/>
      <c r="IS77" s="175"/>
      <c r="IT77" s="175"/>
      <c r="IU77" s="175"/>
    </row>
    <row r="78" spans="1:255" s="197" customFormat="1" ht="72" customHeight="1" x14ac:dyDescent="0.25">
      <c r="A78" s="173">
        <f t="shared" si="1"/>
        <v>73</v>
      </c>
      <c r="B78" s="200" t="s">
        <v>164</v>
      </c>
      <c r="C78" s="173" t="s">
        <v>1810</v>
      </c>
      <c r="D78" s="176" t="s">
        <v>1555</v>
      </c>
      <c r="E78" s="213" t="s">
        <v>1716</v>
      </c>
      <c r="F78" s="173">
        <v>59</v>
      </c>
      <c r="G78" s="173">
        <v>80</v>
      </c>
      <c r="H78" s="177" t="s">
        <v>1641</v>
      </c>
      <c r="I78" s="177">
        <v>2.9999999999999997E-4</v>
      </c>
      <c r="J78" s="194"/>
      <c r="K78" s="194"/>
      <c r="L78" s="194">
        <v>12</v>
      </c>
      <c r="M78" s="194">
        <v>48</v>
      </c>
      <c r="N78" s="207">
        <f>9568*I78*SQRT(M78)/розрах!$I$133</f>
        <v>9.8532934932487066E-3</v>
      </c>
      <c r="O78" s="194">
        <f>G78/1000*G78/1000*F78*0.785/розрах!$I$175</f>
        <v>1.4686557884817771E-4</v>
      </c>
      <c r="P78" s="196"/>
      <c r="Q78" s="196"/>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5"/>
      <c r="DF78" s="175"/>
      <c r="DG78" s="175"/>
      <c r="DH78" s="175"/>
      <c r="DI78" s="175"/>
      <c r="DJ78" s="175"/>
      <c r="DK78" s="175"/>
      <c r="DL78" s="175"/>
      <c r="DM78" s="175"/>
      <c r="DN78" s="175"/>
      <c r="DO78" s="175"/>
      <c r="DP78" s="175"/>
      <c r="DQ78" s="175"/>
      <c r="DR78" s="175"/>
      <c r="DS78" s="175"/>
      <c r="DT78" s="175"/>
      <c r="DU78" s="175"/>
      <c r="DV78" s="175"/>
      <c r="DW78" s="175"/>
      <c r="DX78" s="175"/>
      <c r="DY78" s="175"/>
      <c r="DZ78" s="175"/>
      <c r="EA78" s="175"/>
      <c r="EB78" s="175"/>
      <c r="EC78" s="175"/>
      <c r="ED78" s="175"/>
      <c r="EE78" s="175"/>
      <c r="EF78" s="175"/>
      <c r="EG78" s="175"/>
      <c r="EH78" s="175"/>
      <c r="EI78" s="175"/>
      <c r="EJ78" s="175"/>
      <c r="EK78" s="175"/>
      <c r="EL78" s="175"/>
      <c r="EM78" s="175"/>
      <c r="EN78" s="175"/>
      <c r="EO78" s="175"/>
      <c r="EP78" s="175"/>
      <c r="EQ78" s="175"/>
      <c r="ER78" s="175"/>
      <c r="ES78" s="175"/>
      <c r="ET78" s="175"/>
      <c r="EU78" s="175"/>
      <c r="EV78" s="175"/>
      <c r="EW78" s="175"/>
      <c r="EX78" s="175"/>
      <c r="EY78" s="175"/>
      <c r="EZ78" s="175"/>
      <c r="FA78" s="175"/>
      <c r="FB78" s="175"/>
      <c r="FC78" s="175"/>
      <c r="FD78" s="175"/>
      <c r="FE78" s="175"/>
      <c r="FF78" s="175"/>
      <c r="FG78" s="175"/>
      <c r="FH78" s="175"/>
      <c r="FI78" s="175"/>
      <c r="FJ78" s="175"/>
      <c r="FK78" s="175"/>
      <c r="FL78" s="175"/>
      <c r="FM78" s="175"/>
      <c r="FN78" s="175"/>
      <c r="FO78" s="175"/>
      <c r="FP78" s="175"/>
      <c r="FQ78" s="175"/>
      <c r="FR78" s="175"/>
      <c r="FS78" s="175"/>
      <c r="FT78" s="175"/>
      <c r="FU78" s="175"/>
      <c r="FV78" s="175"/>
      <c r="FW78" s="175"/>
      <c r="FX78" s="175"/>
      <c r="FY78" s="175"/>
      <c r="FZ78" s="175"/>
      <c r="GA78" s="175"/>
      <c r="GB78" s="175"/>
      <c r="GC78" s="175"/>
      <c r="GD78" s="175"/>
      <c r="GE78" s="175"/>
      <c r="GF78" s="175"/>
      <c r="GG78" s="175"/>
      <c r="GH78" s="175"/>
      <c r="GI78" s="175"/>
      <c r="GJ78" s="175"/>
      <c r="GK78" s="175"/>
      <c r="GL78" s="175"/>
      <c r="GM78" s="175"/>
      <c r="GN78" s="175"/>
      <c r="GO78" s="175"/>
      <c r="GP78" s="175"/>
      <c r="GQ78" s="175"/>
      <c r="GR78" s="175"/>
      <c r="GS78" s="175"/>
      <c r="GT78" s="175"/>
      <c r="GU78" s="175"/>
      <c r="GV78" s="175"/>
      <c r="GW78" s="175"/>
      <c r="GX78" s="175"/>
      <c r="GY78" s="175"/>
      <c r="GZ78" s="175"/>
      <c r="HA78" s="175"/>
      <c r="HB78" s="175"/>
      <c r="HC78" s="175"/>
      <c r="HD78" s="175"/>
      <c r="HE78" s="175"/>
      <c r="HF78" s="175"/>
      <c r="HG78" s="175"/>
      <c r="HH78" s="175"/>
      <c r="HI78" s="175"/>
      <c r="HJ78" s="175"/>
      <c r="HK78" s="175"/>
      <c r="HL78" s="175"/>
      <c r="HM78" s="175"/>
      <c r="HN78" s="175"/>
      <c r="HO78" s="175"/>
      <c r="HP78" s="175"/>
      <c r="HQ78" s="175"/>
      <c r="HR78" s="175"/>
      <c r="HS78" s="175"/>
      <c r="HT78" s="175"/>
      <c r="HU78" s="175"/>
      <c r="HV78" s="175"/>
      <c r="HW78" s="175"/>
      <c r="HX78" s="175"/>
      <c r="HY78" s="175"/>
      <c r="HZ78" s="175"/>
      <c r="IA78" s="175"/>
      <c r="IB78" s="175"/>
      <c r="IC78" s="175"/>
      <c r="ID78" s="175"/>
      <c r="IE78" s="175"/>
      <c r="IF78" s="175"/>
      <c r="IG78" s="175"/>
      <c r="IH78" s="175"/>
      <c r="II78" s="175"/>
      <c r="IJ78" s="175"/>
      <c r="IK78" s="175"/>
      <c r="IL78" s="175"/>
      <c r="IM78" s="175"/>
      <c r="IN78" s="175"/>
      <c r="IO78" s="175"/>
      <c r="IP78" s="175"/>
      <c r="IQ78" s="175"/>
      <c r="IR78" s="175"/>
      <c r="IS78" s="175"/>
      <c r="IT78" s="175"/>
      <c r="IU78" s="175"/>
    </row>
    <row r="79" spans="1:255" s="197" customFormat="1" ht="46.5" customHeight="1" x14ac:dyDescent="0.25">
      <c r="A79" s="173">
        <f t="shared" si="1"/>
        <v>74</v>
      </c>
      <c r="B79" s="178" t="s">
        <v>164</v>
      </c>
      <c r="C79" s="177" t="s">
        <v>1811</v>
      </c>
      <c r="D79" s="177" t="s">
        <v>1717</v>
      </c>
      <c r="E79" s="214" t="s">
        <v>1565</v>
      </c>
      <c r="F79" s="178">
        <v>47</v>
      </c>
      <c r="G79" s="173">
        <v>80</v>
      </c>
      <c r="H79" s="177" t="s">
        <v>1509</v>
      </c>
      <c r="I79" s="200">
        <v>2.0000000000000001E-4</v>
      </c>
      <c r="J79" s="194"/>
      <c r="K79" s="194"/>
      <c r="L79" s="194">
        <v>6</v>
      </c>
      <c r="M79" s="194">
        <v>56</v>
      </c>
      <c r="N79" s="207">
        <f>9568*I79*SQRT(M79)/розрах!$I$133</f>
        <v>7.0951822394504744E-3</v>
      </c>
      <c r="O79" s="194">
        <f>G79/1000*G79/1000*F79*0.785/розрах!$I$175</f>
        <v>1.1699461365871786E-4</v>
      </c>
      <c r="P79" s="196"/>
      <c r="Q79" s="196"/>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c r="DE79" s="175"/>
      <c r="DF79" s="175"/>
      <c r="DG79" s="175"/>
      <c r="DH79" s="175"/>
      <c r="DI79" s="175"/>
      <c r="DJ79" s="175"/>
      <c r="DK79" s="175"/>
      <c r="DL79" s="175"/>
      <c r="DM79" s="175"/>
      <c r="DN79" s="175"/>
      <c r="DO79" s="175"/>
      <c r="DP79" s="175"/>
      <c r="DQ79" s="175"/>
      <c r="DR79" s="175"/>
      <c r="DS79" s="175"/>
      <c r="DT79" s="175"/>
      <c r="DU79" s="175"/>
      <c r="DV79" s="175"/>
      <c r="DW79" s="175"/>
      <c r="DX79" s="175"/>
      <c r="DY79" s="175"/>
      <c r="DZ79" s="175"/>
      <c r="EA79" s="175"/>
      <c r="EB79" s="175"/>
      <c r="EC79" s="175"/>
      <c r="ED79" s="175"/>
      <c r="EE79" s="175"/>
      <c r="EF79" s="175"/>
      <c r="EG79" s="175"/>
      <c r="EH79" s="175"/>
      <c r="EI79" s="175"/>
      <c r="EJ79" s="175"/>
      <c r="EK79" s="175"/>
      <c r="EL79" s="175"/>
      <c r="EM79" s="175"/>
      <c r="EN79" s="175"/>
      <c r="EO79" s="175"/>
      <c r="EP79" s="175"/>
      <c r="EQ79" s="175"/>
      <c r="ER79" s="175"/>
      <c r="ES79" s="175"/>
      <c r="ET79" s="175"/>
      <c r="EU79" s="175"/>
      <c r="EV79" s="175"/>
      <c r="EW79" s="175"/>
      <c r="EX79" s="175"/>
      <c r="EY79" s="175"/>
      <c r="EZ79" s="175"/>
      <c r="FA79" s="175"/>
      <c r="FB79" s="175"/>
      <c r="FC79" s="175"/>
      <c r="FD79" s="175"/>
      <c r="FE79" s="175"/>
      <c r="FF79" s="175"/>
      <c r="FG79" s="175"/>
      <c r="FH79" s="175"/>
      <c r="FI79" s="175"/>
      <c r="FJ79" s="175"/>
      <c r="FK79" s="175"/>
      <c r="FL79" s="175"/>
      <c r="FM79" s="175"/>
      <c r="FN79" s="175"/>
      <c r="FO79" s="175"/>
      <c r="FP79" s="175"/>
      <c r="FQ79" s="175"/>
      <c r="FR79" s="175"/>
      <c r="FS79" s="175"/>
      <c r="FT79" s="175"/>
      <c r="FU79" s="175"/>
      <c r="FV79" s="175"/>
      <c r="FW79" s="175"/>
      <c r="FX79" s="175"/>
      <c r="FY79" s="175"/>
      <c r="FZ79" s="175"/>
      <c r="GA79" s="175"/>
      <c r="GB79" s="175"/>
      <c r="GC79" s="175"/>
      <c r="GD79" s="175"/>
      <c r="GE79" s="175"/>
      <c r="GF79" s="175"/>
      <c r="GG79" s="175"/>
      <c r="GH79" s="175"/>
      <c r="GI79" s="175"/>
      <c r="GJ79" s="175"/>
      <c r="GK79" s="175"/>
      <c r="GL79" s="175"/>
      <c r="GM79" s="175"/>
      <c r="GN79" s="175"/>
      <c r="GO79" s="175"/>
      <c r="GP79" s="175"/>
      <c r="GQ79" s="175"/>
      <c r="GR79" s="175"/>
      <c r="GS79" s="175"/>
      <c r="GT79" s="175"/>
      <c r="GU79" s="175"/>
      <c r="GV79" s="175"/>
      <c r="GW79" s="175"/>
      <c r="GX79" s="175"/>
      <c r="GY79" s="175"/>
      <c r="GZ79" s="175"/>
      <c r="HA79" s="175"/>
      <c r="HB79" s="175"/>
      <c r="HC79" s="175"/>
      <c r="HD79" s="175"/>
      <c r="HE79" s="175"/>
      <c r="HF79" s="175"/>
      <c r="HG79" s="175"/>
      <c r="HH79" s="175"/>
      <c r="HI79" s="175"/>
      <c r="HJ79" s="175"/>
      <c r="HK79" s="175"/>
      <c r="HL79" s="175"/>
      <c r="HM79" s="175"/>
      <c r="HN79" s="175"/>
      <c r="HO79" s="175"/>
      <c r="HP79" s="175"/>
      <c r="HQ79" s="175"/>
      <c r="HR79" s="175"/>
      <c r="HS79" s="175"/>
      <c r="HT79" s="175"/>
      <c r="HU79" s="175"/>
      <c r="HV79" s="175"/>
      <c r="HW79" s="175"/>
      <c r="HX79" s="175"/>
      <c r="HY79" s="175"/>
      <c r="HZ79" s="175"/>
      <c r="IA79" s="175"/>
      <c r="IB79" s="175"/>
      <c r="IC79" s="175"/>
      <c r="ID79" s="175"/>
      <c r="IE79" s="175"/>
      <c r="IF79" s="175"/>
      <c r="IG79" s="175"/>
      <c r="IH79" s="175"/>
      <c r="II79" s="175"/>
      <c r="IJ79" s="175"/>
      <c r="IK79" s="175"/>
      <c r="IL79" s="175"/>
      <c r="IM79" s="175"/>
      <c r="IN79" s="175"/>
      <c r="IO79" s="175"/>
      <c r="IP79" s="175"/>
      <c r="IQ79" s="175"/>
      <c r="IR79" s="175"/>
      <c r="IS79" s="175"/>
      <c r="IT79" s="175"/>
      <c r="IU79" s="175"/>
    </row>
    <row r="80" spans="1:255" s="197" customFormat="1" ht="72" customHeight="1" x14ac:dyDescent="0.25">
      <c r="A80" s="173">
        <f t="shared" si="1"/>
        <v>75</v>
      </c>
      <c r="B80" s="178" t="s">
        <v>164</v>
      </c>
      <c r="C80" s="177" t="s">
        <v>1816</v>
      </c>
      <c r="D80" s="174" t="s">
        <v>1566</v>
      </c>
      <c r="E80" s="214" t="s">
        <v>1718</v>
      </c>
      <c r="F80" s="178">
        <v>97</v>
      </c>
      <c r="G80" s="173">
        <v>50</v>
      </c>
      <c r="H80" s="177" t="s">
        <v>1641</v>
      </c>
      <c r="I80" s="200">
        <v>2.0000000000000001E-4</v>
      </c>
      <c r="J80" s="194"/>
      <c r="K80" s="194"/>
      <c r="L80" s="194">
        <v>0.5</v>
      </c>
      <c r="M80" s="194">
        <v>41</v>
      </c>
      <c r="N80" s="207">
        <f>9568*I80*SQRT(M80)/розрах!$I$133</f>
        <v>6.0710172886245103E-3</v>
      </c>
      <c r="O80" s="224">
        <f>G80/1000*G80/1000*F80*0.785/розрах!$I$175</f>
        <v>9.4319128365156493E-5</v>
      </c>
      <c r="P80" s="196"/>
      <c r="Q80" s="196"/>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75"/>
      <c r="DO80" s="175"/>
      <c r="DP80" s="175"/>
      <c r="DQ80" s="175"/>
      <c r="DR80" s="175"/>
      <c r="DS80" s="175"/>
      <c r="DT80" s="175"/>
      <c r="DU80" s="175"/>
      <c r="DV80" s="175"/>
      <c r="DW80" s="175"/>
      <c r="DX80" s="175"/>
      <c r="DY80" s="175"/>
      <c r="DZ80" s="175"/>
      <c r="EA80" s="175"/>
      <c r="EB80" s="175"/>
      <c r="EC80" s="175"/>
      <c r="ED80" s="175"/>
      <c r="EE80" s="175"/>
      <c r="EF80" s="175"/>
      <c r="EG80" s="175"/>
      <c r="EH80" s="175"/>
      <c r="EI80" s="175"/>
      <c r="EJ80" s="175"/>
      <c r="EK80" s="175"/>
      <c r="EL80" s="175"/>
      <c r="EM80" s="175"/>
      <c r="EN80" s="175"/>
      <c r="EO80" s="175"/>
      <c r="EP80" s="175"/>
      <c r="EQ80" s="175"/>
      <c r="ER80" s="175"/>
      <c r="ES80" s="175"/>
      <c r="ET80" s="175"/>
      <c r="EU80" s="175"/>
      <c r="EV80" s="175"/>
      <c r="EW80" s="175"/>
      <c r="EX80" s="175"/>
      <c r="EY80" s="175"/>
      <c r="EZ80" s="175"/>
      <c r="FA80" s="175"/>
      <c r="FB80" s="175"/>
      <c r="FC80" s="175"/>
      <c r="FD80" s="175"/>
      <c r="FE80" s="175"/>
      <c r="FF80" s="175"/>
      <c r="FG80" s="175"/>
      <c r="FH80" s="175"/>
      <c r="FI80" s="175"/>
      <c r="FJ80" s="175"/>
      <c r="FK80" s="175"/>
      <c r="FL80" s="175"/>
      <c r="FM80" s="175"/>
      <c r="FN80" s="175"/>
      <c r="FO80" s="175"/>
      <c r="FP80" s="175"/>
      <c r="FQ80" s="175"/>
      <c r="FR80" s="175"/>
      <c r="FS80" s="175"/>
      <c r="FT80" s="175"/>
      <c r="FU80" s="175"/>
      <c r="FV80" s="175"/>
      <c r="FW80" s="175"/>
      <c r="FX80" s="175"/>
      <c r="FY80" s="175"/>
      <c r="FZ80" s="175"/>
      <c r="GA80" s="175"/>
      <c r="GB80" s="175"/>
      <c r="GC80" s="175"/>
      <c r="GD80" s="175"/>
      <c r="GE80" s="175"/>
      <c r="GF80" s="175"/>
      <c r="GG80" s="175"/>
      <c r="GH80" s="175"/>
      <c r="GI80" s="175"/>
      <c r="GJ80" s="175"/>
      <c r="GK80" s="175"/>
      <c r="GL80" s="175"/>
      <c r="GM80" s="175"/>
      <c r="GN80" s="175"/>
      <c r="GO80" s="175"/>
      <c r="GP80" s="175"/>
      <c r="GQ80" s="175"/>
      <c r="GR80" s="175"/>
      <c r="GS80" s="175"/>
      <c r="GT80" s="175"/>
      <c r="GU80" s="175"/>
      <c r="GV80" s="175"/>
      <c r="GW80" s="175"/>
      <c r="GX80" s="175"/>
      <c r="GY80" s="175"/>
      <c r="GZ80" s="175"/>
      <c r="HA80" s="175"/>
      <c r="HB80" s="175"/>
      <c r="HC80" s="175"/>
      <c r="HD80" s="175"/>
      <c r="HE80" s="175"/>
      <c r="HF80" s="175"/>
      <c r="HG80" s="175"/>
      <c r="HH80" s="175"/>
      <c r="HI80" s="175"/>
      <c r="HJ80" s="175"/>
      <c r="HK80" s="175"/>
      <c r="HL80" s="175"/>
      <c r="HM80" s="175"/>
      <c r="HN80" s="175"/>
      <c r="HO80" s="175"/>
      <c r="HP80" s="175"/>
      <c r="HQ80" s="175"/>
      <c r="HR80" s="175"/>
      <c r="HS80" s="175"/>
      <c r="HT80" s="175"/>
      <c r="HU80" s="175"/>
      <c r="HV80" s="175"/>
      <c r="HW80" s="175"/>
      <c r="HX80" s="175"/>
      <c r="HY80" s="175"/>
      <c r="HZ80" s="175"/>
      <c r="IA80" s="175"/>
      <c r="IB80" s="175"/>
      <c r="IC80" s="175"/>
      <c r="ID80" s="175"/>
      <c r="IE80" s="175"/>
      <c r="IF80" s="175"/>
      <c r="IG80" s="175"/>
      <c r="IH80" s="175"/>
      <c r="II80" s="175"/>
      <c r="IJ80" s="175"/>
      <c r="IK80" s="175"/>
      <c r="IL80" s="175"/>
      <c r="IM80" s="175"/>
      <c r="IN80" s="175"/>
      <c r="IO80" s="175"/>
      <c r="IP80" s="175"/>
      <c r="IQ80" s="175"/>
      <c r="IR80" s="175"/>
      <c r="IS80" s="175"/>
      <c r="IT80" s="175"/>
      <c r="IU80" s="175"/>
    </row>
    <row r="81" spans="1:255" s="197" customFormat="1" ht="47.25" customHeight="1" x14ac:dyDescent="0.25">
      <c r="A81" s="173">
        <f t="shared" si="1"/>
        <v>76</v>
      </c>
      <c r="B81" s="178" t="s">
        <v>164</v>
      </c>
      <c r="C81" s="177" t="s">
        <v>1812</v>
      </c>
      <c r="D81" s="174" t="s">
        <v>1567</v>
      </c>
      <c r="E81" s="210" t="s">
        <v>1719</v>
      </c>
      <c r="F81" s="177">
        <v>10</v>
      </c>
      <c r="G81" s="178">
        <v>32</v>
      </c>
      <c r="H81" s="177" t="s">
        <v>1641</v>
      </c>
      <c r="I81" s="200">
        <v>2.0000000000000001E-4</v>
      </c>
      <c r="J81" s="194"/>
      <c r="K81" s="194"/>
      <c r="L81" s="194">
        <v>0.5</v>
      </c>
      <c r="M81" s="194">
        <v>43</v>
      </c>
      <c r="N81" s="207">
        <f>9568*I81*SQRT(M81)/розрах!$I$133</f>
        <v>6.2173278502699585E-3</v>
      </c>
      <c r="O81" s="224">
        <f>G81/1000*G81/1000*F81*0.785/розрах!$I$175</f>
        <v>3.9827953585946499E-6</v>
      </c>
      <c r="P81" s="196"/>
      <c r="Q81" s="196"/>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5"/>
      <c r="DF81" s="175"/>
      <c r="DG81" s="175"/>
      <c r="DH81" s="175"/>
      <c r="DI81" s="175"/>
      <c r="DJ81" s="175"/>
      <c r="DK81" s="175"/>
      <c r="DL81" s="175"/>
      <c r="DM81" s="175"/>
      <c r="DN81" s="175"/>
      <c r="DO81" s="175"/>
      <c r="DP81" s="175"/>
      <c r="DQ81" s="175"/>
      <c r="DR81" s="175"/>
      <c r="DS81" s="175"/>
      <c r="DT81" s="175"/>
      <c r="DU81" s="175"/>
      <c r="DV81" s="175"/>
      <c r="DW81" s="175"/>
      <c r="DX81" s="175"/>
      <c r="DY81" s="175"/>
      <c r="DZ81" s="175"/>
      <c r="EA81" s="175"/>
      <c r="EB81" s="175"/>
      <c r="EC81" s="175"/>
      <c r="ED81" s="175"/>
      <c r="EE81" s="175"/>
      <c r="EF81" s="175"/>
      <c r="EG81" s="175"/>
      <c r="EH81" s="175"/>
      <c r="EI81" s="175"/>
      <c r="EJ81" s="175"/>
      <c r="EK81" s="175"/>
      <c r="EL81" s="175"/>
      <c r="EM81" s="175"/>
      <c r="EN81" s="175"/>
      <c r="EO81" s="175"/>
      <c r="EP81" s="175"/>
      <c r="EQ81" s="175"/>
      <c r="ER81" s="175"/>
      <c r="ES81" s="175"/>
      <c r="ET81" s="175"/>
      <c r="EU81" s="175"/>
      <c r="EV81" s="175"/>
      <c r="EW81" s="175"/>
      <c r="EX81" s="175"/>
      <c r="EY81" s="175"/>
      <c r="EZ81" s="175"/>
      <c r="FA81" s="175"/>
      <c r="FB81" s="175"/>
      <c r="FC81" s="175"/>
      <c r="FD81" s="175"/>
      <c r="FE81" s="175"/>
      <c r="FF81" s="175"/>
      <c r="FG81" s="175"/>
      <c r="FH81" s="175"/>
      <c r="FI81" s="175"/>
      <c r="FJ81" s="175"/>
      <c r="FK81" s="175"/>
      <c r="FL81" s="175"/>
      <c r="FM81" s="175"/>
      <c r="FN81" s="175"/>
      <c r="FO81" s="175"/>
      <c r="FP81" s="175"/>
      <c r="FQ81" s="175"/>
      <c r="FR81" s="175"/>
      <c r="FS81" s="175"/>
      <c r="FT81" s="175"/>
      <c r="FU81" s="175"/>
      <c r="FV81" s="175"/>
      <c r="FW81" s="175"/>
      <c r="FX81" s="175"/>
      <c r="FY81" s="175"/>
      <c r="FZ81" s="175"/>
      <c r="GA81" s="175"/>
      <c r="GB81" s="175"/>
      <c r="GC81" s="175"/>
      <c r="GD81" s="175"/>
      <c r="GE81" s="175"/>
      <c r="GF81" s="175"/>
      <c r="GG81" s="175"/>
      <c r="GH81" s="175"/>
      <c r="GI81" s="175"/>
      <c r="GJ81" s="175"/>
      <c r="GK81" s="175"/>
      <c r="GL81" s="175"/>
      <c r="GM81" s="175"/>
      <c r="GN81" s="175"/>
      <c r="GO81" s="175"/>
      <c r="GP81" s="175"/>
      <c r="GQ81" s="175"/>
      <c r="GR81" s="175"/>
      <c r="GS81" s="175"/>
      <c r="GT81" s="175"/>
      <c r="GU81" s="175"/>
      <c r="GV81" s="175"/>
      <c r="GW81" s="175"/>
      <c r="GX81" s="175"/>
      <c r="GY81" s="175"/>
      <c r="GZ81" s="175"/>
      <c r="HA81" s="175"/>
      <c r="HB81" s="175"/>
      <c r="HC81" s="175"/>
      <c r="HD81" s="175"/>
      <c r="HE81" s="175"/>
      <c r="HF81" s="175"/>
      <c r="HG81" s="175"/>
      <c r="HH81" s="175"/>
      <c r="HI81" s="175"/>
      <c r="HJ81" s="175"/>
      <c r="HK81" s="175"/>
      <c r="HL81" s="175"/>
      <c r="HM81" s="175"/>
      <c r="HN81" s="175"/>
      <c r="HO81" s="175"/>
      <c r="HP81" s="175"/>
      <c r="HQ81" s="175"/>
      <c r="HR81" s="175"/>
      <c r="HS81" s="175"/>
      <c r="HT81" s="175"/>
      <c r="HU81" s="175"/>
      <c r="HV81" s="175"/>
      <c r="HW81" s="175"/>
      <c r="HX81" s="175"/>
      <c r="HY81" s="175"/>
      <c r="HZ81" s="175"/>
      <c r="IA81" s="175"/>
      <c r="IB81" s="175"/>
      <c r="IC81" s="175"/>
      <c r="ID81" s="175"/>
      <c r="IE81" s="175"/>
      <c r="IF81" s="175"/>
      <c r="IG81" s="175"/>
      <c r="IH81" s="175"/>
      <c r="II81" s="175"/>
      <c r="IJ81" s="175"/>
      <c r="IK81" s="175"/>
      <c r="IL81" s="175"/>
      <c r="IM81" s="175"/>
      <c r="IN81" s="175"/>
      <c r="IO81" s="175"/>
      <c r="IP81" s="175"/>
      <c r="IQ81" s="175"/>
      <c r="IR81" s="175"/>
      <c r="IS81" s="175"/>
      <c r="IT81" s="175"/>
      <c r="IU81" s="175"/>
    </row>
    <row r="82" spans="1:255" s="197" customFormat="1" ht="48.75" customHeight="1" x14ac:dyDescent="0.25">
      <c r="A82" s="173">
        <f t="shared" si="1"/>
        <v>77</v>
      </c>
      <c r="B82" s="178" t="s">
        <v>164</v>
      </c>
      <c r="C82" s="177" t="s">
        <v>1813</v>
      </c>
      <c r="D82" s="174" t="s">
        <v>1720</v>
      </c>
      <c r="E82" s="210" t="s">
        <v>1832</v>
      </c>
      <c r="F82" s="177">
        <v>45</v>
      </c>
      <c r="G82" s="173">
        <v>200</v>
      </c>
      <c r="H82" s="177" t="s">
        <v>1509</v>
      </c>
      <c r="I82" s="177"/>
      <c r="J82" s="194"/>
      <c r="K82" s="195">
        <f>0.05*3.14*0.2*0.2/4</f>
        <v>1.5700000000000002E-3</v>
      </c>
      <c r="L82" s="225">
        <v>6</v>
      </c>
      <c r="M82" s="194">
        <v>50</v>
      </c>
      <c r="N82" s="207">
        <f>9568*K82*SQRT(M82)/розрах!$I$133</f>
        <v>5.2628888764752177E-2</v>
      </c>
      <c r="O82" s="224">
        <f>G82/1000*G82/1000*F82*0.785/розрах!$I$175</f>
        <v>7.0010074662796577E-4</v>
      </c>
      <c r="P82" s="196"/>
      <c r="Q82" s="196"/>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75"/>
      <c r="EA82" s="175"/>
      <c r="EB82" s="175"/>
      <c r="EC82" s="175"/>
      <c r="ED82" s="175"/>
      <c r="EE82" s="175"/>
      <c r="EF82" s="175"/>
      <c r="EG82" s="175"/>
      <c r="EH82" s="175"/>
      <c r="EI82" s="175"/>
      <c r="EJ82" s="175"/>
      <c r="EK82" s="175"/>
      <c r="EL82" s="175"/>
      <c r="EM82" s="175"/>
      <c r="EN82" s="175"/>
      <c r="EO82" s="175"/>
      <c r="EP82" s="175"/>
      <c r="EQ82" s="175"/>
      <c r="ER82" s="175"/>
      <c r="ES82" s="175"/>
      <c r="ET82" s="175"/>
      <c r="EU82" s="175"/>
      <c r="EV82" s="175"/>
      <c r="EW82" s="175"/>
      <c r="EX82" s="175"/>
      <c r="EY82" s="175"/>
      <c r="EZ82" s="175"/>
      <c r="FA82" s="175"/>
      <c r="FB82" s="175"/>
      <c r="FC82" s="175"/>
      <c r="FD82" s="175"/>
      <c r="FE82" s="175"/>
      <c r="FF82" s="175"/>
      <c r="FG82" s="175"/>
      <c r="FH82" s="175"/>
      <c r="FI82" s="175"/>
      <c r="FJ82" s="175"/>
      <c r="FK82" s="175"/>
      <c r="FL82" s="175"/>
      <c r="FM82" s="175"/>
      <c r="FN82" s="175"/>
      <c r="FO82" s="175"/>
      <c r="FP82" s="175"/>
      <c r="FQ82" s="175"/>
      <c r="FR82" s="175"/>
      <c r="FS82" s="175"/>
      <c r="FT82" s="175"/>
      <c r="FU82" s="175"/>
      <c r="FV82" s="175"/>
      <c r="FW82" s="175"/>
      <c r="FX82" s="175"/>
      <c r="FY82" s="175"/>
      <c r="FZ82" s="175"/>
      <c r="GA82" s="175"/>
      <c r="GB82" s="175"/>
      <c r="GC82" s="175"/>
      <c r="GD82" s="175"/>
      <c r="GE82" s="175"/>
      <c r="GF82" s="175"/>
      <c r="GG82" s="175"/>
      <c r="GH82" s="175"/>
      <c r="GI82" s="175"/>
      <c r="GJ82" s="175"/>
      <c r="GK82" s="175"/>
      <c r="GL82" s="175"/>
      <c r="GM82" s="175"/>
      <c r="GN82" s="175"/>
      <c r="GO82" s="175"/>
      <c r="GP82" s="175"/>
      <c r="GQ82" s="175"/>
      <c r="GR82" s="175"/>
      <c r="GS82" s="175"/>
      <c r="GT82" s="175"/>
      <c r="GU82" s="175"/>
      <c r="GV82" s="175"/>
      <c r="GW82" s="175"/>
      <c r="GX82" s="175"/>
      <c r="GY82" s="175"/>
      <c r="GZ82" s="175"/>
      <c r="HA82" s="175"/>
      <c r="HB82" s="175"/>
      <c r="HC82" s="175"/>
      <c r="HD82" s="175"/>
      <c r="HE82" s="175"/>
      <c r="HF82" s="175"/>
      <c r="HG82" s="175"/>
      <c r="HH82" s="175"/>
      <c r="HI82" s="175"/>
      <c r="HJ82" s="175"/>
      <c r="HK82" s="175"/>
      <c r="HL82" s="175"/>
      <c r="HM82" s="175"/>
      <c r="HN82" s="175"/>
      <c r="HO82" s="175"/>
      <c r="HP82" s="175"/>
      <c r="HQ82" s="175"/>
      <c r="HR82" s="175"/>
      <c r="HS82" s="175"/>
      <c r="HT82" s="175"/>
      <c r="HU82" s="175"/>
      <c r="HV82" s="175"/>
      <c r="HW82" s="175"/>
      <c r="HX82" s="175"/>
      <c r="HY82" s="175"/>
      <c r="HZ82" s="175"/>
      <c r="IA82" s="175"/>
      <c r="IB82" s="175"/>
      <c r="IC82" s="175"/>
      <c r="ID82" s="175"/>
      <c r="IE82" s="175"/>
      <c r="IF82" s="175"/>
      <c r="IG82" s="175"/>
      <c r="IH82" s="175"/>
      <c r="II82" s="175"/>
      <c r="IJ82" s="175"/>
      <c r="IK82" s="175"/>
      <c r="IL82" s="175"/>
      <c r="IM82" s="175"/>
      <c r="IN82" s="175"/>
      <c r="IO82" s="175"/>
      <c r="IP82" s="175"/>
      <c r="IQ82" s="175"/>
      <c r="IR82" s="175"/>
      <c r="IS82" s="175"/>
      <c r="IT82" s="175"/>
      <c r="IU82" s="175"/>
    </row>
    <row r="83" spans="1:255" s="197" customFormat="1" ht="77.25" customHeight="1" x14ac:dyDescent="0.25">
      <c r="A83" s="173">
        <f t="shared" si="1"/>
        <v>78</v>
      </c>
      <c r="B83" s="200" t="s">
        <v>164</v>
      </c>
      <c r="C83" s="205" t="s">
        <v>1804</v>
      </c>
      <c r="D83" s="179" t="s">
        <v>1568</v>
      </c>
      <c r="E83" s="210" t="s">
        <v>1721</v>
      </c>
      <c r="F83" s="177">
        <v>32</v>
      </c>
      <c r="G83" s="173">
        <v>150</v>
      </c>
      <c r="H83" s="177" t="s">
        <v>1641</v>
      </c>
      <c r="I83" s="177">
        <v>2.0000000000000001E-4</v>
      </c>
      <c r="J83" s="194"/>
      <c r="K83" s="194"/>
      <c r="L83" s="194">
        <v>0.5</v>
      </c>
      <c r="M83" s="194">
        <v>40</v>
      </c>
      <c r="N83" s="207">
        <f>9568*I83*SQRT(M83)/розрах!$I$133</f>
        <v>5.9965234577457728E-3</v>
      </c>
      <c r="O83" s="224">
        <f>G83/1000*G83/1000*F83*0.785/розрах!$I$175</f>
        <v>2.8004029865118631E-4</v>
      </c>
      <c r="P83" s="196"/>
      <c r="Q83" s="196"/>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5"/>
      <c r="ED83" s="175"/>
      <c r="EE83" s="175"/>
      <c r="EF83" s="175"/>
      <c r="EG83" s="175"/>
      <c r="EH83" s="175"/>
      <c r="EI83" s="175"/>
      <c r="EJ83" s="175"/>
      <c r="EK83" s="175"/>
      <c r="EL83" s="175"/>
      <c r="EM83" s="175"/>
      <c r="EN83" s="175"/>
      <c r="EO83" s="175"/>
      <c r="EP83" s="175"/>
      <c r="EQ83" s="175"/>
      <c r="ER83" s="175"/>
      <c r="ES83" s="175"/>
      <c r="ET83" s="175"/>
      <c r="EU83" s="175"/>
      <c r="EV83" s="175"/>
      <c r="EW83" s="175"/>
      <c r="EX83" s="175"/>
      <c r="EY83" s="175"/>
      <c r="EZ83" s="175"/>
      <c r="FA83" s="175"/>
      <c r="FB83" s="175"/>
      <c r="FC83" s="175"/>
      <c r="FD83" s="175"/>
      <c r="FE83" s="175"/>
      <c r="FF83" s="175"/>
      <c r="FG83" s="175"/>
      <c r="FH83" s="175"/>
      <c r="FI83" s="175"/>
      <c r="FJ83" s="175"/>
      <c r="FK83" s="175"/>
      <c r="FL83" s="175"/>
      <c r="FM83" s="175"/>
      <c r="FN83" s="175"/>
      <c r="FO83" s="175"/>
      <c r="FP83" s="175"/>
      <c r="FQ83" s="175"/>
      <c r="FR83" s="175"/>
      <c r="FS83" s="175"/>
      <c r="FT83" s="175"/>
      <c r="FU83" s="175"/>
      <c r="FV83" s="175"/>
      <c r="FW83" s="175"/>
      <c r="FX83" s="175"/>
      <c r="FY83" s="175"/>
      <c r="FZ83" s="175"/>
      <c r="GA83" s="175"/>
      <c r="GB83" s="175"/>
      <c r="GC83" s="175"/>
      <c r="GD83" s="175"/>
      <c r="GE83" s="175"/>
      <c r="GF83" s="175"/>
      <c r="GG83" s="175"/>
      <c r="GH83" s="175"/>
      <c r="GI83" s="175"/>
      <c r="GJ83" s="175"/>
      <c r="GK83" s="175"/>
      <c r="GL83" s="175"/>
      <c r="GM83" s="175"/>
      <c r="GN83" s="175"/>
      <c r="GO83" s="175"/>
      <c r="GP83" s="175"/>
      <c r="GQ83" s="175"/>
      <c r="GR83" s="175"/>
      <c r="GS83" s="175"/>
      <c r="GT83" s="175"/>
      <c r="GU83" s="175"/>
      <c r="GV83" s="175"/>
      <c r="GW83" s="175"/>
      <c r="GX83" s="175"/>
      <c r="GY83" s="175"/>
      <c r="GZ83" s="175"/>
      <c r="HA83" s="175"/>
      <c r="HB83" s="175"/>
      <c r="HC83" s="175"/>
      <c r="HD83" s="175"/>
      <c r="HE83" s="175"/>
      <c r="HF83" s="175"/>
      <c r="HG83" s="175"/>
      <c r="HH83" s="175"/>
      <c r="HI83" s="175"/>
      <c r="HJ83" s="175"/>
      <c r="HK83" s="175"/>
      <c r="HL83" s="175"/>
      <c r="HM83" s="175"/>
      <c r="HN83" s="175"/>
      <c r="HO83" s="175"/>
      <c r="HP83" s="175"/>
      <c r="HQ83" s="175"/>
      <c r="HR83" s="175"/>
      <c r="HS83" s="175"/>
      <c r="HT83" s="175"/>
      <c r="HU83" s="175"/>
      <c r="HV83" s="175"/>
      <c r="HW83" s="175"/>
      <c r="HX83" s="175"/>
      <c r="HY83" s="175"/>
      <c r="HZ83" s="175"/>
      <c r="IA83" s="175"/>
      <c r="IB83" s="175"/>
      <c r="IC83" s="175"/>
      <c r="ID83" s="175"/>
      <c r="IE83" s="175"/>
      <c r="IF83" s="175"/>
      <c r="IG83" s="175"/>
      <c r="IH83" s="175"/>
      <c r="II83" s="175"/>
      <c r="IJ83" s="175"/>
      <c r="IK83" s="175"/>
      <c r="IL83" s="175"/>
      <c r="IM83" s="175"/>
      <c r="IN83" s="175"/>
      <c r="IO83" s="175"/>
      <c r="IP83" s="175"/>
      <c r="IQ83" s="175"/>
      <c r="IR83" s="175"/>
      <c r="IS83" s="175"/>
      <c r="IT83" s="175"/>
      <c r="IU83" s="175"/>
    </row>
    <row r="84" spans="1:255" s="197" customFormat="1" ht="65.25" customHeight="1" x14ac:dyDescent="0.25">
      <c r="A84" s="173">
        <f t="shared" si="1"/>
        <v>79</v>
      </c>
      <c r="B84" s="200" t="s">
        <v>164</v>
      </c>
      <c r="C84" s="205" t="s">
        <v>1802</v>
      </c>
      <c r="D84" s="179" t="s">
        <v>1568</v>
      </c>
      <c r="E84" s="210" t="s">
        <v>1721</v>
      </c>
      <c r="F84" s="177">
        <v>32</v>
      </c>
      <c r="G84" s="178">
        <v>250</v>
      </c>
      <c r="H84" s="177" t="s">
        <v>1509</v>
      </c>
      <c r="I84" s="177"/>
      <c r="J84" s="207">
        <f>0.75*3.14*0.25*0.25/4</f>
        <v>3.6796875E-2</v>
      </c>
      <c r="K84" s="194"/>
      <c r="L84" s="194">
        <v>6</v>
      </c>
      <c r="M84" s="194">
        <v>50</v>
      </c>
      <c r="N84" s="207">
        <f>9568*J84*SQRT(M84)/розрах!$I$133</f>
        <v>1.233489580423879</v>
      </c>
      <c r="O84" s="224">
        <f>G84/1000*G84/1000*F84*0.785/розрах!$I$175</f>
        <v>7.7788971847551761E-4</v>
      </c>
      <c r="P84" s="196"/>
      <c r="Q84" s="196"/>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5"/>
      <c r="ED84" s="175"/>
      <c r="EE84" s="175"/>
      <c r="EF84" s="175"/>
      <c r="EG84" s="175"/>
      <c r="EH84" s="175"/>
      <c r="EI84" s="175"/>
      <c r="EJ84" s="175"/>
      <c r="EK84" s="175"/>
      <c r="EL84" s="175"/>
      <c r="EM84" s="175"/>
      <c r="EN84" s="175"/>
      <c r="EO84" s="175"/>
      <c r="EP84" s="175"/>
      <c r="EQ84" s="175"/>
      <c r="ER84" s="175"/>
      <c r="ES84" s="175"/>
      <c r="ET84" s="175"/>
      <c r="EU84" s="175"/>
      <c r="EV84" s="175"/>
      <c r="EW84" s="175"/>
      <c r="EX84" s="175"/>
      <c r="EY84" s="175"/>
      <c r="EZ84" s="175"/>
      <c r="FA84" s="175"/>
      <c r="FB84" s="175"/>
      <c r="FC84" s="175"/>
      <c r="FD84" s="175"/>
      <c r="FE84" s="175"/>
      <c r="FF84" s="175"/>
      <c r="FG84" s="175"/>
      <c r="FH84" s="175"/>
      <c r="FI84" s="175"/>
      <c r="FJ84" s="175"/>
      <c r="FK84" s="175"/>
      <c r="FL84" s="175"/>
      <c r="FM84" s="175"/>
      <c r="FN84" s="175"/>
      <c r="FO84" s="175"/>
      <c r="FP84" s="175"/>
      <c r="FQ84" s="175"/>
      <c r="FR84" s="175"/>
      <c r="FS84" s="175"/>
      <c r="FT84" s="175"/>
      <c r="FU84" s="175"/>
      <c r="FV84" s="175"/>
      <c r="FW84" s="175"/>
      <c r="FX84" s="175"/>
      <c r="FY84" s="175"/>
      <c r="FZ84" s="175"/>
      <c r="GA84" s="175"/>
      <c r="GB84" s="175"/>
      <c r="GC84" s="175"/>
      <c r="GD84" s="175"/>
      <c r="GE84" s="175"/>
      <c r="GF84" s="175"/>
      <c r="GG84" s="175"/>
      <c r="GH84" s="175"/>
      <c r="GI84" s="175"/>
      <c r="GJ84" s="175"/>
      <c r="GK84" s="175"/>
      <c r="GL84" s="175"/>
      <c r="GM84" s="175"/>
      <c r="GN84" s="175"/>
      <c r="GO84" s="175"/>
      <c r="GP84" s="175"/>
      <c r="GQ84" s="175"/>
      <c r="GR84" s="175"/>
      <c r="GS84" s="175"/>
      <c r="GT84" s="175"/>
      <c r="GU84" s="175"/>
      <c r="GV84" s="175"/>
      <c r="GW84" s="175"/>
      <c r="GX84" s="175"/>
      <c r="GY84" s="175"/>
      <c r="GZ84" s="175"/>
      <c r="HA84" s="175"/>
      <c r="HB84" s="175"/>
      <c r="HC84" s="175"/>
      <c r="HD84" s="175"/>
      <c r="HE84" s="175"/>
      <c r="HF84" s="175"/>
      <c r="HG84" s="175"/>
      <c r="HH84" s="175"/>
      <c r="HI84" s="175"/>
      <c r="HJ84" s="175"/>
      <c r="HK84" s="175"/>
      <c r="HL84" s="175"/>
      <c r="HM84" s="175"/>
      <c r="HN84" s="175"/>
      <c r="HO84" s="175"/>
      <c r="HP84" s="175"/>
      <c r="HQ84" s="175"/>
      <c r="HR84" s="175"/>
      <c r="HS84" s="175"/>
      <c r="HT84" s="175"/>
      <c r="HU84" s="175"/>
      <c r="HV84" s="175"/>
      <c r="HW84" s="175"/>
      <c r="HX84" s="175"/>
      <c r="HY84" s="175"/>
      <c r="HZ84" s="175"/>
      <c r="IA84" s="175"/>
      <c r="IB84" s="175"/>
      <c r="IC84" s="175"/>
      <c r="ID84" s="175"/>
      <c r="IE84" s="175"/>
      <c r="IF84" s="175"/>
      <c r="IG84" s="175"/>
      <c r="IH84" s="175"/>
      <c r="II84" s="175"/>
      <c r="IJ84" s="175"/>
      <c r="IK84" s="175"/>
      <c r="IL84" s="175"/>
      <c r="IM84" s="175"/>
      <c r="IN84" s="175"/>
      <c r="IO84" s="175"/>
      <c r="IP84" s="175"/>
      <c r="IQ84" s="175"/>
      <c r="IR84" s="175"/>
      <c r="IS84" s="175"/>
      <c r="IT84" s="175"/>
      <c r="IU84" s="175"/>
    </row>
    <row r="85" spans="1:255" s="197" customFormat="1" ht="63" customHeight="1" x14ac:dyDescent="0.25">
      <c r="A85" s="173">
        <f t="shared" si="1"/>
        <v>80</v>
      </c>
      <c r="B85" s="200" t="s">
        <v>164</v>
      </c>
      <c r="C85" s="205" t="s">
        <v>1804</v>
      </c>
      <c r="D85" s="174" t="s">
        <v>1722</v>
      </c>
      <c r="E85" s="210" t="s">
        <v>1723</v>
      </c>
      <c r="F85" s="177">
        <v>68</v>
      </c>
      <c r="G85" s="173">
        <v>150</v>
      </c>
      <c r="H85" s="177" t="s">
        <v>1509</v>
      </c>
      <c r="I85" s="177">
        <v>2.9999999999999997E-4</v>
      </c>
      <c r="J85" s="194"/>
      <c r="K85" s="194"/>
      <c r="L85" s="194">
        <v>4</v>
      </c>
      <c r="M85" s="194">
        <v>50</v>
      </c>
      <c r="N85" s="207">
        <f>9568*I85*SQRT(M85)/розрах!$I$133</f>
        <v>1.0056475560143724E-2</v>
      </c>
      <c r="O85" s="224">
        <f>G85/1000*G85/1000*F85*0.785/розрах!$I$175</f>
        <v>5.9508563463377096E-4</v>
      </c>
      <c r="P85" s="196"/>
      <c r="Q85" s="196"/>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5"/>
      <c r="DF85" s="175"/>
      <c r="DG85" s="175"/>
      <c r="DH85" s="175"/>
      <c r="DI85" s="175"/>
      <c r="DJ85" s="175"/>
      <c r="DK85" s="175"/>
      <c r="DL85" s="175"/>
      <c r="DM85" s="175"/>
      <c r="DN85" s="175"/>
      <c r="DO85" s="175"/>
      <c r="DP85" s="175"/>
      <c r="DQ85" s="175"/>
      <c r="DR85" s="175"/>
      <c r="DS85" s="175"/>
      <c r="DT85" s="175"/>
      <c r="DU85" s="175"/>
      <c r="DV85" s="175"/>
      <c r="DW85" s="175"/>
      <c r="DX85" s="175"/>
      <c r="DY85" s="175"/>
      <c r="DZ85" s="175"/>
      <c r="EA85" s="175"/>
      <c r="EB85" s="175"/>
      <c r="EC85" s="175"/>
      <c r="ED85" s="175"/>
      <c r="EE85" s="175"/>
      <c r="EF85" s="175"/>
      <c r="EG85" s="175"/>
      <c r="EH85" s="175"/>
      <c r="EI85" s="175"/>
      <c r="EJ85" s="175"/>
      <c r="EK85" s="175"/>
      <c r="EL85" s="175"/>
      <c r="EM85" s="175"/>
      <c r="EN85" s="175"/>
      <c r="EO85" s="175"/>
      <c r="EP85" s="175"/>
      <c r="EQ85" s="175"/>
      <c r="ER85" s="175"/>
      <c r="ES85" s="175"/>
      <c r="ET85" s="175"/>
      <c r="EU85" s="175"/>
      <c r="EV85" s="175"/>
      <c r="EW85" s="175"/>
      <c r="EX85" s="175"/>
      <c r="EY85" s="175"/>
      <c r="EZ85" s="175"/>
      <c r="FA85" s="175"/>
      <c r="FB85" s="175"/>
      <c r="FC85" s="175"/>
      <c r="FD85" s="175"/>
      <c r="FE85" s="175"/>
      <c r="FF85" s="175"/>
      <c r="FG85" s="175"/>
      <c r="FH85" s="175"/>
      <c r="FI85" s="175"/>
      <c r="FJ85" s="175"/>
      <c r="FK85" s="175"/>
      <c r="FL85" s="175"/>
      <c r="FM85" s="175"/>
      <c r="FN85" s="175"/>
      <c r="FO85" s="175"/>
      <c r="FP85" s="175"/>
      <c r="FQ85" s="175"/>
      <c r="FR85" s="175"/>
      <c r="FS85" s="175"/>
      <c r="FT85" s="175"/>
      <c r="FU85" s="175"/>
      <c r="FV85" s="175"/>
      <c r="FW85" s="175"/>
      <c r="FX85" s="175"/>
      <c r="FY85" s="175"/>
      <c r="FZ85" s="175"/>
      <c r="GA85" s="175"/>
      <c r="GB85" s="175"/>
      <c r="GC85" s="175"/>
      <c r="GD85" s="175"/>
      <c r="GE85" s="175"/>
      <c r="GF85" s="175"/>
      <c r="GG85" s="175"/>
      <c r="GH85" s="175"/>
      <c r="GI85" s="175"/>
      <c r="GJ85" s="175"/>
      <c r="GK85" s="175"/>
      <c r="GL85" s="175"/>
      <c r="GM85" s="175"/>
      <c r="GN85" s="175"/>
      <c r="GO85" s="175"/>
      <c r="GP85" s="175"/>
      <c r="GQ85" s="175"/>
      <c r="GR85" s="175"/>
      <c r="GS85" s="175"/>
      <c r="GT85" s="175"/>
      <c r="GU85" s="175"/>
      <c r="GV85" s="175"/>
      <c r="GW85" s="175"/>
      <c r="GX85" s="175"/>
      <c r="GY85" s="175"/>
      <c r="GZ85" s="175"/>
      <c r="HA85" s="175"/>
      <c r="HB85" s="175"/>
      <c r="HC85" s="175"/>
      <c r="HD85" s="175"/>
      <c r="HE85" s="175"/>
      <c r="HF85" s="175"/>
      <c r="HG85" s="175"/>
      <c r="HH85" s="175"/>
      <c r="HI85" s="175"/>
      <c r="HJ85" s="175"/>
      <c r="HK85" s="175"/>
      <c r="HL85" s="175"/>
      <c r="HM85" s="175"/>
      <c r="HN85" s="175"/>
      <c r="HO85" s="175"/>
      <c r="HP85" s="175"/>
      <c r="HQ85" s="175"/>
      <c r="HR85" s="175"/>
      <c r="HS85" s="175"/>
      <c r="HT85" s="175"/>
      <c r="HU85" s="175"/>
      <c r="HV85" s="175"/>
      <c r="HW85" s="175"/>
      <c r="HX85" s="175"/>
      <c r="HY85" s="175"/>
      <c r="HZ85" s="175"/>
      <c r="IA85" s="175"/>
      <c r="IB85" s="175"/>
      <c r="IC85" s="175"/>
      <c r="ID85" s="175"/>
      <c r="IE85" s="175"/>
      <c r="IF85" s="175"/>
      <c r="IG85" s="175"/>
      <c r="IH85" s="175"/>
      <c r="II85" s="175"/>
      <c r="IJ85" s="175"/>
      <c r="IK85" s="175"/>
      <c r="IL85" s="175"/>
      <c r="IM85" s="175"/>
      <c r="IN85" s="175"/>
      <c r="IO85" s="175"/>
      <c r="IP85" s="175"/>
      <c r="IQ85" s="175"/>
      <c r="IR85" s="175"/>
      <c r="IS85" s="175"/>
      <c r="IT85" s="175"/>
      <c r="IU85" s="175"/>
    </row>
    <row r="86" spans="1:255" s="197" customFormat="1" ht="69" customHeight="1" x14ac:dyDescent="0.25">
      <c r="A86" s="173">
        <f t="shared" si="1"/>
        <v>81</v>
      </c>
      <c r="B86" s="200" t="s">
        <v>164</v>
      </c>
      <c r="C86" s="205" t="s">
        <v>1804</v>
      </c>
      <c r="D86" s="179" t="s">
        <v>1569</v>
      </c>
      <c r="E86" s="210" t="s">
        <v>1724</v>
      </c>
      <c r="F86" s="177">
        <v>79</v>
      </c>
      <c r="G86" s="173">
        <v>80</v>
      </c>
      <c r="H86" s="177" t="s">
        <v>1509</v>
      </c>
      <c r="I86" s="177">
        <v>2.4000000000000001E-4</v>
      </c>
      <c r="J86" s="194"/>
      <c r="K86" s="194"/>
      <c r="L86" s="194">
        <v>5</v>
      </c>
      <c r="M86" s="194">
        <v>50</v>
      </c>
      <c r="N86" s="207">
        <f>9568*I86*SQRT(M86)/розрах!$I$133</f>
        <v>8.0451804481149816E-3</v>
      </c>
      <c r="O86" s="194">
        <f>G86/1000*G86/1000*F86*0.785/розрах!$I$175</f>
        <v>1.9665052083061088E-4</v>
      </c>
      <c r="P86" s="196"/>
      <c r="Q86" s="196"/>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5"/>
      <c r="DF86" s="175"/>
      <c r="DG86" s="175"/>
      <c r="DH86" s="175"/>
      <c r="DI86" s="175"/>
      <c r="DJ86" s="175"/>
      <c r="DK86" s="175"/>
      <c r="DL86" s="175"/>
      <c r="DM86" s="175"/>
      <c r="DN86" s="175"/>
      <c r="DO86" s="175"/>
      <c r="DP86" s="175"/>
      <c r="DQ86" s="175"/>
      <c r="DR86" s="175"/>
      <c r="DS86" s="175"/>
      <c r="DT86" s="175"/>
      <c r="DU86" s="175"/>
      <c r="DV86" s="175"/>
      <c r="DW86" s="175"/>
      <c r="DX86" s="175"/>
      <c r="DY86" s="175"/>
      <c r="DZ86" s="175"/>
      <c r="EA86" s="175"/>
      <c r="EB86" s="175"/>
      <c r="EC86" s="175"/>
      <c r="ED86" s="175"/>
      <c r="EE86" s="175"/>
      <c r="EF86" s="175"/>
      <c r="EG86" s="175"/>
      <c r="EH86" s="175"/>
      <c r="EI86" s="175"/>
      <c r="EJ86" s="175"/>
      <c r="EK86" s="175"/>
      <c r="EL86" s="175"/>
      <c r="EM86" s="175"/>
      <c r="EN86" s="175"/>
      <c r="EO86" s="175"/>
      <c r="EP86" s="175"/>
      <c r="EQ86" s="175"/>
      <c r="ER86" s="175"/>
      <c r="ES86" s="175"/>
      <c r="ET86" s="175"/>
      <c r="EU86" s="175"/>
      <c r="EV86" s="175"/>
      <c r="EW86" s="175"/>
      <c r="EX86" s="175"/>
      <c r="EY86" s="175"/>
      <c r="EZ86" s="175"/>
      <c r="FA86" s="175"/>
      <c r="FB86" s="175"/>
      <c r="FC86" s="175"/>
      <c r="FD86" s="175"/>
      <c r="FE86" s="175"/>
      <c r="FF86" s="175"/>
      <c r="FG86" s="175"/>
      <c r="FH86" s="175"/>
      <c r="FI86" s="175"/>
      <c r="FJ86" s="175"/>
      <c r="FK86" s="175"/>
      <c r="FL86" s="175"/>
      <c r="FM86" s="175"/>
      <c r="FN86" s="175"/>
      <c r="FO86" s="175"/>
      <c r="FP86" s="175"/>
      <c r="FQ86" s="175"/>
      <c r="FR86" s="175"/>
      <c r="FS86" s="175"/>
      <c r="FT86" s="175"/>
      <c r="FU86" s="175"/>
      <c r="FV86" s="175"/>
      <c r="FW86" s="175"/>
      <c r="FX86" s="175"/>
      <c r="FY86" s="175"/>
      <c r="FZ86" s="175"/>
      <c r="GA86" s="175"/>
      <c r="GB86" s="175"/>
      <c r="GC86" s="175"/>
      <c r="GD86" s="175"/>
      <c r="GE86" s="175"/>
      <c r="GF86" s="175"/>
      <c r="GG86" s="175"/>
      <c r="GH86" s="175"/>
      <c r="GI86" s="175"/>
      <c r="GJ86" s="175"/>
      <c r="GK86" s="175"/>
      <c r="GL86" s="175"/>
      <c r="GM86" s="175"/>
      <c r="GN86" s="175"/>
      <c r="GO86" s="175"/>
      <c r="GP86" s="175"/>
      <c r="GQ86" s="175"/>
      <c r="GR86" s="175"/>
      <c r="GS86" s="175"/>
      <c r="GT86" s="175"/>
      <c r="GU86" s="175"/>
      <c r="GV86" s="175"/>
      <c r="GW86" s="175"/>
      <c r="GX86" s="175"/>
      <c r="GY86" s="175"/>
      <c r="GZ86" s="175"/>
      <c r="HA86" s="175"/>
      <c r="HB86" s="175"/>
      <c r="HC86" s="175"/>
      <c r="HD86" s="175"/>
      <c r="HE86" s="175"/>
      <c r="HF86" s="175"/>
      <c r="HG86" s="175"/>
      <c r="HH86" s="175"/>
      <c r="HI86" s="175"/>
      <c r="HJ86" s="175"/>
      <c r="HK86" s="175"/>
      <c r="HL86" s="175"/>
      <c r="HM86" s="175"/>
      <c r="HN86" s="175"/>
      <c r="HO86" s="175"/>
      <c r="HP86" s="175"/>
      <c r="HQ86" s="175"/>
      <c r="HR86" s="175"/>
      <c r="HS86" s="175"/>
      <c r="HT86" s="175"/>
      <c r="HU86" s="175"/>
      <c r="HV86" s="175"/>
      <c r="HW86" s="175"/>
      <c r="HX86" s="175"/>
      <c r="HY86" s="175"/>
      <c r="HZ86" s="175"/>
      <c r="IA86" s="175"/>
      <c r="IB86" s="175"/>
      <c r="IC86" s="175"/>
      <c r="ID86" s="175"/>
      <c r="IE86" s="175"/>
      <c r="IF86" s="175"/>
      <c r="IG86" s="175"/>
      <c r="IH86" s="175"/>
      <c r="II86" s="175"/>
      <c r="IJ86" s="175"/>
      <c r="IK86" s="175"/>
      <c r="IL86" s="175"/>
      <c r="IM86" s="175"/>
      <c r="IN86" s="175"/>
      <c r="IO86" s="175"/>
      <c r="IP86" s="175"/>
      <c r="IQ86" s="175"/>
      <c r="IR86" s="175"/>
      <c r="IS86" s="175"/>
      <c r="IT86" s="175"/>
      <c r="IU86" s="175"/>
    </row>
    <row r="87" spans="1:255" s="197" customFormat="1" ht="73.5" customHeight="1" x14ac:dyDescent="0.25">
      <c r="A87" s="173">
        <f t="shared" si="1"/>
        <v>82</v>
      </c>
      <c r="B87" s="200" t="s">
        <v>164</v>
      </c>
      <c r="C87" s="200" t="s">
        <v>1805</v>
      </c>
      <c r="D87" s="179" t="s">
        <v>1570</v>
      </c>
      <c r="E87" s="210" t="s">
        <v>1725</v>
      </c>
      <c r="F87" s="177">
        <v>56</v>
      </c>
      <c r="G87" s="173">
        <v>70</v>
      </c>
      <c r="H87" s="177" t="s">
        <v>1641</v>
      </c>
      <c r="I87" s="177">
        <v>2.1000000000000001E-4</v>
      </c>
      <c r="J87" s="194"/>
      <c r="K87" s="194"/>
      <c r="L87" s="194">
        <v>10</v>
      </c>
      <c r="M87" s="194">
        <v>40</v>
      </c>
      <c r="N87" s="207">
        <f>9568*I87*SQRT(M87)/розрах!$I$133</f>
        <v>6.2963496306330611E-3</v>
      </c>
      <c r="O87" s="224">
        <f>G87/1000*G87/1000*F87*0.785/розрах!$I$175</f>
        <v>1.0672646937484103E-4</v>
      </c>
      <c r="P87" s="196"/>
      <c r="Q87" s="196"/>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c r="CQ87" s="175"/>
      <c r="CR87" s="175"/>
      <c r="CS87" s="175"/>
      <c r="CT87" s="175"/>
      <c r="CU87" s="175"/>
      <c r="CV87" s="175"/>
      <c r="CW87" s="175"/>
      <c r="CX87" s="175"/>
      <c r="CY87" s="175"/>
      <c r="CZ87" s="175"/>
      <c r="DA87" s="175"/>
      <c r="DB87" s="175"/>
      <c r="DC87" s="175"/>
      <c r="DD87" s="175"/>
      <c r="DE87" s="175"/>
      <c r="DF87" s="175"/>
      <c r="DG87" s="175"/>
      <c r="DH87" s="175"/>
      <c r="DI87" s="175"/>
      <c r="DJ87" s="175"/>
      <c r="DK87" s="175"/>
      <c r="DL87" s="175"/>
      <c r="DM87" s="175"/>
      <c r="DN87" s="175"/>
      <c r="DO87" s="175"/>
      <c r="DP87" s="175"/>
      <c r="DQ87" s="175"/>
      <c r="DR87" s="175"/>
      <c r="DS87" s="175"/>
      <c r="DT87" s="175"/>
      <c r="DU87" s="175"/>
      <c r="DV87" s="175"/>
      <c r="DW87" s="175"/>
      <c r="DX87" s="175"/>
      <c r="DY87" s="175"/>
      <c r="DZ87" s="175"/>
      <c r="EA87" s="175"/>
      <c r="EB87" s="175"/>
      <c r="EC87" s="175"/>
      <c r="ED87" s="175"/>
      <c r="EE87" s="175"/>
      <c r="EF87" s="175"/>
      <c r="EG87" s="175"/>
      <c r="EH87" s="175"/>
      <c r="EI87" s="175"/>
      <c r="EJ87" s="175"/>
      <c r="EK87" s="175"/>
      <c r="EL87" s="175"/>
      <c r="EM87" s="175"/>
      <c r="EN87" s="175"/>
      <c r="EO87" s="175"/>
      <c r="EP87" s="175"/>
      <c r="EQ87" s="175"/>
      <c r="ER87" s="175"/>
      <c r="ES87" s="175"/>
      <c r="ET87" s="175"/>
      <c r="EU87" s="175"/>
      <c r="EV87" s="175"/>
      <c r="EW87" s="175"/>
      <c r="EX87" s="175"/>
      <c r="EY87" s="175"/>
      <c r="EZ87" s="175"/>
      <c r="FA87" s="175"/>
      <c r="FB87" s="175"/>
      <c r="FC87" s="175"/>
      <c r="FD87" s="175"/>
      <c r="FE87" s="175"/>
      <c r="FF87" s="175"/>
      <c r="FG87" s="175"/>
      <c r="FH87" s="175"/>
      <c r="FI87" s="175"/>
      <c r="FJ87" s="175"/>
      <c r="FK87" s="175"/>
      <c r="FL87" s="175"/>
      <c r="FM87" s="175"/>
      <c r="FN87" s="175"/>
      <c r="FO87" s="175"/>
      <c r="FP87" s="175"/>
      <c r="FQ87" s="175"/>
      <c r="FR87" s="175"/>
      <c r="FS87" s="175"/>
      <c r="FT87" s="175"/>
      <c r="FU87" s="175"/>
      <c r="FV87" s="175"/>
      <c r="FW87" s="175"/>
      <c r="FX87" s="175"/>
      <c r="FY87" s="175"/>
      <c r="FZ87" s="175"/>
      <c r="GA87" s="175"/>
      <c r="GB87" s="175"/>
      <c r="GC87" s="175"/>
      <c r="GD87" s="175"/>
      <c r="GE87" s="175"/>
      <c r="GF87" s="175"/>
      <c r="GG87" s="175"/>
      <c r="GH87" s="175"/>
      <c r="GI87" s="175"/>
      <c r="GJ87" s="175"/>
      <c r="GK87" s="175"/>
      <c r="GL87" s="175"/>
      <c r="GM87" s="175"/>
      <c r="GN87" s="175"/>
      <c r="GO87" s="175"/>
      <c r="GP87" s="175"/>
      <c r="GQ87" s="175"/>
      <c r="GR87" s="175"/>
      <c r="GS87" s="175"/>
      <c r="GT87" s="175"/>
      <c r="GU87" s="175"/>
      <c r="GV87" s="175"/>
      <c r="GW87" s="175"/>
      <c r="GX87" s="175"/>
      <c r="GY87" s="175"/>
      <c r="GZ87" s="175"/>
      <c r="HA87" s="175"/>
      <c r="HB87" s="175"/>
      <c r="HC87" s="175"/>
      <c r="HD87" s="175"/>
      <c r="HE87" s="175"/>
      <c r="HF87" s="175"/>
      <c r="HG87" s="175"/>
      <c r="HH87" s="175"/>
      <c r="HI87" s="175"/>
      <c r="HJ87" s="175"/>
      <c r="HK87" s="175"/>
      <c r="HL87" s="175"/>
      <c r="HM87" s="175"/>
      <c r="HN87" s="175"/>
      <c r="HO87" s="175"/>
      <c r="HP87" s="175"/>
      <c r="HQ87" s="175"/>
      <c r="HR87" s="175"/>
      <c r="HS87" s="175"/>
      <c r="HT87" s="175"/>
      <c r="HU87" s="175"/>
      <c r="HV87" s="175"/>
      <c r="HW87" s="175"/>
      <c r="HX87" s="175"/>
      <c r="HY87" s="175"/>
      <c r="HZ87" s="175"/>
      <c r="IA87" s="175"/>
      <c r="IB87" s="175"/>
      <c r="IC87" s="175"/>
      <c r="ID87" s="175"/>
      <c r="IE87" s="175"/>
      <c r="IF87" s="175"/>
      <c r="IG87" s="175"/>
      <c r="IH87" s="175"/>
      <c r="II87" s="175"/>
      <c r="IJ87" s="175"/>
      <c r="IK87" s="175"/>
      <c r="IL87" s="175"/>
      <c r="IM87" s="175"/>
      <c r="IN87" s="175"/>
      <c r="IO87" s="175"/>
      <c r="IP87" s="175"/>
      <c r="IQ87" s="175"/>
      <c r="IR87" s="175"/>
      <c r="IS87" s="175"/>
      <c r="IT87" s="175"/>
      <c r="IU87" s="175"/>
    </row>
    <row r="88" spans="1:255" s="197" customFormat="1" ht="64.5" customHeight="1" x14ac:dyDescent="0.25">
      <c r="A88" s="173">
        <f t="shared" si="1"/>
        <v>83</v>
      </c>
      <c r="B88" s="200" t="s">
        <v>164</v>
      </c>
      <c r="C88" s="200" t="s">
        <v>1792</v>
      </c>
      <c r="D88" s="177" t="s">
        <v>1726</v>
      </c>
      <c r="E88" s="210" t="s">
        <v>1710</v>
      </c>
      <c r="F88" s="177">
        <v>30</v>
      </c>
      <c r="G88" s="173">
        <v>80</v>
      </c>
      <c r="H88" s="177" t="s">
        <v>1641</v>
      </c>
      <c r="I88" s="177">
        <v>2.0000000000000001E-4</v>
      </c>
      <c r="J88" s="194"/>
      <c r="K88" s="194"/>
      <c r="L88" s="194">
        <v>0.5</v>
      </c>
      <c r="M88" s="194">
        <v>44</v>
      </c>
      <c r="N88" s="207">
        <f>9568*I88*SQRT(M88)/розрах!$I$133</f>
        <v>6.2892068607436381E-3</v>
      </c>
      <c r="O88" s="195">
        <f>G88/1000*G88/1000*F88*0.785/розрах!$I$175</f>
        <v>7.4677412973649693E-5</v>
      </c>
      <c r="P88" s="196"/>
      <c r="Q88" s="196"/>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c r="CQ88" s="175"/>
      <c r="CR88" s="175"/>
      <c r="CS88" s="175"/>
      <c r="CT88" s="175"/>
      <c r="CU88" s="175"/>
      <c r="CV88" s="175"/>
      <c r="CW88" s="175"/>
      <c r="CX88" s="175"/>
      <c r="CY88" s="175"/>
      <c r="CZ88" s="175"/>
      <c r="DA88" s="175"/>
      <c r="DB88" s="175"/>
      <c r="DC88" s="175"/>
      <c r="DD88" s="175"/>
      <c r="DE88" s="175"/>
      <c r="DF88" s="175"/>
      <c r="DG88" s="175"/>
      <c r="DH88" s="175"/>
      <c r="DI88" s="175"/>
      <c r="DJ88" s="175"/>
      <c r="DK88" s="175"/>
      <c r="DL88" s="175"/>
      <c r="DM88" s="175"/>
      <c r="DN88" s="175"/>
      <c r="DO88" s="175"/>
      <c r="DP88" s="175"/>
      <c r="DQ88" s="175"/>
      <c r="DR88" s="175"/>
      <c r="DS88" s="175"/>
      <c r="DT88" s="175"/>
      <c r="DU88" s="175"/>
      <c r="DV88" s="175"/>
      <c r="DW88" s="175"/>
      <c r="DX88" s="175"/>
      <c r="DY88" s="175"/>
      <c r="DZ88" s="175"/>
      <c r="EA88" s="175"/>
      <c r="EB88" s="175"/>
      <c r="EC88" s="175"/>
      <c r="ED88" s="175"/>
      <c r="EE88" s="175"/>
      <c r="EF88" s="175"/>
      <c r="EG88" s="175"/>
      <c r="EH88" s="175"/>
      <c r="EI88" s="175"/>
      <c r="EJ88" s="175"/>
      <c r="EK88" s="175"/>
      <c r="EL88" s="175"/>
      <c r="EM88" s="175"/>
      <c r="EN88" s="175"/>
      <c r="EO88" s="175"/>
      <c r="EP88" s="175"/>
      <c r="EQ88" s="175"/>
      <c r="ER88" s="175"/>
      <c r="ES88" s="175"/>
      <c r="ET88" s="175"/>
      <c r="EU88" s="175"/>
      <c r="EV88" s="175"/>
      <c r="EW88" s="175"/>
      <c r="EX88" s="175"/>
      <c r="EY88" s="175"/>
      <c r="EZ88" s="175"/>
      <c r="FA88" s="175"/>
      <c r="FB88" s="175"/>
      <c r="FC88" s="175"/>
      <c r="FD88" s="175"/>
      <c r="FE88" s="175"/>
      <c r="FF88" s="175"/>
      <c r="FG88" s="175"/>
      <c r="FH88" s="175"/>
      <c r="FI88" s="175"/>
      <c r="FJ88" s="175"/>
      <c r="FK88" s="175"/>
      <c r="FL88" s="175"/>
      <c r="FM88" s="175"/>
      <c r="FN88" s="175"/>
      <c r="FO88" s="175"/>
      <c r="FP88" s="175"/>
      <c r="FQ88" s="175"/>
      <c r="FR88" s="175"/>
      <c r="FS88" s="175"/>
      <c r="FT88" s="175"/>
      <c r="FU88" s="175"/>
      <c r="FV88" s="175"/>
      <c r="FW88" s="175"/>
      <c r="FX88" s="175"/>
      <c r="FY88" s="175"/>
      <c r="FZ88" s="175"/>
      <c r="GA88" s="175"/>
      <c r="GB88" s="175"/>
      <c r="GC88" s="175"/>
      <c r="GD88" s="175"/>
      <c r="GE88" s="175"/>
      <c r="GF88" s="175"/>
      <c r="GG88" s="175"/>
      <c r="GH88" s="175"/>
      <c r="GI88" s="175"/>
      <c r="GJ88" s="175"/>
      <c r="GK88" s="175"/>
      <c r="GL88" s="175"/>
      <c r="GM88" s="175"/>
      <c r="GN88" s="175"/>
      <c r="GO88" s="175"/>
      <c r="GP88" s="175"/>
      <c r="GQ88" s="175"/>
      <c r="GR88" s="175"/>
      <c r="GS88" s="175"/>
      <c r="GT88" s="175"/>
      <c r="GU88" s="175"/>
      <c r="GV88" s="175"/>
      <c r="GW88" s="175"/>
      <c r="GX88" s="175"/>
      <c r="GY88" s="175"/>
      <c r="GZ88" s="175"/>
      <c r="HA88" s="175"/>
      <c r="HB88" s="175"/>
      <c r="HC88" s="175"/>
      <c r="HD88" s="175"/>
      <c r="HE88" s="175"/>
      <c r="HF88" s="175"/>
      <c r="HG88" s="175"/>
      <c r="HH88" s="175"/>
      <c r="HI88" s="175"/>
      <c r="HJ88" s="175"/>
      <c r="HK88" s="175"/>
      <c r="HL88" s="175"/>
      <c r="HM88" s="175"/>
      <c r="HN88" s="175"/>
      <c r="HO88" s="175"/>
      <c r="HP88" s="175"/>
      <c r="HQ88" s="175"/>
      <c r="HR88" s="175"/>
      <c r="HS88" s="175"/>
      <c r="HT88" s="175"/>
      <c r="HU88" s="175"/>
      <c r="HV88" s="175"/>
      <c r="HW88" s="175"/>
      <c r="HX88" s="175"/>
      <c r="HY88" s="175"/>
      <c r="HZ88" s="175"/>
      <c r="IA88" s="175"/>
      <c r="IB88" s="175"/>
      <c r="IC88" s="175"/>
      <c r="ID88" s="175"/>
      <c r="IE88" s="175"/>
      <c r="IF88" s="175"/>
      <c r="IG88" s="175"/>
      <c r="IH88" s="175"/>
      <c r="II88" s="175"/>
      <c r="IJ88" s="175"/>
      <c r="IK88" s="175"/>
      <c r="IL88" s="175"/>
      <c r="IM88" s="175"/>
      <c r="IN88" s="175"/>
      <c r="IO88" s="175"/>
      <c r="IP88" s="175"/>
      <c r="IQ88" s="175"/>
      <c r="IR88" s="175"/>
      <c r="IS88" s="175"/>
      <c r="IT88" s="175"/>
      <c r="IU88" s="175"/>
    </row>
    <row r="89" spans="1:255" s="197" customFormat="1" ht="67.5" customHeight="1" x14ac:dyDescent="0.25">
      <c r="A89" s="173">
        <f t="shared" si="1"/>
        <v>84</v>
      </c>
      <c r="B89" s="173" t="s">
        <v>164</v>
      </c>
      <c r="C89" s="173" t="s">
        <v>1800</v>
      </c>
      <c r="D89" s="179" t="s">
        <v>1571</v>
      </c>
      <c r="E89" s="213" t="s">
        <v>1727</v>
      </c>
      <c r="F89" s="173">
        <v>60</v>
      </c>
      <c r="G89" s="173">
        <v>100</v>
      </c>
      <c r="H89" s="177" t="s">
        <v>1509</v>
      </c>
      <c r="I89" s="177">
        <v>4.0000000000000002E-4</v>
      </c>
      <c r="J89" s="194"/>
      <c r="K89" s="194"/>
      <c r="L89" s="194">
        <v>6</v>
      </c>
      <c r="M89" s="194">
        <v>55</v>
      </c>
      <c r="N89" s="207">
        <f>9568*I89*SQRT(M89)/розрах!$I$133</f>
        <v>1.4063094065180829E-2</v>
      </c>
      <c r="O89" s="224">
        <f>G89/1000*G89/1000*F89*0.785/розрах!$I$175</f>
        <v>2.3336691554265524E-4</v>
      </c>
      <c r="P89" s="196"/>
      <c r="Q89" s="196"/>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5"/>
      <c r="DF89" s="175"/>
      <c r="DG89" s="175"/>
      <c r="DH89" s="175"/>
      <c r="DI89" s="175"/>
      <c r="DJ89" s="175"/>
      <c r="DK89" s="175"/>
      <c r="DL89" s="175"/>
      <c r="DM89" s="175"/>
      <c r="DN89" s="175"/>
      <c r="DO89" s="175"/>
      <c r="DP89" s="175"/>
      <c r="DQ89" s="175"/>
      <c r="DR89" s="175"/>
      <c r="DS89" s="175"/>
      <c r="DT89" s="175"/>
      <c r="DU89" s="175"/>
      <c r="DV89" s="175"/>
      <c r="DW89" s="175"/>
      <c r="DX89" s="175"/>
      <c r="DY89" s="175"/>
      <c r="DZ89" s="175"/>
      <c r="EA89" s="175"/>
      <c r="EB89" s="175"/>
      <c r="EC89" s="175"/>
      <c r="ED89" s="175"/>
      <c r="EE89" s="175"/>
      <c r="EF89" s="175"/>
      <c r="EG89" s="175"/>
      <c r="EH89" s="175"/>
      <c r="EI89" s="175"/>
      <c r="EJ89" s="175"/>
      <c r="EK89" s="175"/>
      <c r="EL89" s="175"/>
      <c r="EM89" s="175"/>
      <c r="EN89" s="175"/>
      <c r="EO89" s="175"/>
      <c r="EP89" s="175"/>
      <c r="EQ89" s="175"/>
      <c r="ER89" s="175"/>
      <c r="ES89" s="175"/>
      <c r="ET89" s="175"/>
      <c r="EU89" s="175"/>
      <c r="EV89" s="175"/>
      <c r="EW89" s="175"/>
      <c r="EX89" s="175"/>
      <c r="EY89" s="175"/>
      <c r="EZ89" s="175"/>
      <c r="FA89" s="175"/>
      <c r="FB89" s="175"/>
      <c r="FC89" s="175"/>
      <c r="FD89" s="175"/>
      <c r="FE89" s="175"/>
      <c r="FF89" s="175"/>
      <c r="FG89" s="175"/>
      <c r="FH89" s="175"/>
      <c r="FI89" s="175"/>
      <c r="FJ89" s="175"/>
      <c r="FK89" s="175"/>
      <c r="FL89" s="175"/>
      <c r="FM89" s="175"/>
      <c r="FN89" s="175"/>
      <c r="FO89" s="175"/>
      <c r="FP89" s="175"/>
      <c r="FQ89" s="175"/>
      <c r="FR89" s="175"/>
      <c r="FS89" s="175"/>
      <c r="FT89" s="175"/>
      <c r="FU89" s="175"/>
      <c r="FV89" s="175"/>
      <c r="FW89" s="175"/>
      <c r="FX89" s="175"/>
      <c r="FY89" s="175"/>
      <c r="FZ89" s="175"/>
      <c r="GA89" s="175"/>
      <c r="GB89" s="175"/>
      <c r="GC89" s="175"/>
      <c r="GD89" s="175"/>
      <c r="GE89" s="175"/>
      <c r="GF89" s="175"/>
      <c r="GG89" s="175"/>
      <c r="GH89" s="175"/>
      <c r="GI89" s="175"/>
      <c r="GJ89" s="175"/>
      <c r="GK89" s="175"/>
      <c r="GL89" s="175"/>
      <c r="GM89" s="175"/>
      <c r="GN89" s="175"/>
      <c r="GO89" s="175"/>
      <c r="GP89" s="175"/>
      <c r="GQ89" s="175"/>
      <c r="GR89" s="175"/>
      <c r="GS89" s="175"/>
      <c r="GT89" s="175"/>
      <c r="GU89" s="175"/>
      <c r="GV89" s="175"/>
      <c r="GW89" s="175"/>
      <c r="GX89" s="175"/>
      <c r="GY89" s="175"/>
      <c r="GZ89" s="175"/>
      <c r="HA89" s="175"/>
      <c r="HB89" s="175"/>
      <c r="HC89" s="175"/>
      <c r="HD89" s="175"/>
      <c r="HE89" s="175"/>
      <c r="HF89" s="175"/>
      <c r="HG89" s="175"/>
      <c r="HH89" s="175"/>
      <c r="HI89" s="175"/>
      <c r="HJ89" s="175"/>
      <c r="HK89" s="175"/>
      <c r="HL89" s="175"/>
      <c r="HM89" s="175"/>
      <c r="HN89" s="175"/>
      <c r="HO89" s="175"/>
      <c r="HP89" s="175"/>
      <c r="HQ89" s="175"/>
      <c r="HR89" s="175"/>
      <c r="HS89" s="175"/>
      <c r="HT89" s="175"/>
      <c r="HU89" s="175"/>
      <c r="HV89" s="175"/>
      <c r="HW89" s="175"/>
      <c r="HX89" s="175"/>
      <c r="HY89" s="175"/>
      <c r="HZ89" s="175"/>
      <c r="IA89" s="175"/>
      <c r="IB89" s="175"/>
      <c r="IC89" s="175"/>
      <c r="ID89" s="175"/>
      <c r="IE89" s="175"/>
      <c r="IF89" s="175"/>
      <c r="IG89" s="175"/>
      <c r="IH89" s="175"/>
      <c r="II89" s="175"/>
      <c r="IJ89" s="175"/>
      <c r="IK89" s="175"/>
      <c r="IL89" s="175"/>
      <c r="IM89" s="175"/>
      <c r="IN89" s="175"/>
      <c r="IO89" s="175"/>
      <c r="IP89" s="175"/>
      <c r="IQ89" s="175"/>
      <c r="IR89" s="175"/>
      <c r="IS89" s="175"/>
      <c r="IT89" s="175"/>
      <c r="IU89" s="175"/>
    </row>
    <row r="90" spans="1:255" s="197" customFormat="1" ht="61.5" customHeight="1" x14ac:dyDescent="0.25">
      <c r="A90" s="173">
        <f t="shared" si="1"/>
        <v>85</v>
      </c>
      <c r="B90" s="173" t="s">
        <v>164</v>
      </c>
      <c r="C90" s="173" t="s">
        <v>1798</v>
      </c>
      <c r="D90" s="219" t="s">
        <v>1799</v>
      </c>
      <c r="E90" s="213" t="s">
        <v>1833</v>
      </c>
      <c r="F90" s="173">
        <v>58</v>
      </c>
      <c r="G90" s="173">
        <v>100</v>
      </c>
      <c r="H90" s="177" t="s">
        <v>1641</v>
      </c>
      <c r="I90" s="177">
        <v>2.9999999999999997E-4</v>
      </c>
      <c r="J90" s="194"/>
      <c r="K90" s="194"/>
      <c r="L90" s="194">
        <v>8</v>
      </c>
      <c r="M90" s="194">
        <v>48</v>
      </c>
      <c r="N90" s="207">
        <f>9568*I90*SQRT(M90)/розрах!$I$133</f>
        <v>9.8532934932487066E-3</v>
      </c>
      <c r="O90" s="224">
        <f>G90/1000*G90/1000*F90*0.785/розрах!$I$175</f>
        <v>2.2558801835790009E-4</v>
      </c>
      <c r="P90" s="196"/>
      <c r="Q90" s="196"/>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5"/>
      <c r="CN90" s="175"/>
      <c r="CO90" s="175"/>
      <c r="CP90" s="175"/>
      <c r="CQ90" s="175"/>
      <c r="CR90" s="175"/>
      <c r="CS90" s="175"/>
      <c r="CT90" s="175"/>
      <c r="CU90" s="175"/>
      <c r="CV90" s="175"/>
      <c r="CW90" s="175"/>
      <c r="CX90" s="175"/>
      <c r="CY90" s="175"/>
      <c r="CZ90" s="175"/>
      <c r="DA90" s="175"/>
      <c r="DB90" s="175"/>
      <c r="DC90" s="175"/>
      <c r="DD90" s="175"/>
      <c r="DE90" s="175"/>
      <c r="DF90" s="175"/>
      <c r="DG90" s="175"/>
      <c r="DH90" s="175"/>
      <c r="DI90" s="175"/>
      <c r="DJ90" s="175"/>
      <c r="DK90" s="175"/>
      <c r="DL90" s="175"/>
      <c r="DM90" s="175"/>
      <c r="DN90" s="175"/>
      <c r="DO90" s="175"/>
      <c r="DP90" s="175"/>
      <c r="DQ90" s="175"/>
      <c r="DR90" s="175"/>
      <c r="DS90" s="175"/>
      <c r="DT90" s="175"/>
      <c r="DU90" s="175"/>
      <c r="DV90" s="175"/>
      <c r="DW90" s="175"/>
      <c r="DX90" s="175"/>
      <c r="DY90" s="175"/>
      <c r="DZ90" s="175"/>
      <c r="EA90" s="175"/>
      <c r="EB90" s="175"/>
      <c r="EC90" s="175"/>
      <c r="ED90" s="175"/>
      <c r="EE90" s="175"/>
      <c r="EF90" s="175"/>
      <c r="EG90" s="175"/>
      <c r="EH90" s="175"/>
      <c r="EI90" s="175"/>
      <c r="EJ90" s="175"/>
      <c r="EK90" s="175"/>
      <c r="EL90" s="175"/>
      <c r="EM90" s="175"/>
      <c r="EN90" s="175"/>
      <c r="EO90" s="175"/>
      <c r="EP90" s="175"/>
      <c r="EQ90" s="175"/>
      <c r="ER90" s="175"/>
      <c r="ES90" s="175"/>
      <c r="ET90" s="175"/>
      <c r="EU90" s="175"/>
      <c r="EV90" s="175"/>
      <c r="EW90" s="175"/>
      <c r="EX90" s="175"/>
      <c r="EY90" s="175"/>
      <c r="EZ90" s="175"/>
      <c r="FA90" s="175"/>
      <c r="FB90" s="175"/>
      <c r="FC90" s="175"/>
      <c r="FD90" s="175"/>
      <c r="FE90" s="175"/>
      <c r="FF90" s="175"/>
      <c r="FG90" s="175"/>
      <c r="FH90" s="175"/>
      <c r="FI90" s="175"/>
      <c r="FJ90" s="175"/>
      <c r="FK90" s="175"/>
      <c r="FL90" s="175"/>
      <c r="FM90" s="175"/>
      <c r="FN90" s="175"/>
      <c r="FO90" s="175"/>
      <c r="FP90" s="175"/>
      <c r="FQ90" s="175"/>
      <c r="FR90" s="175"/>
      <c r="FS90" s="175"/>
      <c r="FT90" s="175"/>
      <c r="FU90" s="175"/>
      <c r="FV90" s="175"/>
      <c r="FW90" s="175"/>
      <c r="FX90" s="175"/>
      <c r="FY90" s="175"/>
      <c r="FZ90" s="175"/>
      <c r="GA90" s="175"/>
      <c r="GB90" s="175"/>
      <c r="GC90" s="175"/>
      <c r="GD90" s="175"/>
      <c r="GE90" s="175"/>
      <c r="GF90" s="175"/>
      <c r="GG90" s="175"/>
      <c r="GH90" s="175"/>
      <c r="GI90" s="175"/>
      <c r="GJ90" s="175"/>
      <c r="GK90" s="175"/>
      <c r="GL90" s="175"/>
      <c r="GM90" s="175"/>
      <c r="GN90" s="175"/>
      <c r="GO90" s="175"/>
      <c r="GP90" s="175"/>
      <c r="GQ90" s="175"/>
      <c r="GR90" s="175"/>
      <c r="GS90" s="175"/>
      <c r="GT90" s="175"/>
      <c r="GU90" s="175"/>
      <c r="GV90" s="175"/>
      <c r="GW90" s="175"/>
      <c r="GX90" s="175"/>
      <c r="GY90" s="175"/>
      <c r="GZ90" s="175"/>
      <c r="HA90" s="175"/>
      <c r="HB90" s="175"/>
      <c r="HC90" s="175"/>
      <c r="HD90" s="175"/>
      <c r="HE90" s="175"/>
      <c r="HF90" s="175"/>
      <c r="HG90" s="175"/>
      <c r="HH90" s="175"/>
      <c r="HI90" s="175"/>
      <c r="HJ90" s="175"/>
      <c r="HK90" s="175"/>
      <c r="HL90" s="175"/>
      <c r="HM90" s="175"/>
      <c r="HN90" s="175"/>
      <c r="HO90" s="175"/>
      <c r="HP90" s="175"/>
      <c r="HQ90" s="175"/>
      <c r="HR90" s="175"/>
      <c r="HS90" s="175"/>
      <c r="HT90" s="175"/>
      <c r="HU90" s="175"/>
      <c r="HV90" s="175"/>
      <c r="HW90" s="175"/>
      <c r="HX90" s="175"/>
      <c r="HY90" s="175"/>
      <c r="HZ90" s="175"/>
      <c r="IA90" s="175"/>
      <c r="IB90" s="175"/>
      <c r="IC90" s="175"/>
      <c r="ID90" s="175"/>
      <c r="IE90" s="175"/>
      <c r="IF90" s="175"/>
      <c r="IG90" s="175"/>
      <c r="IH90" s="175"/>
      <c r="II90" s="175"/>
      <c r="IJ90" s="175"/>
      <c r="IK90" s="175"/>
      <c r="IL90" s="175"/>
      <c r="IM90" s="175"/>
      <c r="IN90" s="175"/>
      <c r="IO90" s="175"/>
      <c r="IP90" s="175"/>
      <c r="IQ90" s="175"/>
      <c r="IR90" s="175"/>
      <c r="IS90" s="175"/>
      <c r="IT90" s="175"/>
      <c r="IU90" s="175"/>
    </row>
    <row r="91" spans="1:255" s="197" customFormat="1" ht="78.75" customHeight="1" x14ac:dyDescent="0.25">
      <c r="A91" s="173">
        <f t="shared" si="1"/>
        <v>86</v>
      </c>
      <c r="B91" s="173" t="s">
        <v>164</v>
      </c>
      <c r="C91" s="173" t="s">
        <v>1818</v>
      </c>
      <c r="D91" s="176" t="s">
        <v>1546</v>
      </c>
      <c r="E91" s="213" t="s">
        <v>1728</v>
      </c>
      <c r="F91" s="173">
        <v>76</v>
      </c>
      <c r="G91" s="173">
        <v>70</v>
      </c>
      <c r="H91" s="177" t="s">
        <v>1641</v>
      </c>
      <c r="I91" s="177">
        <v>2.0000000000000001E-4</v>
      </c>
      <c r="J91" s="194"/>
      <c r="K91" s="194"/>
      <c r="L91" s="194">
        <v>0.5</v>
      </c>
      <c r="M91" s="194">
        <v>42</v>
      </c>
      <c r="N91" s="207">
        <f>9568*I91*SQRT(M91)/розрах!$I$133</f>
        <v>6.1446080638442755E-3</v>
      </c>
      <c r="O91" s="224">
        <f>G91/1000*G91/1000*F91*0.785/розрах!$I$175</f>
        <v>1.4484306558014138E-4</v>
      </c>
      <c r="P91" s="196"/>
      <c r="Q91" s="196"/>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5"/>
      <c r="DF91" s="175"/>
      <c r="DG91" s="175"/>
      <c r="DH91" s="175"/>
      <c r="DI91" s="175"/>
      <c r="DJ91" s="175"/>
      <c r="DK91" s="175"/>
      <c r="DL91" s="175"/>
      <c r="DM91" s="175"/>
      <c r="DN91" s="175"/>
      <c r="DO91" s="175"/>
      <c r="DP91" s="175"/>
      <c r="DQ91" s="175"/>
      <c r="DR91" s="175"/>
      <c r="DS91" s="175"/>
      <c r="DT91" s="175"/>
      <c r="DU91" s="175"/>
      <c r="DV91" s="175"/>
      <c r="DW91" s="175"/>
      <c r="DX91" s="175"/>
      <c r="DY91" s="175"/>
      <c r="DZ91" s="175"/>
      <c r="EA91" s="175"/>
      <c r="EB91" s="175"/>
      <c r="EC91" s="175"/>
      <c r="ED91" s="175"/>
      <c r="EE91" s="175"/>
      <c r="EF91" s="175"/>
      <c r="EG91" s="175"/>
      <c r="EH91" s="175"/>
      <c r="EI91" s="175"/>
      <c r="EJ91" s="175"/>
      <c r="EK91" s="175"/>
      <c r="EL91" s="175"/>
      <c r="EM91" s="175"/>
      <c r="EN91" s="175"/>
      <c r="EO91" s="175"/>
      <c r="EP91" s="175"/>
      <c r="EQ91" s="175"/>
      <c r="ER91" s="175"/>
      <c r="ES91" s="175"/>
      <c r="ET91" s="175"/>
      <c r="EU91" s="175"/>
      <c r="EV91" s="175"/>
      <c r="EW91" s="175"/>
      <c r="EX91" s="175"/>
      <c r="EY91" s="175"/>
      <c r="EZ91" s="175"/>
      <c r="FA91" s="175"/>
      <c r="FB91" s="175"/>
      <c r="FC91" s="175"/>
      <c r="FD91" s="175"/>
      <c r="FE91" s="175"/>
      <c r="FF91" s="175"/>
      <c r="FG91" s="175"/>
      <c r="FH91" s="175"/>
      <c r="FI91" s="175"/>
      <c r="FJ91" s="175"/>
      <c r="FK91" s="175"/>
      <c r="FL91" s="175"/>
      <c r="FM91" s="175"/>
      <c r="FN91" s="175"/>
      <c r="FO91" s="175"/>
      <c r="FP91" s="175"/>
      <c r="FQ91" s="175"/>
      <c r="FR91" s="175"/>
      <c r="FS91" s="175"/>
      <c r="FT91" s="175"/>
      <c r="FU91" s="175"/>
      <c r="FV91" s="175"/>
      <c r="FW91" s="175"/>
      <c r="FX91" s="175"/>
      <c r="FY91" s="175"/>
      <c r="FZ91" s="175"/>
      <c r="GA91" s="175"/>
      <c r="GB91" s="175"/>
      <c r="GC91" s="175"/>
      <c r="GD91" s="175"/>
      <c r="GE91" s="175"/>
      <c r="GF91" s="175"/>
      <c r="GG91" s="175"/>
      <c r="GH91" s="175"/>
      <c r="GI91" s="175"/>
      <c r="GJ91" s="175"/>
      <c r="GK91" s="175"/>
      <c r="GL91" s="175"/>
      <c r="GM91" s="175"/>
      <c r="GN91" s="175"/>
      <c r="GO91" s="175"/>
      <c r="GP91" s="175"/>
      <c r="GQ91" s="175"/>
      <c r="GR91" s="175"/>
      <c r="GS91" s="175"/>
      <c r="GT91" s="175"/>
      <c r="GU91" s="175"/>
      <c r="GV91" s="175"/>
      <c r="GW91" s="175"/>
      <c r="GX91" s="175"/>
      <c r="GY91" s="175"/>
      <c r="GZ91" s="175"/>
      <c r="HA91" s="175"/>
      <c r="HB91" s="175"/>
      <c r="HC91" s="175"/>
      <c r="HD91" s="175"/>
      <c r="HE91" s="175"/>
      <c r="HF91" s="175"/>
      <c r="HG91" s="175"/>
      <c r="HH91" s="175"/>
      <c r="HI91" s="175"/>
      <c r="HJ91" s="175"/>
      <c r="HK91" s="175"/>
      <c r="HL91" s="175"/>
      <c r="HM91" s="175"/>
      <c r="HN91" s="175"/>
      <c r="HO91" s="175"/>
      <c r="HP91" s="175"/>
      <c r="HQ91" s="175"/>
      <c r="HR91" s="175"/>
      <c r="HS91" s="175"/>
      <c r="HT91" s="175"/>
      <c r="HU91" s="175"/>
      <c r="HV91" s="175"/>
      <c r="HW91" s="175"/>
      <c r="HX91" s="175"/>
      <c r="HY91" s="175"/>
      <c r="HZ91" s="175"/>
      <c r="IA91" s="175"/>
      <c r="IB91" s="175"/>
      <c r="IC91" s="175"/>
      <c r="ID91" s="175"/>
      <c r="IE91" s="175"/>
      <c r="IF91" s="175"/>
      <c r="IG91" s="175"/>
      <c r="IH91" s="175"/>
      <c r="II91" s="175"/>
      <c r="IJ91" s="175"/>
      <c r="IK91" s="175"/>
      <c r="IL91" s="175"/>
      <c r="IM91" s="175"/>
      <c r="IN91" s="175"/>
      <c r="IO91" s="175"/>
      <c r="IP91" s="175"/>
      <c r="IQ91" s="175"/>
      <c r="IR91" s="175"/>
      <c r="IS91" s="175"/>
      <c r="IT91" s="175"/>
      <c r="IU91" s="175"/>
    </row>
    <row r="92" spans="1:255" s="197" customFormat="1" ht="66" customHeight="1" x14ac:dyDescent="0.25">
      <c r="A92" s="173">
        <f t="shared" si="1"/>
        <v>87</v>
      </c>
      <c r="B92" s="173" t="s">
        <v>164</v>
      </c>
      <c r="C92" s="173" t="s">
        <v>1818</v>
      </c>
      <c r="D92" s="176" t="s">
        <v>1572</v>
      </c>
      <c r="E92" s="213" t="s">
        <v>1729</v>
      </c>
      <c r="F92" s="173">
        <v>75</v>
      </c>
      <c r="G92" s="173">
        <v>80</v>
      </c>
      <c r="H92" s="177" t="s">
        <v>1641</v>
      </c>
      <c r="I92" s="177">
        <v>2.9999999999999997E-4</v>
      </c>
      <c r="J92" s="194"/>
      <c r="K92" s="194"/>
      <c r="L92" s="194">
        <v>8</v>
      </c>
      <c r="M92" s="194">
        <v>42</v>
      </c>
      <c r="N92" s="207">
        <f>9568*I92*SQRT(M92)/розрах!$I$133</f>
        <v>9.2169120957664094E-3</v>
      </c>
      <c r="O92" s="194">
        <f>G92/1000*G92/1000*F92*0.785/розрах!$I$175</f>
        <v>1.8669353243412422E-4</v>
      </c>
      <c r="P92" s="196"/>
      <c r="Q92" s="196"/>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c r="DE92" s="175"/>
      <c r="DF92" s="175"/>
      <c r="DG92" s="175"/>
      <c r="DH92" s="175"/>
      <c r="DI92" s="175"/>
      <c r="DJ92" s="175"/>
      <c r="DK92" s="175"/>
      <c r="DL92" s="175"/>
      <c r="DM92" s="175"/>
      <c r="DN92" s="175"/>
      <c r="DO92" s="175"/>
      <c r="DP92" s="175"/>
      <c r="DQ92" s="175"/>
      <c r="DR92" s="175"/>
      <c r="DS92" s="175"/>
      <c r="DT92" s="175"/>
      <c r="DU92" s="175"/>
      <c r="DV92" s="175"/>
      <c r="DW92" s="175"/>
      <c r="DX92" s="175"/>
      <c r="DY92" s="175"/>
      <c r="DZ92" s="175"/>
      <c r="EA92" s="175"/>
      <c r="EB92" s="175"/>
      <c r="EC92" s="175"/>
      <c r="ED92" s="175"/>
      <c r="EE92" s="175"/>
      <c r="EF92" s="175"/>
      <c r="EG92" s="175"/>
      <c r="EH92" s="175"/>
      <c r="EI92" s="175"/>
      <c r="EJ92" s="175"/>
      <c r="EK92" s="175"/>
      <c r="EL92" s="175"/>
      <c r="EM92" s="175"/>
      <c r="EN92" s="175"/>
      <c r="EO92" s="175"/>
      <c r="EP92" s="175"/>
      <c r="EQ92" s="175"/>
      <c r="ER92" s="175"/>
      <c r="ES92" s="175"/>
      <c r="ET92" s="175"/>
      <c r="EU92" s="175"/>
      <c r="EV92" s="175"/>
      <c r="EW92" s="175"/>
      <c r="EX92" s="175"/>
      <c r="EY92" s="175"/>
      <c r="EZ92" s="175"/>
      <c r="FA92" s="175"/>
      <c r="FB92" s="175"/>
      <c r="FC92" s="175"/>
      <c r="FD92" s="175"/>
      <c r="FE92" s="175"/>
      <c r="FF92" s="175"/>
      <c r="FG92" s="175"/>
      <c r="FH92" s="175"/>
      <c r="FI92" s="175"/>
      <c r="FJ92" s="175"/>
      <c r="FK92" s="175"/>
      <c r="FL92" s="175"/>
      <c r="FM92" s="175"/>
      <c r="FN92" s="175"/>
      <c r="FO92" s="175"/>
      <c r="FP92" s="175"/>
      <c r="FQ92" s="175"/>
      <c r="FR92" s="175"/>
      <c r="FS92" s="175"/>
      <c r="FT92" s="175"/>
      <c r="FU92" s="175"/>
      <c r="FV92" s="175"/>
      <c r="FW92" s="175"/>
      <c r="FX92" s="175"/>
      <c r="FY92" s="175"/>
      <c r="FZ92" s="175"/>
      <c r="GA92" s="175"/>
      <c r="GB92" s="175"/>
      <c r="GC92" s="175"/>
      <c r="GD92" s="175"/>
      <c r="GE92" s="175"/>
      <c r="GF92" s="175"/>
      <c r="GG92" s="175"/>
      <c r="GH92" s="175"/>
      <c r="GI92" s="175"/>
      <c r="GJ92" s="175"/>
      <c r="GK92" s="175"/>
      <c r="GL92" s="175"/>
      <c r="GM92" s="175"/>
      <c r="GN92" s="175"/>
      <c r="GO92" s="175"/>
      <c r="GP92" s="175"/>
      <c r="GQ92" s="175"/>
      <c r="GR92" s="175"/>
      <c r="GS92" s="175"/>
      <c r="GT92" s="175"/>
      <c r="GU92" s="175"/>
      <c r="GV92" s="175"/>
      <c r="GW92" s="175"/>
      <c r="GX92" s="175"/>
      <c r="GY92" s="175"/>
      <c r="GZ92" s="175"/>
      <c r="HA92" s="175"/>
      <c r="HB92" s="175"/>
      <c r="HC92" s="175"/>
      <c r="HD92" s="175"/>
      <c r="HE92" s="175"/>
      <c r="HF92" s="175"/>
      <c r="HG92" s="175"/>
      <c r="HH92" s="175"/>
      <c r="HI92" s="175"/>
      <c r="HJ92" s="175"/>
      <c r="HK92" s="175"/>
      <c r="HL92" s="175"/>
      <c r="HM92" s="175"/>
      <c r="HN92" s="175"/>
      <c r="HO92" s="175"/>
      <c r="HP92" s="175"/>
      <c r="HQ92" s="175"/>
      <c r="HR92" s="175"/>
      <c r="HS92" s="175"/>
      <c r="HT92" s="175"/>
      <c r="HU92" s="175"/>
      <c r="HV92" s="175"/>
      <c r="HW92" s="175"/>
      <c r="HX92" s="175"/>
      <c r="HY92" s="175"/>
      <c r="HZ92" s="175"/>
      <c r="IA92" s="175"/>
      <c r="IB92" s="175"/>
      <c r="IC92" s="175"/>
      <c r="ID92" s="175"/>
      <c r="IE92" s="175"/>
      <c r="IF92" s="175"/>
      <c r="IG92" s="175"/>
      <c r="IH92" s="175"/>
      <c r="II92" s="175"/>
      <c r="IJ92" s="175"/>
      <c r="IK92" s="175"/>
      <c r="IL92" s="175"/>
      <c r="IM92" s="175"/>
      <c r="IN92" s="175"/>
      <c r="IO92" s="175"/>
      <c r="IP92" s="175"/>
      <c r="IQ92" s="175"/>
      <c r="IR92" s="175"/>
      <c r="IS92" s="175"/>
      <c r="IT92" s="175"/>
      <c r="IU92" s="175"/>
    </row>
    <row r="93" spans="1:255" s="197" customFormat="1" ht="79.5" customHeight="1" x14ac:dyDescent="0.25">
      <c r="A93" s="173">
        <f t="shared" si="1"/>
        <v>88</v>
      </c>
      <c r="B93" s="173" t="s">
        <v>164</v>
      </c>
      <c r="C93" s="173" t="s">
        <v>1800</v>
      </c>
      <c r="D93" s="176" t="s">
        <v>1573</v>
      </c>
      <c r="E93" s="213" t="s">
        <v>1730</v>
      </c>
      <c r="F93" s="173">
        <v>56</v>
      </c>
      <c r="G93" s="173">
        <v>80</v>
      </c>
      <c r="H93" s="177" t="s">
        <v>1509</v>
      </c>
      <c r="I93" s="177">
        <v>2.9999999999999997E-4</v>
      </c>
      <c r="J93" s="194"/>
      <c r="K93" s="194"/>
      <c r="L93" s="194">
        <v>6</v>
      </c>
      <c r="M93" s="194">
        <v>55</v>
      </c>
      <c r="N93" s="207">
        <f>9568*I93*SQRT(M93)/розрах!$I$133</f>
        <v>1.054732054888562E-2</v>
      </c>
      <c r="O93" s="194">
        <f>G93/1000*G93/1000*F93*0.785/розрах!$I$175</f>
        <v>1.3939783755081273E-4</v>
      </c>
      <c r="P93" s="196"/>
      <c r="Q93" s="196"/>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c r="CA93" s="175"/>
      <c r="CB93" s="175"/>
      <c r="CC93" s="175"/>
      <c r="CD93" s="175"/>
      <c r="CE93" s="175"/>
      <c r="CF93" s="175"/>
      <c r="CG93" s="175"/>
      <c r="CH93" s="175"/>
      <c r="CI93" s="175"/>
      <c r="CJ93" s="175"/>
      <c r="CK93" s="175"/>
      <c r="CL93" s="175"/>
      <c r="CM93" s="175"/>
      <c r="CN93" s="175"/>
      <c r="CO93" s="175"/>
      <c r="CP93" s="175"/>
      <c r="CQ93" s="175"/>
      <c r="CR93" s="175"/>
      <c r="CS93" s="175"/>
      <c r="CT93" s="175"/>
      <c r="CU93" s="175"/>
      <c r="CV93" s="175"/>
      <c r="CW93" s="175"/>
      <c r="CX93" s="175"/>
      <c r="CY93" s="175"/>
      <c r="CZ93" s="175"/>
      <c r="DA93" s="175"/>
      <c r="DB93" s="175"/>
      <c r="DC93" s="175"/>
      <c r="DD93" s="175"/>
      <c r="DE93" s="175"/>
      <c r="DF93" s="175"/>
      <c r="DG93" s="175"/>
      <c r="DH93" s="175"/>
      <c r="DI93" s="175"/>
      <c r="DJ93" s="175"/>
      <c r="DK93" s="175"/>
      <c r="DL93" s="175"/>
      <c r="DM93" s="175"/>
      <c r="DN93" s="175"/>
      <c r="DO93" s="175"/>
      <c r="DP93" s="175"/>
      <c r="DQ93" s="175"/>
      <c r="DR93" s="175"/>
      <c r="DS93" s="175"/>
      <c r="DT93" s="175"/>
      <c r="DU93" s="175"/>
      <c r="DV93" s="175"/>
      <c r="DW93" s="175"/>
      <c r="DX93" s="175"/>
      <c r="DY93" s="175"/>
      <c r="DZ93" s="175"/>
      <c r="EA93" s="175"/>
      <c r="EB93" s="175"/>
      <c r="EC93" s="175"/>
      <c r="ED93" s="175"/>
      <c r="EE93" s="175"/>
      <c r="EF93" s="175"/>
      <c r="EG93" s="175"/>
      <c r="EH93" s="175"/>
      <c r="EI93" s="175"/>
      <c r="EJ93" s="175"/>
      <c r="EK93" s="175"/>
      <c r="EL93" s="175"/>
      <c r="EM93" s="175"/>
      <c r="EN93" s="175"/>
      <c r="EO93" s="175"/>
      <c r="EP93" s="175"/>
      <c r="EQ93" s="175"/>
      <c r="ER93" s="175"/>
      <c r="ES93" s="175"/>
      <c r="ET93" s="175"/>
      <c r="EU93" s="175"/>
      <c r="EV93" s="175"/>
      <c r="EW93" s="175"/>
      <c r="EX93" s="175"/>
      <c r="EY93" s="175"/>
      <c r="EZ93" s="175"/>
      <c r="FA93" s="175"/>
      <c r="FB93" s="175"/>
      <c r="FC93" s="175"/>
      <c r="FD93" s="175"/>
      <c r="FE93" s="175"/>
      <c r="FF93" s="175"/>
      <c r="FG93" s="175"/>
      <c r="FH93" s="175"/>
      <c r="FI93" s="175"/>
      <c r="FJ93" s="175"/>
      <c r="FK93" s="175"/>
      <c r="FL93" s="175"/>
      <c r="FM93" s="175"/>
      <c r="FN93" s="175"/>
      <c r="FO93" s="175"/>
      <c r="FP93" s="175"/>
      <c r="FQ93" s="175"/>
      <c r="FR93" s="175"/>
      <c r="FS93" s="175"/>
      <c r="FT93" s="175"/>
      <c r="FU93" s="175"/>
      <c r="FV93" s="175"/>
      <c r="FW93" s="175"/>
      <c r="FX93" s="175"/>
      <c r="FY93" s="175"/>
      <c r="FZ93" s="175"/>
      <c r="GA93" s="175"/>
      <c r="GB93" s="175"/>
      <c r="GC93" s="175"/>
      <c r="GD93" s="175"/>
      <c r="GE93" s="175"/>
      <c r="GF93" s="175"/>
      <c r="GG93" s="175"/>
      <c r="GH93" s="175"/>
      <c r="GI93" s="175"/>
      <c r="GJ93" s="175"/>
      <c r="GK93" s="175"/>
      <c r="GL93" s="175"/>
      <c r="GM93" s="175"/>
      <c r="GN93" s="175"/>
      <c r="GO93" s="175"/>
      <c r="GP93" s="175"/>
      <c r="GQ93" s="175"/>
      <c r="GR93" s="175"/>
      <c r="GS93" s="175"/>
      <c r="GT93" s="175"/>
      <c r="GU93" s="175"/>
      <c r="GV93" s="175"/>
      <c r="GW93" s="175"/>
      <c r="GX93" s="175"/>
      <c r="GY93" s="175"/>
      <c r="GZ93" s="175"/>
      <c r="HA93" s="175"/>
      <c r="HB93" s="175"/>
      <c r="HC93" s="175"/>
      <c r="HD93" s="175"/>
      <c r="HE93" s="175"/>
      <c r="HF93" s="175"/>
      <c r="HG93" s="175"/>
      <c r="HH93" s="175"/>
      <c r="HI93" s="175"/>
      <c r="HJ93" s="175"/>
      <c r="HK93" s="175"/>
      <c r="HL93" s="175"/>
      <c r="HM93" s="175"/>
      <c r="HN93" s="175"/>
      <c r="HO93" s="175"/>
      <c r="HP93" s="175"/>
      <c r="HQ93" s="175"/>
      <c r="HR93" s="175"/>
      <c r="HS93" s="175"/>
      <c r="HT93" s="175"/>
      <c r="HU93" s="175"/>
      <c r="HV93" s="175"/>
      <c r="HW93" s="175"/>
      <c r="HX93" s="175"/>
      <c r="HY93" s="175"/>
      <c r="HZ93" s="175"/>
      <c r="IA93" s="175"/>
      <c r="IB93" s="175"/>
      <c r="IC93" s="175"/>
      <c r="ID93" s="175"/>
      <c r="IE93" s="175"/>
      <c r="IF93" s="175"/>
      <c r="IG93" s="175"/>
      <c r="IH93" s="175"/>
      <c r="II93" s="175"/>
      <c r="IJ93" s="175"/>
      <c r="IK93" s="175"/>
      <c r="IL93" s="175"/>
      <c r="IM93" s="175"/>
      <c r="IN93" s="175"/>
      <c r="IO93" s="175"/>
      <c r="IP93" s="175"/>
      <c r="IQ93" s="175"/>
      <c r="IR93" s="175"/>
      <c r="IS93" s="175"/>
      <c r="IT93" s="175"/>
      <c r="IU93" s="175"/>
    </row>
    <row r="94" spans="1:255" s="197" customFormat="1" ht="66" customHeight="1" x14ac:dyDescent="0.25">
      <c r="A94" s="173">
        <f t="shared" si="1"/>
        <v>89</v>
      </c>
      <c r="B94" s="200" t="s">
        <v>164</v>
      </c>
      <c r="C94" s="205" t="s">
        <v>1804</v>
      </c>
      <c r="D94" s="176" t="s">
        <v>1574</v>
      </c>
      <c r="E94" s="213" t="s">
        <v>1731</v>
      </c>
      <c r="F94" s="173">
        <v>38</v>
      </c>
      <c r="G94" s="173">
        <v>150</v>
      </c>
      <c r="H94" s="177" t="s">
        <v>1641</v>
      </c>
      <c r="I94" s="177">
        <v>3.2000000000000003E-4</v>
      </c>
      <c r="J94" s="194"/>
      <c r="K94" s="194"/>
      <c r="L94" s="194">
        <v>8</v>
      </c>
      <c r="M94" s="194">
        <v>40</v>
      </c>
      <c r="N94" s="207">
        <f>9568*I94*SQRT(M94)/розрах!$I$133</f>
        <v>9.5944375323932362E-3</v>
      </c>
      <c r="O94" s="224">
        <f>G94/1000*G94/1000*F94*0.785/розрах!$I$175</f>
        <v>3.3254785464828372E-4</v>
      </c>
      <c r="P94" s="196"/>
      <c r="Q94" s="196"/>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c r="DE94" s="175"/>
      <c r="DF94" s="175"/>
      <c r="DG94" s="175"/>
      <c r="DH94" s="175"/>
      <c r="DI94" s="175"/>
      <c r="DJ94" s="175"/>
      <c r="DK94" s="175"/>
      <c r="DL94" s="175"/>
      <c r="DM94" s="175"/>
      <c r="DN94" s="175"/>
      <c r="DO94" s="175"/>
      <c r="DP94" s="175"/>
      <c r="DQ94" s="175"/>
      <c r="DR94" s="175"/>
      <c r="DS94" s="175"/>
      <c r="DT94" s="175"/>
      <c r="DU94" s="175"/>
      <c r="DV94" s="175"/>
      <c r="DW94" s="175"/>
      <c r="DX94" s="175"/>
      <c r="DY94" s="175"/>
      <c r="DZ94" s="175"/>
      <c r="EA94" s="175"/>
      <c r="EB94" s="175"/>
      <c r="EC94" s="175"/>
      <c r="ED94" s="175"/>
      <c r="EE94" s="175"/>
      <c r="EF94" s="175"/>
      <c r="EG94" s="175"/>
      <c r="EH94" s="175"/>
      <c r="EI94" s="175"/>
      <c r="EJ94" s="175"/>
      <c r="EK94" s="175"/>
      <c r="EL94" s="175"/>
      <c r="EM94" s="175"/>
      <c r="EN94" s="175"/>
      <c r="EO94" s="175"/>
      <c r="EP94" s="175"/>
      <c r="EQ94" s="175"/>
      <c r="ER94" s="175"/>
      <c r="ES94" s="175"/>
      <c r="ET94" s="175"/>
      <c r="EU94" s="175"/>
      <c r="EV94" s="175"/>
      <c r="EW94" s="175"/>
      <c r="EX94" s="175"/>
      <c r="EY94" s="175"/>
      <c r="EZ94" s="175"/>
      <c r="FA94" s="175"/>
      <c r="FB94" s="175"/>
      <c r="FC94" s="175"/>
      <c r="FD94" s="175"/>
      <c r="FE94" s="175"/>
      <c r="FF94" s="175"/>
      <c r="FG94" s="175"/>
      <c r="FH94" s="175"/>
      <c r="FI94" s="175"/>
      <c r="FJ94" s="175"/>
      <c r="FK94" s="175"/>
      <c r="FL94" s="175"/>
      <c r="FM94" s="175"/>
      <c r="FN94" s="175"/>
      <c r="FO94" s="175"/>
      <c r="FP94" s="175"/>
      <c r="FQ94" s="175"/>
      <c r="FR94" s="175"/>
      <c r="FS94" s="175"/>
      <c r="FT94" s="175"/>
      <c r="FU94" s="175"/>
      <c r="FV94" s="175"/>
      <c r="FW94" s="175"/>
      <c r="FX94" s="175"/>
      <c r="FY94" s="175"/>
      <c r="FZ94" s="175"/>
      <c r="GA94" s="175"/>
      <c r="GB94" s="175"/>
      <c r="GC94" s="175"/>
      <c r="GD94" s="175"/>
      <c r="GE94" s="175"/>
      <c r="GF94" s="175"/>
      <c r="GG94" s="175"/>
      <c r="GH94" s="175"/>
      <c r="GI94" s="175"/>
      <c r="GJ94" s="175"/>
      <c r="GK94" s="175"/>
      <c r="GL94" s="175"/>
      <c r="GM94" s="175"/>
      <c r="GN94" s="175"/>
      <c r="GO94" s="175"/>
      <c r="GP94" s="175"/>
      <c r="GQ94" s="175"/>
      <c r="GR94" s="175"/>
      <c r="GS94" s="175"/>
      <c r="GT94" s="175"/>
      <c r="GU94" s="175"/>
      <c r="GV94" s="175"/>
      <c r="GW94" s="175"/>
      <c r="GX94" s="175"/>
      <c r="GY94" s="175"/>
      <c r="GZ94" s="175"/>
      <c r="HA94" s="175"/>
      <c r="HB94" s="175"/>
      <c r="HC94" s="175"/>
      <c r="HD94" s="175"/>
      <c r="HE94" s="175"/>
      <c r="HF94" s="175"/>
      <c r="HG94" s="175"/>
      <c r="HH94" s="175"/>
      <c r="HI94" s="175"/>
      <c r="HJ94" s="175"/>
      <c r="HK94" s="175"/>
      <c r="HL94" s="175"/>
      <c r="HM94" s="175"/>
      <c r="HN94" s="175"/>
      <c r="HO94" s="175"/>
      <c r="HP94" s="175"/>
      <c r="HQ94" s="175"/>
      <c r="HR94" s="175"/>
      <c r="HS94" s="175"/>
      <c r="HT94" s="175"/>
      <c r="HU94" s="175"/>
      <c r="HV94" s="175"/>
      <c r="HW94" s="175"/>
      <c r="HX94" s="175"/>
      <c r="HY94" s="175"/>
      <c r="HZ94" s="175"/>
      <c r="IA94" s="175"/>
      <c r="IB94" s="175"/>
      <c r="IC94" s="175"/>
      <c r="ID94" s="175"/>
      <c r="IE94" s="175"/>
      <c r="IF94" s="175"/>
      <c r="IG94" s="175"/>
      <c r="IH94" s="175"/>
      <c r="II94" s="175"/>
      <c r="IJ94" s="175"/>
      <c r="IK94" s="175"/>
      <c r="IL94" s="175"/>
      <c r="IM94" s="175"/>
      <c r="IN94" s="175"/>
      <c r="IO94" s="175"/>
      <c r="IP94" s="175"/>
      <c r="IQ94" s="175"/>
      <c r="IR94" s="175"/>
      <c r="IS94" s="175"/>
      <c r="IT94" s="175"/>
      <c r="IU94" s="175"/>
    </row>
    <row r="95" spans="1:255" s="197" customFormat="1" ht="66.75" customHeight="1" x14ac:dyDescent="0.25">
      <c r="A95" s="173">
        <f t="shared" si="1"/>
        <v>90</v>
      </c>
      <c r="B95" s="200" t="s">
        <v>164</v>
      </c>
      <c r="C95" s="205" t="s">
        <v>1802</v>
      </c>
      <c r="D95" s="176" t="s">
        <v>1575</v>
      </c>
      <c r="E95" s="213" t="s">
        <v>1732</v>
      </c>
      <c r="F95" s="173">
        <v>18</v>
      </c>
      <c r="G95" s="173">
        <v>50</v>
      </c>
      <c r="H95" s="177" t="s">
        <v>1509</v>
      </c>
      <c r="I95" s="177">
        <v>2.0000000000000001E-4</v>
      </c>
      <c r="J95" s="194"/>
      <c r="K95" s="194"/>
      <c r="L95" s="194">
        <v>0.5</v>
      </c>
      <c r="M95" s="194">
        <v>50</v>
      </c>
      <c r="N95" s="207">
        <f>9568*I95*SQRT(M95)/розрах!$I$133</f>
        <v>6.7043170400958186E-3</v>
      </c>
      <c r="O95" s="224">
        <f>G95/1000*G95/1000*F95*0.785/розрах!$I$175</f>
        <v>1.7502518665699144E-5</v>
      </c>
      <c r="P95" s="196"/>
      <c r="Q95" s="196"/>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175"/>
      <c r="EB95" s="175"/>
      <c r="EC95" s="175"/>
      <c r="ED95" s="175"/>
      <c r="EE95" s="175"/>
      <c r="EF95" s="175"/>
      <c r="EG95" s="175"/>
      <c r="EH95" s="175"/>
      <c r="EI95" s="175"/>
      <c r="EJ95" s="175"/>
      <c r="EK95" s="175"/>
      <c r="EL95" s="175"/>
      <c r="EM95" s="175"/>
      <c r="EN95" s="175"/>
      <c r="EO95" s="175"/>
      <c r="EP95" s="175"/>
      <c r="EQ95" s="175"/>
      <c r="ER95" s="175"/>
      <c r="ES95" s="175"/>
      <c r="ET95" s="175"/>
      <c r="EU95" s="175"/>
      <c r="EV95" s="175"/>
      <c r="EW95" s="175"/>
      <c r="EX95" s="175"/>
      <c r="EY95" s="175"/>
      <c r="EZ95" s="175"/>
      <c r="FA95" s="175"/>
      <c r="FB95" s="175"/>
      <c r="FC95" s="175"/>
      <c r="FD95" s="175"/>
      <c r="FE95" s="175"/>
      <c r="FF95" s="175"/>
      <c r="FG95" s="175"/>
      <c r="FH95" s="175"/>
      <c r="FI95" s="175"/>
      <c r="FJ95" s="175"/>
      <c r="FK95" s="175"/>
      <c r="FL95" s="175"/>
      <c r="FM95" s="175"/>
      <c r="FN95" s="175"/>
      <c r="FO95" s="175"/>
      <c r="FP95" s="175"/>
      <c r="FQ95" s="175"/>
      <c r="FR95" s="175"/>
      <c r="FS95" s="175"/>
      <c r="FT95" s="175"/>
      <c r="FU95" s="175"/>
      <c r="FV95" s="175"/>
      <c r="FW95" s="175"/>
      <c r="FX95" s="175"/>
      <c r="FY95" s="175"/>
      <c r="FZ95" s="175"/>
      <c r="GA95" s="175"/>
      <c r="GB95" s="175"/>
      <c r="GC95" s="175"/>
      <c r="GD95" s="175"/>
      <c r="GE95" s="175"/>
      <c r="GF95" s="175"/>
      <c r="GG95" s="175"/>
      <c r="GH95" s="175"/>
      <c r="GI95" s="175"/>
      <c r="GJ95" s="175"/>
      <c r="GK95" s="175"/>
      <c r="GL95" s="175"/>
      <c r="GM95" s="175"/>
      <c r="GN95" s="175"/>
      <c r="GO95" s="175"/>
      <c r="GP95" s="175"/>
      <c r="GQ95" s="175"/>
      <c r="GR95" s="175"/>
      <c r="GS95" s="175"/>
      <c r="GT95" s="175"/>
      <c r="GU95" s="175"/>
      <c r="GV95" s="175"/>
      <c r="GW95" s="175"/>
      <c r="GX95" s="175"/>
      <c r="GY95" s="175"/>
      <c r="GZ95" s="175"/>
      <c r="HA95" s="175"/>
      <c r="HB95" s="175"/>
      <c r="HC95" s="175"/>
      <c r="HD95" s="175"/>
      <c r="HE95" s="175"/>
      <c r="HF95" s="175"/>
      <c r="HG95" s="175"/>
      <c r="HH95" s="175"/>
      <c r="HI95" s="175"/>
      <c r="HJ95" s="175"/>
      <c r="HK95" s="175"/>
      <c r="HL95" s="175"/>
      <c r="HM95" s="175"/>
      <c r="HN95" s="175"/>
      <c r="HO95" s="175"/>
      <c r="HP95" s="175"/>
      <c r="HQ95" s="175"/>
      <c r="HR95" s="175"/>
      <c r="HS95" s="175"/>
      <c r="HT95" s="175"/>
      <c r="HU95" s="175"/>
      <c r="HV95" s="175"/>
      <c r="HW95" s="175"/>
      <c r="HX95" s="175"/>
      <c r="HY95" s="175"/>
      <c r="HZ95" s="175"/>
      <c r="IA95" s="175"/>
      <c r="IB95" s="175"/>
      <c r="IC95" s="175"/>
      <c r="ID95" s="175"/>
      <c r="IE95" s="175"/>
      <c r="IF95" s="175"/>
      <c r="IG95" s="175"/>
      <c r="IH95" s="175"/>
      <c r="II95" s="175"/>
      <c r="IJ95" s="175"/>
      <c r="IK95" s="175"/>
      <c r="IL95" s="175"/>
      <c r="IM95" s="175"/>
      <c r="IN95" s="175"/>
      <c r="IO95" s="175"/>
      <c r="IP95" s="175"/>
      <c r="IQ95" s="175"/>
      <c r="IR95" s="175"/>
      <c r="IS95" s="175"/>
      <c r="IT95" s="175"/>
      <c r="IU95" s="175"/>
    </row>
    <row r="96" spans="1:255" s="197" customFormat="1" ht="72.75" customHeight="1" x14ac:dyDescent="0.25">
      <c r="A96" s="173">
        <f t="shared" si="1"/>
        <v>91</v>
      </c>
      <c r="B96" s="200" t="s">
        <v>164</v>
      </c>
      <c r="C96" s="205" t="s">
        <v>1802</v>
      </c>
      <c r="D96" s="176" t="s">
        <v>1576</v>
      </c>
      <c r="E96" s="213" t="s">
        <v>1733</v>
      </c>
      <c r="F96" s="173">
        <v>49</v>
      </c>
      <c r="G96" s="173">
        <v>200</v>
      </c>
      <c r="H96" s="177" t="s">
        <v>1509</v>
      </c>
      <c r="I96" s="177">
        <v>4.4999999999999999E-4</v>
      </c>
      <c r="J96" s="194"/>
      <c r="K96" s="194"/>
      <c r="L96" s="194">
        <v>6</v>
      </c>
      <c r="M96" s="194">
        <v>50</v>
      </c>
      <c r="N96" s="207">
        <f>9568*I96*SQRT(M96)/розрах!$I$133</f>
        <v>1.508471334021559E-2</v>
      </c>
      <c r="O96" s="224">
        <f>G96/1000*G96/1000*F96*0.785/розрах!$I$175</f>
        <v>7.623319241060072E-4</v>
      </c>
      <c r="P96" s="196"/>
      <c r="Q96" s="196"/>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c r="DE96" s="175"/>
      <c r="DF96" s="175"/>
      <c r="DG96" s="175"/>
      <c r="DH96" s="175"/>
      <c r="DI96" s="175"/>
      <c r="DJ96" s="175"/>
      <c r="DK96" s="175"/>
      <c r="DL96" s="175"/>
      <c r="DM96" s="175"/>
      <c r="DN96" s="175"/>
      <c r="DO96" s="175"/>
      <c r="DP96" s="175"/>
      <c r="DQ96" s="175"/>
      <c r="DR96" s="175"/>
      <c r="DS96" s="175"/>
      <c r="DT96" s="175"/>
      <c r="DU96" s="175"/>
      <c r="DV96" s="175"/>
      <c r="DW96" s="175"/>
      <c r="DX96" s="175"/>
      <c r="DY96" s="175"/>
      <c r="DZ96" s="175"/>
      <c r="EA96" s="175"/>
      <c r="EB96" s="175"/>
      <c r="EC96" s="175"/>
      <c r="ED96" s="175"/>
      <c r="EE96" s="175"/>
      <c r="EF96" s="175"/>
      <c r="EG96" s="175"/>
      <c r="EH96" s="175"/>
      <c r="EI96" s="175"/>
      <c r="EJ96" s="175"/>
      <c r="EK96" s="175"/>
      <c r="EL96" s="175"/>
      <c r="EM96" s="175"/>
      <c r="EN96" s="175"/>
      <c r="EO96" s="175"/>
      <c r="EP96" s="175"/>
      <c r="EQ96" s="175"/>
      <c r="ER96" s="175"/>
      <c r="ES96" s="175"/>
      <c r="ET96" s="175"/>
      <c r="EU96" s="175"/>
      <c r="EV96" s="175"/>
      <c r="EW96" s="175"/>
      <c r="EX96" s="175"/>
      <c r="EY96" s="175"/>
      <c r="EZ96" s="175"/>
      <c r="FA96" s="175"/>
      <c r="FB96" s="175"/>
      <c r="FC96" s="175"/>
      <c r="FD96" s="175"/>
      <c r="FE96" s="175"/>
      <c r="FF96" s="175"/>
      <c r="FG96" s="175"/>
      <c r="FH96" s="175"/>
      <c r="FI96" s="175"/>
      <c r="FJ96" s="175"/>
      <c r="FK96" s="175"/>
      <c r="FL96" s="175"/>
      <c r="FM96" s="175"/>
      <c r="FN96" s="175"/>
      <c r="FO96" s="175"/>
      <c r="FP96" s="175"/>
      <c r="FQ96" s="175"/>
      <c r="FR96" s="175"/>
      <c r="FS96" s="175"/>
      <c r="FT96" s="175"/>
      <c r="FU96" s="175"/>
      <c r="FV96" s="175"/>
      <c r="FW96" s="175"/>
      <c r="FX96" s="175"/>
      <c r="FY96" s="175"/>
      <c r="FZ96" s="175"/>
      <c r="GA96" s="175"/>
      <c r="GB96" s="175"/>
      <c r="GC96" s="175"/>
      <c r="GD96" s="175"/>
      <c r="GE96" s="175"/>
      <c r="GF96" s="175"/>
      <c r="GG96" s="175"/>
      <c r="GH96" s="175"/>
      <c r="GI96" s="175"/>
      <c r="GJ96" s="175"/>
      <c r="GK96" s="175"/>
      <c r="GL96" s="175"/>
      <c r="GM96" s="175"/>
      <c r="GN96" s="175"/>
      <c r="GO96" s="175"/>
      <c r="GP96" s="175"/>
      <c r="GQ96" s="175"/>
      <c r="GR96" s="175"/>
      <c r="GS96" s="175"/>
      <c r="GT96" s="175"/>
      <c r="GU96" s="175"/>
      <c r="GV96" s="175"/>
      <c r="GW96" s="175"/>
      <c r="GX96" s="175"/>
      <c r="GY96" s="175"/>
      <c r="GZ96" s="175"/>
      <c r="HA96" s="175"/>
      <c r="HB96" s="175"/>
      <c r="HC96" s="175"/>
      <c r="HD96" s="175"/>
      <c r="HE96" s="175"/>
      <c r="HF96" s="175"/>
      <c r="HG96" s="175"/>
      <c r="HH96" s="175"/>
      <c r="HI96" s="175"/>
      <c r="HJ96" s="175"/>
      <c r="HK96" s="175"/>
      <c r="HL96" s="175"/>
      <c r="HM96" s="175"/>
      <c r="HN96" s="175"/>
      <c r="HO96" s="175"/>
      <c r="HP96" s="175"/>
      <c r="HQ96" s="175"/>
      <c r="HR96" s="175"/>
      <c r="HS96" s="175"/>
      <c r="HT96" s="175"/>
      <c r="HU96" s="175"/>
      <c r="HV96" s="175"/>
      <c r="HW96" s="175"/>
      <c r="HX96" s="175"/>
      <c r="HY96" s="175"/>
      <c r="HZ96" s="175"/>
      <c r="IA96" s="175"/>
      <c r="IB96" s="175"/>
      <c r="IC96" s="175"/>
      <c r="ID96" s="175"/>
      <c r="IE96" s="175"/>
      <c r="IF96" s="175"/>
      <c r="IG96" s="175"/>
      <c r="IH96" s="175"/>
      <c r="II96" s="175"/>
      <c r="IJ96" s="175"/>
      <c r="IK96" s="175"/>
      <c r="IL96" s="175"/>
      <c r="IM96" s="175"/>
      <c r="IN96" s="175"/>
      <c r="IO96" s="175"/>
      <c r="IP96" s="175"/>
      <c r="IQ96" s="175"/>
      <c r="IR96" s="175"/>
      <c r="IS96" s="175"/>
      <c r="IT96" s="175"/>
      <c r="IU96" s="175"/>
    </row>
    <row r="97" spans="1:255" s="197" customFormat="1" ht="66.75" customHeight="1" x14ac:dyDescent="0.25">
      <c r="A97" s="173">
        <f t="shared" si="1"/>
        <v>92</v>
      </c>
      <c r="B97" s="173" t="s">
        <v>164</v>
      </c>
      <c r="C97" s="173" t="s">
        <v>1808</v>
      </c>
      <c r="D97" s="176" t="s">
        <v>1577</v>
      </c>
      <c r="E97" s="213" t="s">
        <v>1734</v>
      </c>
      <c r="F97" s="173">
        <v>48</v>
      </c>
      <c r="G97" s="178">
        <v>32</v>
      </c>
      <c r="H97" s="177" t="s">
        <v>1641</v>
      </c>
      <c r="I97" s="177">
        <v>2.0000000000000001E-4</v>
      </c>
      <c r="J97" s="194"/>
      <c r="K97" s="194"/>
      <c r="L97" s="194">
        <v>0.5</v>
      </c>
      <c r="M97" s="194">
        <v>36</v>
      </c>
      <c r="N97" s="207">
        <f>9568*I97*SQRT(M97)/розрах!$I$133</f>
        <v>5.6888016507315306E-3</v>
      </c>
      <c r="O97" s="224">
        <f>G97/1000*G97/1000*F97*0.785/розрах!$I$175</f>
        <v>1.9117417721254322E-5</v>
      </c>
      <c r="P97" s="196"/>
      <c r="Q97" s="196"/>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c r="DE97" s="175"/>
      <c r="DF97" s="175"/>
      <c r="DG97" s="175"/>
      <c r="DH97" s="175"/>
      <c r="DI97" s="175"/>
      <c r="DJ97" s="175"/>
      <c r="DK97" s="175"/>
      <c r="DL97" s="175"/>
      <c r="DM97" s="175"/>
      <c r="DN97" s="175"/>
      <c r="DO97" s="175"/>
      <c r="DP97" s="175"/>
      <c r="DQ97" s="175"/>
      <c r="DR97" s="175"/>
      <c r="DS97" s="175"/>
      <c r="DT97" s="175"/>
      <c r="DU97" s="175"/>
      <c r="DV97" s="175"/>
      <c r="DW97" s="175"/>
      <c r="DX97" s="175"/>
      <c r="DY97" s="175"/>
      <c r="DZ97" s="175"/>
      <c r="EA97" s="175"/>
      <c r="EB97" s="175"/>
      <c r="EC97" s="175"/>
      <c r="ED97" s="175"/>
      <c r="EE97" s="175"/>
      <c r="EF97" s="175"/>
      <c r="EG97" s="175"/>
      <c r="EH97" s="175"/>
      <c r="EI97" s="175"/>
      <c r="EJ97" s="175"/>
      <c r="EK97" s="175"/>
      <c r="EL97" s="175"/>
      <c r="EM97" s="175"/>
      <c r="EN97" s="175"/>
      <c r="EO97" s="175"/>
      <c r="EP97" s="175"/>
      <c r="EQ97" s="175"/>
      <c r="ER97" s="175"/>
      <c r="ES97" s="175"/>
      <c r="ET97" s="175"/>
      <c r="EU97" s="175"/>
      <c r="EV97" s="175"/>
      <c r="EW97" s="175"/>
      <c r="EX97" s="175"/>
      <c r="EY97" s="175"/>
      <c r="EZ97" s="175"/>
      <c r="FA97" s="175"/>
      <c r="FB97" s="175"/>
      <c r="FC97" s="175"/>
      <c r="FD97" s="175"/>
      <c r="FE97" s="175"/>
      <c r="FF97" s="175"/>
      <c r="FG97" s="175"/>
      <c r="FH97" s="175"/>
      <c r="FI97" s="175"/>
      <c r="FJ97" s="175"/>
      <c r="FK97" s="175"/>
      <c r="FL97" s="175"/>
      <c r="FM97" s="175"/>
      <c r="FN97" s="175"/>
      <c r="FO97" s="175"/>
      <c r="FP97" s="175"/>
      <c r="FQ97" s="175"/>
      <c r="FR97" s="175"/>
      <c r="FS97" s="175"/>
      <c r="FT97" s="175"/>
      <c r="FU97" s="175"/>
      <c r="FV97" s="175"/>
      <c r="FW97" s="175"/>
      <c r="FX97" s="175"/>
      <c r="FY97" s="175"/>
      <c r="FZ97" s="175"/>
      <c r="GA97" s="175"/>
      <c r="GB97" s="175"/>
      <c r="GC97" s="175"/>
      <c r="GD97" s="175"/>
      <c r="GE97" s="175"/>
      <c r="GF97" s="175"/>
      <c r="GG97" s="175"/>
      <c r="GH97" s="175"/>
      <c r="GI97" s="175"/>
      <c r="GJ97" s="175"/>
      <c r="GK97" s="175"/>
      <c r="GL97" s="175"/>
      <c r="GM97" s="175"/>
      <c r="GN97" s="175"/>
      <c r="GO97" s="175"/>
      <c r="GP97" s="175"/>
      <c r="GQ97" s="175"/>
      <c r="GR97" s="175"/>
      <c r="GS97" s="175"/>
      <c r="GT97" s="175"/>
      <c r="GU97" s="175"/>
      <c r="GV97" s="175"/>
      <c r="GW97" s="175"/>
      <c r="GX97" s="175"/>
      <c r="GY97" s="175"/>
      <c r="GZ97" s="175"/>
      <c r="HA97" s="175"/>
      <c r="HB97" s="175"/>
      <c r="HC97" s="175"/>
      <c r="HD97" s="175"/>
      <c r="HE97" s="175"/>
      <c r="HF97" s="175"/>
      <c r="HG97" s="175"/>
      <c r="HH97" s="175"/>
      <c r="HI97" s="175"/>
      <c r="HJ97" s="175"/>
      <c r="HK97" s="175"/>
      <c r="HL97" s="175"/>
      <c r="HM97" s="175"/>
      <c r="HN97" s="175"/>
      <c r="HO97" s="175"/>
      <c r="HP97" s="175"/>
      <c r="HQ97" s="175"/>
      <c r="HR97" s="175"/>
      <c r="HS97" s="175"/>
      <c r="HT97" s="175"/>
      <c r="HU97" s="175"/>
      <c r="HV97" s="175"/>
      <c r="HW97" s="175"/>
      <c r="HX97" s="175"/>
      <c r="HY97" s="175"/>
      <c r="HZ97" s="175"/>
      <c r="IA97" s="175"/>
      <c r="IB97" s="175"/>
      <c r="IC97" s="175"/>
      <c r="ID97" s="175"/>
      <c r="IE97" s="175"/>
      <c r="IF97" s="175"/>
      <c r="IG97" s="175"/>
      <c r="IH97" s="175"/>
      <c r="II97" s="175"/>
      <c r="IJ97" s="175"/>
      <c r="IK97" s="175"/>
      <c r="IL97" s="175"/>
      <c r="IM97" s="175"/>
      <c r="IN97" s="175"/>
      <c r="IO97" s="175"/>
      <c r="IP97" s="175"/>
      <c r="IQ97" s="175"/>
      <c r="IR97" s="175"/>
      <c r="IS97" s="175"/>
      <c r="IT97" s="175"/>
      <c r="IU97" s="175"/>
    </row>
    <row r="98" spans="1:255" s="197" customFormat="1" ht="61.5" customHeight="1" x14ac:dyDescent="0.25">
      <c r="A98" s="173">
        <f t="shared" si="1"/>
        <v>93</v>
      </c>
      <c r="B98" s="173" t="s">
        <v>164</v>
      </c>
      <c r="C98" s="173" t="s">
        <v>1808</v>
      </c>
      <c r="D98" s="176" t="s">
        <v>1578</v>
      </c>
      <c r="E98" s="213" t="s">
        <v>1735</v>
      </c>
      <c r="F98" s="173">
        <v>60</v>
      </c>
      <c r="G98" s="173">
        <v>50</v>
      </c>
      <c r="H98" s="177" t="s">
        <v>1509</v>
      </c>
      <c r="I98" s="177">
        <v>2.0000000000000001E-4</v>
      </c>
      <c r="J98" s="194"/>
      <c r="K98" s="194"/>
      <c r="L98" s="194">
        <v>0.5</v>
      </c>
      <c r="M98" s="194">
        <v>61</v>
      </c>
      <c r="N98" s="207">
        <f>9568*I98*SQRT(M98)/розрах!$I$133</f>
        <v>7.4051602081538622E-3</v>
      </c>
      <c r="O98" s="224">
        <f>G98/1000*G98/1000*F98*0.785/розрах!$I$175</f>
        <v>5.834172888566381E-5</v>
      </c>
      <c r="P98" s="196"/>
      <c r="Q98" s="196"/>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c r="CM98" s="175"/>
      <c r="CN98" s="175"/>
      <c r="CO98" s="175"/>
      <c r="CP98" s="175"/>
      <c r="CQ98" s="175"/>
      <c r="CR98" s="175"/>
      <c r="CS98" s="175"/>
      <c r="CT98" s="175"/>
      <c r="CU98" s="175"/>
      <c r="CV98" s="175"/>
      <c r="CW98" s="175"/>
      <c r="CX98" s="175"/>
      <c r="CY98" s="175"/>
      <c r="CZ98" s="175"/>
      <c r="DA98" s="175"/>
      <c r="DB98" s="175"/>
      <c r="DC98" s="175"/>
      <c r="DD98" s="175"/>
      <c r="DE98" s="175"/>
      <c r="DF98" s="175"/>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5"/>
      <c r="ET98" s="175"/>
      <c r="EU98" s="175"/>
      <c r="EV98" s="175"/>
      <c r="EW98" s="175"/>
      <c r="EX98" s="175"/>
      <c r="EY98" s="175"/>
      <c r="EZ98" s="175"/>
      <c r="FA98" s="175"/>
      <c r="FB98" s="175"/>
      <c r="FC98" s="175"/>
      <c r="FD98" s="175"/>
      <c r="FE98" s="175"/>
      <c r="FF98" s="175"/>
      <c r="FG98" s="175"/>
      <c r="FH98" s="175"/>
      <c r="FI98" s="175"/>
      <c r="FJ98" s="175"/>
      <c r="FK98" s="175"/>
      <c r="FL98" s="175"/>
      <c r="FM98" s="175"/>
      <c r="FN98" s="175"/>
      <c r="FO98" s="175"/>
      <c r="FP98" s="175"/>
      <c r="FQ98" s="175"/>
      <c r="FR98" s="175"/>
      <c r="FS98" s="175"/>
      <c r="FT98" s="175"/>
      <c r="FU98" s="175"/>
      <c r="FV98" s="175"/>
      <c r="FW98" s="175"/>
      <c r="FX98" s="175"/>
      <c r="FY98" s="175"/>
      <c r="FZ98" s="175"/>
      <c r="GA98" s="175"/>
      <c r="GB98" s="175"/>
      <c r="GC98" s="175"/>
      <c r="GD98" s="175"/>
      <c r="GE98" s="175"/>
      <c r="GF98" s="175"/>
      <c r="GG98" s="175"/>
      <c r="GH98" s="175"/>
      <c r="GI98" s="175"/>
      <c r="GJ98" s="175"/>
      <c r="GK98" s="175"/>
      <c r="GL98" s="175"/>
      <c r="GM98" s="175"/>
      <c r="GN98" s="175"/>
      <c r="GO98" s="175"/>
      <c r="GP98" s="175"/>
      <c r="GQ98" s="175"/>
      <c r="GR98" s="175"/>
      <c r="GS98" s="175"/>
      <c r="GT98" s="175"/>
      <c r="GU98" s="175"/>
      <c r="GV98" s="175"/>
      <c r="GW98" s="175"/>
      <c r="GX98" s="175"/>
      <c r="GY98" s="175"/>
      <c r="GZ98" s="175"/>
      <c r="HA98" s="175"/>
      <c r="HB98" s="175"/>
      <c r="HC98" s="175"/>
      <c r="HD98" s="175"/>
      <c r="HE98" s="175"/>
      <c r="HF98" s="175"/>
      <c r="HG98" s="175"/>
      <c r="HH98" s="175"/>
      <c r="HI98" s="175"/>
      <c r="HJ98" s="175"/>
      <c r="HK98" s="175"/>
      <c r="HL98" s="175"/>
      <c r="HM98" s="175"/>
      <c r="HN98" s="175"/>
      <c r="HO98" s="175"/>
      <c r="HP98" s="175"/>
      <c r="HQ98" s="175"/>
      <c r="HR98" s="175"/>
      <c r="HS98" s="175"/>
      <c r="HT98" s="175"/>
      <c r="HU98" s="175"/>
      <c r="HV98" s="175"/>
      <c r="HW98" s="175"/>
      <c r="HX98" s="175"/>
      <c r="HY98" s="175"/>
      <c r="HZ98" s="175"/>
      <c r="IA98" s="175"/>
      <c r="IB98" s="175"/>
      <c r="IC98" s="175"/>
      <c r="ID98" s="175"/>
      <c r="IE98" s="175"/>
      <c r="IF98" s="175"/>
      <c r="IG98" s="175"/>
      <c r="IH98" s="175"/>
      <c r="II98" s="175"/>
      <c r="IJ98" s="175"/>
      <c r="IK98" s="175"/>
      <c r="IL98" s="175"/>
      <c r="IM98" s="175"/>
      <c r="IN98" s="175"/>
      <c r="IO98" s="175"/>
      <c r="IP98" s="175"/>
      <c r="IQ98" s="175"/>
      <c r="IR98" s="175"/>
      <c r="IS98" s="175"/>
      <c r="IT98" s="175"/>
      <c r="IU98" s="175"/>
    </row>
    <row r="99" spans="1:255" s="197" customFormat="1" ht="70.5" customHeight="1" x14ac:dyDescent="0.25">
      <c r="A99" s="173">
        <f t="shared" si="1"/>
        <v>94</v>
      </c>
      <c r="B99" s="173" t="s">
        <v>164</v>
      </c>
      <c r="C99" s="173" t="s">
        <v>1808</v>
      </c>
      <c r="D99" s="176" t="s">
        <v>1579</v>
      </c>
      <c r="E99" s="213" t="s">
        <v>1736</v>
      </c>
      <c r="F99" s="173">
        <v>68</v>
      </c>
      <c r="G99" s="173">
        <v>100</v>
      </c>
      <c r="H99" s="177" t="s">
        <v>1509</v>
      </c>
      <c r="I99" s="177">
        <v>2.0000000000000001E-4</v>
      </c>
      <c r="J99" s="194"/>
      <c r="K99" s="194"/>
      <c r="L99" s="194">
        <v>0.5</v>
      </c>
      <c r="M99" s="194">
        <v>61</v>
      </c>
      <c r="N99" s="207">
        <f>9568*I99*SQRT(M99)/розрах!$I$133</f>
        <v>7.4051602081538622E-3</v>
      </c>
      <c r="O99" s="224">
        <f>G99/1000*G99/1000*F99*0.785/розрах!$I$175</f>
        <v>2.6448250428167601E-4</v>
      </c>
      <c r="P99" s="196"/>
      <c r="Q99" s="196"/>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175"/>
      <c r="DB99" s="175"/>
      <c r="DC99" s="175"/>
      <c r="DD99" s="175"/>
      <c r="DE99" s="175"/>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5"/>
      <c r="ET99" s="175"/>
      <c r="EU99" s="175"/>
      <c r="EV99" s="175"/>
      <c r="EW99" s="175"/>
      <c r="EX99" s="175"/>
      <c r="EY99" s="175"/>
      <c r="EZ99" s="175"/>
      <c r="FA99" s="175"/>
      <c r="FB99" s="175"/>
      <c r="FC99" s="175"/>
      <c r="FD99" s="175"/>
      <c r="FE99" s="175"/>
      <c r="FF99" s="175"/>
      <c r="FG99" s="175"/>
      <c r="FH99" s="175"/>
      <c r="FI99" s="175"/>
      <c r="FJ99" s="175"/>
      <c r="FK99" s="175"/>
      <c r="FL99" s="175"/>
      <c r="FM99" s="175"/>
      <c r="FN99" s="175"/>
      <c r="FO99" s="175"/>
      <c r="FP99" s="175"/>
      <c r="FQ99" s="175"/>
      <c r="FR99" s="175"/>
      <c r="FS99" s="175"/>
      <c r="FT99" s="175"/>
      <c r="FU99" s="175"/>
      <c r="FV99" s="175"/>
      <c r="FW99" s="175"/>
      <c r="FX99" s="175"/>
      <c r="FY99" s="175"/>
      <c r="FZ99" s="175"/>
      <c r="GA99" s="175"/>
      <c r="GB99" s="175"/>
      <c r="GC99" s="175"/>
      <c r="GD99" s="175"/>
      <c r="GE99" s="175"/>
      <c r="GF99" s="175"/>
      <c r="GG99" s="175"/>
      <c r="GH99" s="175"/>
      <c r="GI99" s="175"/>
      <c r="GJ99" s="175"/>
      <c r="GK99" s="175"/>
      <c r="GL99" s="175"/>
      <c r="GM99" s="175"/>
      <c r="GN99" s="175"/>
      <c r="GO99" s="175"/>
      <c r="GP99" s="175"/>
      <c r="GQ99" s="175"/>
      <c r="GR99" s="175"/>
      <c r="GS99" s="175"/>
      <c r="GT99" s="175"/>
      <c r="GU99" s="175"/>
      <c r="GV99" s="175"/>
      <c r="GW99" s="175"/>
      <c r="GX99" s="175"/>
      <c r="GY99" s="175"/>
      <c r="GZ99" s="175"/>
      <c r="HA99" s="175"/>
      <c r="HB99" s="175"/>
      <c r="HC99" s="175"/>
      <c r="HD99" s="175"/>
      <c r="HE99" s="175"/>
      <c r="HF99" s="175"/>
      <c r="HG99" s="175"/>
      <c r="HH99" s="175"/>
      <c r="HI99" s="175"/>
      <c r="HJ99" s="175"/>
      <c r="HK99" s="175"/>
      <c r="HL99" s="175"/>
      <c r="HM99" s="175"/>
      <c r="HN99" s="175"/>
      <c r="HO99" s="175"/>
      <c r="HP99" s="175"/>
      <c r="HQ99" s="175"/>
      <c r="HR99" s="175"/>
      <c r="HS99" s="175"/>
      <c r="HT99" s="175"/>
      <c r="HU99" s="175"/>
      <c r="HV99" s="175"/>
      <c r="HW99" s="175"/>
      <c r="HX99" s="175"/>
      <c r="HY99" s="175"/>
      <c r="HZ99" s="175"/>
      <c r="IA99" s="175"/>
      <c r="IB99" s="175"/>
      <c r="IC99" s="175"/>
      <c r="ID99" s="175"/>
      <c r="IE99" s="175"/>
      <c r="IF99" s="175"/>
      <c r="IG99" s="175"/>
      <c r="IH99" s="175"/>
      <c r="II99" s="175"/>
      <c r="IJ99" s="175"/>
      <c r="IK99" s="175"/>
      <c r="IL99" s="175"/>
      <c r="IM99" s="175"/>
      <c r="IN99" s="175"/>
      <c r="IO99" s="175"/>
      <c r="IP99" s="175"/>
      <c r="IQ99" s="175"/>
      <c r="IR99" s="175"/>
      <c r="IS99" s="175"/>
      <c r="IT99" s="175"/>
      <c r="IU99" s="175"/>
    </row>
    <row r="100" spans="1:255" s="196" customFormat="1" ht="47.25" x14ac:dyDescent="0.25">
      <c r="A100" s="173">
        <f t="shared" si="1"/>
        <v>95</v>
      </c>
      <c r="B100" s="221" t="s">
        <v>105</v>
      </c>
      <c r="C100" s="173" t="s">
        <v>1580</v>
      </c>
      <c r="D100" s="176" t="s">
        <v>1581</v>
      </c>
      <c r="E100" s="210" t="s">
        <v>1582</v>
      </c>
      <c r="F100" s="177">
        <v>60</v>
      </c>
      <c r="G100" s="173">
        <v>50</v>
      </c>
      <c r="H100" s="177" t="s">
        <v>1509</v>
      </c>
      <c r="I100" s="177">
        <v>2.0000000000000001E-4</v>
      </c>
      <c r="J100" s="194"/>
      <c r="K100" s="194"/>
      <c r="L100" s="194">
        <v>0.5</v>
      </c>
      <c r="M100" s="194">
        <v>68</v>
      </c>
      <c r="N100" s="207">
        <f>9568*I100*SQRT(M100)/розрах!$I$133</f>
        <v>7.818510029718069E-3</v>
      </c>
      <c r="O100" s="224">
        <f>G100/1000*G100/1000*F100*0.785/розрах!$I$175</f>
        <v>5.834172888566381E-5</v>
      </c>
    </row>
    <row r="101" spans="1:255" s="196" customFormat="1" ht="63" x14ac:dyDescent="0.25">
      <c r="A101" s="173">
        <f>A100+1</f>
        <v>96</v>
      </c>
      <c r="B101" s="173" t="s">
        <v>105</v>
      </c>
      <c r="C101" s="173" t="s">
        <v>1583</v>
      </c>
      <c r="D101" s="176" t="s">
        <v>1584</v>
      </c>
      <c r="E101" s="210" t="s">
        <v>1737</v>
      </c>
      <c r="F101" s="177">
        <v>61</v>
      </c>
      <c r="G101" s="173">
        <v>50</v>
      </c>
      <c r="H101" s="177" t="s">
        <v>1641</v>
      </c>
      <c r="I101" s="177">
        <v>2.0000000000000001E-4</v>
      </c>
      <c r="J101" s="194"/>
      <c r="K101" s="194"/>
      <c r="L101" s="194">
        <v>0.5</v>
      </c>
      <c r="M101" s="194">
        <v>30</v>
      </c>
      <c r="N101" s="207">
        <f>9568*I101*SQRT(M101)/розрах!$I$133</f>
        <v>5.1931416487971411E-3</v>
      </c>
      <c r="O101" s="224">
        <f>G101/1000*G101/1000*F101*0.785/розрах!$I$175</f>
        <v>5.9314091033758211E-5</v>
      </c>
    </row>
    <row r="102" spans="1:255" s="196" customFormat="1" ht="76.5" customHeight="1" x14ac:dyDescent="0.25">
      <c r="A102" s="173">
        <f>A101+1</f>
        <v>97</v>
      </c>
      <c r="B102" s="228" t="s">
        <v>105</v>
      </c>
      <c r="C102" s="173" t="s">
        <v>1580</v>
      </c>
      <c r="D102" s="208" t="s">
        <v>1777</v>
      </c>
      <c r="E102" s="210" t="s">
        <v>1776</v>
      </c>
      <c r="F102" s="177">
        <v>114</v>
      </c>
      <c r="G102" s="173">
        <v>125</v>
      </c>
      <c r="H102" s="177" t="s">
        <v>1509</v>
      </c>
      <c r="I102" s="200">
        <v>2.3000000000000001E-4</v>
      </c>
      <c r="J102" s="194"/>
      <c r="K102" s="194"/>
      <c r="L102" s="194">
        <v>6</v>
      </c>
      <c r="M102" s="194">
        <v>68</v>
      </c>
      <c r="N102" s="207">
        <f>9568*I102*SQRT(M102)/розрах!$I$133</f>
        <v>8.9912865341757776E-3</v>
      </c>
      <c r="O102" s="224">
        <f>G102/1000*G102/1000*F102*0.785/розрах!$I$175</f>
        <v>6.9280803051725794E-4</v>
      </c>
    </row>
    <row r="103" spans="1:255" s="196" customFormat="1" ht="47.25" x14ac:dyDescent="0.25">
      <c r="A103" s="173">
        <f>A102+1</f>
        <v>98</v>
      </c>
      <c r="B103" s="173" t="s">
        <v>105</v>
      </c>
      <c r="C103" s="173" t="s">
        <v>1585</v>
      </c>
      <c r="D103" s="176" t="s">
        <v>1586</v>
      </c>
      <c r="E103" s="210" t="s">
        <v>1738</v>
      </c>
      <c r="F103" s="177">
        <v>45</v>
      </c>
      <c r="G103" s="173">
        <v>50</v>
      </c>
      <c r="H103" s="177" t="s">
        <v>1641</v>
      </c>
      <c r="I103" s="177">
        <v>2.0000000000000001E-4</v>
      </c>
      <c r="J103" s="194"/>
      <c r="K103" s="194"/>
      <c r="L103" s="194">
        <v>0.5</v>
      </c>
      <c r="M103" s="194">
        <v>55</v>
      </c>
      <c r="N103" s="207">
        <f>9568*I103*SQRT(M103)/розрах!$I$133</f>
        <v>7.0315470325904147E-3</v>
      </c>
      <c r="O103" s="224">
        <f>G103/1000*G103/1000*F103*0.785/розрах!$I$175</f>
        <v>4.3756296664247861E-5</v>
      </c>
    </row>
    <row r="104" spans="1:255" s="196" customFormat="1" ht="47.25" x14ac:dyDescent="0.25">
      <c r="A104" s="173">
        <f t="shared" si="1"/>
        <v>99</v>
      </c>
      <c r="B104" s="173" t="s">
        <v>105</v>
      </c>
      <c r="C104" s="173" t="s">
        <v>1585</v>
      </c>
      <c r="D104" s="176" t="s">
        <v>1586</v>
      </c>
      <c r="E104" s="210" t="s">
        <v>1738</v>
      </c>
      <c r="F104" s="177">
        <v>45</v>
      </c>
      <c r="G104" s="178">
        <v>32</v>
      </c>
      <c r="H104" s="177" t="s">
        <v>1641</v>
      </c>
      <c r="I104" s="177">
        <v>2.0000000000000001E-4</v>
      </c>
      <c r="J104" s="194"/>
      <c r="K104" s="194"/>
      <c r="L104" s="194">
        <v>0.5</v>
      </c>
      <c r="M104" s="194">
        <v>55</v>
      </c>
      <c r="N104" s="207">
        <f>9568*I104*SQRT(M104)/розрах!$I$133</f>
        <v>7.0315470325904147E-3</v>
      </c>
      <c r="O104" s="224">
        <f>G104/1000*G104/1000*F104*0.785/розрах!$I$175</f>
        <v>1.7922579113675924E-5</v>
      </c>
    </row>
    <row r="105" spans="1:255" s="196" customFormat="1" ht="47.25" x14ac:dyDescent="0.25">
      <c r="A105" s="173">
        <f t="shared" si="1"/>
        <v>100</v>
      </c>
      <c r="B105" s="173" t="s">
        <v>105</v>
      </c>
      <c r="C105" s="173" t="s">
        <v>1585</v>
      </c>
      <c r="D105" s="176" t="s">
        <v>1587</v>
      </c>
      <c r="E105" s="210" t="s">
        <v>1739</v>
      </c>
      <c r="F105" s="177">
        <v>110</v>
      </c>
      <c r="G105" s="173">
        <v>100</v>
      </c>
      <c r="H105" s="177" t="s">
        <v>1641</v>
      </c>
      <c r="I105" s="177">
        <v>2.5000000000000001E-4</v>
      </c>
      <c r="J105" s="194"/>
      <c r="K105" s="194"/>
      <c r="L105" s="194">
        <v>10</v>
      </c>
      <c r="M105" s="194">
        <v>55</v>
      </c>
      <c r="N105" s="207">
        <f>9568*I105*SQRT(M105)/розрах!$I$133</f>
        <v>8.7894337907380177E-3</v>
      </c>
      <c r="O105" s="224">
        <f>G105/1000*G105/1000*F105*0.785/розрах!$I$175</f>
        <v>4.2783934516153472E-4</v>
      </c>
    </row>
    <row r="106" spans="1:255" s="196" customFormat="1" ht="47.25" x14ac:dyDescent="0.25">
      <c r="A106" s="173">
        <f t="shared" si="1"/>
        <v>101</v>
      </c>
      <c r="B106" s="173" t="s">
        <v>164</v>
      </c>
      <c r="C106" s="180" t="s">
        <v>1588</v>
      </c>
      <c r="D106" s="176" t="s">
        <v>1589</v>
      </c>
      <c r="E106" s="210" t="s">
        <v>1740</v>
      </c>
      <c r="F106" s="177">
        <v>211</v>
      </c>
      <c r="G106" s="173">
        <v>50</v>
      </c>
      <c r="H106" s="177" t="s">
        <v>1641</v>
      </c>
      <c r="I106" s="177">
        <v>2.0000000000000001E-4</v>
      </c>
      <c r="J106" s="194"/>
      <c r="K106" s="194"/>
      <c r="L106" s="194">
        <v>0.5</v>
      </c>
      <c r="M106" s="194">
        <v>27</v>
      </c>
      <c r="N106" s="207">
        <f>9568*I106*SQRT(M106)/розрах!$I$133</f>
        <v>4.926646746624355E-3</v>
      </c>
      <c r="O106" s="224">
        <f>G106/1000*G106/1000*F106*0.785/розрах!$I$175</f>
        <v>2.0516841324791775E-4</v>
      </c>
    </row>
    <row r="107" spans="1:255" s="196" customFormat="1" ht="63" x14ac:dyDescent="0.25">
      <c r="A107" s="173">
        <f t="shared" si="1"/>
        <v>102</v>
      </c>
      <c r="B107" s="173" t="s">
        <v>105</v>
      </c>
      <c r="C107" s="177" t="s">
        <v>1590</v>
      </c>
      <c r="D107" s="176" t="s">
        <v>1591</v>
      </c>
      <c r="E107" s="210" t="s">
        <v>1741</v>
      </c>
      <c r="F107" s="177">
        <v>76</v>
      </c>
      <c r="G107" s="173">
        <v>150</v>
      </c>
      <c r="H107" s="177" t="s">
        <v>1641</v>
      </c>
      <c r="I107" s="177"/>
      <c r="J107" s="194"/>
      <c r="K107" s="195">
        <f>0.05*3.14*0.15*0.15/4</f>
        <v>8.8312500000000012E-4</v>
      </c>
      <c r="L107" s="195">
        <v>9</v>
      </c>
      <c r="M107" s="194">
        <v>47</v>
      </c>
      <c r="N107" s="207">
        <f>9568*K107*SQRT(M107)/розрах!$I$133</f>
        <v>2.870190044809804E-2</v>
      </c>
      <c r="O107" s="224">
        <f>G107/1000*G107/1000*F107*0.785/розрах!$I$175</f>
        <v>6.6509570929656743E-4</v>
      </c>
    </row>
    <row r="108" spans="1:255" s="196" customFormat="1" ht="63" x14ac:dyDescent="0.25">
      <c r="A108" s="173">
        <f t="shared" si="1"/>
        <v>103</v>
      </c>
      <c r="B108" s="173" t="s">
        <v>105</v>
      </c>
      <c r="C108" s="173" t="s">
        <v>1592</v>
      </c>
      <c r="D108" s="176" t="s">
        <v>1593</v>
      </c>
      <c r="E108" s="210" t="s">
        <v>1594</v>
      </c>
      <c r="F108" s="177">
        <v>32</v>
      </c>
      <c r="G108" s="173">
        <v>70</v>
      </c>
      <c r="H108" s="177" t="s">
        <v>1641</v>
      </c>
      <c r="I108" s="177">
        <v>2.5000000000000001E-4</v>
      </c>
      <c r="J108" s="194"/>
      <c r="K108" s="194"/>
      <c r="L108" s="194">
        <v>12</v>
      </c>
      <c r="M108" s="194">
        <v>48</v>
      </c>
      <c r="N108" s="207">
        <f>9568*I108*SQRT(M108)/розрах!$I$133</f>
        <v>8.2110779110405891E-3</v>
      </c>
      <c r="O108" s="224">
        <f>G108/1000*G108/1000*F108*0.785/розрах!$I$175</f>
        <v>6.0986553928480587E-5</v>
      </c>
    </row>
    <row r="109" spans="1:255" s="196" customFormat="1" ht="62.25" customHeight="1" x14ac:dyDescent="0.25">
      <c r="A109" s="173">
        <f t="shared" si="1"/>
        <v>104</v>
      </c>
      <c r="B109" s="173" t="s">
        <v>105</v>
      </c>
      <c r="C109" s="173" t="s">
        <v>1592</v>
      </c>
      <c r="D109" s="176" t="s">
        <v>1595</v>
      </c>
      <c r="E109" s="210" t="s">
        <v>1742</v>
      </c>
      <c r="F109" s="177">
        <v>57</v>
      </c>
      <c r="G109" s="173">
        <v>70</v>
      </c>
      <c r="H109" s="177" t="s">
        <v>1641</v>
      </c>
      <c r="I109" s="177">
        <v>2.0000000000000001E-4</v>
      </c>
      <c r="J109" s="194"/>
      <c r="K109" s="194"/>
      <c r="L109" s="194">
        <v>0.5</v>
      </c>
      <c r="M109" s="194">
        <v>48</v>
      </c>
      <c r="N109" s="207">
        <f>9568*I109*SQRT(M109)/розрах!$I$133</f>
        <v>6.5688623288324734E-3</v>
      </c>
      <c r="O109" s="224">
        <f>G109/1000*G109/1000*F109*0.785/розрах!$I$175</f>
        <v>1.0863229918510605E-4</v>
      </c>
    </row>
    <row r="110" spans="1:255" s="196" customFormat="1" ht="63.75" customHeight="1" x14ac:dyDescent="0.25">
      <c r="A110" s="173">
        <f t="shared" si="1"/>
        <v>105</v>
      </c>
      <c r="B110" s="173" t="s">
        <v>105</v>
      </c>
      <c r="C110" s="177" t="s">
        <v>1590</v>
      </c>
      <c r="D110" s="176" t="s">
        <v>1591</v>
      </c>
      <c r="E110" s="210" t="s">
        <v>1741</v>
      </c>
      <c r="F110" s="177">
        <v>76</v>
      </c>
      <c r="G110" s="173">
        <v>200</v>
      </c>
      <c r="H110" s="177" t="s">
        <v>1509</v>
      </c>
      <c r="I110" s="177">
        <v>5.9999999999999995E-4</v>
      </c>
      <c r="J110" s="194"/>
      <c r="K110" s="194"/>
      <c r="L110" s="194">
        <v>6</v>
      </c>
      <c r="M110" s="194">
        <v>60</v>
      </c>
      <c r="N110" s="207">
        <f>9568*I110*SQRT(M110)/розрах!$I$133</f>
        <v>2.2032634053160478E-2</v>
      </c>
      <c r="O110" s="224">
        <f>G110/1000*G110/1000*F110*0.785/розрах!$I$175</f>
        <v>1.1823923720827867E-3</v>
      </c>
    </row>
    <row r="111" spans="1:255" s="196" customFormat="1" ht="63" x14ac:dyDescent="0.25">
      <c r="A111" s="173">
        <f t="shared" si="1"/>
        <v>106</v>
      </c>
      <c r="B111" s="173" t="s">
        <v>105</v>
      </c>
      <c r="C111" s="177" t="s">
        <v>1590</v>
      </c>
      <c r="D111" s="174" t="s">
        <v>1596</v>
      </c>
      <c r="E111" s="210" t="s">
        <v>1743</v>
      </c>
      <c r="F111" s="177">
        <v>32</v>
      </c>
      <c r="G111" s="173">
        <v>80</v>
      </c>
      <c r="H111" s="177" t="s">
        <v>1641</v>
      </c>
      <c r="I111" s="177">
        <v>2.9999999999999997E-4</v>
      </c>
      <c r="J111" s="194"/>
      <c r="K111" s="194"/>
      <c r="L111" s="194">
        <v>12</v>
      </c>
      <c r="M111" s="194">
        <v>47</v>
      </c>
      <c r="N111" s="207">
        <f>9568*I111*SQRT(M111)/розрах!$I$133</f>
        <v>9.7501148019016656E-3</v>
      </c>
      <c r="O111" s="224">
        <f>G111/1000*G111/1000*F111*0.785/розрах!$I$175</f>
        <v>7.9655907171893007E-5</v>
      </c>
    </row>
    <row r="112" spans="1:255" s="196" customFormat="1" ht="47.25" x14ac:dyDescent="0.25">
      <c r="A112" s="173">
        <f t="shared" si="1"/>
        <v>107</v>
      </c>
      <c r="B112" s="173" t="s">
        <v>105</v>
      </c>
      <c r="C112" s="173" t="s">
        <v>1597</v>
      </c>
      <c r="D112" s="176" t="s">
        <v>1598</v>
      </c>
      <c r="E112" s="210" t="s">
        <v>1744</v>
      </c>
      <c r="F112" s="177">
        <v>41</v>
      </c>
      <c r="G112" s="173">
        <v>70</v>
      </c>
      <c r="H112" s="177" t="s">
        <v>1641</v>
      </c>
      <c r="I112" s="177">
        <v>2.0000000000000001E-4</v>
      </c>
      <c r="J112" s="194"/>
      <c r="K112" s="194"/>
      <c r="L112" s="194">
        <v>0.5</v>
      </c>
      <c r="M112" s="194">
        <v>42</v>
      </c>
      <c r="N112" s="207">
        <f>9568*I112*SQRT(M112)/розрах!$I$133</f>
        <v>6.1446080638442755E-3</v>
      </c>
      <c r="O112" s="224">
        <f>G112/1000*G112/1000*F112*0.785/розрах!$I$175</f>
        <v>7.8139022220865751E-5</v>
      </c>
    </row>
    <row r="113" spans="1:15" s="196" customFormat="1" ht="63" x14ac:dyDescent="0.25">
      <c r="A113" s="173">
        <f t="shared" si="1"/>
        <v>108</v>
      </c>
      <c r="B113" s="173" t="s">
        <v>105</v>
      </c>
      <c r="C113" s="177" t="s">
        <v>1599</v>
      </c>
      <c r="D113" s="176" t="s">
        <v>1600</v>
      </c>
      <c r="E113" s="210" t="s">
        <v>1745</v>
      </c>
      <c r="F113" s="177">
        <v>28</v>
      </c>
      <c r="G113" s="173">
        <v>100</v>
      </c>
      <c r="H113" s="177" t="s">
        <v>1641</v>
      </c>
      <c r="I113" s="177">
        <v>2.9999999999999997E-4</v>
      </c>
      <c r="J113" s="194"/>
      <c r="K113" s="194"/>
      <c r="L113" s="194">
        <v>10</v>
      </c>
      <c r="M113" s="194">
        <v>38</v>
      </c>
      <c r="N113" s="207">
        <f>9568*I113*SQRT(M113)/розрах!$I$133</f>
        <v>8.7670321389706173E-3</v>
      </c>
      <c r="O113" s="224">
        <f>G113/1000*G113/1000*F113*0.785/розрах!$I$175</f>
        <v>1.0890456058657247E-4</v>
      </c>
    </row>
    <row r="114" spans="1:15" s="196" customFormat="1" ht="60.75" customHeight="1" x14ac:dyDescent="0.25">
      <c r="A114" s="173">
        <f t="shared" si="1"/>
        <v>109</v>
      </c>
      <c r="B114" s="173" t="s">
        <v>105</v>
      </c>
      <c r="C114" s="173" t="s">
        <v>1601</v>
      </c>
      <c r="D114" s="176" t="s">
        <v>1602</v>
      </c>
      <c r="E114" s="213" t="s">
        <v>1746</v>
      </c>
      <c r="F114" s="173">
        <v>23</v>
      </c>
      <c r="G114" s="173">
        <v>50</v>
      </c>
      <c r="H114" s="177" t="s">
        <v>1641</v>
      </c>
      <c r="I114" s="177">
        <v>2.0000000000000001E-4</v>
      </c>
      <c r="J114" s="194"/>
      <c r="K114" s="194"/>
      <c r="L114" s="194">
        <v>0.5</v>
      </c>
      <c r="M114" s="194">
        <v>28</v>
      </c>
      <c r="N114" s="207">
        <f>9568*I114*SQRT(M114)/розрах!$I$133</f>
        <v>5.0170514752697851E-3</v>
      </c>
      <c r="O114" s="224">
        <f>G114/1000*G114/1000*F114*0.785/розрах!$I$175</f>
        <v>2.2364329406171131E-5</v>
      </c>
    </row>
    <row r="115" spans="1:15" s="196" customFormat="1" ht="52.5" customHeight="1" x14ac:dyDescent="0.25">
      <c r="A115" s="173">
        <f t="shared" si="1"/>
        <v>110</v>
      </c>
      <c r="B115" s="173" t="s">
        <v>105</v>
      </c>
      <c r="C115" s="173" t="s">
        <v>1601</v>
      </c>
      <c r="D115" s="176" t="s">
        <v>1603</v>
      </c>
      <c r="E115" s="213" t="s">
        <v>1604</v>
      </c>
      <c r="F115" s="173">
        <v>14</v>
      </c>
      <c r="G115" s="173">
        <v>80</v>
      </c>
      <c r="H115" s="177" t="s">
        <v>1641</v>
      </c>
      <c r="I115" s="177">
        <v>2.9999999999999997E-4</v>
      </c>
      <c r="J115" s="194"/>
      <c r="K115" s="194"/>
      <c r="L115" s="194">
        <v>8</v>
      </c>
      <c r="M115" s="194">
        <v>28</v>
      </c>
      <c r="N115" s="207">
        <f>9568*I115*SQRT(M115)/розрах!$I$133</f>
        <v>7.525577212904676E-3</v>
      </c>
      <c r="O115" s="224">
        <f>G115/1000*G115/1000*F115*0.785/розрах!$I$175</f>
        <v>3.4849459387703182E-5</v>
      </c>
    </row>
    <row r="116" spans="1:15" s="196" customFormat="1" ht="60" customHeight="1" x14ac:dyDescent="0.25">
      <c r="A116" s="173">
        <f t="shared" si="1"/>
        <v>111</v>
      </c>
      <c r="B116" s="173" t="s">
        <v>105</v>
      </c>
      <c r="C116" s="173" t="s">
        <v>1601</v>
      </c>
      <c r="D116" s="176" t="s">
        <v>1605</v>
      </c>
      <c r="E116" s="213" t="s">
        <v>1747</v>
      </c>
      <c r="F116" s="173">
        <v>58</v>
      </c>
      <c r="G116" s="173">
        <v>125</v>
      </c>
      <c r="H116" s="177" t="s">
        <v>1509</v>
      </c>
      <c r="I116" s="177"/>
      <c r="J116" s="194"/>
      <c r="K116" s="195">
        <f>0.05*3.14*0.125*0.125/4</f>
        <v>6.1328125000000011E-4</v>
      </c>
      <c r="L116" s="225">
        <v>6</v>
      </c>
      <c r="M116" s="194">
        <v>54</v>
      </c>
      <c r="N116" s="207">
        <f>9568*K116*SQRT(M116)/розрах!$I$133</f>
        <v>2.1364666239009757E-2</v>
      </c>
      <c r="O116" s="224">
        <f>G116/1000*G116/1000*F116*0.785/розрах!$I$175</f>
        <v>3.5248127868421891E-4</v>
      </c>
    </row>
    <row r="117" spans="1:15" s="196" customFormat="1" ht="60" customHeight="1" x14ac:dyDescent="0.25">
      <c r="A117" s="173">
        <f t="shared" si="1"/>
        <v>112</v>
      </c>
      <c r="B117" s="173" t="s">
        <v>105</v>
      </c>
      <c r="C117" s="173" t="s">
        <v>1601</v>
      </c>
      <c r="D117" s="176" t="s">
        <v>1605</v>
      </c>
      <c r="E117" s="213" t="s">
        <v>1747</v>
      </c>
      <c r="F117" s="173">
        <v>58</v>
      </c>
      <c r="G117" s="173">
        <v>125</v>
      </c>
      <c r="H117" s="177" t="s">
        <v>1509</v>
      </c>
      <c r="I117" s="177">
        <v>2.9999999999999997E-4</v>
      </c>
      <c r="J117" s="194"/>
      <c r="K117" s="194"/>
      <c r="L117" s="194">
        <v>5</v>
      </c>
      <c r="M117" s="194">
        <v>54</v>
      </c>
      <c r="N117" s="207">
        <f>9568*I117*SQRT(M117)/розрах!$I$133</f>
        <v>1.0450995969146171E-2</v>
      </c>
      <c r="O117" s="224">
        <f>G117/1000*G117/1000*F117*0.785/розрах!$I$175</f>
        <v>3.5248127868421891E-4</v>
      </c>
    </row>
    <row r="118" spans="1:15" s="196" customFormat="1" ht="78.75" customHeight="1" x14ac:dyDescent="0.25">
      <c r="A118" s="173">
        <f t="shared" si="1"/>
        <v>113</v>
      </c>
      <c r="B118" s="173" t="s">
        <v>105</v>
      </c>
      <c r="C118" s="173" t="s">
        <v>1606</v>
      </c>
      <c r="D118" s="176" t="s">
        <v>1607</v>
      </c>
      <c r="E118" s="213" t="s">
        <v>1748</v>
      </c>
      <c r="F118" s="173">
        <v>16</v>
      </c>
      <c r="G118" s="173">
        <v>100</v>
      </c>
      <c r="H118" s="177" t="s">
        <v>1509</v>
      </c>
      <c r="I118" s="177">
        <v>2.0000000000000001E-4</v>
      </c>
      <c r="J118" s="194"/>
      <c r="K118" s="194"/>
      <c r="L118" s="194">
        <v>0.5</v>
      </c>
      <c r="M118" s="194">
        <v>50</v>
      </c>
      <c r="N118" s="207">
        <f>9568*I118*SQRT(M118)/розрах!$I$133</f>
        <v>6.7043170400958186E-3</v>
      </c>
      <c r="O118" s="224">
        <f>G118/1000*G118/1000*F118*0.785/розрах!$I$175</f>
        <v>6.2231177478041413E-5</v>
      </c>
    </row>
    <row r="119" spans="1:15" s="196" customFormat="1" ht="80.25" customHeight="1" x14ac:dyDescent="0.25">
      <c r="A119" s="222">
        <f>A118+1</f>
        <v>114</v>
      </c>
      <c r="B119" s="177" t="s">
        <v>105</v>
      </c>
      <c r="C119" s="177" t="s">
        <v>1608</v>
      </c>
      <c r="D119" s="174" t="s">
        <v>1609</v>
      </c>
      <c r="E119" s="210" t="s">
        <v>1749</v>
      </c>
      <c r="F119" s="177">
        <v>25</v>
      </c>
      <c r="G119" s="173">
        <v>80</v>
      </c>
      <c r="H119" s="177" t="s">
        <v>1509</v>
      </c>
      <c r="I119" s="177">
        <v>2.5000000000000001E-4</v>
      </c>
      <c r="J119" s="194"/>
      <c r="K119" s="194"/>
      <c r="L119" s="194">
        <v>5</v>
      </c>
      <c r="M119" s="194">
        <v>48</v>
      </c>
      <c r="N119" s="207">
        <f>9568*I119*SQRT(M119)/розрах!$I$133</f>
        <v>8.2110779110405891E-3</v>
      </c>
      <c r="O119" s="224">
        <f>G119/1000*G119/1000*F119*0.785/розрах!$I$175</f>
        <v>6.2231177478041413E-5</v>
      </c>
    </row>
    <row r="120" spans="1:15" s="196" customFormat="1" ht="80.25" customHeight="1" x14ac:dyDescent="0.25">
      <c r="A120" s="222">
        <f t="shared" ref="A120:A121" si="2">A119+1</f>
        <v>115</v>
      </c>
      <c r="B120" s="177" t="s">
        <v>105</v>
      </c>
      <c r="C120" s="177" t="s">
        <v>1608</v>
      </c>
      <c r="D120" s="174" t="s">
        <v>1609</v>
      </c>
      <c r="E120" s="210" t="s">
        <v>1749</v>
      </c>
      <c r="F120" s="177">
        <v>25</v>
      </c>
      <c r="G120" s="173">
        <v>50</v>
      </c>
      <c r="H120" s="177" t="s">
        <v>1641</v>
      </c>
      <c r="I120" s="177">
        <v>2.5000000000000001E-4</v>
      </c>
      <c r="J120" s="194"/>
      <c r="K120" s="194"/>
      <c r="L120" s="194">
        <v>12</v>
      </c>
      <c r="M120" s="194">
        <v>42</v>
      </c>
      <c r="N120" s="207">
        <f>9568*I120*SQRT(M120)/розрах!$I$133</f>
        <v>7.6807600798053429E-3</v>
      </c>
      <c r="O120" s="224">
        <f>G120/1000*G120/1000*F120*0.785/розрах!$I$175</f>
        <v>2.4309053702359925E-5</v>
      </c>
    </row>
    <row r="121" spans="1:15" s="196" customFormat="1" ht="79.5" customHeight="1" x14ac:dyDescent="0.25">
      <c r="A121" s="222">
        <f t="shared" si="2"/>
        <v>116</v>
      </c>
      <c r="B121" s="177" t="s">
        <v>105</v>
      </c>
      <c r="C121" s="177" t="s">
        <v>1608</v>
      </c>
      <c r="D121" s="174" t="s">
        <v>1822</v>
      </c>
      <c r="E121" s="210" t="s">
        <v>1823</v>
      </c>
      <c r="F121" s="177">
        <v>91</v>
      </c>
      <c r="G121" s="173">
        <v>100</v>
      </c>
      <c r="H121" s="177" t="s">
        <v>1509</v>
      </c>
      <c r="I121" s="177">
        <v>2.0000000000000001E-4</v>
      </c>
      <c r="J121" s="194"/>
      <c r="K121" s="194"/>
      <c r="L121" s="194">
        <v>0.5</v>
      </c>
      <c r="M121" s="194">
        <v>48</v>
      </c>
      <c r="N121" s="207">
        <f>9568*I121*SQRT(M121)/розрах!$I$133</f>
        <v>6.5688623288324734E-3</v>
      </c>
      <c r="O121" s="224">
        <f>G121/1000*G121/1000*F121*0.785/розрах!$I$175</f>
        <v>3.5393982190636052E-4</v>
      </c>
    </row>
    <row r="122" spans="1:15" s="196" customFormat="1" ht="63" x14ac:dyDescent="0.25">
      <c r="A122" s="173">
        <f>A121+1</f>
        <v>117</v>
      </c>
      <c r="B122" s="173" t="s">
        <v>105</v>
      </c>
      <c r="C122" s="173" t="s">
        <v>1610</v>
      </c>
      <c r="D122" s="176" t="s">
        <v>1611</v>
      </c>
      <c r="E122" s="213" t="s">
        <v>1750</v>
      </c>
      <c r="F122" s="173">
        <v>15</v>
      </c>
      <c r="G122" s="173">
        <v>50</v>
      </c>
      <c r="H122" s="177" t="s">
        <v>1641</v>
      </c>
      <c r="I122" s="177">
        <v>2.0000000000000001E-4</v>
      </c>
      <c r="J122" s="194"/>
      <c r="K122" s="194"/>
      <c r="L122" s="194">
        <v>0.5</v>
      </c>
      <c r="M122" s="194">
        <v>40</v>
      </c>
      <c r="N122" s="207">
        <f>9568*I122*SQRT(M122)/розрах!$I$133</f>
        <v>5.9965234577457728E-3</v>
      </c>
      <c r="O122" s="224">
        <f>G122/1000*G122/1000*F122*0.785/розрах!$I$175</f>
        <v>1.4585432221415953E-5</v>
      </c>
    </row>
    <row r="123" spans="1:15" s="196" customFormat="1" ht="63" x14ac:dyDescent="0.25">
      <c r="A123" s="173">
        <f t="shared" si="1"/>
        <v>118</v>
      </c>
      <c r="B123" s="173" t="s">
        <v>105</v>
      </c>
      <c r="C123" s="173" t="s">
        <v>1612</v>
      </c>
      <c r="D123" s="176" t="s">
        <v>1613</v>
      </c>
      <c r="E123" s="213" t="s">
        <v>1751</v>
      </c>
      <c r="F123" s="173">
        <v>67</v>
      </c>
      <c r="G123" s="173">
        <v>125</v>
      </c>
      <c r="H123" s="177" t="s">
        <v>1641</v>
      </c>
      <c r="I123" s="177">
        <v>3.5E-4</v>
      </c>
      <c r="J123" s="194"/>
      <c r="K123" s="194"/>
      <c r="L123" s="194">
        <v>10</v>
      </c>
      <c r="M123" s="194">
        <v>42</v>
      </c>
      <c r="N123" s="207">
        <f>9568*I123*SQRT(M123)/розрах!$I$133</f>
        <v>1.0753064111727479E-2</v>
      </c>
      <c r="O123" s="224">
        <f>G123/1000*G123/1000*F123*0.785/розрах!$I$175</f>
        <v>4.0717664951452873E-4</v>
      </c>
    </row>
    <row r="124" spans="1:15" s="196" customFormat="1" ht="63" x14ac:dyDescent="0.25">
      <c r="A124" s="173">
        <f t="shared" si="1"/>
        <v>119</v>
      </c>
      <c r="B124" s="173" t="s">
        <v>105</v>
      </c>
      <c r="C124" s="173" t="s">
        <v>1614</v>
      </c>
      <c r="D124" s="176" t="s">
        <v>1615</v>
      </c>
      <c r="E124" s="213" t="s">
        <v>1752</v>
      </c>
      <c r="F124" s="173">
        <v>8</v>
      </c>
      <c r="G124" s="173">
        <v>200</v>
      </c>
      <c r="H124" s="177" t="s">
        <v>1509</v>
      </c>
      <c r="I124" s="177">
        <v>4.0000000000000002E-4</v>
      </c>
      <c r="J124" s="194"/>
      <c r="K124" s="194"/>
      <c r="L124" s="194">
        <v>6</v>
      </c>
      <c r="M124" s="194">
        <v>46</v>
      </c>
      <c r="N124" s="207">
        <f>9568*I124*SQRT(M124)/розрах!$I$133</f>
        <v>1.286111000126966E-2</v>
      </c>
      <c r="O124" s="224">
        <f>G124/1000*G124/1000*F124*0.785/розрах!$I$175</f>
        <v>1.2446235495608283E-4</v>
      </c>
    </row>
    <row r="125" spans="1:15" s="196" customFormat="1" ht="63" x14ac:dyDescent="0.25">
      <c r="A125" s="173">
        <f t="shared" si="1"/>
        <v>120</v>
      </c>
      <c r="B125" s="173" t="s">
        <v>105</v>
      </c>
      <c r="C125" s="173" t="s">
        <v>1614</v>
      </c>
      <c r="D125" s="176" t="s">
        <v>1615</v>
      </c>
      <c r="E125" s="213" t="s">
        <v>1752</v>
      </c>
      <c r="F125" s="173">
        <v>8</v>
      </c>
      <c r="G125" s="173">
        <v>125</v>
      </c>
      <c r="H125" s="177" t="s">
        <v>1641</v>
      </c>
      <c r="I125" s="177">
        <v>2.9999999999999997E-4</v>
      </c>
      <c r="J125" s="194"/>
      <c r="K125" s="194"/>
      <c r="L125" s="194">
        <v>10</v>
      </c>
      <c r="M125" s="194">
        <v>36</v>
      </c>
      <c r="N125" s="207">
        <f>9568*I125*SQRT(M125)/розрах!$I$133</f>
        <v>8.5332024760972937E-3</v>
      </c>
      <c r="O125" s="224">
        <f>G125/1000*G125/1000*F125*0.785/розрах!$I$175</f>
        <v>4.8618107404719851E-5</v>
      </c>
    </row>
    <row r="126" spans="1:15" s="196" customFormat="1" ht="63" x14ac:dyDescent="0.25">
      <c r="A126" s="173">
        <f t="shared" si="1"/>
        <v>121</v>
      </c>
      <c r="B126" s="173" t="s">
        <v>105</v>
      </c>
      <c r="C126" s="173" t="s">
        <v>1614</v>
      </c>
      <c r="D126" s="176" t="s">
        <v>1616</v>
      </c>
      <c r="E126" s="213" t="s">
        <v>1753</v>
      </c>
      <c r="F126" s="173">
        <v>32</v>
      </c>
      <c r="G126" s="173">
        <v>80</v>
      </c>
      <c r="H126" s="177" t="s">
        <v>1641</v>
      </c>
      <c r="I126" s="177">
        <v>2.3000000000000001E-4</v>
      </c>
      <c r="J126" s="194"/>
      <c r="K126" s="194"/>
      <c r="L126" s="194">
        <v>12</v>
      </c>
      <c r="M126" s="194">
        <v>36</v>
      </c>
      <c r="N126" s="207">
        <f>9568*I126*SQRT(M126)/розрах!$I$133</f>
        <v>6.5421218983412596E-3</v>
      </c>
      <c r="O126" s="224">
        <f>G126/1000*G126/1000*F126*0.785/розрах!$I$175</f>
        <v>7.9655907171893007E-5</v>
      </c>
    </row>
    <row r="127" spans="1:15" s="196" customFormat="1" ht="62.25" customHeight="1" x14ac:dyDescent="0.25">
      <c r="A127" s="173">
        <f t="shared" si="1"/>
        <v>122</v>
      </c>
      <c r="B127" s="173" t="s">
        <v>105</v>
      </c>
      <c r="C127" s="173" t="s">
        <v>1614</v>
      </c>
      <c r="D127" s="176" t="s">
        <v>1617</v>
      </c>
      <c r="E127" s="213" t="s">
        <v>1754</v>
      </c>
      <c r="F127" s="173">
        <v>109</v>
      </c>
      <c r="G127" s="173">
        <v>100</v>
      </c>
      <c r="H127" s="177" t="s">
        <v>1641</v>
      </c>
      <c r="I127" s="177">
        <v>2.0000000000000001E-4</v>
      </c>
      <c r="J127" s="194"/>
      <c r="K127" s="194"/>
      <c r="L127" s="194">
        <v>0.5</v>
      </c>
      <c r="M127" s="194">
        <v>36</v>
      </c>
      <c r="N127" s="207">
        <f>9568*I127*SQRT(M127)/розрах!$I$133</f>
        <v>5.6888016507315306E-3</v>
      </c>
      <c r="O127" s="224">
        <f>G127/1000*G127/1000*F127*0.785/розрах!$I$175</f>
        <v>4.2394989656915715E-4</v>
      </c>
    </row>
    <row r="128" spans="1:15" s="196" customFormat="1" ht="44.25" customHeight="1" x14ac:dyDescent="0.25">
      <c r="A128" s="173">
        <f t="shared" si="1"/>
        <v>123</v>
      </c>
      <c r="B128" s="173" t="s">
        <v>105</v>
      </c>
      <c r="C128" s="173" t="s">
        <v>1608</v>
      </c>
      <c r="D128" s="201" t="s">
        <v>1618</v>
      </c>
      <c r="E128" s="210" t="s">
        <v>1755</v>
      </c>
      <c r="F128" s="177">
        <v>90</v>
      </c>
      <c r="G128" s="173">
        <v>100</v>
      </c>
      <c r="H128" s="177" t="s">
        <v>1509</v>
      </c>
      <c r="I128" s="177">
        <v>2.2000000000000001E-4</v>
      </c>
      <c r="J128" s="194"/>
      <c r="K128" s="194"/>
      <c r="L128" s="194">
        <v>6</v>
      </c>
      <c r="M128" s="194">
        <v>48</v>
      </c>
      <c r="N128" s="207">
        <f>9568*I128*SQRT(M128)/розрах!$I$133</f>
        <v>7.2257485617157205E-3</v>
      </c>
      <c r="O128" s="224">
        <f>G128/1000*G128/1000*F128*0.785/розрах!$I$175</f>
        <v>3.5005037331398289E-4</v>
      </c>
    </row>
    <row r="129" spans="1:255" s="196" customFormat="1" ht="66" customHeight="1" x14ac:dyDescent="0.25">
      <c r="A129" s="173">
        <f t="shared" si="1"/>
        <v>124</v>
      </c>
      <c r="B129" s="173" t="s">
        <v>105</v>
      </c>
      <c r="C129" s="173" t="s">
        <v>1820</v>
      </c>
      <c r="D129" s="174" t="s">
        <v>1826</v>
      </c>
      <c r="E129" s="210" t="s">
        <v>1756</v>
      </c>
      <c r="F129" s="177">
        <v>56</v>
      </c>
      <c r="G129" s="173">
        <v>50</v>
      </c>
      <c r="H129" s="177" t="s">
        <v>1509</v>
      </c>
      <c r="I129" s="177">
        <v>2.0000000000000001E-4</v>
      </c>
      <c r="J129" s="194"/>
      <c r="K129" s="194"/>
      <c r="L129" s="194">
        <v>0.5</v>
      </c>
      <c r="M129" s="194">
        <v>48</v>
      </c>
      <c r="N129" s="207">
        <f>9568*I129*SQRT(M129)/розрах!$I$133</f>
        <v>6.5688623288324734E-3</v>
      </c>
      <c r="O129" s="224">
        <f>G129/1000*G129/1000*F129*0.785/розрах!$I$175</f>
        <v>5.4452280293286234E-5</v>
      </c>
    </row>
    <row r="130" spans="1:255" s="196" customFormat="1" ht="65.25" customHeight="1" x14ac:dyDescent="0.25">
      <c r="A130" s="173">
        <f t="shared" si="1"/>
        <v>125</v>
      </c>
      <c r="B130" s="173" t="s">
        <v>105</v>
      </c>
      <c r="C130" s="173" t="s">
        <v>1824</v>
      </c>
      <c r="D130" s="174" t="s">
        <v>1825</v>
      </c>
      <c r="E130" s="210" t="s">
        <v>1757</v>
      </c>
      <c r="F130" s="177">
        <v>91</v>
      </c>
      <c r="G130" s="173">
        <v>50</v>
      </c>
      <c r="H130" s="177" t="s">
        <v>1509</v>
      </c>
      <c r="I130" s="177">
        <v>2.0000000000000001E-4</v>
      </c>
      <c r="J130" s="194"/>
      <c r="K130" s="194"/>
      <c r="L130" s="194">
        <v>0.5</v>
      </c>
      <c r="M130" s="193">
        <v>54</v>
      </c>
      <c r="N130" s="207">
        <f>9568*I130*SQRT(M130)/розрах!$I$133</f>
        <v>6.9673306460974489E-3</v>
      </c>
      <c r="O130" s="224">
        <f>G130/1000*G130/1000*F130*0.785/розрах!$I$175</f>
        <v>8.8484955476590129E-5</v>
      </c>
    </row>
    <row r="131" spans="1:255" s="196" customFormat="1" ht="72.75" customHeight="1" x14ac:dyDescent="0.25">
      <c r="A131" s="173">
        <f t="shared" si="1"/>
        <v>126</v>
      </c>
      <c r="B131" s="173" t="s">
        <v>105</v>
      </c>
      <c r="C131" s="173" t="s">
        <v>1824</v>
      </c>
      <c r="D131" s="174" t="s">
        <v>1825</v>
      </c>
      <c r="E131" s="210" t="s">
        <v>1757</v>
      </c>
      <c r="F131" s="177">
        <v>91</v>
      </c>
      <c r="G131" s="173">
        <v>50</v>
      </c>
      <c r="H131" s="177" t="s">
        <v>1641</v>
      </c>
      <c r="I131" s="177">
        <v>2.0000000000000001E-4</v>
      </c>
      <c r="J131" s="194"/>
      <c r="K131" s="194"/>
      <c r="L131" s="194">
        <v>0.5</v>
      </c>
      <c r="M131" s="193">
        <v>28</v>
      </c>
      <c r="N131" s="207">
        <f>9568*I131*SQRT(M131)/розрах!$I$133</f>
        <v>5.0170514752697851E-3</v>
      </c>
      <c r="O131" s="224">
        <f>G131/1000*G131/1000*F131*0.785/розрах!$I$175</f>
        <v>8.8484955476590129E-5</v>
      </c>
    </row>
    <row r="132" spans="1:255" s="196" customFormat="1" ht="75" customHeight="1" x14ac:dyDescent="0.25">
      <c r="A132" s="173">
        <f t="shared" si="1"/>
        <v>127</v>
      </c>
      <c r="B132" s="173" t="s">
        <v>105</v>
      </c>
      <c r="C132" s="173" t="s">
        <v>1597</v>
      </c>
      <c r="D132" s="174" t="s">
        <v>1835</v>
      </c>
      <c r="E132" s="209" t="s">
        <v>1834</v>
      </c>
      <c r="F132" s="174">
        <v>57</v>
      </c>
      <c r="G132" s="173">
        <v>70</v>
      </c>
      <c r="H132" s="177" t="s">
        <v>1641</v>
      </c>
      <c r="I132" s="177">
        <v>2.2000000000000001E-4</v>
      </c>
      <c r="J132" s="194"/>
      <c r="K132" s="194"/>
      <c r="L132" s="194">
        <v>12</v>
      </c>
      <c r="M132" s="194">
        <v>42</v>
      </c>
      <c r="N132" s="207">
        <f>9568*I132*SQRT(M132)/розрах!$I$133</f>
        <v>6.7590688702287025E-3</v>
      </c>
      <c r="O132" s="224">
        <f>G132/1000*G132/1000*F132*0.785/розрах!$I$175</f>
        <v>1.0863229918510605E-4</v>
      </c>
    </row>
    <row r="133" spans="1:255" s="196" customFormat="1" ht="66.75" customHeight="1" x14ac:dyDescent="0.25">
      <c r="A133" s="173">
        <f t="shared" si="1"/>
        <v>128</v>
      </c>
      <c r="B133" s="173" t="s">
        <v>105</v>
      </c>
      <c r="C133" s="173" t="s">
        <v>1597</v>
      </c>
      <c r="D133" s="179" t="s">
        <v>1619</v>
      </c>
      <c r="E133" s="210" t="s">
        <v>1758</v>
      </c>
      <c r="F133" s="177">
        <v>66</v>
      </c>
      <c r="G133" s="173">
        <v>125</v>
      </c>
      <c r="H133" s="177" t="s">
        <v>1509</v>
      </c>
      <c r="I133" s="177">
        <v>2.5999999999999998E-4</v>
      </c>
      <c r="J133" s="194"/>
      <c r="K133" s="194"/>
      <c r="L133" s="194">
        <v>6</v>
      </c>
      <c r="M133" s="194">
        <v>50</v>
      </c>
      <c r="N133" s="207">
        <f>9568*I133*SQRT(M133)/розрах!$I$133</f>
        <v>8.7156121521245623E-3</v>
      </c>
      <c r="O133" s="224">
        <f>G133/1000*G133/1000*F133*0.785/розрах!$I$175</f>
        <v>4.0109938608893874E-4</v>
      </c>
    </row>
    <row r="134" spans="1:255" s="196" customFormat="1" ht="44.25" customHeight="1" x14ac:dyDescent="0.25">
      <c r="A134" s="173">
        <f t="shared" si="1"/>
        <v>129</v>
      </c>
      <c r="B134" s="173" t="s">
        <v>105</v>
      </c>
      <c r="C134" s="173" t="s">
        <v>1597</v>
      </c>
      <c r="D134" s="174" t="s">
        <v>1760</v>
      </c>
      <c r="E134" s="210" t="s">
        <v>1759</v>
      </c>
      <c r="F134" s="177">
        <v>55</v>
      </c>
      <c r="G134" s="173">
        <v>70</v>
      </c>
      <c r="H134" s="177" t="s">
        <v>1509</v>
      </c>
      <c r="I134" s="177">
        <v>2.0000000000000001E-4</v>
      </c>
      <c r="J134" s="194"/>
      <c r="K134" s="194"/>
      <c r="L134" s="194">
        <v>0.5</v>
      </c>
      <c r="M134" s="194">
        <v>50</v>
      </c>
      <c r="N134" s="207">
        <f>9568*I134*SQRT(M134)/розрах!$I$133</f>
        <v>6.7043170400958186E-3</v>
      </c>
      <c r="O134" s="224">
        <f>G134/1000*G134/1000*F134*0.785/розрах!$I$175</f>
        <v>1.04820639564576E-4</v>
      </c>
    </row>
    <row r="135" spans="1:255" s="196" customFormat="1" ht="71.25" customHeight="1" x14ac:dyDescent="0.25">
      <c r="A135" s="173">
        <f t="shared" si="1"/>
        <v>130</v>
      </c>
      <c r="B135" s="173" t="s">
        <v>105</v>
      </c>
      <c r="C135" s="173" t="s">
        <v>1597</v>
      </c>
      <c r="D135" s="208" t="s">
        <v>1761</v>
      </c>
      <c r="E135" s="210" t="s">
        <v>1762</v>
      </c>
      <c r="F135" s="177">
        <v>57</v>
      </c>
      <c r="G135" s="173">
        <v>200</v>
      </c>
      <c r="H135" s="177" t="s">
        <v>1509</v>
      </c>
      <c r="I135" s="177"/>
      <c r="J135" s="194"/>
      <c r="K135" s="195">
        <f>0.05*3.14*0.2*0.2/4</f>
        <v>1.5700000000000002E-3</v>
      </c>
      <c r="L135" s="225">
        <v>6</v>
      </c>
      <c r="M135" s="194">
        <v>50</v>
      </c>
      <c r="N135" s="207">
        <f>9568*K135*SQRT(M135)/розрах!$I$133</f>
        <v>5.2628888764752177E-2</v>
      </c>
      <c r="O135" s="224">
        <f>G135/1000*G135/1000*F135*0.785/розрах!$I$175</f>
        <v>8.8679427906209016E-4</v>
      </c>
    </row>
    <row r="136" spans="1:255" s="196" customFormat="1" ht="63.75" customHeight="1" x14ac:dyDescent="0.25">
      <c r="A136" s="173">
        <f t="shared" si="1"/>
        <v>131</v>
      </c>
      <c r="B136" s="202" t="s">
        <v>164</v>
      </c>
      <c r="C136" s="173" t="s">
        <v>1620</v>
      </c>
      <c r="D136" s="176" t="s">
        <v>1621</v>
      </c>
      <c r="E136" s="215" t="s">
        <v>1763</v>
      </c>
      <c r="F136" s="234">
        <v>105</v>
      </c>
      <c r="G136" s="173">
        <v>125</v>
      </c>
      <c r="H136" s="177" t="s">
        <v>1509</v>
      </c>
      <c r="I136" s="177">
        <v>2.5000000000000001E-4</v>
      </c>
      <c r="J136" s="194"/>
      <c r="K136" s="194"/>
      <c r="L136" s="194">
        <v>6</v>
      </c>
      <c r="M136" s="194">
        <v>68</v>
      </c>
      <c r="N136" s="207">
        <f>9568*I136*SQRT(M136)/розрах!$I$133</f>
        <v>9.7731375371475845E-3</v>
      </c>
      <c r="O136" s="224">
        <f>G136/1000*G136/1000*F136*0.785/розрах!$I$175</f>
        <v>6.38112659686948E-4</v>
      </c>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c r="HZ136" s="203"/>
      <c r="IA136" s="203"/>
      <c r="IB136" s="203"/>
      <c r="IC136" s="203"/>
      <c r="ID136" s="203"/>
      <c r="IE136" s="203"/>
      <c r="IF136" s="203"/>
      <c r="IG136" s="203"/>
      <c r="IH136" s="203"/>
      <c r="II136" s="203"/>
      <c r="IJ136" s="203"/>
      <c r="IK136" s="203"/>
      <c r="IL136" s="203"/>
      <c r="IM136" s="203"/>
      <c r="IN136" s="203"/>
      <c r="IO136" s="203"/>
      <c r="IP136" s="203"/>
      <c r="IQ136" s="203"/>
      <c r="IR136" s="203"/>
      <c r="IS136" s="203"/>
      <c r="IT136" s="203"/>
      <c r="IU136" s="203"/>
    </row>
    <row r="137" spans="1:255" s="196" customFormat="1" ht="69" customHeight="1" x14ac:dyDescent="0.25">
      <c r="A137" s="173">
        <f t="shared" ref="A137:A166" si="3">A136+1</f>
        <v>132</v>
      </c>
      <c r="B137" s="602" t="s">
        <v>1588</v>
      </c>
      <c r="C137" s="603"/>
      <c r="D137" s="176" t="s">
        <v>1622</v>
      </c>
      <c r="E137" s="215" t="s">
        <v>1764</v>
      </c>
      <c r="F137" s="234">
        <v>210</v>
      </c>
      <c r="G137" s="173">
        <v>70</v>
      </c>
      <c r="H137" s="177" t="s">
        <v>1641</v>
      </c>
      <c r="I137" s="204">
        <v>2.1000000000000001E-4</v>
      </c>
      <c r="J137" s="194"/>
      <c r="K137" s="194"/>
      <c r="L137" s="194">
        <v>10</v>
      </c>
      <c r="M137" s="194">
        <v>26</v>
      </c>
      <c r="N137" s="207">
        <f>9568*I137*SQRT(M137)/розрах!$I$133</f>
        <v>5.0762793595568109E-3</v>
      </c>
      <c r="O137" s="224">
        <f>G137/1000*G137/1000*F137*0.785/розрах!$I$175</f>
        <v>4.0022426015565388E-4</v>
      </c>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c r="HZ137" s="203"/>
      <c r="IA137" s="203"/>
      <c r="IB137" s="203"/>
      <c r="IC137" s="203"/>
      <c r="ID137" s="203"/>
      <c r="IE137" s="203"/>
      <c r="IF137" s="203"/>
      <c r="IG137" s="203"/>
      <c r="IH137" s="203"/>
      <c r="II137" s="203"/>
      <c r="IJ137" s="203"/>
      <c r="IK137" s="203"/>
      <c r="IL137" s="203"/>
      <c r="IM137" s="203"/>
      <c r="IN137" s="203"/>
      <c r="IO137" s="203"/>
      <c r="IP137" s="203"/>
      <c r="IQ137" s="203"/>
      <c r="IR137" s="203"/>
      <c r="IS137" s="203"/>
      <c r="IT137" s="203"/>
      <c r="IU137" s="203"/>
    </row>
    <row r="138" spans="1:255" s="196" customFormat="1" ht="75" customHeight="1" x14ac:dyDescent="0.25">
      <c r="A138" s="173">
        <f t="shared" si="3"/>
        <v>133</v>
      </c>
      <c r="B138" s="602" t="s">
        <v>1588</v>
      </c>
      <c r="C138" s="603"/>
      <c r="D138" s="176" t="s">
        <v>1623</v>
      </c>
      <c r="E138" s="215" t="s">
        <v>1764</v>
      </c>
      <c r="F138" s="234">
        <v>210</v>
      </c>
      <c r="G138" s="173">
        <v>70</v>
      </c>
      <c r="H138" s="177" t="s">
        <v>1641</v>
      </c>
      <c r="I138" s="204">
        <v>2.0000000000000001E-4</v>
      </c>
      <c r="J138" s="194"/>
      <c r="K138" s="194"/>
      <c r="L138" s="194">
        <v>0.5</v>
      </c>
      <c r="M138" s="194">
        <v>26</v>
      </c>
      <c r="N138" s="207">
        <f>9568*I138*SQRT(M138)/розрах!$I$133</f>
        <v>4.8345517710064864E-3</v>
      </c>
      <c r="O138" s="224">
        <f>G138/1000*G138/1000*F138*0.785/розрах!$I$175</f>
        <v>4.0022426015565388E-4</v>
      </c>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c r="HZ138" s="203"/>
      <c r="IA138" s="203"/>
      <c r="IB138" s="203"/>
      <c r="IC138" s="203"/>
      <c r="ID138" s="203"/>
      <c r="IE138" s="203"/>
      <c r="IF138" s="203"/>
      <c r="IG138" s="203"/>
      <c r="IH138" s="203"/>
      <c r="II138" s="203"/>
      <c r="IJ138" s="203"/>
      <c r="IK138" s="203"/>
      <c r="IL138" s="203"/>
      <c r="IM138" s="203"/>
      <c r="IN138" s="203"/>
      <c r="IO138" s="203"/>
      <c r="IP138" s="203"/>
      <c r="IQ138" s="203"/>
      <c r="IR138" s="203"/>
      <c r="IS138" s="203"/>
      <c r="IT138" s="203"/>
      <c r="IU138" s="203"/>
    </row>
    <row r="139" spans="1:255" s="196" customFormat="1" ht="68.25" customHeight="1" x14ac:dyDescent="0.25">
      <c r="A139" s="173">
        <f t="shared" si="3"/>
        <v>134</v>
      </c>
      <c r="B139" s="602" t="s">
        <v>1588</v>
      </c>
      <c r="C139" s="603"/>
      <c r="D139" s="176" t="s">
        <v>1623</v>
      </c>
      <c r="E139" s="215" t="s">
        <v>1764</v>
      </c>
      <c r="F139" s="234">
        <v>210</v>
      </c>
      <c r="G139" s="180">
        <v>100</v>
      </c>
      <c r="H139" s="177" t="s">
        <v>1509</v>
      </c>
      <c r="I139" s="204"/>
      <c r="J139" s="194"/>
      <c r="K139" s="195">
        <f>0.05*3.14*0.1*0.1/4</f>
        <v>3.9250000000000005E-4</v>
      </c>
      <c r="L139" s="225">
        <v>6</v>
      </c>
      <c r="M139" s="194">
        <v>35</v>
      </c>
      <c r="N139" s="207">
        <f>9568*K139*SQRT(M139)/розрах!$I$133</f>
        <v>1.1008121867594116E-2</v>
      </c>
      <c r="O139" s="224">
        <f>G139/1000*G139/1000*F139*0.785/розрах!$I$175</f>
        <v>8.1678420439929348E-4</v>
      </c>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c r="HZ139" s="203"/>
      <c r="IA139" s="203"/>
      <c r="IB139" s="203"/>
      <c r="IC139" s="203"/>
      <c r="ID139" s="203"/>
      <c r="IE139" s="203"/>
      <c r="IF139" s="203"/>
      <c r="IG139" s="203"/>
      <c r="IH139" s="203"/>
      <c r="II139" s="203"/>
      <c r="IJ139" s="203"/>
      <c r="IK139" s="203"/>
      <c r="IL139" s="203"/>
      <c r="IM139" s="203"/>
      <c r="IN139" s="203"/>
      <c r="IO139" s="203"/>
      <c r="IP139" s="203"/>
      <c r="IQ139" s="203"/>
      <c r="IR139" s="203"/>
      <c r="IS139" s="203"/>
      <c r="IT139" s="203"/>
      <c r="IU139" s="203"/>
    </row>
    <row r="140" spans="1:255" s="196" customFormat="1" ht="70.5" customHeight="1" x14ac:dyDescent="0.25">
      <c r="A140" s="173">
        <f t="shared" si="3"/>
        <v>135</v>
      </c>
      <c r="B140" s="200" t="s">
        <v>105</v>
      </c>
      <c r="C140" s="173" t="s">
        <v>1624</v>
      </c>
      <c r="D140" s="208" t="s">
        <v>1765</v>
      </c>
      <c r="E140" s="216" t="s">
        <v>1766</v>
      </c>
      <c r="F140" s="205">
        <v>5</v>
      </c>
      <c r="G140" s="173">
        <v>80</v>
      </c>
      <c r="H140" s="177" t="s">
        <v>1509</v>
      </c>
      <c r="I140" s="177">
        <v>2.2000000000000001E-4</v>
      </c>
      <c r="J140" s="194"/>
      <c r="K140" s="194"/>
      <c r="L140" s="194">
        <v>6</v>
      </c>
      <c r="M140" s="194">
        <v>65</v>
      </c>
      <c r="N140" s="207">
        <f>9568*I140*SQRT(M140)/розрах!$I$133</f>
        <v>8.4085072843097068E-3</v>
      </c>
      <c r="O140" s="224">
        <f>G140/1000*G140/1000*F140*0.785/розрах!$I$175</f>
        <v>1.2446235495608282E-5</v>
      </c>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c r="HZ140" s="203"/>
      <c r="IA140" s="203"/>
      <c r="IB140" s="203"/>
      <c r="IC140" s="203"/>
      <c r="ID140" s="203"/>
      <c r="IE140" s="203"/>
      <c r="IF140" s="203"/>
      <c r="IG140" s="203"/>
      <c r="IH140" s="203"/>
      <c r="II140" s="203"/>
      <c r="IJ140" s="203"/>
      <c r="IK140" s="203"/>
      <c r="IL140" s="203"/>
      <c r="IM140" s="203"/>
      <c r="IN140" s="203"/>
      <c r="IO140" s="203"/>
      <c r="IP140" s="203"/>
      <c r="IQ140" s="203"/>
      <c r="IR140" s="203"/>
      <c r="IS140" s="203"/>
      <c r="IT140" s="203"/>
      <c r="IU140" s="203"/>
    </row>
    <row r="141" spans="1:255" s="196" customFormat="1" ht="57" customHeight="1" x14ac:dyDescent="0.25">
      <c r="A141" s="173">
        <f t="shared" si="3"/>
        <v>136</v>
      </c>
      <c r="B141" s="200" t="s">
        <v>105</v>
      </c>
      <c r="C141" s="173" t="s">
        <v>1624</v>
      </c>
      <c r="D141" s="201" t="s">
        <v>1625</v>
      </c>
      <c r="E141" s="210" t="s">
        <v>1767</v>
      </c>
      <c r="F141" s="177">
        <v>40</v>
      </c>
      <c r="G141" s="173">
        <v>50</v>
      </c>
      <c r="H141" s="177" t="s">
        <v>1641</v>
      </c>
      <c r="I141" s="204">
        <v>2.1000000000000001E-4</v>
      </c>
      <c r="J141" s="194"/>
      <c r="K141" s="194"/>
      <c r="L141" s="194">
        <v>11</v>
      </c>
      <c r="M141" s="194">
        <v>55</v>
      </c>
      <c r="N141" s="207">
        <f>9568*I141*SQRT(M141)/розрах!$I$133</f>
        <v>7.383124384219935E-3</v>
      </c>
      <c r="O141" s="224">
        <f>G141/1000*G141/1000*F141*0.785/розрах!$I$175</f>
        <v>3.8894485923775885E-5</v>
      </c>
    </row>
    <row r="142" spans="1:255" s="196" customFormat="1" ht="66" customHeight="1" x14ac:dyDescent="0.25">
      <c r="A142" s="173">
        <f t="shared" si="3"/>
        <v>137</v>
      </c>
      <c r="B142" s="200" t="s">
        <v>105</v>
      </c>
      <c r="C142" s="173" t="s">
        <v>1624</v>
      </c>
      <c r="D142" s="201" t="s">
        <v>1625</v>
      </c>
      <c r="E142" s="210" t="s">
        <v>1767</v>
      </c>
      <c r="F142" s="177">
        <v>40</v>
      </c>
      <c r="G142" s="173">
        <v>80</v>
      </c>
      <c r="H142" s="177" t="s">
        <v>1641</v>
      </c>
      <c r="I142" s="200">
        <v>2.0000000000000001E-4</v>
      </c>
      <c r="J142" s="194"/>
      <c r="K142" s="194"/>
      <c r="L142" s="194">
        <v>0.5</v>
      </c>
      <c r="M142" s="194">
        <v>55</v>
      </c>
      <c r="N142" s="207">
        <f>9568*I142*SQRT(M142)/розрах!$I$133</f>
        <v>7.0315470325904147E-3</v>
      </c>
      <c r="O142" s="194">
        <f>G142/1000*G142/1000*F142*0.785/розрах!$I$175</f>
        <v>9.9569883964866252E-5</v>
      </c>
    </row>
    <row r="143" spans="1:255" s="196" customFormat="1" ht="68.25" customHeight="1" x14ac:dyDescent="0.25">
      <c r="A143" s="173">
        <f t="shared" si="3"/>
        <v>138</v>
      </c>
      <c r="B143" s="200" t="s">
        <v>105</v>
      </c>
      <c r="C143" s="173" t="s">
        <v>1580</v>
      </c>
      <c r="D143" s="208" t="s">
        <v>1768</v>
      </c>
      <c r="E143" s="210" t="s">
        <v>1769</v>
      </c>
      <c r="F143" s="177">
        <v>63</v>
      </c>
      <c r="G143" s="173">
        <v>100</v>
      </c>
      <c r="H143" s="177" t="s">
        <v>1509</v>
      </c>
      <c r="I143" s="210">
        <v>2.0000000000000001E-4</v>
      </c>
      <c r="J143" s="194"/>
      <c r="K143" s="194"/>
      <c r="L143" s="194">
        <v>0.5</v>
      </c>
      <c r="M143" s="194">
        <v>68</v>
      </c>
      <c r="N143" s="207">
        <f>9568*I143*SQRT(M143)/розрах!$I$133</f>
        <v>7.818510029718069E-3</v>
      </c>
      <c r="O143" s="224">
        <f>G143/1000*G143/1000*F143*0.785/розрах!$I$175</f>
        <v>2.4503526131978808E-4</v>
      </c>
    </row>
    <row r="144" spans="1:255" s="196" customFormat="1" ht="63" customHeight="1" x14ac:dyDescent="0.25">
      <c r="A144" s="173">
        <f t="shared" si="3"/>
        <v>139</v>
      </c>
      <c r="B144" s="200" t="s">
        <v>105</v>
      </c>
      <c r="C144" s="173" t="s">
        <v>1580</v>
      </c>
      <c r="D144" s="208" t="s">
        <v>1768</v>
      </c>
      <c r="E144" s="210" t="s">
        <v>1769</v>
      </c>
      <c r="F144" s="177">
        <v>63</v>
      </c>
      <c r="G144" s="173">
        <v>80</v>
      </c>
      <c r="H144" s="177" t="s">
        <v>1641</v>
      </c>
      <c r="I144" s="200">
        <v>2.2000000000000001E-4</v>
      </c>
      <c r="J144" s="194"/>
      <c r="K144" s="194"/>
      <c r="L144" s="194">
        <v>12</v>
      </c>
      <c r="M144" s="194">
        <v>44</v>
      </c>
      <c r="N144" s="207">
        <f>9568*I144*SQRT(M144)/розрах!$I$133</f>
        <v>6.9181275468180019E-3</v>
      </c>
      <c r="O144" s="194">
        <f>G144/1000*G144/1000*F144*0.785/розрах!$I$175</f>
        <v>1.5682256724466434E-4</v>
      </c>
    </row>
    <row r="145" spans="1:15" s="196" customFormat="1" ht="81" customHeight="1" x14ac:dyDescent="0.25">
      <c r="A145" s="173">
        <f t="shared" si="3"/>
        <v>140</v>
      </c>
      <c r="B145" s="200" t="s">
        <v>105</v>
      </c>
      <c r="C145" s="173" t="s">
        <v>1580</v>
      </c>
      <c r="D145" s="201" t="s">
        <v>1626</v>
      </c>
      <c r="E145" s="210" t="s">
        <v>1770</v>
      </c>
      <c r="F145" s="177">
        <v>72</v>
      </c>
      <c r="G145" s="173">
        <v>150</v>
      </c>
      <c r="H145" s="177" t="s">
        <v>1509</v>
      </c>
      <c r="I145" s="200"/>
      <c r="J145" s="194"/>
      <c r="K145" s="195">
        <f>0.05*3.14*0.15*0.15/4</f>
        <v>8.8312500000000012E-4</v>
      </c>
      <c r="L145" s="225">
        <v>5</v>
      </c>
      <c r="M145" s="194">
        <v>68</v>
      </c>
      <c r="N145" s="207">
        <f>9568*K145*SQRT(M145)/розрах!$I$133</f>
        <v>3.4523608349973853E-2</v>
      </c>
      <c r="O145" s="224">
        <f>G145/1000*G145/1000*F145*0.785/розрах!$I$175</f>
        <v>6.300906719651692E-4</v>
      </c>
    </row>
    <row r="146" spans="1:15" s="196" customFormat="1" ht="78" customHeight="1" x14ac:dyDescent="0.25">
      <c r="A146" s="173">
        <f t="shared" si="3"/>
        <v>141</v>
      </c>
      <c r="B146" s="200" t="s">
        <v>105</v>
      </c>
      <c r="C146" s="173" t="s">
        <v>1580</v>
      </c>
      <c r="D146" s="201" t="s">
        <v>1627</v>
      </c>
      <c r="E146" s="210" t="s">
        <v>1771</v>
      </c>
      <c r="F146" s="177">
        <v>16</v>
      </c>
      <c r="G146" s="173">
        <v>150</v>
      </c>
      <c r="H146" s="177" t="s">
        <v>1509</v>
      </c>
      <c r="I146" s="200"/>
      <c r="J146" s="194"/>
      <c r="K146" s="195">
        <f>0.05*3.14*0.15*0.15/4</f>
        <v>8.8312500000000012E-4</v>
      </c>
      <c r="L146" s="225">
        <v>6</v>
      </c>
      <c r="M146" s="194">
        <v>68</v>
      </c>
      <c r="N146" s="207">
        <f>9568*K146*SQRT(M146)/розрах!$I$133</f>
        <v>3.4523608349973853E-2</v>
      </c>
      <c r="O146" s="224">
        <f>G146/1000*G146/1000*F146*0.785/розрах!$I$175</f>
        <v>1.4002014932559315E-4</v>
      </c>
    </row>
    <row r="147" spans="1:15" s="196" customFormat="1" ht="76.5" customHeight="1" x14ac:dyDescent="0.25">
      <c r="A147" s="173">
        <f t="shared" si="3"/>
        <v>142</v>
      </c>
      <c r="B147" s="200" t="s">
        <v>105</v>
      </c>
      <c r="C147" s="173" t="s">
        <v>1580</v>
      </c>
      <c r="D147" s="201" t="s">
        <v>1626</v>
      </c>
      <c r="E147" s="210" t="s">
        <v>1770</v>
      </c>
      <c r="F147" s="177">
        <v>72</v>
      </c>
      <c r="G147" s="173">
        <v>80</v>
      </c>
      <c r="H147" s="177" t="s">
        <v>1641</v>
      </c>
      <c r="I147" s="200">
        <v>2.1000000000000001E-4</v>
      </c>
      <c r="J147" s="194"/>
      <c r="K147" s="194"/>
      <c r="L147" s="194">
        <v>10</v>
      </c>
      <c r="M147" s="194">
        <v>44</v>
      </c>
      <c r="N147" s="207">
        <f>9568*I147*SQRT(M147)/розрах!$I$133</f>
        <v>6.60366720378082E-3</v>
      </c>
      <c r="O147" s="194">
        <f>G147/1000*G147/1000*F147*0.785/розрах!$I$175</f>
        <v>1.7922579113675927E-4</v>
      </c>
    </row>
    <row r="148" spans="1:15" s="196" customFormat="1" ht="70.5" customHeight="1" x14ac:dyDescent="0.25">
      <c r="A148" s="173">
        <f t="shared" si="3"/>
        <v>143</v>
      </c>
      <c r="B148" s="200" t="s">
        <v>105</v>
      </c>
      <c r="C148" s="173" t="s">
        <v>1580</v>
      </c>
      <c r="D148" s="208" t="s">
        <v>1773</v>
      </c>
      <c r="E148" s="210" t="s">
        <v>1772</v>
      </c>
      <c r="F148" s="177">
        <v>9</v>
      </c>
      <c r="G148" s="173">
        <v>50</v>
      </c>
      <c r="H148" s="177" t="s">
        <v>1641</v>
      </c>
      <c r="I148" s="200">
        <v>2.0000000000000001E-4</v>
      </c>
      <c r="J148" s="194"/>
      <c r="K148" s="194"/>
      <c r="L148" s="194">
        <v>0.5</v>
      </c>
      <c r="M148" s="194">
        <v>44</v>
      </c>
      <c r="N148" s="207">
        <f>9568*I148*SQRT(M148)/розрах!$I$133</f>
        <v>6.2892068607436381E-3</v>
      </c>
      <c r="O148" s="224">
        <f>G148/1000*G148/1000*F148*0.785/розрах!$I$175</f>
        <v>8.7512593328495722E-6</v>
      </c>
    </row>
    <row r="149" spans="1:15" s="196" customFormat="1" ht="66.75" customHeight="1" x14ac:dyDescent="0.25">
      <c r="A149" s="173">
        <f t="shared" si="3"/>
        <v>144</v>
      </c>
      <c r="B149" s="200" t="s">
        <v>105</v>
      </c>
      <c r="C149" s="173" t="s">
        <v>1580</v>
      </c>
      <c r="D149" s="208" t="s">
        <v>1773</v>
      </c>
      <c r="E149" s="210" t="s">
        <v>1772</v>
      </c>
      <c r="F149" s="177">
        <v>9</v>
      </c>
      <c r="G149" s="173">
        <v>80</v>
      </c>
      <c r="H149" s="177" t="s">
        <v>1509</v>
      </c>
      <c r="I149" s="200">
        <v>2.2000000000000001E-4</v>
      </c>
      <c r="J149" s="194"/>
      <c r="K149" s="194"/>
      <c r="L149" s="194">
        <v>6</v>
      </c>
      <c r="M149" s="194">
        <v>68</v>
      </c>
      <c r="N149" s="207">
        <f>9568*I149*SQRT(M149)/розрах!$I$133</f>
        <v>8.6003610326898759E-3</v>
      </c>
      <c r="O149" s="224">
        <f>G149/1000*G149/1000*F149*0.785/розрах!$I$175</f>
        <v>2.2403223892094909E-5</v>
      </c>
    </row>
    <row r="150" spans="1:15" s="196" customFormat="1" ht="73.5" customHeight="1" x14ac:dyDescent="0.25">
      <c r="A150" s="173">
        <f t="shared" si="3"/>
        <v>145</v>
      </c>
      <c r="B150" s="228" t="s">
        <v>105</v>
      </c>
      <c r="C150" s="173" t="s">
        <v>1580</v>
      </c>
      <c r="D150" s="208" t="s">
        <v>1774</v>
      </c>
      <c r="E150" s="210" t="s">
        <v>1775</v>
      </c>
      <c r="F150" s="177">
        <v>114</v>
      </c>
      <c r="G150" s="173">
        <v>80</v>
      </c>
      <c r="H150" s="177" t="s">
        <v>1641</v>
      </c>
      <c r="I150" s="200">
        <v>2.0000000000000001E-4</v>
      </c>
      <c r="J150" s="194"/>
      <c r="K150" s="194"/>
      <c r="L150" s="194">
        <v>0.5</v>
      </c>
      <c r="M150" s="194">
        <v>44</v>
      </c>
      <c r="N150" s="207">
        <f>9568*I150*SQRT(M150)/розрах!$I$133</f>
        <v>6.2892068607436381E-3</v>
      </c>
      <c r="O150" s="194">
        <f>G150/1000*G150/1000*F150*0.785/розрах!$I$175</f>
        <v>2.8377416929986881E-4</v>
      </c>
    </row>
    <row r="151" spans="1:15" s="196" customFormat="1" ht="62.25" customHeight="1" x14ac:dyDescent="0.25">
      <c r="A151" s="173">
        <f t="shared" si="3"/>
        <v>146</v>
      </c>
      <c r="B151" s="228" t="s">
        <v>105</v>
      </c>
      <c r="C151" s="173" t="s">
        <v>1580</v>
      </c>
      <c r="D151" s="208" t="s">
        <v>1774</v>
      </c>
      <c r="E151" s="210" t="s">
        <v>1776</v>
      </c>
      <c r="F151" s="177">
        <v>114</v>
      </c>
      <c r="G151" s="173">
        <v>125</v>
      </c>
      <c r="H151" s="177" t="s">
        <v>1509</v>
      </c>
      <c r="I151" s="200"/>
      <c r="J151" s="194"/>
      <c r="K151" s="195">
        <f>0.05*3.14*0.125*0.125/4</f>
        <v>6.1328125000000011E-4</v>
      </c>
      <c r="L151" s="225">
        <v>6</v>
      </c>
      <c r="M151" s="194">
        <v>68</v>
      </c>
      <c r="N151" s="207">
        <f>9568*K151*SQRT(M151)/розрах!$I$133</f>
        <v>2.397472802081518E-2</v>
      </c>
      <c r="O151" s="224">
        <f>G151/1000*G151/1000*F151*0.785/розрах!$I$175</f>
        <v>6.9280803051725794E-4</v>
      </c>
    </row>
    <row r="152" spans="1:15" s="196" customFormat="1" ht="63" x14ac:dyDescent="0.25">
      <c r="A152" s="173">
        <f t="shared" si="3"/>
        <v>147</v>
      </c>
      <c r="B152" s="206" t="s">
        <v>105</v>
      </c>
      <c r="C152" s="173" t="s">
        <v>1612</v>
      </c>
      <c r="D152" s="200" t="s">
        <v>1628</v>
      </c>
      <c r="E152" s="210" t="s">
        <v>1778</v>
      </c>
      <c r="F152" s="177">
        <v>28</v>
      </c>
      <c r="G152" s="173">
        <v>125</v>
      </c>
      <c r="H152" s="177" t="s">
        <v>1641</v>
      </c>
      <c r="I152" s="200"/>
      <c r="J152" s="194"/>
      <c r="K152" s="195">
        <f>0.05*3.14*0.125*0.125/4</f>
        <v>6.1328125000000011E-4</v>
      </c>
      <c r="L152" s="225">
        <v>12</v>
      </c>
      <c r="M152" s="194">
        <v>42</v>
      </c>
      <c r="N152" s="207">
        <f>9568*K152*SQRT(M152)/розрах!$I$133</f>
        <v>1.8841864570772485E-2</v>
      </c>
      <c r="O152" s="224">
        <f>G152/1000*G152/1000*F152*0.785/розрах!$I$175</f>
        <v>1.7016337591651946E-4</v>
      </c>
    </row>
    <row r="153" spans="1:15" s="196" customFormat="1" ht="63" x14ac:dyDescent="0.25">
      <c r="A153" s="173">
        <f t="shared" si="3"/>
        <v>148</v>
      </c>
      <c r="B153" s="206" t="s">
        <v>105</v>
      </c>
      <c r="C153" s="173" t="s">
        <v>1612</v>
      </c>
      <c r="D153" s="200" t="s">
        <v>1629</v>
      </c>
      <c r="E153" s="210" t="s">
        <v>1779</v>
      </c>
      <c r="F153" s="177">
        <v>11</v>
      </c>
      <c r="G153" s="173">
        <v>80</v>
      </c>
      <c r="H153" s="177" t="s">
        <v>1641</v>
      </c>
      <c r="I153" s="200">
        <v>2.5000000000000001E-4</v>
      </c>
      <c r="J153" s="194"/>
      <c r="K153" s="194"/>
      <c r="L153" s="194">
        <v>12</v>
      </c>
      <c r="M153" s="194">
        <v>42</v>
      </c>
      <c r="N153" s="207">
        <f>9568*I153*SQRT(M153)/розрах!$I$133</f>
        <v>7.6807600798053429E-3</v>
      </c>
      <c r="O153" s="224">
        <f>G153/1000*G153/1000*F153*0.785/розрах!$I$175</f>
        <v>2.738171809033822E-5</v>
      </c>
    </row>
    <row r="154" spans="1:15" s="196" customFormat="1" ht="63" x14ac:dyDescent="0.25">
      <c r="A154" s="173">
        <f t="shared" si="3"/>
        <v>149</v>
      </c>
      <c r="B154" s="206" t="s">
        <v>105</v>
      </c>
      <c r="C154" s="173" t="s">
        <v>1612</v>
      </c>
      <c r="D154" s="200" t="s">
        <v>1629</v>
      </c>
      <c r="E154" s="210" t="s">
        <v>1779</v>
      </c>
      <c r="F154" s="177">
        <v>11</v>
      </c>
      <c r="G154" s="173">
        <v>100</v>
      </c>
      <c r="H154" s="177" t="s">
        <v>1509</v>
      </c>
      <c r="I154" s="217">
        <v>2.2000000000000001E-4</v>
      </c>
      <c r="J154" s="194"/>
      <c r="K154" s="194"/>
      <c r="L154" s="194">
        <v>6</v>
      </c>
      <c r="M154" s="194">
        <v>58</v>
      </c>
      <c r="N154" s="207">
        <f>9568*I154*SQRT(M154)/розрах!$I$133</f>
        <v>7.9428474796431562E-3</v>
      </c>
      <c r="O154" s="224">
        <f>G154/1000*G154/1000*F154*0.785/розрах!$I$175</f>
        <v>4.2783934516153474E-5</v>
      </c>
    </row>
    <row r="155" spans="1:15" s="196" customFormat="1" ht="63" x14ac:dyDescent="0.25">
      <c r="A155" s="173">
        <f t="shared" si="3"/>
        <v>150</v>
      </c>
      <c r="B155" s="206" t="s">
        <v>105</v>
      </c>
      <c r="C155" s="173" t="s">
        <v>1612</v>
      </c>
      <c r="D155" s="200" t="s">
        <v>1630</v>
      </c>
      <c r="E155" s="210" t="s">
        <v>1780</v>
      </c>
      <c r="F155" s="177">
        <v>39</v>
      </c>
      <c r="G155" s="173">
        <v>125</v>
      </c>
      <c r="H155" s="177" t="s">
        <v>1641</v>
      </c>
      <c r="I155" s="200"/>
      <c r="J155" s="194"/>
      <c r="K155" s="195">
        <f>0.05*3.14*0.125*0.125/4</f>
        <v>6.1328125000000011E-4</v>
      </c>
      <c r="L155" s="195"/>
      <c r="M155" s="194">
        <v>42</v>
      </c>
      <c r="N155" s="207">
        <f>9568*K155*SQRT(M155)/розрах!$I$133</f>
        <v>1.8841864570772485E-2</v>
      </c>
      <c r="O155" s="224">
        <f>G155/1000*G155/1000*F155*0.785/розрах!$I$175</f>
        <v>2.3701327359800927E-4</v>
      </c>
    </row>
    <row r="156" spans="1:15" s="196" customFormat="1" ht="63" x14ac:dyDescent="0.25">
      <c r="A156" s="173">
        <f t="shared" si="3"/>
        <v>151</v>
      </c>
      <c r="B156" s="173" t="s">
        <v>164</v>
      </c>
      <c r="C156" s="180" t="s">
        <v>1631</v>
      </c>
      <c r="D156" s="179" t="s">
        <v>1632</v>
      </c>
      <c r="E156" s="215" t="s">
        <v>1781</v>
      </c>
      <c r="F156" s="234">
        <v>69</v>
      </c>
      <c r="G156" s="178">
        <v>32</v>
      </c>
      <c r="H156" s="177" t="s">
        <v>1509</v>
      </c>
      <c r="I156" s="217">
        <v>2.0000000000000001E-4</v>
      </c>
      <c r="J156" s="194"/>
      <c r="K156" s="194"/>
      <c r="L156" s="194">
        <v>0.5</v>
      </c>
      <c r="M156" s="194">
        <v>36</v>
      </c>
      <c r="N156" s="207">
        <f>9568*I156*SQRT(M156)/розрах!$I$133</f>
        <v>5.6888016507315306E-3</v>
      </c>
      <c r="O156" s="224">
        <f>G156/1000*G156/1000*F156*0.785/розрах!$I$175</f>
        <v>2.7481287974303085E-5</v>
      </c>
    </row>
    <row r="157" spans="1:15" s="196" customFormat="1" ht="78.75" x14ac:dyDescent="0.25">
      <c r="A157" s="173">
        <f t="shared" si="3"/>
        <v>152</v>
      </c>
      <c r="B157" s="602" t="s">
        <v>1633</v>
      </c>
      <c r="C157" s="603"/>
      <c r="D157" s="176" t="s">
        <v>1634</v>
      </c>
      <c r="E157" s="215" t="s">
        <v>1782</v>
      </c>
      <c r="F157" s="234">
        <v>46</v>
      </c>
      <c r="G157" s="178">
        <v>32</v>
      </c>
      <c r="H157" s="177" t="s">
        <v>1641</v>
      </c>
      <c r="I157" s="217">
        <v>2.0000000000000001E-4</v>
      </c>
      <c r="J157" s="194"/>
      <c r="K157" s="194"/>
      <c r="L157" s="194">
        <v>0.5</v>
      </c>
      <c r="M157" s="194">
        <v>27</v>
      </c>
      <c r="N157" s="207">
        <f>9568*I157*SQRT(M157)/розрах!$I$133</f>
        <v>4.926646746624355E-3</v>
      </c>
      <c r="O157" s="224">
        <f>G157/1000*G157/1000*F157*0.785/розрах!$I$175</f>
        <v>1.8320858649535389E-5</v>
      </c>
    </row>
    <row r="158" spans="1:15" s="196" customFormat="1" ht="63" x14ac:dyDescent="0.25">
      <c r="A158" s="173">
        <f t="shared" si="3"/>
        <v>153</v>
      </c>
      <c r="B158" s="221" t="s">
        <v>105</v>
      </c>
      <c r="C158" s="221" t="s">
        <v>1583</v>
      </c>
      <c r="D158" s="211" t="s">
        <v>1584</v>
      </c>
      <c r="E158" s="229" t="s">
        <v>1783</v>
      </c>
      <c r="F158" s="235">
        <v>61</v>
      </c>
      <c r="G158" s="173">
        <v>50</v>
      </c>
      <c r="H158" s="230" t="s">
        <v>1509</v>
      </c>
      <c r="I158" s="231">
        <v>2.0000000000000001E-4</v>
      </c>
      <c r="J158" s="193"/>
      <c r="K158" s="193"/>
      <c r="L158" s="193">
        <v>0.5</v>
      </c>
      <c r="M158" s="132">
        <v>30</v>
      </c>
      <c r="N158" s="232">
        <f>9568*I158*SQRT(M158)/розрах!$I$133</f>
        <v>5.1931416487971411E-3</v>
      </c>
      <c r="O158" s="224">
        <f>G158/1000*G158/1000*F158*0.785/розрах!$I$175</f>
        <v>5.9314091033758211E-5</v>
      </c>
    </row>
    <row r="159" spans="1:15" s="196" customFormat="1" ht="63" x14ac:dyDescent="0.25">
      <c r="A159" s="173">
        <f t="shared" si="3"/>
        <v>154</v>
      </c>
      <c r="B159" s="173" t="s">
        <v>164</v>
      </c>
      <c r="C159" s="173" t="s">
        <v>1583</v>
      </c>
      <c r="D159" s="176" t="s">
        <v>1584</v>
      </c>
      <c r="E159" s="210" t="s">
        <v>1783</v>
      </c>
      <c r="F159" s="177">
        <v>318</v>
      </c>
      <c r="G159" s="178">
        <v>32</v>
      </c>
      <c r="H159" s="177" t="s">
        <v>1641</v>
      </c>
      <c r="I159" s="217">
        <v>2.0000000000000001E-4</v>
      </c>
      <c r="J159" s="194"/>
      <c r="K159" s="194"/>
      <c r="L159" s="194">
        <v>0.5</v>
      </c>
      <c r="M159" s="194">
        <v>30</v>
      </c>
      <c r="N159" s="207">
        <f>9568*I159*SQRT(M159)/розрах!$I$133</f>
        <v>5.1931416487971411E-3</v>
      </c>
      <c r="O159" s="224">
        <f>G159/1000*G159/1000*F159*0.785/розрах!$I$175</f>
        <v>1.2665289240330985E-4</v>
      </c>
    </row>
    <row r="160" spans="1:15" s="196" customFormat="1" ht="63" x14ac:dyDescent="0.25">
      <c r="A160" s="173">
        <f t="shared" si="3"/>
        <v>155</v>
      </c>
      <c r="B160" s="173" t="s">
        <v>105</v>
      </c>
      <c r="C160" s="173" t="s">
        <v>1610</v>
      </c>
      <c r="D160" s="176" t="s">
        <v>1611</v>
      </c>
      <c r="E160" s="213" t="s">
        <v>1784</v>
      </c>
      <c r="F160" s="173">
        <v>15</v>
      </c>
      <c r="G160" s="173">
        <v>100</v>
      </c>
      <c r="H160" s="177" t="s">
        <v>1509</v>
      </c>
      <c r="I160" s="177">
        <v>2.3000000000000001E-4</v>
      </c>
      <c r="J160" s="194"/>
      <c r="K160" s="194"/>
      <c r="L160" s="194">
        <v>6</v>
      </c>
      <c r="M160" s="194">
        <v>64</v>
      </c>
      <c r="N160" s="207">
        <f>9568*I160*SQRT(M160)/розрах!$I$133</f>
        <v>8.7228291977883461E-3</v>
      </c>
      <c r="O160" s="224">
        <f>G160/1000*G160/1000*F160*0.785/розрах!$I$175</f>
        <v>5.834172888566381E-5</v>
      </c>
    </row>
    <row r="161" spans="1:15" s="196" customFormat="1" ht="63" x14ac:dyDescent="0.25">
      <c r="A161" s="173">
        <f t="shared" si="3"/>
        <v>156</v>
      </c>
      <c r="B161" s="173" t="s">
        <v>105</v>
      </c>
      <c r="C161" s="173" t="s">
        <v>1610</v>
      </c>
      <c r="D161" s="176" t="s">
        <v>1635</v>
      </c>
      <c r="E161" s="210" t="s">
        <v>1785</v>
      </c>
      <c r="F161" s="177">
        <v>86</v>
      </c>
      <c r="G161" s="173">
        <v>125</v>
      </c>
      <c r="H161" s="177" t="s">
        <v>1509</v>
      </c>
      <c r="I161" s="177">
        <v>2.9999999999999997E-4</v>
      </c>
      <c r="J161" s="194"/>
      <c r="K161" s="194"/>
      <c r="L161" s="194">
        <v>5</v>
      </c>
      <c r="M161" s="194">
        <v>64</v>
      </c>
      <c r="N161" s="207">
        <f>9568*I161*SQRT(M161)/розрах!$I$133</f>
        <v>1.1377603301463059E-2</v>
      </c>
      <c r="O161" s="224">
        <f>G161/1000*G161/1000*F161*0.785/розрах!$I$175</f>
        <v>5.2264465460073837E-4</v>
      </c>
    </row>
    <row r="162" spans="1:15" s="196" customFormat="1" ht="63" x14ac:dyDescent="0.25">
      <c r="A162" s="173">
        <f t="shared" si="3"/>
        <v>157</v>
      </c>
      <c r="B162" s="173" t="s">
        <v>105</v>
      </c>
      <c r="C162" s="173" t="s">
        <v>1610</v>
      </c>
      <c r="D162" s="176" t="s">
        <v>1636</v>
      </c>
      <c r="E162" s="210" t="s">
        <v>1786</v>
      </c>
      <c r="F162" s="177">
        <v>40</v>
      </c>
      <c r="G162" s="173">
        <v>125</v>
      </c>
      <c r="H162" s="177" t="s">
        <v>1509</v>
      </c>
      <c r="I162" s="177">
        <v>2.2000000000000001E-4</v>
      </c>
      <c r="J162" s="194"/>
      <c r="K162" s="194"/>
      <c r="L162" s="194">
        <v>5</v>
      </c>
      <c r="M162" s="194">
        <v>64</v>
      </c>
      <c r="N162" s="207">
        <f>9568*I162*SQRT(M162)/розрах!$I$133</f>
        <v>8.3435757544062447E-3</v>
      </c>
      <c r="O162" s="224">
        <f>G162/1000*G162/1000*F162*0.785/розрах!$I$175</f>
        <v>2.4309053702359926E-4</v>
      </c>
    </row>
    <row r="163" spans="1:15" s="196" customFormat="1" ht="63" x14ac:dyDescent="0.25">
      <c r="A163" s="173">
        <f t="shared" si="3"/>
        <v>158</v>
      </c>
      <c r="B163" s="173" t="s">
        <v>105</v>
      </c>
      <c r="C163" s="173" t="s">
        <v>1610</v>
      </c>
      <c r="D163" s="176" t="s">
        <v>1637</v>
      </c>
      <c r="E163" s="210" t="s">
        <v>1787</v>
      </c>
      <c r="F163" s="177">
        <v>63</v>
      </c>
      <c r="G163" s="173">
        <v>80</v>
      </c>
      <c r="H163" s="177" t="s">
        <v>1641</v>
      </c>
      <c r="I163" s="177">
        <v>2.0000000000000001E-4</v>
      </c>
      <c r="J163" s="194"/>
      <c r="K163" s="194"/>
      <c r="L163" s="194">
        <v>0.5</v>
      </c>
      <c r="M163" s="194">
        <v>40</v>
      </c>
      <c r="N163" s="207">
        <f>9568*I163*SQRT(M163)/розрах!$I$133</f>
        <v>5.9965234577457728E-3</v>
      </c>
      <c r="O163" s="194">
        <f>G163/1000*G163/1000*F163*0.785/розрах!$I$175</f>
        <v>1.5682256724466434E-4</v>
      </c>
    </row>
    <row r="164" spans="1:15" s="196" customFormat="1" ht="63" x14ac:dyDescent="0.25">
      <c r="A164" s="173">
        <f t="shared" si="3"/>
        <v>159</v>
      </c>
      <c r="B164" s="173" t="s">
        <v>105</v>
      </c>
      <c r="C164" s="173" t="s">
        <v>1610</v>
      </c>
      <c r="D164" s="176" t="s">
        <v>1638</v>
      </c>
      <c r="E164" s="210" t="s">
        <v>1788</v>
      </c>
      <c r="F164" s="177">
        <v>9</v>
      </c>
      <c r="G164" s="173">
        <v>50</v>
      </c>
      <c r="H164" s="177" t="s">
        <v>1641</v>
      </c>
      <c r="I164" s="177">
        <v>2.0000000000000001E-4</v>
      </c>
      <c r="J164" s="194"/>
      <c r="K164" s="194"/>
      <c r="L164" s="194">
        <v>0.5</v>
      </c>
      <c r="M164" s="194">
        <v>40</v>
      </c>
      <c r="N164" s="207">
        <f>9568*I164*SQRT(M164)/розрах!$I$133</f>
        <v>5.9965234577457728E-3</v>
      </c>
      <c r="O164" s="224">
        <f>G164/1000*G164/1000*F164*0.785/розрах!$I$175</f>
        <v>8.7512593328495722E-6</v>
      </c>
    </row>
    <row r="165" spans="1:15" s="196" customFormat="1" ht="63" x14ac:dyDescent="0.25">
      <c r="A165" s="173">
        <f t="shared" si="3"/>
        <v>160</v>
      </c>
      <c r="B165" s="173" t="s">
        <v>105</v>
      </c>
      <c r="C165" s="173" t="s">
        <v>1610</v>
      </c>
      <c r="D165" s="176" t="s">
        <v>1635</v>
      </c>
      <c r="E165" s="210" t="s">
        <v>1785</v>
      </c>
      <c r="F165" s="177">
        <v>86</v>
      </c>
      <c r="G165" s="173">
        <v>80</v>
      </c>
      <c r="H165" s="177" t="s">
        <v>1641</v>
      </c>
      <c r="I165" s="177">
        <v>2.0000000000000001E-4</v>
      </c>
      <c r="J165" s="194"/>
      <c r="K165" s="194"/>
      <c r="L165" s="194">
        <v>0.5</v>
      </c>
      <c r="M165" s="194">
        <v>40</v>
      </c>
      <c r="N165" s="207">
        <f>9568*I165*SQRT(M165)/розрах!$I$133</f>
        <v>5.9965234577457728E-3</v>
      </c>
      <c r="O165" s="194">
        <f>G165/1000*G165/1000*F165*0.785/розрах!$I$175</f>
        <v>2.1407525052446243E-4</v>
      </c>
    </row>
    <row r="166" spans="1:15" s="196" customFormat="1" ht="63" x14ac:dyDescent="0.25">
      <c r="A166" s="173">
        <f t="shared" si="3"/>
        <v>161</v>
      </c>
      <c r="B166" s="173" t="s">
        <v>105</v>
      </c>
      <c r="C166" s="173" t="s">
        <v>1610</v>
      </c>
      <c r="D166" s="176" t="s">
        <v>1639</v>
      </c>
      <c r="E166" s="213" t="s">
        <v>1789</v>
      </c>
      <c r="F166" s="173">
        <v>46</v>
      </c>
      <c r="G166" s="173">
        <v>50</v>
      </c>
      <c r="H166" s="177" t="s">
        <v>1641</v>
      </c>
      <c r="I166" s="177">
        <v>2.0000000000000001E-4</v>
      </c>
      <c r="J166" s="194"/>
      <c r="K166" s="194"/>
      <c r="L166" s="194">
        <v>0.5</v>
      </c>
      <c r="M166" s="194">
        <v>40</v>
      </c>
      <c r="N166" s="207">
        <f>9568*I166*SQRT(M166)/розрах!$I$133</f>
        <v>5.9965234577457728E-3</v>
      </c>
      <c r="O166" s="224">
        <f>G166/1000*G166/1000*F166*0.785/розрах!$I$175</f>
        <v>4.4728658812342262E-5</v>
      </c>
    </row>
    <row r="167" spans="1:15" s="196" customFormat="1" x14ac:dyDescent="0.25">
      <c r="A167" s="618"/>
      <c r="B167" s="618"/>
      <c r="C167" s="618"/>
      <c r="D167" s="618"/>
      <c r="E167" s="618"/>
      <c r="F167" s="618"/>
      <c r="G167" s="618"/>
      <c r="H167" s="618"/>
      <c r="I167" s="177"/>
      <c r="J167" s="194"/>
      <c r="K167" s="194"/>
      <c r="L167" s="194"/>
      <c r="M167" s="194"/>
      <c r="N167" s="226">
        <f>SUM(N6:N166)</f>
        <v>3.7420186767097618</v>
      </c>
      <c r="O167" s="226">
        <f>SUM(O6:O166)</f>
        <v>4.1593856204707277E-2</v>
      </c>
    </row>
    <row r="168" spans="1:15" x14ac:dyDescent="0.25">
      <c r="A168" s="181"/>
      <c r="B168" s="181"/>
      <c r="C168" s="182"/>
      <c r="D168" s="183"/>
      <c r="E168" s="182"/>
      <c r="F168" s="182"/>
      <c r="G168" s="182"/>
      <c r="H168" s="181"/>
      <c r="I168" s="181"/>
    </row>
    <row r="169" spans="1:15" ht="39" customHeight="1" x14ac:dyDescent="0.25">
      <c r="A169" s="608"/>
      <c r="B169" s="608"/>
      <c r="C169" s="608"/>
      <c r="D169" s="608"/>
      <c r="E169" s="608"/>
      <c r="F169" s="608"/>
      <c r="G169" s="608"/>
      <c r="H169" s="608"/>
      <c r="I169" s="199"/>
    </row>
  </sheetData>
  <autoFilter ref="A5:IU167"/>
  <mergeCells count="19">
    <mergeCell ref="J1:O1"/>
    <mergeCell ref="A169:H169"/>
    <mergeCell ref="A2:H2"/>
    <mergeCell ref="I3:K3"/>
    <mergeCell ref="M3:M4"/>
    <mergeCell ref="H3:H4"/>
    <mergeCell ref="D3:D4"/>
    <mergeCell ref="B157:C157"/>
    <mergeCell ref="L3:L4"/>
    <mergeCell ref="A167:H167"/>
    <mergeCell ref="C3:C4"/>
    <mergeCell ref="B3:B4"/>
    <mergeCell ref="A3:A4"/>
    <mergeCell ref="B137:C137"/>
    <mergeCell ref="B138:C138"/>
    <mergeCell ref="B139:C139"/>
    <mergeCell ref="N3:N4"/>
    <mergeCell ref="O3:O4"/>
    <mergeCell ref="E3:G3"/>
  </mergeCells>
  <pageMargins left="0.7" right="0.7" top="0.75" bottom="0.75" header="0.3" footer="0.3"/>
  <pageSetup paperSize="9"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vt:lpstr>
      <vt:lpstr>свод</vt:lpstr>
      <vt:lpstr>пояснение</vt:lpstr>
      <vt:lpstr>розрах</vt:lpstr>
      <vt:lpstr>коеф К</vt:lpstr>
      <vt:lpstr>ТЕЦ</vt:lpstr>
      <vt:lpstr>КППВ</vt:lpstr>
      <vt:lpstr>котельні</vt:lpstr>
      <vt:lpstr>аварії</vt:lpstr>
      <vt:lpstr>бойлера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2019-10-04T12:34:48Z</dcterms:modified>
</cp:coreProperties>
</file>