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Додаток 1" sheetId="1" r:id="rId1"/>
    <sheet name="Додаток 2" sheetId="2" r:id="rId2"/>
    <sheet name="Додаток 3" sheetId="3" r:id="rId3"/>
    <sheet name="Додаток 4" sheetId="4" r:id="rId4"/>
    <sheet name="Паспорт" sheetId="5" state="hidden" r:id="rId5"/>
    <sheet name="Лист1" sheetId="6" state="hidden" r:id="rId6"/>
  </sheets>
  <externalReferences>
    <externalReference r:id="rId9"/>
  </externalReferences>
  <definedNames>
    <definedName name="_xlnm.Print_Titles" localSheetId="1">'Додаток 2'!$7:$10</definedName>
    <definedName name="_xlnm.Print_Titles" localSheetId="2">'Додаток 3'!$7:$10</definedName>
    <definedName name="_xlnm.Print_Area" localSheetId="0">'Додаток 1'!$A$1:$C$25</definedName>
    <definedName name="_xlnm.Print_Area" localSheetId="1">'Додаток 2'!$A$1:$K$86</definedName>
    <definedName name="_xlnm.Print_Area" localSheetId="2">'Додаток 3'!$A$1:$K$186</definedName>
    <definedName name="_xlnm.Print_Area" localSheetId="3">'Додаток 4'!$A$1:$K$26</definedName>
  </definedNames>
  <calcPr fullCalcOnLoad="1"/>
</workbook>
</file>

<file path=xl/sharedStrings.xml><?xml version="1.0" encoding="utf-8"?>
<sst xmlns="http://schemas.openxmlformats.org/spreadsheetml/2006/main" count="547" uniqueCount="260">
  <si>
    <t>2020 (прогноз)</t>
  </si>
  <si>
    <t>загальний фонд</t>
  </si>
  <si>
    <t>спеціальний фонд</t>
  </si>
  <si>
    <t>Разом</t>
  </si>
  <si>
    <t>Додаток 1</t>
  </si>
  <si>
    <t>№ з/п</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</si>
  <si>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</si>
  <si>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</si>
  <si>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</si>
  <si>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</si>
  <si>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</si>
  <si>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</si>
  <si>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t>Додаток 3</t>
  </si>
  <si>
    <t>Додаток 2</t>
  </si>
  <si>
    <t>Підпрограма 1. СПРИЯННЯ ПОКРАЩЕННЮ НАДАННЯ ПЕРВИННОЇ МЕДИКО-САНІТАРНОЇ ДОПОМОГИ НАСЕЛЕННЮ М. СУМИ</t>
  </si>
  <si>
    <t>Покращення догляду за тяжкохворими у домашніх умовах та адаптування їх до самообслуговування.                                             Раннє виявлення туберкульозу у дітей та підлітків</t>
  </si>
  <si>
    <t xml:space="preserve">2.1. Забезпечення інвалідів та дітей-інвалідів технічними та іншими засобами для догляду у домашніх умовах                                                          2.2. Придбання туберкуліну та вакцин для проведення  імунопрофілактики медичних працівників та населення з груп ризику  </t>
  </si>
  <si>
    <t>Забезпечення надання вторинної (амбулаторної та стаціонарної) медичної допомоги у повному обсязі відповідно до галузевих стандартів</t>
  </si>
  <si>
    <t>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Покращення діагностики захворювань у ургентних хворих методами КТ та МРТ</t>
  </si>
  <si>
    <t>Забезпечення ефективних механізмів мотивації працівників</t>
  </si>
  <si>
    <t>Забезпечення комфортного перебування у закладі охорони здоров’я працівників та пацієнтів</t>
  </si>
  <si>
    <t>Оновлення матеріально-технічної бази закладів та впровадження сучасних діагностичних та лікувальних технололгій.                   Приведення приміщень у відповідність до діючих нормативів та створення комфортних і безпечних умов лікування.</t>
  </si>
  <si>
    <t xml:space="preserve">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t>
  </si>
  <si>
    <t xml:space="preserve">1.1. Забезпечення лікарськими засобами хворих на цукровий та нецукровий діабет </t>
  </si>
  <si>
    <t>Забезпечення хворих на цукровий та нецукровий діабет необхідними лікарськими засобами, попередження розвитку ускладнень</t>
  </si>
  <si>
    <t>2.1. Забезпечення хворих за рецептами лікарів препаратами для лікування захворювань за програмою "Доступні ліки"</t>
  </si>
  <si>
    <t>Забезпечення хворих необхідними лікарськими засобами, попередження розвитку ускладнень, зниження показників інвалідності та смертності</t>
  </si>
  <si>
    <t>Впровадження сучасних діагностичних та лікувальних технологій. Оновлення матеріально-технічної бази закладів у зв'язку з реформуванням у 2019 році закладів спеціалізованої допомоги та впровадження програми "Безкоштовна діагностіка", запуском нових електронних інструментів в електронній системі охорони здоров'я, впровадженням електронного рецепту за програмою "Доступні ліки" .    Приведення приміщень у відповідність до діючих нормативів та створення комфортних і безпечних умов лікування.</t>
  </si>
  <si>
    <t xml:space="preserve">Забезпечення надання стоматололгічної допомоги у повному обсязі відповідно до галузевих стандартів.                                                 </t>
  </si>
  <si>
    <t>Проведення безкоштовного  зубопротезування особам пільгових категорій</t>
  </si>
  <si>
    <t xml:space="preserve"> 1.1. Придбання лікарських засобів та витратних матеріалів для лікування та видалення зубів мешканцям м. Суми</t>
  </si>
  <si>
    <t>№4</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</si>
  <si>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</si>
  <si>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</si>
  <si>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</si>
  <si>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</si>
  <si>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</si>
  <si>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</si>
  <si>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Інші програми та  заходи у сфері охорони здоров'я.</t>
  </si>
  <si>
    <t>Відділ охорони здоров'я Сумської міської ради  Централізовані заходи з лікування хворих на цукровий та нецукровий діабет</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</si>
  <si>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</si>
  <si>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Стоматологічна допомога населенню</t>
  </si>
  <si>
    <t>Відділ охорони здоров'я Сумської міської ради                                                                         Інші програми, заклади та заходи у сфері охорони здоров'я</t>
  </si>
  <si>
    <t>Відділ охорони здоров'я Сумської міської ради                                                                   Програми і централізовані заходи у галузі охорони здоров'я</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</si>
  <si>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</si>
  <si>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</si>
  <si>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</si>
  <si>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Забезпечення виконання соціальних гарантій для пільгових категорій населення</t>
  </si>
  <si>
    <t>Придбання медикаментів та перев’язувальних матеріалів</t>
  </si>
  <si>
    <t>Видатки на оплату вартості комунальних послуг та енергоносіїв</t>
  </si>
  <si>
    <t xml:space="preserve"> Капітальні видатки</t>
  </si>
  <si>
    <t>Орієнтовні обсяги фінансування, тис.грн.</t>
  </si>
  <si>
    <t>всього</t>
  </si>
  <si>
    <t>у т.ч. по роках</t>
  </si>
  <si>
    <t>2019 (проект)</t>
  </si>
  <si>
    <t>2021 (прогноз)</t>
  </si>
  <si>
    <t xml:space="preserve">Забезпечення виконання державних гарантій, попередження розвитку необоротних ускладнень та продовження тривалості і якості життя населення                                                                 </t>
  </si>
  <si>
    <t xml:space="preserve">Кошти міського бюджету (загальний фонд) </t>
  </si>
  <si>
    <t>Відділ охорони здоров’я Сумської міської ради</t>
  </si>
  <si>
    <t xml:space="preserve">1.1. Забезпечення відповідних  категорій хворих лікуванням у повному обсязі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</si>
  <si>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2019-2021 роки</t>
  </si>
  <si>
    <t>Забезпечення комфортного перебування у закладі охорони здоров’я пацієнтів та працівників</t>
  </si>
  <si>
    <t xml:space="preserve">Підпрограма 2. РОЗВИТОК МЕРЕЖІ ЗАКЛАДІВ ОХОРОНИ ЗДОРОВ'Я, ЯКІ НАДАЮТЬ ВТОРИННУ (СПЕЦІАЛІЗОВАНУ) МЕДИЧНУ ДОПОМОГУ НАСЕЛЕННЮ </t>
  </si>
  <si>
    <t xml:space="preserve">Кошти міського бюджету (спеціальний  фонд) </t>
  </si>
  <si>
    <t>УСЬОГО</t>
  </si>
  <si>
    <t>у тому числі</t>
  </si>
  <si>
    <t>Придбання медикаментів, реактивів, витратних матеріалів та перев’язувальних засобів</t>
  </si>
  <si>
    <t>заг</t>
  </si>
  <si>
    <t>спец</t>
  </si>
  <si>
    <t>Інші видатки для забезпечення стабільного функціонування закладів при наданні медичної допомоги населенню</t>
  </si>
  <si>
    <t>Оплата праці та нарахування на заробітну плату</t>
  </si>
  <si>
    <t xml:space="preserve">Кошти державного бюджету (медична субвенція, загальний  фонд) </t>
  </si>
  <si>
    <t>держ</t>
  </si>
  <si>
    <t>1.1. Забезпечення вагітних, роділь, породіль та новонароджених та гінекологічних хворих лікарськими засобами відповідно до Національного переліку (постанова КМУ від 16.03.2017 № 180)                                                            1.2. Придбання засобів контрацепції для жінок з малозабезпечених родин, підлітків та жінок, у яких вагітність та пологи загрожують життю                                                        1.3. Проведення необхідних лабораторних обстежень жінкам та новонародженим дітям згідно клінічних протоколів                                                                         1.4. Придбання лікарських засобів та медичних виробів для зупинки акушерських кровотеч                                                          1.5. Придбання антирезусних імуноглобулінів для профілактики гемолітичної хвороби новонароджених                                                              1.6. Забезпечення новонароджених препаратами для лікування геморагічної хвороби</t>
  </si>
  <si>
    <t>Підпрограма 3. ОХОРОНА МАТЕРИНСТВА ТА ДИТИНСТВА</t>
  </si>
  <si>
    <t>Пільгове зубопротезування</t>
  </si>
  <si>
    <t>дер</t>
  </si>
  <si>
    <t xml:space="preserve"> Придбання медикаментів, реактивів, витратних матеріалів та перев’язувальних засобів</t>
  </si>
  <si>
    <t>Капітальні видатки</t>
  </si>
  <si>
    <t>Підпрограма 4. НАДАННЯ СТОМАТОЛОГІЧНОЇ ДОПОМОГИ НАСЕЛЕННЮ МІСТА</t>
  </si>
  <si>
    <t>Забезпечення відшкодування витрат, пов’язаних з відпуском медикаментів за Урядовою програмою "Доступні ліки"</t>
  </si>
  <si>
    <t>Підпрограма 5. ПРОГРАМНІ ТА ЦЕНТРАЛІЗОВАНІ ЗАХОДИ У ГАЛУЗІ "ОХОРОНА ЗДОРОВ'Я"</t>
  </si>
  <si>
    <t xml:space="preserve">Забезпечення відшкодування витрат, пов’язаних з відпуском препаратів інсуліну  </t>
  </si>
  <si>
    <t>1.1. Забезпечення ведення бухгалтерського обліку закладів та установ освіти, складання та надання кошторисної, звітної, фінансової документації, фінансування установ згідно з затвердженими кошторисами</t>
  </si>
  <si>
    <t xml:space="preserve">1. </t>
  </si>
  <si>
    <t xml:space="preserve">Стабільне фінансування закладів </t>
  </si>
  <si>
    <t>до комплексної міської Програми "Охорона здоров'я м. Суми на 2019-2021 роки"</t>
  </si>
  <si>
    <t>бюджетних програм до комплексної міської Програми</t>
  </si>
  <si>
    <t>Напрями діяльності  (підпрограми), завдання та заходи комплексної міської  Програми "Охорона здоров'я м. Суми на 2019-2021 роки"</t>
  </si>
  <si>
    <t>2.1. Забезпечення  зубопротезуванням осіб пільгових категорій м.Суми</t>
  </si>
  <si>
    <t>6.1. Придбання обладнання довгострокового користування                                                              6.2. Капітальні ремонти приміщень</t>
  </si>
  <si>
    <t>гемодіаліз</t>
  </si>
  <si>
    <t>Підпрограма 6. АНАЛІТИЧНА ЗВІТНІСТЬ, ЦЕНТРАЛІЗОВАНИЙ БУХГАЛТЕРСКИЙ ТА ФІНАНСОВИЙ ОБЛІК У  У ГАЛУЗІ "ОХОРОНА ЗДОРОВ'Я"</t>
  </si>
  <si>
    <t xml:space="preserve"> грн</t>
  </si>
  <si>
    <t>Мета, КПКВК, завдання та результативні показники Програми</t>
  </si>
  <si>
    <t>Код програмної класифікації видатків та кредитування (КПКВК)</t>
  </si>
  <si>
    <t>2019 рік (проект)</t>
  </si>
  <si>
    <t>2020 рік (прогноз)</t>
  </si>
  <si>
    <t>2021рік (прогноз)</t>
  </si>
  <si>
    <t>в тому числі</t>
  </si>
  <si>
    <t>Загальний фонд</t>
  </si>
  <si>
    <t>Спеціальний фонд</t>
  </si>
  <si>
    <t>Всього на виконання програми, грн</t>
  </si>
  <si>
    <t>Всього на виконання підпрограми, грн</t>
  </si>
  <si>
    <t>Показники виконання:</t>
  </si>
  <si>
    <t>Показник продукту:</t>
  </si>
  <si>
    <t xml:space="preserve">кількість проведених капітальних ремонтів </t>
  </si>
  <si>
    <t>Показник ефективності:</t>
  </si>
  <si>
    <t>Показник якості:</t>
  </si>
  <si>
    <t>Відхилення 2019 від 2018, %</t>
  </si>
  <si>
    <t>з/п</t>
  </si>
  <si>
    <t>ком</t>
  </si>
  <si>
    <t>інші</t>
  </si>
  <si>
    <t>РАЗОМ ПО ПРОГРАМІ</t>
  </si>
  <si>
    <t>Дотримання вимог законодавства щодо ведення бухгалтерського обліку, забезпечення фінансування профілактично-лікувальних закладів, контроль за веденням бухгалтерського обліку та звітності установ</t>
  </si>
  <si>
    <t>Додаток 4</t>
  </si>
  <si>
    <t>затверджено на 2018 рік з урахуванням змін станом на 01.12.2018, тис.грн.</t>
  </si>
  <si>
    <t>Проект на 2019 рік , тис.грн.</t>
  </si>
  <si>
    <t>Разом по галузі "Охорона здоров'я"</t>
  </si>
  <si>
    <t>Мета програми: збереження та зміцнення здоров’я мешканців міста, підвищення ефективності заходів, спрямованих на профілактику захворювань, зниження рівнів захворюваності, інвалідності і смертності населення, підвищення якості та ефективності надання медичної допомоги, підвищення якості життя забезпечення захисту прав громадян на охорону здоров’я</t>
  </si>
  <si>
    <t xml:space="preserve">Мета: </t>
  </si>
  <si>
    <t>КПКВК 712111</t>
  </si>
  <si>
    <t>Придбання обладнання довгострокового користування</t>
  </si>
  <si>
    <t>Капітальний ремонт будівель, приміщень, інженерних мереж, території</t>
  </si>
  <si>
    <t>Показник затрат:</t>
  </si>
  <si>
    <t>кількість  установ, од.</t>
  </si>
  <si>
    <t>кількість штатних посад лікарів, осіб.</t>
  </si>
  <si>
    <t>кількість осіб пільгової категорії, осіб.</t>
  </si>
  <si>
    <t>кількість обладнання для придбання, од.</t>
  </si>
  <si>
    <r>
      <t>площа приміщень, м</t>
    </r>
    <r>
      <rPr>
        <vertAlign val="superscript"/>
        <sz val="12"/>
        <rFont val="Times New Roman"/>
        <family val="1"/>
      </rPr>
      <t>2</t>
    </r>
  </si>
  <si>
    <r>
      <t>середні витрати оплати за комунальні послуги та енергоносії на 1 м</t>
    </r>
    <r>
      <rPr>
        <vertAlign val="superscript"/>
        <sz val="12"/>
        <rFont val="Times New Roman"/>
        <family val="1"/>
      </rPr>
      <t xml:space="preserve">2 </t>
    </r>
    <r>
      <rPr>
        <sz val="12"/>
        <rFont val="Times New Roman"/>
        <family val="1"/>
      </rPr>
      <t>приміщення, грн.</t>
    </r>
  </si>
  <si>
    <t>середні витрати на  1 особу пільгової категорії, грн.</t>
  </si>
  <si>
    <t>КПКВК 712010</t>
  </si>
  <si>
    <t>кількість осіб пільгової категорії на зубопротезування, осіб.</t>
  </si>
  <si>
    <t>середні витрати на  1 особу пільгової категорії на зубопротезування, грн.</t>
  </si>
  <si>
    <t>чисельність осіб, які потребують проведення гемодіалізу</t>
  </si>
  <si>
    <t>Придбання медикаментів, реактивів, витратних матеріалів та перев’язувальних засобів:</t>
  </si>
  <si>
    <t>в т.ч. вартість медикаментів та витратного матеріалу на проведення гемодіалізу</t>
  </si>
  <si>
    <t>Оновлення матеріально-технічної бази закладів та впровадження сучасних діагностичних та лікувальних технололгій. Приведення приміщень у відповідність до діючих нормативів та створення комфортних і безпечних умов лікування.</t>
  </si>
  <si>
    <t xml:space="preserve">3.1. Оплата за споживання теплової енергії                                                         3.2. Оплата за споживання гарячої води, холодної води та водовідведення                                                                                     3.3. Оплата за споживання електричної енергії  </t>
  </si>
  <si>
    <t>КПКВК 712030</t>
  </si>
  <si>
    <t>середня вартість медикаментів та витратного матеріалу на проведення гемодіалізу з розрахунку на одного хворого, грн.</t>
  </si>
  <si>
    <t>зниження показника летальності,%</t>
  </si>
  <si>
    <t>кількість ліжок, од.</t>
  </si>
  <si>
    <t>кількість породіль, осіб</t>
  </si>
  <si>
    <t>кількість новонароджених, осіб</t>
  </si>
  <si>
    <t>кількість відвідувань жіночих консультацій, од.</t>
  </si>
  <si>
    <t>середня тривалість перебування породіль у пологовому будинку, днів</t>
  </si>
  <si>
    <t>кількість породіль на одного лікаря, осіб</t>
  </si>
  <si>
    <t>зниження кількості кесарських розтинів по відношенню до загальної чисельності пологів, %</t>
  </si>
  <si>
    <t>середні видатки на придбання одиниці обладнання, грн.</t>
  </si>
  <si>
    <t>середня вартість капітального ремонту, грн.</t>
  </si>
  <si>
    <t>Забезпечення надання стоматололгічної допомоги у повному обсязі відповідно до галузевих стандартів</t>
  </si>
  <si>
    <t>КПКВК 712100</t>
  </si>
  <si>
    <t xml:space="preserve">4.1.Придбання обладнання довгострокового користування                                                      4.2. Капітальні ремонти приміщень                         </t>
  </si>
  <si>
    <t>кількість лікарських відвідувань, од.</t>
  </si>
  <si>
    <t>чисельність осіб, яким проведено планова санація, осіб</t>
  </si>
  <si>
    <t>кількість протезувань, од.</t>
  </si>
  <si>
    <t xml:space="preserve">кількість пролікованих пацієнтів, осіб    </t>
  </si>
  <si>
    <t>збільшення питомої ваги санованих до потребуючих санації, %</t>
  </si>
  <si>
    <t>кількість пролікованих пацієнтів на одного лікаря-  стоматолога, од.</t>
  </si>
  <si>
    <t>кількість протезувань на одного лікаря- стоматолога, од.</t>
  </si>
  <si>
    <t>Забезпечення  необхідними лікарськими засобами, попередження розвитку ускладнень</t>
  </si>
  <si>
    <t>видатки на забезпечення медикаментами хворих на цукровий діабет, тис.грн.</t>
  </si>
  <si>
    <t>кількість хворих на цукровий діабет, що забезпечуються препаратами інсуліна, осіб</t>
  </si>
  <si>
    <t>КПКВК 0712151</t>
  </si>
  <si>
    <t>кількість установ, од.</t>
  </si>
  <si>
    <t>кількість штатних одиниць, од.</t>
  </si>
  <si>
    <t>кількість медичних закладів, які обслуговує централізована бухгалтерія, од.</t>
  </si>
  <si>
    <t>кількість складених звітів працівниками  бухгалтерії, од.</t>
  </si>
  <si>
    <t>кількість рахунків, од.</t>
  </si>
  <si>
    <t>кількість рахунків на одного працівника, од.</t>
  </si>
  <si>
    <t>Відділ охорони здоров’я  Сумської міської ради</t>
  </si>
  <si>
    <t>3.</t>
  </si>
  <si>
    <t>4.</t>
  </si>
  <si>
    <t>5.</t>
  </si>
  <si>
    <t>6.</t>
  </si>
  <si>
    <t xml:space="preserve">Міський бюджет </t>
  </si>
  <si>
    <t>7.</t>
  </si>
  <si>
    <t>8.</t>
  </si>
  <si>
    <t>1.</t>
  </si>
  <si>
    <t xml:space="preserve">Ініціатор розробки Програми </t>
  </si>
  <si>
    <t>Виконавчий комітет Сумської міської ради</t>
  </si>
  <si>
    <t>2.</t>
  </si>
  <si>
    <t>Дата, номер і назва розпорядчого документа про розроблення Програми</t>
  </si>
  <si>
    <t>Рішення Сумської міської ради від</t>
  </si>
  <si>
    <r>
      <t>29 лютого 2012 року № 1207 - МР «Про Положення про Порядок розробки, затвердження та виконання міських цільових (комплексних) програм, програми економічного і соціального розвитку міста Суми та виконання міського бюджету» (зі змінами)</t>
    </r>
    <r>
      <rPr>
        <sz val="14"/>
        <color indexed="8"/>
        <rFont val="Times New Roman"/>
        <family val="1"/>
      </rPr>
      <t xml:space="preserve"> </t>
    </r>
  </si>
  <si>
    <t>Міський замовник Програми</t>
  </si>
  <si>
    <t>-</t>
  </si>
  <si>
    <t>Розробник Програми</t>
  </si>
  <si>
    <t>Співрозробники Програми</t>
  </si>
  <si>
    <t>Відповідальний виконавець Програми</t>
  </si>
  <si>
    <t>Термін реалізації Програми</t>
  </si>
  <si>
    <t>2019 – 2021 роки</t>
  </si>
  <si>
    <t xml:space="preserve">Перелік бюджетів, які беруть участь у виконанні Програми </t>
  </si>
  <si>
    <t>9.</t>
  </si>
  <si>
    <t xml:space="preserve">Загальний обсяг фінансових ресурсів, необхідних для реалізації Програми, всього, в тому числі: </t>
  </si>
  <si>
    <t>Усього на 2019 – 2021 роки – 1531327,8 тис. грн, у т. ч.:</t>
  </si>
  <si>
    <t>2019 рік – 471569,2 тис. грн,</t>
  </si>
  <si>
    <t>2020 рік – 512130,2 тис. грн,</t>
  </si>
  <si>
    <t>2021 рік – 547628,4 тис. гривень.</t>
  </si>
  <si>
    <t>Паспорт до комплексної міської Програми "Охорона здоров'я м. Суми на 2019-2021 роки"</t>
  </si>
  <si>
    <t xml:space="preserve"> Багатопрофільна стаціонарна медична допомога населенню</t>
  </si>
  <si>
    <t>Стоматологічна допомога населенню</t>
  </si>
  <si>
    <t xml:space="preserve"> Інші програми, заклади та заходи у сфері охорони здоров'я</t>
  </si>
  <si>
    <t>Забезпечення діяльності інших закладів у сфері охорони здоров’я</t>
  </si>
  <si>
    <t xml:space="preserve"> Лікарсько-акушерська допомога вагітним, породіллям та новонародженим</t>
  </si>
  <si>
    <t>кількість звітних форм та інформацій, од,</t>
  </si>
  <si>
    <t>кількість складених звітів на одного працівника бухгалтерії, од.</t>
  </si>
  <si>
    <t>кількість звітних форм та інформацій на одного працівника , од.</t>
  </si>
  <si>
    <t>кількість проведення статистичних ревізій, од.</t>
  </si>
  <si>
    <t>кількість аналітичних довідок, письмових роз'яснень, іншої інформації на одного працівника, од.</t>
  </si>
  <si>
    <t xml:space="preserve"> Інші програми та  заходи у сфері охорони здоров'я</t>
  </si>
  <si>
    <t>Централізовані заходи з лікування хворих на цукровий та нецукровий діабет</t>
  </si>
  <si>
    <t xml:space="preserve"> Відшкодування вартості лікарських засобів для лікування окремих захворювань</t>
  </si>
  <si>
    <t xml:space="preserve"> Первинна медична допомога населенню, що надається центрами первинної медичної (медико-санітарної) допомоги</t>
  </si>
  <si>
    <t xml:space="preserve"> Програми і централізовані заходи у галузі охорони здоров'я</t>
  </si>
  <si>
    <t xml:space="preserve"> Забезпечення діяльності інших закладів у сфері охорони здоров’я</t>
  </si>
  <si>
    <t>КПКВК 712144, 712146</t>
  </si>
  <si>
    <t xml:space="preserve"> Централізовані заходи з лікування хворих на цукровий та нецукровий діабет та відшкодування вартості лікарських засобів для лікування окремих захворювань</t>
  </si>
  <si>
    <t>Первинна медична допомога населенню, що надається центрами первинної медичної (медико-санітарної) допомоги</t>
  </si>
  <si>
    <t xml:space="preserve">  Багатопрофільна стаціонарна медична допомога населенню</t>
  </si>
  <si>
    <t xml:space="preserve">Результативні показники виконання завдань комплексної міської Програми «Охорона здоров'я  м. Суми на 2019-2021 роки» 
</t>
  </si>
  <si>
    <t>Порівняльна таблиця видатків, передбачених комплексною міською Програмою "Охорона здоров'я м. Суми на 2019-2021 роки" на 2019 рік, з фактичними видатками 2018 року</t>
  </si>
  <si>
    <t xml:space="preserve">Надання медичної допомоги учасникам АТО </t>
  </si>
  <si>
    <t xml:space="preserve">1.1. Забезпечення пацієнтів у разі їх стаціонарного лікування лікарськими засобами відповідно до Національного переліку (постанова КМУ від 16.03.2017 № 180)                                                                                  1.2. Придбання медичних виробів для проведення стентування, ендопротезування, гемодіалізу, плазмаферезу.                                                               1.3. Проведення необхідних лабораторних обстежень, в т.ч. визначення глікозильованого гемоглобіну та мікроальбумінурії                                                               1.4. Забезпечення медикаментами, лабораторними реактивами та медичними виробами медичної комісії під час призову громадян та приписки допризовної дільниці                                                                                                                                                              1.6. Забезпечення хворих дітей медикаментами під час проведення оздоровчої кампанії                                                             1.7. Забезпечення спеціалізованим дороговартісним лікуванням дітей, хворих на дитячий церебральний параліч, ювенільний ревматоїдний артрит, первинний імунодефіцит та ін.                                                                              1.8.Забезпечення вагітних жінок та дітей з цукровим діабетом інсуліновими помпами та тест-системами для контролю за рівнем глікемії                                                                                          1.9. Забезпечення слуховими протезами осіб з порушеннями слуху </t>
  </si>
  <si>
    <t>2.1. Забезпечення медикаментами ветеранів війни та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</si>
  <si>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 xml:space="preserve">Підвищення рівня соціальної захищеності  учасників антитерористичної операції </t>
  </si>
  <si>
    <t>АТО</t>
  </si>
  <si>
    <t>3.1. Забезпечення  зубопротезуванням осіб пільгових категорій м.Суми</t>
  </si>
  <si>
    <t>4.1. Придбання предметів, обладнання, матеріалів та інвентарю                                                                      4.2. Забезпечення харчуванням хворих при стаціонарному лікуванні                                                                            4.3. Оплата послуг (крім комунальних), в т. ч. на проведення хворим обстеження методами КТ та МРТ                                                                                                                                                                               4.4. Видатки на відрядження та навчання                                       4.5. Соціальне забезпечення та інше</t>
  </si>
  <si>
    <t>5.1. Забезпечення виплати заробітної плати працівникам закладів охорони здоров’я                                                                         5.2. Нарахування на заробітну плату</t>
  </si>
  <si>
    <t>6.1. Оплата за споживання теплової енергії                                     6.2. Оплата за споживання гарячої води, холодної води та водовідведення                                                                           6.3. Оплата за споживання електричної енергії                                       6.4. Оплата за споживання природного газу</t>
  </si>
  <si>
    <t>7.1. Придбання обладнання довгострокового користування                                                              7.2. Капітальні ремонти приміщень</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</si>
  <si>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</si>
  <si>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</si>
  <si>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тому числі для проведення скринінгових обстежень                                                                                        3.4. Соціальне забезпечення та ін.</t>
  </si>
  <si>
    <t>3.1. Забезпечення медикаментами ветеранів війни та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</si>
  <si>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4.1. Придбання предметів, обладнання, матеріалів та інвентарю                                                                       4.2.Оплата послуг (крім комунальних)                                       4.3. Видатки на відрядження                                                                                      4.4. Соціальне забезпечення та ін.</t>
  </si>
  <si>
    <t>5.1. Забезпечення виплати заробітної плати працівникам закладів охорони здоров’я                                                                        5.2. Нарахування на заробітну плату</t>
  </si>
  <si>
    <t xml:space="preserve">6.1. Оплата за споживання теплової енергії                                     6.2. Оплата за споживання гарячої води, холодної води та водовідведення                                                                            6.3. Оплата за споживання електричної енергії                                      </t>
  </si>
  <si>
    <t>чисельність учасників АТО, осіб</t>
  </si>
  <si>
    <t>середні витрати на  1 особу учасника АТО, грн.</t>
  </si>
  <si>
    <t>Надання медичної допомоги учасникам АТО</t>
  </si>
  <si>
    <t>Департамент соціального захисту населення Сумської міської ради, відділ охорони здоров’я Сумської міської ради</t>
  </si>
  <si>
    <t>середні витрати на медикаменти на  1 ліжко-день, грн.</t>
  </si>
  <si>
    <t>кількість пролікованих у стаціонарі, осіб</t>
  </si>
  <si>
    <t>кількість звернень до поліклініки, осіб</t>
  </si>
  <si>
    <t>кількість випадків материнської смертності,%</t>
  </si>
  <si>
    <t>зниження або утримання на рівні до 6 ‰ перинатальної смертності новонароджених, %</t>
  </si>
  <si>
    <t>тис.грн.</t>
  </si>
  <si>
    <t>Стабілізація та зниження показника інвалідності дорослого населення на 10 тис.  населення, осіб</t>
  </si>
  <si>
    <t>Рівень виявлення захворюваності на 100 тис. населення, осіб</t>
  </si>
  <si>
    <t>забезпечення зубопротезування учасникам АТО, %</t>
  </si>
  <si>
    <t>видатки, пов’язані з відпуском медикаментів за Урядовою програмою "Доступні ліки"</t>
  </si>
  <si>
    <t>забезпеченість хворих за Урядовою програмою "Доступні ліки", %</t>
  </si>
  <si>
    <t>забезпеченість хворих на цукровий діабет препаратами інсуліну, %</t>
  </si>
  <si>
    <t>кількість хворих на Д-обліку , що забезпечуються  за Урядовою програмою "Доступні ліки", осіб</t>
  </si>
  <si>
    <t>В.о. начальника відділу</t>
  </si>
  <si>
    <t>О.Ю. Чумаченко</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</si>
</sst>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 numFmtId="218" formatCode="0.0000"/>
    <numFmt numFmtId="219" formatCode="0.00000"/>
    <numFmt numFmtId="220" formatCode="0.000000"/>
    <numFmt numFmtId="221" formatCode="0.0000000"/>
    <numFmt numFmtId="222" formatCode="0.00000000"/>
    <numFmt numFmtId="223" formatCode="0.000000000"/>
    <numFmt numFmtId="224" formatCode="#,##0.0"/>
    <numFmt numFmtId="225" formatCode="_(* #,##0.0_);_(* \(#,##0.0\);_(* &quot;-&quot;??_);_(@_)"/>
    <numFmt numFmtId="226" formatCode="#,##0.000"/>
    <numFmt numFmtId="227" formatCode="#,##0.0000"/>
  </numFmts>
  <fonts count="79">
    <font>
      <sz val="10"/>
      <name val="Arial"/>
      <family val="0"/>
    </font>
    <font>
      <b/>
      <sz val="14"/>
      <name val="Times New Roman"/>
      <family val="1"/>
    </font>
    <font>
      <sz val="12"/>
      <name val="Times New Roman"/>
      <family val="1"/>
    </font>
    <font>
      <sz val="14"/>
      <name val="Times New Roman"/>
      <family val="1"/>
    </font>
    <font>
      <u val="single"/>
      <sz val="7.5"/>
      <color indexed="12"/>
      <name val="Arial"/>
      <family val="2"/>
    </font>
    <font>
      <u val="single"/>
      <sz val="7.5"/>
      <color indexed="36"/>
      <name val="Arial"/>
      <family val="2"/>
    </font>
    <font>
      <b/>
      <sz val="12"/>
      <name val="Times New Roman"/>
      <family val="1"/>
    </font>
    <font>
      <sz val="8"/>
      <name val="Arial"/>
      <family val="2"/>
    </font>
    <font>
      <sz val="12"/>
      <name val="Arial"/>
      <family val="2"/>
    </font>
    <font>
      <i/>
      <sz val="12"/>
      <name val="Times New Roman"/>
      <family val="1"/>
    </font>
    <font>
      <sz val="10"/>
      <name val="Times New Roman"/>
      <family val="1"/>
    </font>
    <font>
      <sz val="8"/>
      <color indexed="8"/>
      <name val="Arial"/>
      <family val="2"/>
    </font>
    <font>
      <sz val="14"/>
      <color indexed="8"/>
      <name val="Times New Roman"/>
      <family val="1"/>
    </font>
    <font>
      <sz val="16"/>
      <name val="Times New Roman"/>
      <family val="1"/>
    </font>
    <font>
      <sz val="13"/>
      <name val="Times New Roman"/>
      <family val="1"/>
    </font>
    <font>
      <sz val="13"/>
      <name val="Arial"/>
      <family val="2"/>
    </font>
    <font>
      <sz val="11"/>
      <name val="Times New Roman"/>
      <family val="1"/>
    </font>
    <font>
      <b/>
      <sz val="11"/>
      <name val="Times New Roman"/>
      <family val="1"/>
    </font>
    <font>
      <b/>
      <sz val="10"/>
      <name val="Times New Roman"/>
      <family val="1"/>
    </font>
    <font>
      <b/>
      <i/>
      <sz val="14"/>
      <name val="Times New Roman"/>
      <family val="1"/>
    </font>
    <font>
      <b/>
      <i/>
      <sz val="11"/>
      <name val="Times New Roman"/>
      <family val="1"/>
    </font>
    <font>
      <b/>
      <sz val="18"/>
      <name val="Times New Roman"/>
      <family val="1"/>
    </font>
    <font>
      <sz val="12"/>
      <color indexed="8"/>
      <name val="Times New Roman"/>
      <family val="1"/>
    </font>
    <font>
      <vertAlign val="superscript"/>
      <sz val="12"/>
      <name val="Times New Roman"/>
      <family val="1"/>
    </font>
    <font>
      <sz val="10"/>
      <name val="Arial Cyr"/>
      <family val="2"/>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b/>
      <sz val="12"/>
      <color indexed="8"/>
      <name val="Times New Roman"/>
      <family val="1"/>
    </font>
    <font>
      <sz val="12"/>
      <color indexed="9"/>
      <name val="Times New Roman"/>
      <family val="1"/>
    </font>
    <font>
      <b/>
      <sz val="11"/>
      <color indexed="9"/>
      <name val="Times New Roman"/>
      <family val="1"/>
    </font>
    <font>
      <b/>
      <sz val="14"/>
      <color indexed="36"/>
      <name val="Times New Roman"/>
      <family val="1"/>
    </font>
    <font>
      <sz val="10"/>
      <color indexed="36"/>
      <name val="Arial"/>
      <family val="2"/>
    </font>
    <font>
      <b/>
      <sz val="10"/>
      <name val="Arial"/>
      <family val="2"/>
    </font>
    <font>
      <sz val="20"/>
      <name val="Times New Roman"/>
      <family val="1"/>
    </font>
    <font>
      <b/>
      <sz val="20"/>
      <name val="Times New Roman"/>
      <family val="1"/>
    </font>
    <font>
      <b/>
      <sz val="20"/>
      <name val="Arial"/>
      <family val="2"/>
    </font>
    <font>
      <b/>
      <sz val="14"/>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2"/>
      <color theme="1"/>
      <name val="Times New Roman"/>
      <family val="1"/>
    </font>
    <font>
      <b/>
      <sz val="12"/>
      <color theme="1"/>
      <name val="Times New Roman"/>
      <family val="1"/>
    </font>
    <font>
      <sz val="12"/>
      <color theme="0"/>
      <name val="Times New Roman"/>
      <family val="1"/>
    </font>
    <font>
      <b/>
      <sz val="14"/>
      <color rgb="FF7030A0"/>
      <name val="Times New Roman"/>
      <family val="1"/>
    </font>
    <font>
      <sz val="10"/>
      <color rgb="FF7030A0"/>
      <name val="Arial"/>
      <family val="2"/>
    </font>
    <font>
      <sz val="14"/>
      <color theme="1"/>
      <name val="Times New Roman"/>
      <family val="1"/>
    </font>
    <font>
      <b/>
      <sz val="11"/>
      <color theme="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indexed="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style="medium"/>
      <right>
        <color indexed="63"/>
      </right>
      <top>
        <color indexed="63"/>
      </top>
      <bottom style="thin"/>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color indexed="63"/>
      </bottom>
    </border>
    <border>
      <left style="medium"/>
      <right>
        <color indexed="63"/>
      </right>
      <top style="medium"/>
      <bottom>
        <color indexed="63"/>
      </bottom>
    </border>
    <border>
      <left>
        <color indexed="63"/>
      </left>
      <right style="thin"/>
      <top style="thin"/>
      <bottom style="medium"/>
    </border>
    <border>
      <left style="medium"/>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color indexed="63"/>
      </bottom>
    </border>
    <border>
      <left style="medium"/>
      <right>
        <color indexed="63"/>
      </right>
      <top>
        <color indexed="63"/>
      </top>
      <bottom style="mediu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medium"/>
      <bottom>
        <color indexed="63"/>
      </bottom>
    </border>
    <border>
      <left style="thin"/>
      <right style="thin"/>
      <top>
        <color indexed="63"/>
      </top>
      <bottom style="medium"/>
    </border>
    <border>
      <left style="thin"/>
      <right>
        <color indexed="63"/>
      </right>
      <top style="medium"/>
      <bottom style="mediu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1" applyNumberFormat="0" applyAlignment="0" applyProtection="0"/>
    <xf numFmtId="0" fontId="57" fillId="26" borderId="2" applyNumberFormat="0" applyAlignment="0" applyProtection="0"/>
    <xf numFmtId="0" fontId="58" fillId="26" borderId="1" applyNumberFormat="0" applyAlignment="0" applyProtection="0"/>
    <xf numFmtId="0" fontId="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7" borderId="7" applyNumberFormat="0" applyAlignment="0" applyProtection="0"/>
    <xf numFmtId="0" fontId="64" fillId="0" borderId="0" applyNumberFormat="0" applyFill="0" applyBorder="0" applyAlignment="0" applyProtection="0"/>
    <xf numFmtId="0" fontId="65" fillId="28" borderId="0" applyNumberFormat="0" applyBorder="0" applyAlignment="0" applyProtection="0"/>
    <xf numFmtId="0" fontId="11" fillId="0" borderId="0">
      <alignment/>
      <protection/>
    </xf>
    <xf numFmtId="0" fontId="0" fillId="0" borderId="0">
      <alignment/>
      <protection/>
    </xf>
    <xf numFmtId="0" fontId="7" fillId="0" borderId="0">
      <alignment horizontal="left"/>
      <protection/>
    </xf>
    <xf numFmtId="0" fontId="2" fillId="0" borderId="0">
      <alignment/>
      <protection/>
    </xf>
    <xf numFmtId="0" fontId="2" fillId="0" borderId="0">
      <alignment/>
      <protection/>
    </xf>
    <xf numFmtId="0" fontId="24" fillId="0" borderId="0">
      <alignment/>
      <protection/>
    </xf>
    <xf numFmtId="0" fontId="5"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9" applyNumberFormat="0" applyFill="0" applyAlignment="0" applyProtection="0"/>
    <xf numFmtId="0" fontId="2" fillId="0" borderId="0">
      <alignment/>
      <protection/>
    </xf>
    <xf numFmtId="0" fontId="6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0" fillId="31" borderId="0" applyNumberFormat="0" applyBorder="0" applyAlignment="0" applyProtection="0"/>
  </cellStyleXfs>
  <cellXfs count="466">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Fill="1" applyBorder="1" applyAlignment="1">
      <alignment vertical="top" wrapText="1"/>
    </xf>
    <xf numFmtId="0" fontId="2" fillId="0" borderId="10" xfId="0" applyFont="1" applyBorder="1" applyAlignment="1">
      <alignment/>
    </xf>
    <xf numFmtId="0" fontId="2" fillId="0" borderId="0" xfId="0" applyFont="1" applyAlignment="1">
      <alignment horizontal="left"/>
    </xf>
    <xf numFmtId="212" fontId="2" fillId="0" borderId="10" xfId="0" applyNumberFormat="1" applyFont="1" applyBorder="1" applyAlignment="1">
      <alignment/>
    </xf>
    <xf numFmtId="0" fontId="10" fillId="0" borderId="10" xfId="0" applyFont="1" applyBorder="1" applyAlignment="1">
      <alignment/>
    </xf>
    <xf numFmtId="0" fontId="10" fillId="0" borderId="0" xfId="0" applyFont="1" applyAlignment="1">
      <alignment/>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0" fillId="0" borderId="0" xfId="0" applyFont="1" applyAlignment="1">
      <alignment/>
    </xf>
    <xf numFmtId="0" fontId="12" fillId="0" borderId="10" xfId="0" applyFont="1" applyBorder="1" applyAlignment="1">
      <alignment horizontal="center" vertical="center" wrapText="1"/>
    </xf>
    <xf numFmtId="0" fontId="3" fillId="0" borderId="10" xfId="0" applyFont="1" applyBorder="1" applyAlignment="1">
      <alignment horizontal="center" vertical="top" wrapText="1"/>
    </xf>
    <xf numFmtId="0" fontId="1" fillId="0" borderId="10" xfId="0" applyFont="1" applyBorder="1" applyAlignment="1">
      <alignment horizontal="center"/>
    </xf>
    <xf numFmtId="0" fontId="3" fillId="0" borderId="0" xfId="0" applyFont="1" applyAlignment="1">
      <alignment vertical="center"/>
    </xf>
    <xf numFmtId="0" fontId="3" fillId="0" borderId="0" xfId="0" applyFont="1" applyAlignment="1">
      <alignment horizontal="left"/>
    </xf>
    <xf numFmtId="16" fontId="3" fillId="32" borderId="11" xfId="0" applyNumberFormat="1" applyFont="1" applyFill="1" applyBorder="1" applyAlignment="1">
      <alignment horizontal="left" vertical="top" wrapText="1"/>
    </xf>
    <xf numFmtId="1" fontId="71" fillId="32" borderId="0" xfId="0" applyNumberFormat="1" applyFont="1" applyFill="1" applyAlignment="1">
      <alignment vertical="top"/>
    </xf>
    <xf numFmtId="16" fontId="3" fillId="32" borderId="11" xfId="0" applyNumberFormat="1" applyFont="1" applyFill="1" applyBorder="1" applyAlignment="1">
      <alignment horizontal="justify" vertical="top"/>
    </xf>
    <xf numFmtId="0" fontId="13" fillId="0" borderId="0" xfId="0" applyFont="1" applyAlignment="1">
      <alignment/>
    </xf>
    <xf numFmtId="0" fontId="13" fillId="0" borderId="0" xfId="0" applyFont="1" applyAlignment="1">
      <alignment horizontal="center" vertical="center"/>
    </xf>
    <xf numFmtId="0" fontId="13" fillId="0" borderId="0" xfId="0" applyFont="1" applyAlignment="1">
      <alignment wrapText="1"/>
    </xf>
    <xf numFmtId="0" fontId="13" fillId="0" borderId="0" xfId="0" applyFont="1" applyAlignment="1">
      <alignment vertical="top" wrapText="1"/>
    </xf>
    <xf numFmtId="0" fontId="13" fillId="0" borderId="0" xfId="0" applyFont="1" applyAlignment="1">
      <alignment horizontal="left"/>
    </xf>
    <xf numFmtId="0" fontId="13" fillId="0" borderId="0" xfId="0" applyFont="1" applyAlignment="1">
      <alignment vertical="top"/>
    </xf>
    <xf numFmtId="212" fontId="13" fillId="0" borderId="0" xfId="0" applyNumberFormat="1" applyFont="1" applyAlignment="1">
      <alignment/>
    </xf>
    <xf numFmtId="0" fontId="15" fillId="0" borderId="0" xfId="0" applyFont="1" applyAlignment="1">
      <alignment/>
    </xf>
    <xf numFmtId="0" fontId="16" fillId="0" borderId="0" xfId="0" applyFont="1" applyFill="1" applyBorder="1" applyAlignment="1">
      <alignment horizontal="left" vertical="top" wrapText="1"/>
    </xf>
    <xf numFmtId="0" fontId="2" fillId="0" borderId="0" xfId="0" applyFont="1" applyFill="1" applyAlignment="1">
      <alignment horizontal="left"/>
    </xf>
    <xf numFmtId="0" fontId="10" fillId="0" borderId="0" xfId="0" applyFont="1" applyAlignment="1">
      <alignment horizontal="center"/>
    </xf>
    <xf numFmtId="0" fontId="17" fillId="0" borderId="10" xfId="0" applyFont="1" applyFill="1" applyBorder="1" applyAlignment="1">
      <alignment horizontal="center" vertical="center" wrapText="1"/>
    </xf>
    <xf numFmtId="0" fontId="17" fillId="0" borderId="10" xfId="0" applyFont="1" applyFill="1" applyBorder="1" applyAlignment="1">
      <alignment horizontal="center" wrapText="1"/>
    </xf>
    <xf numFmtId="0" fontId="18" fillId="0" borderId="10" xfId="0" applyFont="1" applyFill="1" applyBorder="1" applyAlignment="1">
      <alignment horizontal="center" vertical="top" wrapText="1"/>
    </xf>
    <xf numFmtId="224" fontId="18" fillId="33" borderId="10" xfId="0" applyNumberFormat="1" applyFont="1" applyFill="1" applyBorder="1" applyAlignment="1">
      <alignment horizontal="justify" vertical="top" wrapText="1"/>
    </xf>
    <xf numFmtId="224" fontId="6" fillId="33" borderId="10" xfId="0" applyNumberFormat="1" applyFont="1" applyFill="1" applyBorder="1" applyAlignment="1">
      <alignment horizontal="center" vertical="top" wrapText="1"/>
    </xf>
    <xf numFmtId="0" fontId="1" fillId="32" borderId="12" xfId="0" applyFont="1" applyFill="1" applyBorder="1" applyAlignment="1">
      <alignment vertical="top" wrapText="1"/>
    </xf>
    <xf numFmtId="16" fontId="3" fillId="32" borderId="12" xfId="0" applyNumberFormat="1" applyFont="1" applyFill="1" applyBorder="1" applyAlignment="1">
      <alignment horizontal="justify" vertical="top"/>
    </xf>
    <xf numFmtId="2" fontId="72" fillId="0" borderId="10" xfId="0" applyNumberFormat="1" applyFont="1" applyBorder="1" applyAlignment="1">
      <alignment horizontal="center"/>
    </xf>
    <xf numFmtId="0" fontId="22" fillId="0" borderId="13" xfId="0" applyFont="1" applyBorder="1" applyAlignment="1">
      <alignment horizontal="center" vertical="center" wrapText="1"/>
    </xf>
    <xf numFmtId="2" fontId="72" fillId="0" borderId="14" xfId="0" applyNumberFormat="1" applyFont="1" applyBorder="1" applyAlignment="1">
      <alignment horizont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2" fontId="72" fillId="0" borderId="12" xfId="0" applyNumberFormat="1" applyFont="1" applyBorder="1" applyAlignment="1">
      <alignment horizontal="center"/>
    </xf>
    <xf numFmtId="2" fontId="72" fillId="0" borderId="16" xfId="0" applyNumberFormat="1" applyFont="1" applyBorder="1" applyAlignment="1">
      <alignment horizontal="center"/>
    </xf>
    <xf numFmtId="0" fontId="22" fillId="0" borderId="17" xfId="0" applyFont="1" applyBorder="1" applyAlignment="1">
      <alignment horizontal="center" vertical="center" wrapText="1"/>
    </xf>
    <xf numFmtId="2" fontId="72" fillId="0" borderId="18" xfId="0" applyNumberFormat="1" applyFont="1" applyBorder="1" applyAlignment="1">
      <alignment horizontal="center"/>
    </xf>
    <xf numFmtId="2" fontId="72" fillId="0" borderId="19" xfId="0" applyNumberFormat="1" applyFont="1" applyBorder="1" applyAlignment="1">
      <alignment horizontal="center"/>
    </xf>
    <xf numFmtId="0" fontId="73" fillId="0" borderId="20"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21" xfId="0" applyFont="1" applyBorder="1" applyAlignment="1">
      <alignment horizontal="center" vertical="center"/>
    </xf>
    <xf numFmtId="0" fontId="73" fillId="0" borderId="22" xfId="0" applyFont="1" applyBorder="1" applyAlignment="1">
      <alignment horizontal="center" vertical="center"/>
    </xf>
    <xf numFmtId="4" fontId="8" fillId="0" borderId="18" xfId="0" applyNumberFormat="1" applyFont="1" applyBorder="1" applyAlignment="1">
      <alignment/>
    </xf>
    <xf numFmtId="4" fontId="8" fillId="0" borderId="10" xfId="0" applyNumberFormat="1" applyFont="1" applyBorder="1" applyAlignment="1">
      <alignment/>
    </xf>
    <xf numFmtId="4" fontId="8" fillId="0" borderId="12" xfId="0" applyNumberFormat="1" applyFont="1" applyBorder="1" applyAlignment="1">
      <alignment/>
    </xf>
    <xf numFmtId="0" fontId="1" fillId="0" borderId="20" xfId="0" applyFont="1" applyBorder="1" applyAlignment="1">
      <alignment wrapText="1"/>
    </xf>
    <xf numFmtId="4" fontId="1" fillId="0" borderId="21" xfId="0" applyNumberFormat="1" applyFont="1" applyBorder="1" applyAlignment="1">
      <alignment/>
    </xf>
    <xf numFmtId="2" fontId="74" fillId="0" borderId="10" xfId="0" applyNumberFormat="1" applyFont="1" applyBorder="1" applyAlignment="1">
      <alignment horizontal="center"/>
    </xf>
    <xf numFmtId="224" fontId="17" fillId="0" borderId="11" xfId="0" applyNumberFormat="1" applyFont="1" applyFill="1" applyBorder="1" applyAlignment="1">
      <alignment horizontal="justify" vertical="top" wrapText="1"/>
    </xf>
    <xf numFmtId="224" fontId="20" fillId="0" borderId="11" xfId="0" applyNumberFormat="1" applyFont="1" applyFill="1" applyBorder="1" applyAlignment="1">
      <alignment horizontal="center" vertical="top" wrapText="1"/>
    </xf>
    <xf numFmtId="0" fontId="19" fillId="0" borderId="11" xfId="0" applyFont="1" applyFill="1" applyBorder="1" applyAlignment="1">
      <alignment horizontal="justify" vertical="top" wrapText="1"/>
    </xf>
    <xf numFmtId="0" fontId="6" fillId="33" borderId="13" xfId="55" applyFont="1" applyFill="1" applyBorder="1" applyAlignment="1">
      <alignment horizontal="left" vertical="top" wrapText="1"/>
      <protection/>
    </xf>
    <xf numFmtId="0" fontId="2" fillId="32" borderId="13" xfId="55" applyFont="1" applyFill="1" applyBorder="1" applyAlignment="1">
      <alignment horizontal="left" vertical="top" wrapText="1"/>
      <protection/>
    </xf>
    <xf numFmtId="0" fontId="2" fillId="0" borderId="14" xfId="0" applyFont="1" applyBorder="1" applyAlignment="1">
      <alignment/>
    </xf>
    <xf numFmtId="0" fontId="9" fillId="32" borderId="13" xfId="0" applyFont="1" applyFill="1" applyBorder="1" applyAlignment="1">
      <alignment horizontal="left" vertical="top" wrapText="1"/>
    </xf>
    <xf numFmtId="0" fontId="6" fillId="32" borderId="13" xfId="0" applyFont="1" applyFill="1" applyBorder="1" applyAlignment="1">
      <alignment horizontal="left" vertical="top" wrapText="1"/>
    </xf>
    <xf numFmtId="0" fontId="2" fillId="0" borderId="13" xfId="0" applyFont="1" applyFill="1" applyBorder="1" applyAlignment="1">
      <alignment vertical="top" wrapText="1"/>
    </xf>
    <xf numFmtId="0" fontId="2" fillId="32" borderId="13" xfId="0" applyFont="1" applyFill="1" applyBorder="1" applyAlignment="1">
      <alignment horizontal="left" vertical="top" wrapText="1"/>
    </xf>
    <xf numFmtId="1" fontId="6" fillId="32" borderId="13" xfId="0" applyNumberFormat="1" applyFont="1" applyFill="1" applyBorder="1" applyAlignment="1">
      <alignment horizontal="left" vertical="top" wrapText="1"/>
    </xf>
    <xf numFmtId="0" fontId="2" fillId="32" borderId="13" xfId="0" applyFont="1" applyFill="1" applyBorder="1" applyAlignment="1">
      <alignment wrapText="1"/>
    </xf>
    <xf numFmtId="0" fontId="6" fillId="32" borderId="13" xfId="0" applyFont="1" applyFill="1" applyBorder="1" applyAlignment="1">
      <alignment vertical="top" wrapText="1" shrinkToFit="1"/>
    </xf>
    <xf numFmtId="0" fontId="2" fillId="0" borderId="12" xfId="0" applyFont="1" applyFill="1" applyBorder="1" applyAlignment="1">
      <alignment horizontal="center" vertical="top" wrapText="1"/>
    </xf>
    <xf numFmtId="0" fontId="2" fillId="32" borderId="17" xfId="55" applyFont="1" applyFill="1" applyBorder="1" applyAlignment="1">
      <alignment horizontal="left" vertical="top" wrapText="1"/>
      <protection/>
    </xf>
    <xf numFmtId="0" fontId="2" fillId="0" borderId="18" xfId="0" applyFont="1" applyBorder="1" applyAlignment="1">
      <alignment/>
    </xf>
    <xf numFmtId="0" fontId="6" fillId="33" borderId="20" xfId="55" applyFont="1" applyFill="1" applyBorder="1" applyAlignment="1">
      <alignment horizontal="left" vertical="top" wrapText="1"/>
      <protection/>
    </xf>
    <xf numFmtId="224" fontId="18" fillId="33" borderId="21" xfId="0" applyNumberFormat="1" applyFont="1" applyFill="1" applyBorder="1" applyAlignment="1">
      <alignment horizontal="justify" vertical="top" wrapText="1"/>
    </xf>
    <xf numFmtId="224" fontId="6" fillId="33" borderId="21" xfId="0" applyNumberFormat="1" applyFont="1" applyFill="1" applyBorder="1" applyAlignment="1">
      <alignment horizontal="center" vertical="top" wrapText="1"/>
    </xf>
    <xf numFmtId="224" fontId="6" fillId="33" borderId="22" xfId="0" applyNumberFormat="1" applyFont="1" applyFill="1" applyBorder="1" applyAlignment="1">
      <alignment horizontal="center" vertical="top" wrapText="1"/>
    </xf>
    <xf numFmtId="0" fontId="2" fillId="32" borderId="10" xfId="0" applyFont="1" applyFill="1" applyBorder="1" applyAlignment="1">
      <alignment horizontal="justify" vertical="top" wrapText="1"/>
    </xf>
    <xf numFmtId="4" fontId="2" fillId="32" borderId="10" xfId="0" applyNumberFormat="1" applyFont="1" applyFill="1" applyBorder="1" applyAlignment="1">
      <alignment horizontal="center" vertical="top" wrapText="1"/>
    </xf>
    <xf numFmtId="4" fontId="6" fillId="32" borderId="14" xfId="0" applyNumberFormat="1" applyFont="1" applyFill="1" applyBorder="1" applyAlignment="1">
      <alignment horizontal="center" vertical="top" wrapText="1"/>
    </xf>
    <xf numFmtId="3" fontId="2" fillId="32" borderId="10" xfId="0" applyNumberFormat="1" applyFont="1" applyFill="1" applyBorder="1" applyAlignment="1">
      <alignment horizontal="center" vertical="top" wrapText="1"/>
    </xf>
    <xf numFmtId="224" fontId="2" fillId="32" borderId="10" xfId="0" applyNumberFormat="1" applyFont="1" applyFill="1" applyBorder="1" applyAlignment="1">
      <alignment horizontal="center" vertical="top" wrapText="1"/>
    </xf>
    <xf numFmtId="0" fontId="2" fillId="32" borderId="12" xfId="0" applyFont="1" applyFill="1" applyBorder="1" applyAlignment="1">
      <alignment horizontal="justify" vertical="top" wrapText="1"/>
    </xf>
    <xf numFmtId="4" fontId="2" fillId="32" borderId="12" xfId="0" applyNumberFormat="1" applyFont="1" applyFill="1" applyBorder="1" applyAlignment="1">
      <alignment horizontal="center" vertical="top" wrapText="1"/>
    </xf>
    <xf numFmtId="4" fontId="6" fillId="32" borderId="16" xfId="0" applyNumberFormat="1" applyFont="1" applyFill="1" applyBorder="1" applyAlignment="1">
      <alignment horizontal="center" vertical="top" wrapText="1"/>
    </xf>
    <xf numFmtId="0" fontId="2" fillId="32" borderId="13" xfId="0" applyFont="1" applyFill="1" applyBorder="1" applyAlignment="1">
      <alignment horizontal="left" wrapText="1"/>
    </xf>
    <xf numFmtId="0" fontId="3" fillId="32" borderId="11" xfId="0" applyFont="1" applyFill="1" applyBorder="1" applyAlignment="1">
      <alignment horizontal="left" vertical="top" wrapText="1"/>
    </xf>
    <xf numFmtId="0" fontId="3" fillId="32" borderId="23" xfId="0" applyFont="1" applyFill="1" applyBorder="1" applyAlignment="1">
      <alignment horizontal="left" vertical="top" wrapText="1"/>
    </xf>
    <xf numFmtId="0" fontId="1" fillId="32" borderId="11" xfId="0" applyFont="1" applyFill="1" applyBorder="1" applyAlignment="1">
      <alignment horizontal="left" vertical="top" wrapText="1"/>
    </xf>
    <xf numFmtId="0" fontId="1" fillId="32" borderId="23" xfId="0" applyFont="1" applyFill="1" applyBorder="1" applyAlignment="1">
      <alignment horizontal="left" vertical="top" wrapText="1"/>
    </xf>
    <xf numFmtId="0" fontId="3" fillId="32" borderId="10" xfId="0" applyFont="1" applyFill="1" applyBorder="1" applyAlignment="1">
      <alignment horizontal="left" vertical="top" wrapText="1"/>
    </xf>
    <xf numFmtId="0" fontId="2" fillId="32" borderId="11" xfId="0" applyFont="1" applyFill="1" applyBorder="1" applyAlignment="1">
      <alignment horizontal="justify" vertical="top" wrapText="1"/>
    </xf>
    <xf numFmtId="0" fontId="2" fillId="0" borderId="11" xfId="0" applyFont="1" applyFill="1" applyBorder="1" applyAlignment="1">
      <alignment horizontal="center" vertical="top" wrapText="1"/>
    </xf>
    <xf numFmtId="4" fontId="2" fillId="32" borderId="11" xfId="0" applyNumberFormat="1" applyFont="1" applyFill="1" applyBorder="1" applyAlignment="1">
      <alignment horizontal="center" vertical="top" wrapText="1"/>
    </xf>
    <xf numFmtId="4" fontId="6" fillId="32" borderId="24"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4" fontId="6" fillId="32" borderId="10" xfId="0" applyNumberFormat="1" applyFont="1" applyFill="1" applyBorder="1" applyAlignment="1">
      <alignment horizontal="center" vertical="top" wrapText="1"/>
    </xf>
    <xf numFmtId="0" fontId="2" fillId="32" borderId="17" xfId="56" applyFont="1" applyFill="1" applyBorder="1" applyAlignment="1">
      <alignment vertical="top" wrapText="1"/>
      <protection/>
    </xf>
    <xf numFmtId="212" fontId="2" fillId="0" borderId="18" xfId="0" applyNumberFormat="1" applyFont="1" applyBorder="1" applyAlignment="1">
      <alignment/>
    </xf>
    <xf numFmtId="212" fontId="2" fillId="0" borderId="19" xfId="0" applyNumberFormat="1" applyFont="1" applyBorder="1" applyAlignment="1">
      <alignment/>
    </xf>
    <xf numFmtId="212" fontId="2" fillId="0" borderId="14" xfId="0" applyNumberFormat="1" applyFont="1" applyBorder="1" applyAlignment="1">
      <alignment/>
    </xf>
    <xf numFmtId="212" fontId="2" fillId="34" borderId="10" xfId="0" applyNumberFormat="1" applyFont="1" applyFill="1" applyBorder="1" applyAlignment="1">
      <alignment/>
    </xf>
    <xf numFmtId="0" fontId="2" fillId="32" borderId="25" xfId="55" applyFont="1" applyFill="1" applyBorder="1" applyAlignment="1">
      <alignment horizontal="left" vertical="top" wrapText="1"/>
      <protection/>
    </xf>
    <xf numFmtId="212" fontId="2" fillId="0" borderId="26" xfId="0" applyNumberFormat="1" applyFont="1" applyBorder="1" applyAlignment="1">
      <alignment/>
    </xf>
    <xf numFmtId="212" fontId="2" fillId="0" borderId="27" xfId="0" applyNumberFormat="1" applyFont="1" applyBorder="1" applyAlignment="1">
      <alignment/>
    </xf>
    <xf numFmtId="0" fontId="2" fillId="0" borderId="13" xfId="0" applyFont="1" applyFill="1" applyBorder="1" applyAlignment="1">
      <alignment wrapText="1"/>
    </xf>
    <xf numFmtId="0" fontId="3" fillId="0" borderId="28" xfId="0" applyFont="1" applyFill="1" applyBorder="1" applyAlignment="1">
      <alignment horizontal="right" wrapText="1"/>
    </xf>
    <xf numFmtId="0" fontId="10" fillId="0" borderId="0" xfId="0" applyFont="1" applyFill="1" applyAlignment="1">
      <alignment/>
    </xf>
    <xf numFmtId="0" fontId="14" fillId="0" borderId="0" xfId="0" applyFont="1" applyAlignment="1">
      <alignment/>
    </xf>
    <xf numFmtId="0" fontId="10" fillId="0" borderId="0" xfId="0" applyFont="1" applyBorder="1" applyAlignment="1">
      <alignment/>
    </xf>
    <xf numFmtId="224" fontId="10" fillId="0" borderId="0" xfId="0" applyNumberFormat="1" applyFont="1" applyAlignment="1">
      <alignment/>
    </xf>
    <xf numFmtId="212" fontId="10" fillId="0" borderId="0" xfId="0" applyNumberFormat="1" applyFont="1" applyAlignment="1">
      <alignment/>
    </xf>
    <xf numFmtId="0" fontId="2" fillId="0" borderId="26" xfId="0" applyFont="1" applyBorder="1" applyAlignment="1">
      <alignment/>
    </xf>
    <xf numFmtId="0" fontId="3" fillId="0" borderId="29" xfId="0" applyFont="1" applyFill="1" applyBorder="1" applyAlignment="1">
      <alignment horizontal="right" vertical="top" wrapText="1"/>
    </xf>
    <xf numFmtId="0" fontId="3" fillId="0" borderId="28" xfId="0" applyFont="1" applyFill="1" applyBorder="1" applyAlignment="1">
      <alignment horizontal="right" vertical="center" wrapText="1"/>
    </xf>
    <xf numFmtId="212" fontId="2" fillId="0" borderId="30" xfId="0" applyNumberFormat="1" applyFont="1" applyBorder="1" applyAlignment="1">
      <alignment/>
    </xf>
    <xf numFmtId="49" fontId="2" fillId="32" borderId="25" xfId="55" applyNumberFormat="1" applyFont="1" applyFill="1" applyBorder="1" applyAlignment="1">
      <alignment horizontal="left" vertical="top" wrapText="1"/>
      <protection/>
    </xf>
    <xf numFmtId="0" fontId="2" fillId="0" borderId="10" xfId="56" applyFont="1" applyFill="1" applyBorder="1" applyAlignment="1">
      <alignment wrapText="1"/>
      <protection/>
    </xf>
    <xf numFmtId="0" fontId="2" fillId="35" borderId="10" xfId="56" applyFont="1" applyFill="1" applyBorder="1" applyAlignment="1">
      <alignment wrapText="1"/>
      <protection/>
    </xf>
    <xf numFmtId="1" fontId="2" fillId="0" borderId="10" xfId="56" applyNumberFormat="1" applyFont="1" applyFill="1" applyBorder="1" applyAlignment="1">
      <alignment horizontal="center" wrapText="1"/>
      <protection/>
    </xf>
    <xf numFmtId="0" fontId="2" fillId="0" borderId="13" xfId="0" applyFont="1" applyBorder="1" applyAlignment="1">
      <alignment wrapText="1"/>
    </xf>
    <xf numFmtId="0" fontId="10" fillId="0" borderId="14" xfId="0" applyFont="1" applyBorder="1" applyAlignment="1">
      <alignment/>
    </xf>
    <xf numFmtId="0" fontId="2" fillId="0" borderId="15" xfId="0" applyFont="1" applyBorder="1" applyAlignment="1">
      <alignment wrapText="1"/>
    </xf>
    <xf numFmtId="0" fontId="10" fillId="0" borderId="12" xfId="0" applyFont="1" applyBorder="1" applyAlignment="1">
      <alignment/>
    </xf>
    <xf numFmtId="1" fontId="2" fillId="0" borderId="12" xfId="56" applyNumberFormat="1" applyFont="1" applyFill="1" applyBorder="1" applyAlignment="1">
      <alignment horizontal="center" wrapText="1"/>
      <protection/>
    </xf>
    <xf numFmtId="0" fontId="10" fillId="0" borderId="16" xfId="0" applyFont="1" applyBorder="1" applyAlignment="1">
      <alignment/>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horizontal="justify" vertical="top" wrapText="1"/>
    </xf>
    <xf numFmtId="0" fontId="3" fillId="0" borderId="34" xfId="0" applyFont="1" applyBorder="1" applyAlignment="1">
      <alignment horizontal="justify" vertical="top" wrapText="1"/>
    </xf>
    <xf numFmtId="0" fontId="3" fillId="0" borderId="35" xfId="0" applyFont="1" applyBorder="1" applyAlignment="1">
      <alignment vertical="top" wrapText="1"/>
    </xf>
    <xf numFmtId="0" fontId="3" fillId="0" borderId="32" xfId="0" applyFont="1" applyBorder="1" applyAlignment="1">
      <alignment horizontal="center" vertical="top" wrapText="1"/>
    </xf>
    <xf numFmtId="0" fontId="1" fillId="0" borderId="0" xfId="0" applyFont="1" applyAlignment="1">
      <alignment horizontal="center"/>
    </xf>
    <xf numFmtId="0" fontId="73" fillId="0" borderId="36" xfId="0" applyFont="1" applyBorder="1" applyAlignment="1">
      <alignment horizontal="center" vertical="center" wrapText="1"/>
    </xf>
    <xf numFmtId="0" fontId="1" fillId="0" borderId="36" xfId="0" applyFont="1" applyBorder="1" applyAlignment="1">
      <alignment wrapText="1"/>
    </xf>
    <xf numFmtId="0" fontId="22" fillId="0" borderId="37" xfId="0" applyFont="1" applyBorder="1" applyAlignment="1">
      <alignment horizontal="left" vertical="center" wrapText="1"/>
    </xf>
    <xf numFmtId="0" fontId="22" fillId="0" borderId="38"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wrapText="1"/>
    </xf>
    <xf numFmtId="0" fontId="10" fillId="0" borderId="11" xfId="0" applyFont="1" applyBorder="1" applyAlignment="1">
      <alignment/>
    </xf>
    <xf numFmtId="0" fontId="10" fillId="0" borderId="24" xfId="0" applyFont="1" applyBorder="1" applyAlignment="1">
      <alignment/>
    </xf>
    <xf numFmtId="212" fontId="2" fillId="0" borderId="11" xfId="56" applyNumberFormat="1" applyFont="1" applyFill="1" applyBorder="1" applyAlignment="1">
      <alignment horizontal="center" wrapText="1"/>
      <protection/>
    </xf>
    <xf numFmtId="212" fontId="10" fillId="0" borderId="11" xfId="0" applyNumberFormat="1" applyFont="1" applyBorder="1" applyAlignment="1">
      <alignment/>
    </xf>
    <xf numFmtId="212" fontId="2" fillId="32" borderId="10" xfId="0" applyNumberFormat="1" applyFont="1" applyFill="1" applyBorder="1" applyAlignment="1">
      <alignment horizontal="center" wrapText="1"/>
    </xf>
    <xf numFmtId="0" fontId="1" fillId="0" borderId="40" xfId="0" applyFont="1" applyBorder="1" applyAlignment="1">
      <alignment horizontal="right"/>
    </xf>
    <xf numFmtId="0" fontId="2" fillId="0" borderId="41" xfId="0" applyFont="1" applyBorder="1" applyAlignment="1">
      <alignment horizontal="left" vertical="center" wrapText="1"/>
    </xf>
    <xf numFmtId="0" fontId="1" fillId="0" borderId="42" xfId="0" applyFont="1" applyBorder="1" applyAlignment="1">
      <alignment horizontal="right"/>
    </xf>
    <xf numFmtId="0" fontId="1" fillId="0" borderId="42" xfId="0" applyFont="1" applyBorder="1" applyAlignment="1">
      <alignment horizontal="right" vertical="top"/>
    </xf>
    <xf numFmtId="0" fontId="3" fillId="32" borderId="11" xfId="57" applyFont="1" applyFill="1" applyBorder="1" applyAlignment="1">
      <alignment horizontal="left" vertical="top" wrapText="1"/>
      <protection/>
    </xf>
    <xf numFmtId="0" fontId="3" fillId="32" borderId="24" xfId="57" applyFont="1" applyFill="1" applyBorder="1" applyAlignment="1">
      <alignment vertical="top" wrapText="1"/>
      <protection/>
    </xf>
    <xf numFmtId="0" fontId="3" fillId="32" borderId="0" xfId="0" applyFont="1" applyFill="1" applyAlignment="1">
      <alignment/>
    </xf>
    <xf numFmtId="0" fontId="1" fillId="32" borderId="13" xfId="0" applyFont="1" applyFill="1" applyBorder="1" applyAlignment="1">
      <alignment horizontal="center" vertical="top"/>
    </xf>
    <xf numFmtId="49" fontId="1" fillId="32" borderId="10" xfId="0" applyNumberFormat="1" applyFont="1" applyFill="1" applyBorder="1" applyAlignment="1">
      <alignment horizontal="left" vertical="top" wrapText="1"/>
    </xf>
    <xf numFmtId="49" fontId="3" fillId="32" borderId="10" xfId="0" applyNumberFormat="1" applyFont="1" applyFill="1" applyBorder="1" applyAlignment="1">
      <alignment horizontal="left" vertical="top" wrapText="1"/>
    </xf>
    <xf numFmtId="0" fontId="3" fillId="32" borderId="10" xfId="0" applyFont="1" applyFill="1" applyBorder="1" applyAlignment="1">
      <alignment horizontal="center" vertical="center" wrapText="1"/>
    </xf>
    <xf numFmtId="0" fontId="3" fillId="32" borderId="10" xfId="57" applyFont="1" applyFill="1" applyBorder="1" applyAlignment="1">
      <alignment horizontal="left" vertical="top" wrapText="1"/>
      <protection/>
    </xf>
    <xf numFmtId="0" fontId="3" fillId="32" borderId="10" xfId="0" applyFont="1" applyFill="1" applyBorder="1" applyAlignment="1">
      <alignment vertical="top" wrapText="1"/>
    </xf>
    <xf numFmtId="212" fontId="3" fillId="32" borderId="10" xfId="0" applyNumberFormat="1" applyFont="1" applyFill="1" applyBorder="1" applyAlignment="1">
      <alignment horizontal="left" vertical="top" wrapText="1"/>
    </xf>
    <xf numFmtId="0" fontId="3" fillId="32" borderId="14" xfId="0" applyFont="1" applyFill="1" applyBorder="1" applyAlignment="1">
      <alignment vertical="top" wrapText="1"/>
    </xf>
    <xf numFmtId="0" fontId="2" fillId="32" borderId="42" xfId="0" applyFont="1" applyFill="1" applyBorder="1" applyAlignment="1">
      <alignment wrapText="1" shrinkToFit="1"/>
    </xf>
    <xf numFmtId="212" fontId="2" fillId="32" borderId="10" xfId="0" applyNumberFormat="1" applyFont="1" applyFill="1" applyBorder="1" applyAlignment="1">
      <alignment/>
    </xf>
    <xf numFmtId="0" fontId="2" fillId="32" borderId="12" xfId="0" applyFont="1" applyFill="1" applyBorder="1" applyAlignment="1">
      <alignment horizontal="center" vertical="top" wrapText="1"/>
    </xf>
    <xf numFmtId="0" fontId="2" fillId="32" borderId="0" xfId="58" applyFont="1" applyFill="1" applyBorder="1" applyAlignment="1">
      <alignment horizontal="center" vertical="center" wrapText="1"/>
      <protection/>
    </xf>
    <xf numFmtId="0" fontId="2" fillId="32" borderId="10" xfId="0" applyFont="1" applyFill="1" applyBorder="1" applyAlignment="1">
      <alignment wrapText="1"/>
    </xf>
    <xf numFmtId="0" fontId="2" fillId="32" borderId="10" xfId="0" applyFont="1" applyFill="1" applyBorder="1" applyAlignment="1">
      <alignment horizontal="center" vertical="top" wrapText="1"/>
    </xf>
    <xf numFmtId="0" fontId="2" fillId="32" borderId="15" xfId="0" applyFont="1" applyFill="1" applyBorder="1" applyAlignment="1">
      <alignment wrapText="1"/>
    </xf>
    <xf numFmtId="0" fontId="3" fillId="32" borderId="0" xfId="0" applyFont="1" applyFill="1" applyAlignment="1">
      <alignment vertical="top"/>
    </xf>
    <xf numFmtId="0" fontId="3" fillId="32" borderId="0" xfId="0" applyFont="1" applyFill="1" applyAlignment="1">
      <alignment horizontal="center" vertical="center"/>
    </xf>
    <xf numFmtId="0" fontId="3" fillId="32" borderId="0" xfId="57" applyFont="1" applyFill="1" applyAlignment="1">
      <alignment wrapText="1"/>
      <protection/>
    </xf>
    <xf numFmtId="0" fontId="3" fillId="32" borderId="0" xfId="0" applyFont="1" applyFill="1" applyAlignment="1">
      <alignment horizontal="center"/>
    </xf>
    <xf numFmtId="0" fontId="3" fillId="32" borderId="0" xfId="0" applyFont="1" applyFill="1" applyAlignment="1">
      <alignment wrapText="1"/>
    </xf>
    <xf numFmtId="0" fontId="1" fillId="32" borderId="0" xfId="0" applyFont="1" applyFill="1" applyAlignment="1">
      <alignment horizontal="center"/>
    </xf>
    <xf numFmtId="0" fontId="3" fillId="32" borderId="0" xfId="0" applyFont="1" applyFill="1" applyAlignment="1">
      <alignment horizontal="left" wrapText="1"/>
    </xf>
    <xf numFmtId="0" fontId="3" fillId="32" borderId="0" xfId="0" applyFont="1" applyFill="1" applyAlignment="1">
      <alignment vertical="top" wrapText="1"/>
    </xf>
    <xf numFmtId="0" fontId="1" fillId="32" borderId="12" xfId="0" applyFont="1" applyFill="1" applyBorder="1" applyAlignment="1">
      <alignment horizontal="center" vertical="center" wrapText="1"/>
    </xf>
    <xf numFmtId="0" fontId="1" fillId="32" borderId="23" xfId="0" applyFont="1" applyFill="1" applyBorder="1" applyAlignment="1">
      <alignment horizontal="center" vertical="center" wrapText="1"/>
    </xf>
    <xf numFmtId="0" fontId="8" fillId="32" borderId="0" xfId="0" applyFont="1" applyFill="1" applyAlignment="1">
      <alignment/>
    </xf>
    <xf numFmtId="1" fontId="3" fillId="32" borderId="0" xfId="0" applyNumberFormat="1" applyFont="1" applyFill="1" applyAlignment="1">
      <alignment horizontal="center" vertical="center"/>
    </xf>
    <xf numFmtId="0" fontId="3" fillId="32" borderId="0" xfId="0" applyFont="1" applyFill="1" applyAlignment="1">
      <alignment vertical="center"/>
    </xf>
    <xf numFmtId="0" fontId="1" fillId="32" borderId="43" xfId="0" applyFont="1" applyFill="1" applyBorder="1" applyAlignment="1">
      <alignment horizontal="center" vertical="top"/>
    </xf>
    <xf numFmtId="0" fontId="1" fillId="32" borderId="23" xfId="0" applyFont="1" applyFill="1" applyBorder="1" applyAlignment="1">
      <alignment vertical="top" wrapText="1"/>
    </xf>
    <xf numFmtId="0" fontId="3" fillId="32" borderId="23" xfId="0" applyFont="1" applyFill="1" applyBorder="1" applyAlignment="1">
      <alignment horizontal="center" vertical="center" wrapText="1"/>
    </xf>
    <xf numFmtId="212" fontId="3" fillId="32" borderId="18" xfId="0" applyNumberFormat="1" applyFont="1" applyFill="1" applyBorder="1" applyAlignment="1">
      <alignment horizontal="left" vertical="top" wrapText="1"/>
    </xf>
    <xf numFmtId="0" fontId="3" fillId="32" borderId="44" xfId="0" applyFont="1" applyFill="1" applyBorder="1" applyAlignment="1">
      <alignment vertical="top" wrapText="1"/>
    </xf>
    <xf numFmtId="1" fontId="3" fillId="32" borderId="0" xfId="0" applyNumberFormat="1" applyFont="1" applyFill="1" applyAlignment="1">
      <alignment/>
    </xf>
    <xf numFmtId="0" fontId="1" fillId="32" borderId="39" xfId="0" applyFont="1" applyFill="1" applyBorder="1" applyAlignment="1">
      <alignment horizontal="center" vertical="top"/>
    </xf>
    <xf numFmtId="0" fontId="1" fillId="32" borderId="11" xfId="0" applyFont="1" applyFill="1" applyBorder="1" applyAlignment="1">
      <alignment vertical="top" wrapText="1"/>
    </xf>
    <xf numFmtId="0" fontId="3" fillId="32" borderId="11" xfId="0" applyFont="1" applyFill="1" applyBorder="1" applyAlignment="1">
      <alignment vertical="top" wrapText="1"/>
    </xf>
    <xf numFmtId="0" fontId="3" fillId="32" borderId="11" xfId="0" applyFont="1" applyFill="1" applyBorder="1" applyAlignment="1">
      <alignment horizontal="center" vertical="center" wrapText="1"/>
    </xf>
    <xf numFmtId="0" fontId="3" fillId="32" borderId="24" xfId="0" applyFont="1" applyFill="1" applyBorder="1" applyAlignment="1">
      <alignment vertical="top" wrapText="1"/>
    </xf>
    <xf numFmtId="0" fontId="1" fillId="32" borderId="10" xfId="0" applyFont="1" applyFill="1" applyBorder="1" applyAlignment="1">
      <alignment horizontal="left" vertical="top" wrapText="1"/>
    </xf>
    <xf numFmtId="212" fontId="75" fillId="32" borderId="0" xfId="0" applyNumberFormat="1" applyFont="1" applyFill="1" applyBorder="1" applyAlignment="1">
      <alignment horizontal="center" wrapText="1"/>
    </xf>
    <xf numFmtId="212" fontId="3" fillId="32" borderId="11" xfId="0" applyNumberFormat="1" applyFont="1" applyFill="1" applyBorder="1" applyAlignment="1">
      <alignment horizontal="left" vertical="top" wrapText="1"/>
    </xf>
    <xf numFmtId="0" fontId="71" fillId="32" borderId="0" xfId="0" applyFont="1" applyFill="1" applyAlignment="1">
      <alignment vertical="top"/>
    </xf>
    <xf numFmtId="0" fontId="1" fillId="32" borderId="45" xfId="0" applyFont="1" applyFill="1" applyBorder="1" applyAlignment="1">
      <alignment horizontal="left" vertical="top" wrapText="1"/>
    </xf>
    <xf numFmtId="212" fontId="1" fillId="32" borderId="21" xfId="0" applyNumberFormat="1" applyFont="1" applyFill="1" applyBorder="1" applyAlignment="1">
      <alignment horizontal="left" vertical="top" wrapText="1"/>
    </xf>
    <xf numFmtId="0" fontId="3" fillId="32" borderId="22" xfId="0" applyFont="1" applyFill="1" applyBorder="1" applyAlignment="1">
      <alignment vertical="top" wrapText="1"/>
    </xf>
    <xf numFmtId="0" fontId="0" fillId="32" borderId="0" xfId="0" applyFont="1" applyFill="1" applyAlignment="1">
      <alignment/>
    </xf>
    <xf numFmtId="0" fontId="76" fillId="32" borderId="0" xfId="0" applyFont="1" applyFill="1" applyAlignment="1">
      <alignment/>
    </xf>
    <xf numFmtId="212" fontId="1" fillId="32" borderId="18" xfId="0" applyNumberFormat="1" applyFont="1" applyFill="1" applyBorder="1" applyAlignment="1">
      <alignment horizontal="left" vertical="top" wrapText="1"/>
    </xf>
    <xf numFmtId="0" fontId="3" fillId="32" borderId="19" xfId="0" applyFont="1" applyFill="1" applyBorder="1" applyAlignment="1">
      <alignment vertical="top" wrapText="1"/>
    </xf>
    <xf numFmtId="0" fontId="1" fillId="32" borderId="12" xfId="0" applyFont="1" applyFill="1" applyBorder="1" applyAlignment="1">
      <alignment horizontal="left" vertical="top" wrapText="1"/>
    </xf>
    <xf numFmtId="212" fontId="1" fillId="32" borderId="12" xfId="0" applyNumberFormat="1" applyFont="1" applyFill="1" applyBorder="1" applyAlignment="1">
      <alignment horizontal="left" vertical="top" wrapText="1"/>
    </xf>
    <xf numFmtId="0" fontId="3" fillId="32" borderId="16" xfId="0" applyFont="1" applyFill="1" applyBorder="1" applyAlignment="1">
      <alignment vertical="top" wrapText="1"/>
    </xf>
    <xf numFmtId="0" fontId="71" fillId="32" borderId="0" xfId="0" applyFont="1" applyFill="1" applyAlignment="1">
      <alignment/>
    </xf>
    <xf numFmtId="212" fontId="3" fillId="32" borderId="23" xfId="0" applyNumberFormat="1" applyFont="1" applyFill="1" applyBorder="1" applyAlignment="1">
      <alignment horizontal="left" vertical="top" wrapText="1"/>
    </xf>
    <xf numFmtId="0" fontId="3" fillId="32" borderId="0" xfId="0" applyFont="1" applyFill="1" applyAlignment="1">
      <alignment horizontal="left" vertical="center"/>
    </xf>
    <xf numFmtId="0" fontId="71" fillId="32" borderId="0" xfId="0" applyFont="1" applyFill="1" applyAlignment="1">
      <alignment horizontal="left" vertical="center"/>
    </xf>
    <xf numFmtId="0" fontId="1" fillId="32" borderId="43" xfId="57" applyFont="1" applyFill="1" applyBorder="1" applyAlignment="1">
      <alignment horizontal="center" vertical="top" wrapText="1"/>
      <protection/>
    </xf>
    <xf numFmtId="0" fontId="1" fillId="32" borderId="18" xfId="0" applyFont="1" applyFill="1" applyBorder="1" applyAlignment="1">
      <alignment horizontal="left" vertical="top" wrapText="1"/>
    </xf>
    <xf numFmtId="0" fontId="1" fillId="32" borderId="39" xfId="57" applyFont="1" applyFill="1" applyBorder="1" applyAlignment="1">
      <alignment horizontal="center" vertical="top" wrapText="1"/>
      <protection/>
    </xf>
    <xf numFmtId="0" fontId="1" fillId="32" borderId="10" xfId="0" applyFont="1" applyFill="1" applyBorder="1" applyAlignment="1">
      <alignment vertical="top" wrapText="1"/>
    </xf>
    <xf numFmtId="0" fontId="71" fillId="32" borderId="0" xfId="0" applyFont="1" applyFill="1" applyAlignment="1">
      <alignment vertical="center"/>
    </xf>
    <xf numFmtId="0" fontId="3" fillId="32" borderId="0" xfId="0" applyFont="1" applyFill="1" applyAlignment="1">
      <alignment/>
    </xf>
    <xf numFmtId="0" fontId="1" fillId="32" borderId="15" xfId="0" applyFont="1" applyFill="1" applyBorder="1" applyAlignment="1">
      <alignment horizontal="center" vertical="top"/>
    </xf>
    <xf numFmtId="0" fontId="3" fillId="32" borderId="12" xfId="0" applyFont="1" applyFill="1" applyBorder="1" applyAlignment="1">
      <alignment horizontal="center" vertical="center" wrapText="1"/>
    </xf>
    <xf numFmtId="0" fontId="3" fillId="32" borderId="12" xfId="57" applyFont="1" applyFill="1" applyBorder="1" applyAlignment="1">
      <alignment horizontal="left" vertical="top" wrapText="1"/>
      <protection/>
    </xf>
    <xf numFmtId="0" fontId="3" fillId="32" borderId="12" xfId="0" applyFont="1" applyFill="1" applyBorder="1" applyAlignment="1">
      <alignment horizontal="left" vertical="top" wrapText="1"/>
    </xf>
    <xf numFmtId="212" fontId="3" fillId="32" borderId="12" xfId="0" applyNumberFormat="1" applyFont="1" applyFill="1" applyBorder="1" applyAlignment="1">
      <alignment horizontal="left" vertical="top" wrapText="1"/>
    </xf>
    <xf numFmtId="212" fontId="1" fillId="32" borderId="10" xfId="0" applyNumberFormat="1" applyFont="1" applyFill="1" applyBorder="1" applyAlignment="1">
      <alignment horizontal="left" vertical="top" wrapText="1"/>
    </xf>
    <xf numFmtId="0" fontId="3" fillId="32" borderId="46" xfId="0" applyFont="1" applyFill="1" applyBorder="1" applyAlignment="1">
      <alignment horizontal="center" vertical="top"/>
    </xf>
    <xf numFmtId="0" fontId="3" fillId="32" borderId="23" xfId="57" applyFont="1" applyFill="1" applyBorder="1" applyAlignment="1">
      <alignment horizontal="left" vertical="top" wrapText="1"/>
      <protection/>
    </xf>
    <xf numFmtId="0" fontId="3" fillId="32" borderId="18" xfId="0" applyFont="1" applyFill="1" applyBorder="1" applyAlignment="1">
      <alignment horizontal="center" vertical="center" wrapText="1"/>
    </xf>
    <xf numFmtId="0" fontId="3" fillId="32" borderId="44" xfId="57" applyFont="1" applyFill="1" applyBorder="1" applyAlignment="1">
      <alignment vertical="top" wrapText="1"/>
      <protection/>
    </xf>
    <xf numFmtId="0" fontId="3" fillId="32" borderId="0" xfId="0" applyFont="1" applyFill="1" applyAlignment="1">
      <alignment horizontal="right"/>
    </xf>
    <xf numFmtId="0" fontId="1" fillId="32" borderId="10" xfId="57" applyFont="1" applyFill="1" applyBorder="1" applyAlignment="1">
      <alignment horizontal="center" vertical="top" wrapText="1"/>
      <protection/>
    </xf>
    <xf numFmtId="0" fontId="71" fillId="32" borderId="0" xfId="0" applyFont="1" applyFill="1" applyBorder="1" applyAlignment="1">
      <alignment vertical="center"/>
    </xf>
    <xf numFmtId="0" fontId="77" fillId="32" borderId="0" xfId="0" applyFont="1" applyFill="1" applyBorder="1" applyAlignment="1">
      <alignment vertical="center"/>
    </xf>
    <xf numFmtId="0" fontId="3" fillId="32" borderId="23" xfId="0" applyFont="1" applyFill="1" applyBorder="1" applyAlignment="1">
      <alignment vertical="top" wrapText="1"/>
    </xf>
    <xf numFmtId="0" fontId="3" fillId="32" borderId="0" xfId="0" applyFont="1" applyFill="1" applyBorder="1" applyAlignment="1">
      <alignment vertical="center"/>
    </xf>
    <xf numFmtId="0" fontId="3" fillId="32" borderId="0" xfId="0" applyFont="1" applyFill="1" applyBorder="1" applyAlignment="1">
      <alignment/>
    </xf>
    <xf numFmtId="0" fontId="1" fillId="32" borderId="47" xfId="0" applyFont="1" applyFill="1" applyBorder="1" applyAlignment="1">
      <alignment horizontal="left" vertical="top" wrapText="1"/>
    </xf>
    <xf numFmtId="0" fontId="1" fillId="32" borderId="13" xfId="57" applyFont="1" applyFill="1" applyBorder="1" applyAlignment="1">
      <alignment horizontal="center" vertical="top" wrapText="1"/>
      <protection/>
    </xf>
    <xf numFmtId="0" fontId="3" fillId="32" borderId="10" xfId="0" applyFont="1" applyFill="1" applyBorder="1" applyAlignment="1">
      <alignment horizontal="center" vertical="top" wrapText="1"/>
    </xf>
    <xf numFmtId="0" fontId="3" fillId="32" borderId="10" xfId="57" applyFont="1" applyFill="1" applyBorder="1" applyAlignment="1">
      <alignment vertical="top" wrapText="1"/>
      <protection/>
    </xf>
    <xf numFmtId="212" fontId="71" fillId="32" borderId="0" xfId="0" applyNumberFormat="1" applyFont="1" applyFill="1" applyAlignment="1">
      <alignment vertical="center"/>
    </xf>
    <xf numFmtId="212" fontId="3" fillId="32" borderId="0" xfId="0" applyNumberFormat="1" applyFont="1" applyFill="1" applyAlignment="1">
      <alignment vertical="center"/>
    </xf>
    <xf numFmtId="212" fontId="3" fillId="32" borderId="0" xfId="0" applyNumberFormat="1" applyFont="1" applyFill="1" applyBorder="1" applyAlignment="1">
      <alignment vertical="center"/>
    </xf>
    <xf numFmtId="212" fontId="71" fillId="32" borderId="0" xfId="0" applyNumberFormat="1" applyFont="1" applyFill="1" applyBorder="1" applyAlignment="1">
      <alignment vertical="center"/>
    </xf>
    <xf numFmtId="49" fontId="1" fillId="32" borderId="23" xfId="0" applyNumberFormat="1" applyFont="1" applyFill="1" applyBorder="1" applyAlignment="1">
      <alignment horizontal="left" vertical="top" wrapText="1"/>
    </xf>
    <xf numFmtId="49" fontId="3" fillId="32" borderId="23" xfId="0" applyNumberFormat="1" applyFont="1" applyFill="1" applyBorder="1" applyAlignment="1">
      <alignment horizontal="left" vertical="top" wrapText="1"/>
    </xf>
    <xf numFmtId="0" fontId="3" fillId="32" borderId="18" xfId="0" applyFont="1" applyFill="1" applyBorder="1" applyAlignment="1">
      <alignment horizontal="left" vertical="top" wrapText="1"/>
    </xf>
    <xf numFmtId="212" fontId="3" fillId="32" borderId="0" xfId="0" applyNumberFormat="1" applyFont="1" applyFill="1" applyAlignment="1">
      <alignment/>
    </xf>
    <xf numFmtId="0" fontId="1" fillId="32" borderId="21" xfId="0" applyFont="1" applyFill="1" applyBorder="1" applyAlignment="1">
      <alignment vertical="top" wrapText="1"/>
    </xf>
    <xf numFmtId="0" fontId="13" fillId="32" borderId="0" xfId="0" applyFont="1" applyFill="1" applyAlignment="1">
      <alignment/>
    </xf>
    <xf numFmtId="212" fontId="13" fillId="32" borderId="0" xfId="0" applyNumberFormat="1" applyFont="1" applyFill="1" applyAlignment="1">
      <alignment/>
    </xf>
    <xf numFmtId="0" fontId="1" fillId="32" borderId="26" xfId="0" applyFont="1" applyFill="1" applyBorder="1" applyAlignment="1">
      <alignment horizontal="left" vertical="top" wrapText="1"/>
    </xf>
    <xf numFmtId="212" fontId="1" fillId="32" borderId="26" xfId="0" applyNumberFormat="1" applyFont="1" applyFill="1" applyBorder="1" applyAlignment="1">
      <alignment horizontal="left" vertical="top" wrapText="1"/>
    </xf>
    <xf numFmtId="0" fontId="3" fillId="32" borderId="27" xfId="0" applyFont="1" applyFill="1" applyBorder="1" applyAlignment="1">
      <alignment vertical="top" wrapText="1"/>
    </xf>
    <xf numFmtId="0" fontId="1" fillId="32" borderId="0" xfId="0" applyFont="1" applyFill="1" applyBorder="1" applyAlignment="1">
      <alignment horizontal="left" vertical="top"/>
    </xf>
    <xf numFmtId="0" fontId="1" fillId="32" borderId="0" xfId="0" applyFont="1" applyFill="1" applyBorder="1" applyAlignment="1">
      <alignment vertical="top" wrapText="1"/>
    </xf>
    <xf numFmtId="212" fontId="1" fillId="32" borderId="0" xfId="0" applyNumberFormat="1" applyFont="1" applyFill="1" applyBorder="1" applyAlignment="1">
      <alignment horizontal="left" vertical="top" wrapText="1"/>
    </xf>
    <xf numFmtId="0" fontId="3" fillId="32" borderId="0" xfId="0" applyFont="1" applyFill="1" applyBorder="1" applyAlignment="1">
      <alignment vertical="top" wrapText="1"/>
    </xf>
    <xf numFmtId="0" fontId="3" fillId="32" borderId="0" xfId="0" applyFont="1" applyFill="1" applyBorder="1" applyAlignment="1">
      <alignment horizontal="left" vertical="top"/>
    </xf>
    <xf numFmtId="49" fontId="3" fillId="32" borderId="0" xfId="0" applyNumberFormat="1" applyFont="1" applyFill="1" applyBorder="1" applyAlignment="1">
      <alignment horizontal="left" vertical="top" wrapText="1"/>
    </xf>
    <xf numFmtId="0" fontId="3" fillId="32" borderId="0" xfId="0" applyFont="1" applyFill="1" applyBorder="1" applyAlignment="1">
      <alignment horizontal="center" vertical="center"/>
    </xf>
    <xf numFmtId="0" fontId="3" fillId="32" borderId="0" xfId="57" applyFont="1" applyFill="1" applyBorder="1" applyAlignment="1">
      <alignment horizontal="left" vertical="top" wrapText="1"/>
      <protection/>
    </xf>
    <xf numFmtId="0" fontId="3" fillId="32" borderId="0" xfId="0" applyFont="1" applyFill="1" applyBorder="1" applyAlignment="1">
      <alignment horizontal="left" vertical="top" wrapText="1"/>
    </xf>
    <xf numFmtId="0" fontId="13" fillId="32" borderId="0" xfId="0" applyFont="1" applyFill="1" applyAlignment="1">
      <alignment horizontal="center" vertical="center"/>
    </xf>
    <xf numFmtId="0" fontId="13" fillId="32" borderId="0" xfId="0" applyFont="1" applyFill="1" applyAlignment="1">
      <alignment wrapText="1"/>
    </xf>
    <xf numFmtId="0" fontId="13" fillId="32" borderId="0" xfId="0" applyFont="1" applyFill="1" applyAlignment="1">
      <alignment vertical="top" wrapText="1"/>
    </xf>
    <xf numFmtId="0" fontId="13" fillId="32" borderId="0" xfId="0" applyFont="1" applyFill="1" applyAlignment="1">
      <alignment horizontal="left"/>
    </xf>
    <xf numFmtId="0" fontId="13" fillId="32" borderId="0" xfId="0" applyFont="1" applyFill="1" applyAlignment="1">
      <alignment vertical="top"/>
    </xf>
    <xf numFmtId="0" fontId="3" fillId="32" borderId="0" xfId="0" applyFont="1" applyFill="1" applyAlignment="1">
      <alignment horizontal="left"/>
    </xf>
    <xf numFmtId="212" fontId="2" fillId="32" borderId="21" xfId="0" applyNumberFormat="1" applyFont="1" applyFill="1" applyBorder="1" applyAlignment="1">
      <alignment horizontal="left" vertical="top" wrapText="1"/>
    </xf>
    <xf numFmtId="212" fontId="2" fillId="32" borderId="26" xfId="0" applyNumberFormat="1" applyFont="1" applyFill="1" applyBorder="1" applyAlignment="1">
      <alignment horizontal="left" vertical="top" wrapText="1"/>
    </xf>
    <xf numFmtId="212" fontId="2" fillId="32" borderId="10" xfId="0" applyNumberFormat="1" applyFont="1" applyFill="1" applyBorder="1" applyAlignment="1">
      <alignment horizontal="left" vertical="top" wrapText="1"/>
    </xf>
    <xf numFmtId="212" fontId="2" fillId="32" borderId="12" xfId="0" applyNumberFormat="1" applyFont="1" applyFill="1" applyBorder="1" applyAlignment="1">
      <alignment horizontal="left" vertical="top" wrapText="1"/>
    </xf>
    <xf numFmtId="0" fontId="2" fillId="32" borderId="26" xfId="0" applyFont="1" applyFill="1" applyBorder="1" applyAlignment="1">
      <alignment horizontal="left" vertical="top" wrapText="1"/>
    </xf>
    <xf numFmtId="0" fontId="2" fillId="32" borderId="10" xfId="0" applyFont="1" applyFill="1" applyBorder="1" applyAlignment="1">
      <alignment horizontal="left" vertical="top" wrapText="1"/>
    </xf>
    <xf numFmtId="0" fontId="2" fillId="32" borderId="12" xfId="0" applyFont="1" applyFill="1" applyBorder="1" applyAlignment="1">
      <alignment horizontal="left" vertical="top" wrapText="1"/>
    </xf>
    <xf numFmtId="224" fontId="2" fillId="32" borderId="11" xfId="0" applyNumberFormat="1" applyFont="1" applyFill="1" applyBorder="1" applyAlignment="1">
      <alignment horizontal="center" vertical="top" wrapText="1"/>
    </xf>
    <xf numFmtId="0" fontId="2" fillId="32" borderId="48" xfId="0" applyFont="1" applyFill="1" applyBorder="1" applyAlignment="1">
      <alignment wrapText="1"/>
    </xf>
    <xf numFmtId="224" fontId="2" fillId="32" borderId="0" xfId="0" applyNumberFormat="1" applyFont="1" applyFill="1" applyBorder="1" applyAlignment="1">
      <alignment horizontal="center" vertical="top" wrapText="1"/>
    </xf>
    <xf numFmtId="0" fontId="2" fillId="32" borderId="10" xfId="0" applyFont="1" applyFill="1" applyBorder="1" applyAlignment="1">
      <alignment vertical="top" wrapText="1"/>
    </xf>
    <xf numFmtId="212" fontId="2" fillId="0" borderId="11" xfId="0" applyNumberFormat="1" applyFont="1" applyFill="1" applyBorder="1" applyAlignment="1">
      <alignment horizontal="center" vertical="top" wrapText="1"/>
    </xf>
    <xf numFmtId="212" fontId="2" fillId="32" borderId="10" xfId="56" applyNumberFormat="1" applyFont="1" applyFill="1" applyBorder="1" applyAlignment="1">
      <alignment horizontal="center" vertical="top" wrapText="1"/>
      <protection/>
    </xf>
    <xf numFmtId="0" fontId="2" fillId="32" borderId="11" xfId="0" applyFont="1" applyFill="1" applyBorder="1" applyAlignment="1">
      <alignment horizontal="center" vertical="top" wrapText="1"/>
    </xf>
    <xf numFmtId="0" fontId="1" fillId="0" borderId="49" xfId="0" applyFont="1" applyBorder="1" applyAlignment="1">
      <alignment horizontal="center"/>
    </xf>
    <xf numFmtId="0" fontId="1" fillId="0" borderId="38" xfId="0" applyFont="1" applyBorder="1" applyAlignment="1">
      <alignment horizontal="center"/>
    </xf>
    <xf numFmtId="0" fontId="1" fillId="0" borderId="0" xfId="0" applyFont="1" applyAlignment="1">
      <alignment horizontal="center"/>
    </xf>
    <xf numFmtId="0" fontId="1" fillId="0" borderId="50" xfId="0" applyFont="1" applyBorder="1" applyAlignment="1">
      <alignment horizontal="center" vertical="top" wrapText="1"/>
    </xf>
    <xf numFmtId="0" fontId="1" fillId="0" borderId="37" xfId="0" applyFont="1" applyBorder="1" applyAlignment="1">
      <alignment horizontal="center" vertical="top" wrapText="1"/>
    </xf>
    <xf numFmtId="0" fontId="1" fillId="0" borderId="51" xfId="0" applyFont="1" applyBorder="1" applyAlignment="1">
      <alignment horizontal="center" wrapText="1"/>
    </xf>
    <xf numFmtId="0" fontId="1" fillId="0" borderId="52" xfId="0" applyFont="1" applyBorder="1" applyAlignment="1">
      <alignment horizont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49" xfId="0" applyFont="1" applyBorder="1" applyAlignment="1">
      <alignment horizontal="left" vertical="top" wrapText="1"/>
    </xf>
    <xf numFmtId="0" fontId="3" fillId="0" borderId="38" xfId="0" applyFont="1" applyBorder="1" applyAlignment="1">
      <alignment horizontal="left" vertical="top" wrapText="1"/>
    </xf>
    <xf numFmtId="0" fontId="3" fillId="32" borderId="49" xfId="0" applyFont="1" applyFill="1" applyBorder="1" applyAlignment="1">
      <alignment horizontal="left" vertical="top" wrapText="1"/>
    </xf>
    <xf numFmtId="0" fontId="3" fillId="32" borderId="38" xfId="0" applyFont="1" applyFill="1" applyBorder="1" applyAlignment="1">
      <alignment horizontal="left" vertical="top" wrapText="1"/>
    </xf>
    <xf numFmtId="0" fontId="1" fillId="32" borderId="20" xfId="0" applyFont="1" applyFill="1" applyBorder="1" applyAlignment="1">
      <alignment horizontal="left" vertical="top"/>
    </xf>
    <xf numFmtId="0" fontId="1" fillId="32" borderId="21" xfId="0" applyFont="1" applyFill="1" applyBorder="1" applyAlignment="1">
      <alignment horizontal="left" vertical="top"/>
    </xf>
    <xf numFmtId="0" fontId="1" fillId="32" borderId="40" xfId="0" applyFont="1" applyFill="1" applyBorder="1" applyAlignment="1">
      <alignment horizontal="left" vertical="top"/>
    </xf>
    <xf numFmtId="0" fontId="1" fillId="32" borderId="53" xfId="0" applyFont="1" applyFill="1" applyBorder="1" applyAlignment="1">
      <alignment horizontal="left" vertical="top"/>
    </xf>
    <xf numFmtId="0" fontId="1" fillId="32" borderId="54" xfId="0" applyFont="1" applyFill="1" applyBorder="1" applyAlignment="1">
      <alignment horizontal="left" vertical="top"/>
    </xf>
    <xf numFmtId="0" fontId="1" fillId="32" borderId="42" xfId="0" applyFont="1" applyFill="1" applyBorder="1" applyAlignment="1">
      <alignment horizontal="left" vertical="top"/>
    </xf>
    <xf numFmtId="0" fontId="1" fillId="32" borderId="0" xfId="0" applyFont="1" applyFill="1" applyBorder="1" applyAlignment="1">
      <alignment horizontal="left" vertical="top"/>
    </xf>
    <xf numFmtId="0" fontId="1" fillId="32" borderId="55" xfId="0" applyFont="1" applyFill="1" applyBorder="1" applyAlignment="1">
      <alignment horizontal="left" vertical="top"/>
    </xf>
    <xf numFmtId="0" fontId="1" fillId="32" borderId="48" xfId="0" applyFont="1" applyFill="1" applyBorder="1" applyAlignment="1">
      <alignment horizontal="left" vertical="top"/>
    </xf>
    <xf numFmtId="0" fontId="1" fillId="32" borderId="56" xfId="0" applyFont="1" applyFill="1" applyBorder="1" applyAlignment="1">
      <alignment horizontal="left" vertical="top"/>
    </xf>
    <xf numFmtId="0" fontId="1" fillId="32" borderId="57" xfId="0" applyFont="1" applyFill="1" applyBorder="1" applyAlignment="1">
      <alignment horizontal="left" vertical="top"/>
    </xf>
    <xf numFmtId="0" fontId="3" fillId="32" borderId="23" xfId="57" applyFont="1" applyFill="1" applyBorder="1" applyAlignment="1">
      <alignment horizontal="left" vertical="top" wrapText="1"/>
      <protection/>
    </xf>
    <xf numFmtId="0" fontId="3" fillId="32" borderId="18" xfId="57" applyFont="1" applyFill="1" applyBorder="1" applyAlignment="1">
      <alignment horizontal="left" vertical="top" wrapText="1"/>
      <protection/>
    </xf>
    <xf numFmtId="0" fontId="1" fillId="32" borderId="23" xfId="0" applyFont="1" applyFill="1" applyBorder="1" applyAlignment="1">
      <alignment horizontal="left" vertical="top" wrapText="1"/>
    </xf>
    <xf numFmtId="0" fontId="1" fillId="32" borderId="18" xfId="0" applyFont="1" applyFill="1" applyBorder="1" applyAlignment="1">
      <alignment horizontal="left" vertical="top" wrapText="1"/>
    </xf>
    <xf numFmtId="0" fontId="1" fillId="32" borderId="43" xfId="57" applyFont="1" applyFill="1" applyBorder="1" applyAlignment="1">
      <alignment horizontal="left" vertical="top" wrapText="1"/>
      <protection/>
    </xf>
    <xf numFmtId="0" fontId="1" fillId="32" borderId="17" xfId="57" applyFont="1" applyFill="1" applyBorder="1" applyAlignment="1">
      <alignment horizontal="left" vertical="top" wrapText="1"/>
      <protection/>
    </xf>
    <xf numFmtId="0" fontId="3" fillId="32" borderId="23" xfId="0" applyFont="1" applyFill="1" applyBorder="1" applyAlignment="1">
      <alignment horizontal="left" vertical="center" wrapText="1"/>
    </xf>
    <xf numFmtId="0" fontId="3" fillId="32" borderId="18" xfId="0" applyFont="1" applyFill="1" applyBorder="1" applyAlignment="1">
      <alignment horizontal="left" vertical="center" wrapText="1"/>
    </xf>
    <xf numFmtId="0" fontId="3" fillId="32" borderId="10" xfId="57" applyFont="1" applyFill="1" applyBorder="1" applyAlignment="1">
      <alignment horizontal="left" vertical="top" wrapText="1"/>
      <protection/>
    </xf>
    <xf numFmtId="0" fontId="1" fillId="32" borderId="39" xfId="57" applyFont="1" applyFill="1" applyBorder="1" applyAlignment="1">
      <alignment horizontal="center" vertical="top" wrapText="1"/>
      <protection/>
    </xf>
    <xf numFmtId="0" fontId="1" fillId="32" borderId="43" xfId="57" applyFont="1" applyFill="1" applyBorder="1" applyAlignment="1">
      <alignment horizontal="center" vertical="top" wrapText="1"/>
      <protection/>
    </xf>
    <xf numFmtId="0" fontId="1" fillId="32" borderId="17" xfId="57" applyFont="1" applyFill="1" applyBorder="1" applyAlignment="1">
      <alignment horizontal="center" vertical="top" wrapText="1"/>
      <protection/>
    </xf>
    <xf numFmtId="0" fontId="3" fillId="32" borderId="11"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44" xfId="57" applyFont="1" applyFill="1" applyBorder="1" applyAlignment="1">
      <alignment horizontal="left" vertical="top" wrapText="1"/>
      <protection/>
    </xf>
    <xf numFmtId="0" fontId="3" fillId="32" borderId="19" xfId="57" applyFont="1" applyFill="1" applyBorder="1" applyAlignment="1">
      <alignment horizontal="left" vertical="top" wrapText="1"/>
      <protection/>
    </xf>
    <xf numFmtId="0" fontId="1" fillId="32" borderId="28" xfId="0" applyFont="1" applyFill="1" applyBorder="1" applyAlignment="1">
      <alignment horizontal="left" vertical="top"/>
    </xf>
    <xf numFmtId="0" fontId="1" fillId="32" borderId="45" xfId="0" applyFont="1" applyFill="1" applyBorder="1" applyAlignment="1">
      <alignment horizontal="left" vertical="top"/>
    </xf>
    <xf numFmtId="0" fontId="1" fillId="32" borderId="36" xfId="0" applyFont="1" applyFill="1" applyBorder="1" applyAlignment="1">
      <alignment horizontal="left" vertical="top"/>
    </xf>
    <xf numFmtId="0" fontId="1" fillId="32" borderId="29" xfId="0" applyFont="1" applyFill="1" applyBorder="1" applyAlignment="1">
      <alignment horizontal="left" vertical="top"/>
    </xf>
    <xf numFmtId="0" fontId="1" fillId="32" borderId="58" xfId="0" applyFont="1" applyFill="1" applyBorder="1" applyAlignment="1">
      <alignment horizontal="left" vertical="top"/>
    </xf>
    <xf numFmtId="0" fontId="1" fillId="32" borderId="37" xfId="0" applyFont="1" applyFill="1" applyBorder="1" applyAlignment="1">
      <alignment horizontal="left" vertical="top"/>
    </xf>
    <xf numFmtId="0" fontId="1" fillId="32" borderId="13" xfId="0" applyFont="1" applyFill="1" applyBorder="1" applyAlignment="1">
      <alignment horizontal="center" vertical="top"/>
    </xf>
    <xf numFmtId="0" fontId="1" fillId="32" borderId="10" xfId="0" applyFont="1" applyFill="1" applyBorder="1" applyAlignment="1">
      <alignment horizontal="center" vertical="top"/>
    </xf>
    <xf numFmtId="0" fontId="1" fillId="32" borderId="12" xfId="0" applyFont="1" applyFill="1" applyBorder="1" applyAlignment="1">
      <alignment horizontal="center" vertical="top"/>
    </xf>
    <xf numFmtId="0" fontId="3" fillId="32" borderId="11" xfId="57" applyFont="1" applyFill="1" applyBorder="1" applyAlignment="1">
      <alignment horizontal="center" vertical="top" wrapText="1"/>
      <protection/>
    </xf>
    <xf numFmtId="0" fontId="3" fillId="32" borderId="23" xfId="57" applyFont="1" applyFill="1" applyBorder="1" applyAlignment="1">
      <alignment horizontal="center" vertical="top" wrapText="1"/>
      <protection/>
    </xf>
    <xf numFmtId="0" fontId="1" fillId="32" borderId="28" xfId="0" applyFont="1" applyFill="1" applyBorder="1" applyAlignment="1">
      <alignment horizontal="center" vertical="center"/>
    </xf>
    <xf numFmtId="0" fontId="1" fillId="32" borderId="45" xfId="0" applyFont="1" applyFill="1" applyBorder="1" applyAlignment="1">
      <alignment horizontal="center" vertical="center"/>
    </xf>
    <xf numFmtId="0" fontId="1" fillId="32" borderId="35" xfId="0" applyFont="1" applyFill="1" applyBorder="1" applyAlignment="1">
      <alignment horizontal="center" vertical="center"/>
    </xf>
    <xf numFmtId="0" fontId="1" fillId="32" borderId="10" xfId="0" applyFont="1" applyFill="1" applyBorder="1" applyAlignment="1">
      <alignment vertical="top" wrapText="1"/>
    </xf>
    <xf numFmtId="0" fontId="1" fillId="32" borderId="15" xfId="0" applyFont="1" applyFill="1" applyBorder="1" applyAlignment="1">
      <alignment horizontal="center" vertical="top"/>
    </xf>
    <xf numFmtId="0" fontId="21" fillId="32" borderId="0" xfId="0" applyFont="1" applyFill="1" applyAlignment="1">
      <alignment horizontal="center" vertical="center"/>
    </xf>
    <xf numFmtId="0" fontId="1" fillId="32" borderId="28" xfId="57" applyFont="1" applyFill="1" applyBorder="1" applyAlignment="1">
      <alignment horizontal="center" vertical="center" wrapText="1"/>
      <protection/>
    </xf>
    <xf numFmtId="0" fontId="1" fillId="32" borderId="45" xfId="57" applyFont="1" applyFill="1" applyBorder="1" applyAlignment="1">
      <alignment horizontal="center" vertical="center" wrapText="1"/>
      <protection/>
    </xf>
    <xf numFmtId="0" fontId="1" fillId="32" borderId="35" xfId="57" applyFont="1" applyFill="1" applyBorder="1" applyAlignment="1">
      <alignment horizontal="center" vertical="center" wrapText="1"/>
      <protection/>
    </xf>
    <xf numFmtId="0" fontId="1" fillId="32" borderId="26"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5"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5" xfId="0" applyFont="1" applyFill="1" applyBorder="1" applyAlignment="1">
      <alignment horizontal="center" vertical="center" wrapText="1"/>
    </xf>
    <xf numFmtId="0" fontId="1" fillId="32" borderId="59" xfId="0" applyFont="1" applyFill="1" applyBorder="1" applyAlignment="1">
      <alignment horizontal="left" vertical="top"/>
    </xf>
    <xf numFmtId="0" fontId="1" fillId="32" borderId="60" xfId="0" applyFont="1" applyFill="1" applyBorder="1" applyAlignment="1">
      <alignment horizontal="left" vertical="top"/>
    </xf>
    <xf numFmtId="0" fontId="1" fillId="32" borderId="38" xfId="0" applyFont="1" applyFill="1" applyBorder="1" applyAlignment="1">
      <alignment horizontal="left" vertical="top"/>
    </xf>
    <xf numFmtId="0" fontId="1" fillId="32" borderId="46" xfId="0" applyFont="1" applyFill="1" applyBorder="1" applyAlignment="1">
      <alignment horizontal="left" vertical="top"/>
    </xf>
    <xf numFmtId="0" fontId="1" fillId="32" borderId="61" xfId="0" applyFont="1" applyFill="1" applyBorder="1" applyAlignment="1">
      <alignment horizontal="left" vertical="top"/>
    </xf>
    <xf numFmtId="0" fontId="1" fillId="32" borderId="41" xfId="0" applyFont="1" applyFill="1" applyBorder="1" applyAlignment="1">
      <alignment horizontal="left" vertical="top"/>
    </xf>
    <xf numFmtId="0" fontId="3" fillId="32" borderId="11" xfId="57" applyFont="1" applyFill="1" applyBorder="1" applyAlignment="1">
      <alignment horizontal="left" vertical="top" wrapText="1"/>
      <protection/>
    </xf>
    <xf numFmtId="0" fontId="3" fillId="32" borderId="23" xfId="0" applyFont="1" applyFill="1" applyBorder="1" applyAlignment="1">
      <alignment/>
    </xf>
    <xf numFmtId="0" fontId="3" fillId="32" borderId="24" xfId="57" applyFont="1" applyFill="1" applyBorder="1" applyAlignment="1">
      <alignment vertical="top" wrapText="1"/>
      <protection/>
    </xf>
    <xf numFmtId="0" fontId="3" fillId="32" borderId="44" xfId="57" applyFont="1" applyFill="1" applyBorder="1" applyAlignment="1">
      <alignment vertical="top" wrapText="1"/>
      <protection/>
    </xf>
    <xf numFmtId="0" fontId="3" fillId="32" borderId="24" xfId="0" applyFont="1" applyFill="1" applyBorder="1" applyAlignment="1">
      <alignment vertical="top" wrapText="1"/>
    </xf>
    <xf numFmtId="0" fontId="3" fillId="32" borderId="44" xfId="0" applyFont="1" applyFill="1" applyBorder="1" applyAlignment="1">
      <alignment vertical="top" wrapText="1"/>
    </xf>
    <xf numFmtId="0" fontId="3" fillId="32" borderId="11" xfId="0" applyFont="1" applyFill="1" applyBorder="1" applyAlignment="1">
      <alignment horizontal="left" vertical="top" wrapText="1"/>
    </xf>
    <xf numFmtId="0" fontId="3" fillId="32" borderId="23" xfId="0" applyFont="1" applyFill="1" applyBorder="1" applyAlignment="1">
      <alignment horizontal="left" vertical="top" wrapText="1"/>
    </xf>
    <xf numFmtId="0" fontId="71" fillId="32" borderId="0" xfId="0" applyFont="1" applyFill="1" applyAlignment="1">
      <alignment horizontal="center" vertical="center"/>
    </xf>
    <xf numFmtId="0" fontId="1" fillId="32" borderId="39" xfId="0" applyFont="1" applyFill="1" applyBorder="1" applyAlignment="1">
      <alignment horizontal="center" vertical="top"/>
    </xf>
    <xf numFmtId="0" fontId="1" fillId="32" borderId="43" xfId="0" applyFont="1" applyFill="1" applyBorder="1" applyAlignment="1">
      <alignment horizontal="center" vertical="top"/>
    </xf>
    <xf numFmtId="0" fontId="1" fillId="32" borderId="10" xfId="0" applyFont="1" applyFill="1" applyBorder="1" applyAlignment="1">
      <alignment horizontal="left" vertical="top" wrapText="1"/>
    </xf>
    <xf numFmtId="0" fontId="1" fillId="32" borderId="11" xfId="0" applyFont="1" applyFill="1" applyBorder="1" applyAlignment="1">
      <alignment horizontal="left" vertical="top" wrapText="1"/>
    </xf>
    <xf numFmtId="0" fontId="3" fillId="32" borderId="24" xfId="57" applyFont="1" applyFill="1" applyBorder="1" applyAlignment="1">
      <alignment horizontal="left" vertical="top" wrapText="1"/>
      <protection/>
    </xf>
    <xf numFmtId="0" fontId="3" fillId="32" borderId="23" xfId="0" applyFont="1" applyFill="1" applyBorder="1" applyAlignment="1">
      <alignment horizontal="center" vertical="center" wrapText="1"/>
    </xf>
    <xf numFmtId="0" fontId="3" fillId="32" borderId="14" xfId="57" applyFont="1" applyFill="1" applyBorder="1" applyAlignment="1">
      <alignment vertical="top" wrapText="1"/>
      <protection/>
    </xf>
    <xf numFmtId="0" fontId="3" fillId="32" borderId="46" xfId="0" applyFont="1" applyFill="1" applyBorder="1" applyAlignment="1">
      <alignment horizontal="center" vertical="top"/>
    </xf>
    <xf numFmtId="0" fontId="3" fillId="32" borderId="61" xfId="0" applyFont="1" applyFill="1" applyBorder="1" applyAlignment="1">
      <alignment horizontal="center" vertical="top"/>
    </xf>
    <xf numFmtId="0" fontId="3" fillId="32" borderId="41" xfId="0" applyFont="1" applyFill="1" applyBorder="1" applyAlignment="1">
      <alignment horizontal="center" vertical="top"/>
    </xf>
    <xf numFmtId="0" fontId="1" fillId="32" borderId="18" xfId="0" applyFont="1" applyFill="1" applyBorder="1" applyAlignment="1">
      <alignment vertical="top" wrapText="1"/>
    </xf>
    <xf numFmtId="0" fontId="3" fillId="32" borderId="23" xfId="0" applyFont="1" applyFill="1" applyBorder="1" applyAlignment="1">
      <alignment horizontal="center" vertical="top" wrapText="1"/>
    </xf>
    <xf numFmtId="0" fontId="3" fillId="32" borderId="18" xfId="0" applyFont="1" applyFill="1" applyBorder="1" applyAlignment="1">
      <alignment horizontal="center" vertical="top" wrapText="1"/>
    </xf>
    <xf numFmtId="0" fontId="1" fillId="32" borderId="40" xfId="0" applyFont="1" applyFill="1" applyBorder="1" applyAlignment="1">
      <alignment horizontal="center"/>
    </xf>
    <xf numFmtId="0" fontId="1" fillId="32" borderId="53" xfId="0" applyFont="1" applyFill="1" applyBorder="1" applyAlignment="1">
      <alignment horizontal="center"/>
    </xf>
    <xf numFmtId="0" fontId="1" fillId="32" borderId="62" xfId="0" applyFont="1" applyFill="1" applyBorder="1" applyAlignment="1">
      <alignment horizontal="center"/>
    </xf>
    <xf numFmtId="0" fontId="3" fillId="32" borderId="10" xfId="0" applyFont="1" applyFill="1" applyBorder="1" applyAlignment="1">
      <alignment horizontal="left" vertical="top" wrapText="1"/>
    </xf>
    <xf numFmtId="0" fontId="3" fillId="32" borderId="14" xfId="0" applyFont="1" applyFill="1" applyBorder="1" applyAlignment="1">
      <alignment vertical="top" wrapText="1"/>
    </xf>
    <xf numFmtId="0" fontId="1" fillId="32" borderId="11" xfId="0" applyFont="1" applyFill="1" applyBorder="1" applyAlignment="1">
      <alignment horizontal="center" vertical="center" wrapText="1"/>
    </xf>
    <xf numFmtId="0" fontId="1" fillId="32" borderId="63" xfId="0" applyFont="1" applyFill="1" applyBorder="1" applyAlignment="1">
      <alignment horizontal="center" vertical="center" wrapText="1"/>
    </xf>
    <xf numFmtId="0" fontId="1" fillId="32" borderId="10" xfId="0" applyFont="1" applyFill="1" applyBorder="1" applyAlignment="1">
      <alignment horizontal="center" wrapText="1"/>
    </xf>
    <xf numFmtId="0" fontId="1" fillId="32" borderId="27"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26" xfId="0" applyFont="1" applyFill="1" applyBorder="1" applyAlignment="1">
      <alignment horizontal="center" wrapText="1"/>
    </xf>
    <xf numFmtId="0" fontId="1" fillId="32" borderId="23" xfId="0" applyFont="1" applyFill="1" applyBorder="1" applyAlignment="1">
      <alignment vertical="top" wrapText="1"/>
    </xf>
    <xf numFmtId="0" fontId="1" fillId="0" borderId="45" xfId="0" applyFont="1" applyBorder="1" applyAlignment="1">
      <alignment horizontal="left" wrapText="1"/>
    </xf>
    <xf numFmtId="0" fontId="1" fillId="0" borderId="35" xfId="0" applyFont="1" applyBorder="1" applyAlignment="1">
      <alignment horizontal="left" wrapText="1"/>
    </xf>
    <xf numFmtId="0" fontId="1" fillId="32" borderId="64" xfId="0" applyFont="1" applyFill="1" applyBorder="1" applyAlignment="1">
      <alignment horizontal="left" vertical="top" wrapText="1"/>
    </xf>
    <xf numFmtId="0" fontId="1" fillId="32" borderId="45" xfId="0" applyFont="1" applyFill="1" applyBorder="1" applyAlignment="1">
      <alignment horizontal="left" vertical="top" wrapText="1"/>
    </xf>
    <xf numFmtId="0" fontId="1" fillId="32" borderId="36" xfId="0" applyFont="1" applyFill="1" applyBorder="1" applyAlignment="1">
      <alignment horizontal="left" vertical="top" wrapText="1"/>
    </xf>
    <xf numFmtId="0" fontId="1" fillId="0" borderId="60" xfId="0" applyFont="1" applyBorder="1" applyAlignment="1">
      <alignment horizontal="left"/>
    </xf>
    <xf numFmtId="0" fontId="1" fillId="0" borderId="65" xfId="0" applyFont="1" applyBorder="1" applyAlignment="1">
      <alignment horizontal="left"/>
    </xf>
    <xf numFmtId="0" fontId="17" fillId="0" borderId="10" xfId="0" applyFont="1" applyFill="1" applyBorder="1" applyAlignment="1">
      <alignment horizontal="center" wrapText="1"/>
    </xf>
    <xf numFmtId="0" fontId="25" fillId="0" borderId="46" xfId="0" applyFont="1" applyBorder="1" applyAlignment="1">
      <alignment horizontal="left"/>
    </xf>
    <xf numFmtId="0" fontId="25" fillId="0" borderId="61" xfId="0" applyFont="1" applyBorder="1" applyAlignment="1">
      <alignment horizontal="left"/>
    </xf>
    <xf numFmtId="0" fontId="25" fillId="0" borderId="66" xfId="0" applyFont="1" applyBorder="1" applyAlignment="1">
      <alignment horizontal="left"/>
    </xf>
    <xf numFmtId="0" fontId="3" fillId="0" borderId="45" xfId="0" applyFont="1" applyBorder="1" applyAlignment="1">
      <alignment horizontal="left"/>
    </xf>
    <xf numFmtId="0" fontId="3" fillId="0" borderId="35" xfId="0" applyFont="1" applyBorder="1" applyAlignment="1">
      <alignment horizontal="left"/>
    </xf>
    <xf numFmtId="0" fontId="1" fillId="0" borderId="28"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35"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68" xfId="0" applyFont="1" applyFill="1" applyBorder="1" applyAlignment="1">
      <alignment horizontal="left" vertical="top" wrapText="1"/>
    </xf>
    <xf numFmtId="0" fontId="25" fillId="0" borderId="28" xfId="0" applyFont="1" applyBorder="1" applyAlignment="1">
      <alignment horizontal="left" wrapText="1"/>
    </xf>
    <xf numFmtId="0" fontId="25" fillId="0" borderId="45" xfId="0" applyFont="1" applyBorder="1" applyAlignment="1">
      <alignment horizontal="left" wrapText="1"/>
    </xf>
    <xf numFmtId="0" fontId="25" fillId="0" borderId="35" xfId="0" applyFont="1" applyBorder="1" applyAlignment="1">
      <alignment horizontal="left" wrapText="1"/>
    </xf>
    <xf numFmtId="0" fontId="25" fillId="0" borderId="28" xfId="0" applyFont="1" applyBorder="1" applyAlignment="1">
      <alignment horizontal="left"/>
    </xf>
    <xf numFmtId="0" fontId="25" fillId="0" borderId="45" xfId="0" applyFont="1" applyBorder="1" applyAlignment="1">
      <alignment horizontal="left"/>
    </xf>
    <xf numFmtId="0" fontId="25" fillId="0" borderId="35" xfId="0" applyFont="1" applyBorder="1" applyAlignment="1">
      <alignment horizontal="left"/>
    </xf>
    <xf numFmtId="0" fontId="3" fillId="0" borderId="45" xfId="0" applyFont="1" applyBorder="1" applyAlignment="1">
      <alignment horizontal="left" vertical="center"/>
    </xf>
    <xf numFmtId="0" fontId="3" fillId="0" borderId="35" xfId="0" applyFont="1" applyBorder="1" applyAlignment="1">
      <alignment horizontal="left" vertical="center"/>
    </xf>
    <xf numFmtId="0" fontId="78"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0" fillId="0" borderId="45" xfId="0" applyBorder="1" applyAlignment="1">
      <alignment/>
    </xf>
    <xf numFmtId="0" fontId="0" fillId="0" borderId="35" xfId="0" applyBorder="1" applyAlignment="1">
      <alignment/>
    </xf>
    <xf numFmtId="0" fontId="3" fillId="0" borderId="45" xfId="0" applyFont="1" applyBorder="1" applyAlignment="1">
      <alignment horizontal="left" wrapText="1"/>
    </xf>
    <xf numFmtId="0" fontId="3" fillId="0" borderId="35" xfId="0" applyFont="1" applyBorder="1" applyAlignment="1">
      <alignment horizontal="left" wrapText="1"/>
    </xf>
    <xf numFmtId="0" fontId="14" fillId="0" borderId="0" xfId="0" applyFont="1" applyFill="1" applyAlignment="1">
      <alignment horizontal="left"/>
    </xf>
    <xf numFmtId="0" fontId="14" fillId="0" borderId="0" xfId="0" applyFont="1" applyAlignment="1">
      <alignment horizontal="left" wrapText="1"/>
    </xf>
    <xf numFmtId="0" fontId="2" fillId="0" borderId="0" xfId="0" applyFont="1" applyAlignment="1">
      <alignment horizontal="center"/>
    </xf>
    <xf numFmtId="0" fontId="1" fillId="0" borderId="0" xfId="0" applyFont="1" applyAlignment="1">
      <alignment horizontal="center" vertical="center" wrapText="1"/>
    </xf>
    <xf numFmtId="0" fontId="6" fillId="0" borderId="10" xfId="0" applyFont="1" applyFill="1" applyBorder="1" applyAlignment="1">
      <alignment horizontal="center" vertical="center" wrapText="1"/>
    </xf>
    <xf numFmtId="0" fontId="73" fillId="0" borderId="11" xfId="0" applyFont="1" applyBorder="1" applyAlignment="1">
      <alignment horizontal="center" vertical="center"/>
    </xf>
    <xf numFmtId="0" fontId="73" fillId="0" borderId="63" xfId="0" applyFont="1" applyBorder="1" applyAlignment="1">
      <alignment horizontal="center" vertical="center"/>
    </xf>
    <xf numFmtId="0" fontId="19" fillId="0" borderId="0"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4" xfId="0" applyFont="1" applyBorder="1" applyAlignment="1">
      <alignment horizontal="center" vertical="center"/>
    </xf>
    <xf numFmtId="0" fontId="73" fillId="0" borderId="16" xfId="0" applyFont="1" applyBorder="1" applyAlignment="1">
      <alignment horizontal="center" vertical="center"/>
    </xf>
    <xf numFmtId="0" fontId="73" fillId="0" borderId="69" xfId="0" applyFont="1" applyBorder="1" applyAlignment="1">
      <alignment horizontal="center" vertical="center" wrapText="1"/>
    </xf>
    <xf numFmtId="0" fontId="73" fillId="0" borderId="43" xfId="0" applyFont="1" applyBorder="1" applyAlignment="1">
      <alignment horizontal="center" vertical="center" wrapText="1"/>
    </xf>
    <xf numFmtId="0" fontId="73" fillId="0" borderId="70"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63" xfId="0" applyFont="1" applyBorder="1" applyAlignment="1">
      <alignment horizontal="center" vertical="center" wrapText="1"/>
    </xf>
    <xf numFmtId="0" fontId="72" fillId="0" borderId="26" xfId="0" applyFont="1" applyBorder="1" applyAlignment="1">
      <alignment horizontal="center" wrapText="1"/>
    </xf>
    <xf numFmtId="0" fontId="72" fillId="0" borderId="26" xfId="0" applyFont="1" applyBorder="1" applyAlignment="1">
      <alignment horizontal="center" vertical="center"/>
    </xf>
    <xf numFmtId="0" fontId="72" fillId="0" borderId="27" xfId="0" applyFont="1" applyBorder="1" applyAlignment="1">
      <alignment horizontal="center" vertical="center"/>
    </xf>
    <xf numFmtId="0" fontId="73" fillId="0" borderId="11" xfId="0" applyFont="1" applyBorder="1" applyAlignment="1">
      <alignment horizontal="center" vertical="center" wrapText="1"/>
    </xf>
    <xf numFmtId="0" fontId="3" fillId="0" borderId="71" xfId="0" applyFont="1" applyBorder="1" applyAlignment="1">
      <alignment horizontal="justify" vertical="top" wrapText="1"/>
    </xf>
    <xf numFmtId="0" fontId="3" fillId="0" borderId="33" xfId="0" applyFont="1" applyBorder="1" applyAlignment="1">
      <alignment horizontal="justify" vertical="top" wrapText="1"/>
    </xf>
    <xf numFmtId="0" fontId="3" fillId="0" borderId="71" xfId="0" applyFont="1" applyBorder="1" applyAlignment="1">
      <alignment vertical="top" wrapText="1"/>
    </xf>
    <xf numFmtId="0" fontId="3" fillId="0" borderId="33" xfId="0" applyFont="1" applyBorder="1" applyAlignment="1">
      <alignment vertical="top" wrapText="1"/>
    </xf>
    <xf numFmtId="0" fontId="3" fillId="0" borderId="72" xfId="0" applyFont="1" applyBorder="1" applyAlignment="1">
      <alignment horizontal="justify" vertical="top" wrapText="1"/>
    </xf>
    <xf numFmtId="0" fontId="3" fillId="0" borderId="72" xfId="0" applyFont="1" applyBorder="1" applyAlignment="1">
      <alignment vertical="top" wrapText="1"/>
    </xf>
    <xf numFmtId="0" fontId="1" fillId="0" borderId="56" xfId="0" applyFont="1" applyBorder="1" applyAlignment="1">
      <alignment horizontal="center"/>
    </xf>
    <xf numFmtId="0" fontId="1" fillId="0" borderId="0" xfId="0" applyFont="1" applyAlignment="1">
      <alignment horizontal="center" wrapText="1"/>
    </xf>
    <xf numFmtId="0" fontId="3" fillId="32" borderId="40" xfId="0" applyFont="1" applyFill="1" applyBorder="1" applyAlignment="1">
      <alignment horizontal="left" vertical="top" wrapText="1"/>
    </xf>
    <xf numFmtId="0" fontId="3" fillId="32" borderId="54" xfId="0" applyFont="1" applyFill="1" applyBorder="1" applyAlignment="1">
      <alignment horizontal="left" vertical="top" wrapText="1"/>
    </xf>
    <xf numFmtId="0" fontId="3" fillId="32" borderId="10" xfId="0" applyFont="1" applyFill="1" applyBorder="1" applyAlignment="1">
      <alignment horizontal="left" vertical="top"/>
    </xf>
    <xf numFmtId="0" fontId="1" fillId="0" borderId="0" xfId="0" applyFont="1" applyAlignment="1">
      <alignment/>
    </xf>
    <xf numFmtId="0" fontId="49" fillId="0" borderId="0" xfId="0" applyFont="1" applyAlignment="1">
      <alignment/>
    </xf>
    <xf numFmtId="0" fontId="50" fillId="32" borderId="0" xfId="0" applyFont="1" applyFill="1" applyAlignment="1">
      <alignment/>
    </xf>
    <xf numFmtId="0" fontId="51" fillId="0" borderId="0" xfId="0" applyFont="1" applyAlignment="1">
      <alignment/>
    </xf>
    <xf numFmtId="0" fontId="52" fillId="0" borderId="0" xfId="0" applyFont="1" applyAlignment="1">
      <alignment/>
    </xf>
    <xf numFmtId="0" fontId="51" fillId="0" borderId="0" xfId="0" applyFont="1" applyAlignment="1">
      <alignment horizontal="center"/>
    </xf>
    <xf numFmtId="0" fontId="50" fillId="32" borderId="0" xfId="0" applyFont="1" applyFill="1" applyAlignment="1">
      <alignment horizontal="center"/>
    </xf>
    <xf numFmtId="0" fontId="50" fillId="32" borderId="0" xfId="0" applyFont="1" applyFill="1" applyAlignment="1">
      <alignment wrapText="1"/>
    </xf>
    <xf numFmtId="0" fontId="50" fillId="32" borderId="0" xfId="0" applyFont="1" applyFill="1" applyAlignment="1">
      <alignment vertical="top" wrapText="1"/>
    </xf>
    <xf numFmtId="212" fontId="50" fillId="32" borderId="0" xfId="0" applyNumberFormat="1" applyFont="1" applyFill="1" applyAlignment="1">
      <alignment/>
    </xf>
    <xf numFmtId="0" fontId="51" fillId="0" borderId="0" xfId="0" applyFont="1" applyAlignment="1">
      <alignment horizontal="right"/>
    </xf>
    <xf numFmtId="0" fontId="53" fillId="0" borderId="0" xfId="0" applyFont="1" applyAlignment="1">
      <alignment/>
    </xf>
    <xf numFmtId="0" fontId="1" fillId="0" borderId="0" xfId="0" applyFont="1" applyAlignment="1">
      <alignment horizontal="right"/>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Dnepr" xfId="55"/>
    <cellStyle name="Обычный_Запит ПЦМ 2012 свод4 по уоз" xfId="56"/>
    <cellStyle name="Обычный_Лист1" xfId="57"/>
    <cellStyle name="Обычный_проект 010116" xfId="58"/>
    <cellStyle name="Followed Hyperlink" xfId="59"/>
    <cellStyle name="Плохой" xfId="60"/>
    <cellStyle name="Пояснение" xfId="61"/>
    <cellStyle name="Примечание" xfId="62"/>
    <cellStyle name="Percent" xfId="63"/>
    <cellStyle name="Процентный 2"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080;&#1076;&#1072;&#1090;&#1082;&#1080;2019%20-&#1057;&#1042;&#1054;&#1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МКЛ №1"/>
      <sheetName val="СМКЛ №4"/>
      <sheetName val="СМКЛ №5"/>
      <sheetName val="ДИТЯЧА"/>
      <sheetName val="0712010"/>
      <sheetName val="Пологовий"/>
      <sheetName val="МСП"/>
      <sheetName val="№6"/>
      <sheetName val="№1-113"/>
      <sheetName val="№4-113"/>
      <sheetName val="№5-113"/>
      <sheetName val="дит-113"/>
      <sheetName val="№6-113"/>
      <sheetName val="0712113"/>
      <sheetName val="№3"/>
      <sheetName val="Ц №1"/>
      <sheetName val="Ц №2"/>
      <sheetName val="0712111"/>
      <sheetName val="ЦМС"/>
      <sheetName val="ЦБ"/>
      <sheetName val="0712151"/>
      <sheetName val="0712152"/>
      <sheetName val="інсуліни"/>
      <sheetName val="доступні ліки"/>
      <sheetName val="0712140"/>
      <sheetName val="07120000"/>
    </sheetNames>
    <sheetDataSet>
      <sheetData sheetId="4">
        <row r="51">
          <cell r="J51">
            <v>40649944</v>
          </cell>
        </row>
      </sheetData>
      <sheetData sheetId="5">
        <row r="51">
          <cell r="J51">
            <v>157300</v>
          </cell>
        </row>
      </sheetData>
      <sheetData sheetId="6">
        <row r="51">
          <cell r="J51">
            <v>5058989</v>
          </cell>
        </row>
      </sheetData>
      <sheetData sheetId="17">
        <row r="51">
          <cell r="J51">
            <v>167000</v>
          </cell>
        </row>
      </sheetData>
      <sheetData sheetId="20">
        <row r="51">
          <cell r="J51">
            <v>0</v>
          </cell>
        </row>
      </sheetData>
      <sheetData sheetId="21">
        <row r="51">
          <cell r="J51">
            <v>3406496</v>
          </cell>
        </row>
      </sheetData>
      <sheetData sheetId="22">
        <row r="51">
          <cell r="J51">
            <v>0</v>
          </cell>
        </row>
      </sheetData>
      <sheetData sheetId="23">
        <row r="51">
          <cell r="J5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H24"/>
  <sheetViews>
    <sheetView view="pageBreakPreview" zoomScale="84" zoomScaleSheetLayoutView="84" zoomScalePageLayoutView="0" workbookViewId="0" topLeftCell="A16">
      <selection activeCell="A6" sqref="A6:C6"/>
    </sheetView>
  </sheetViews>
  <sheetFormatPr defaultColWidth="9.140625" defaultRowHeight="12.75"/>
  <cols>
    <col min="1" max="1" width="32.00390625" style="2" customWidth="1"/>
    <col min="2" max="2" width="38.8515625" style="2" customWidth="1"/>
    <col min="3" max="3" width="52.140625" style="2" customWidth="1"/>
    <col min="4" max="16384" width="9.140625" style="2" customWidth="1"/>
  </cols>
  <sheetData>
    <row r="1" ht="18.75">
      <c r="C1" s="2" t="s">
        <v>4</v>
      </c>
    </row>
    <row r="2" ht="35.25" customHeight="1">
      <c r="C2" s="10" t="s">
        <v>86</v>
      </c>
    </row>
    <row r="3" ht="45" customHeight="1">
      <c r="C3" s="10"/>
    </row>
    <row r="4" spans="1:3" ht="17.25" customHeight="1">
      <c r="A4" s="283" t="s">
        <v>33</v>
      </c>
      <c r="B4" s="283"/>
      <c r="C4" s="283"/>
    </row>
    <row r="5" spans="1:3" ht="17.25" customHeight="1">
      <c r="A5" s="283" t="s">
        <v>87</v>
      </c>
      <c r="B5" s="283"/>
      <c r="C5" s="283"/>
    </row>
    <row r="6" spans="1:3" ht="17.25" customHeight="1">
      <c r="A6" s="283" t="s">
        <v>46</v>
      </c>
      <c r="B6" s="283"/>
      <c r="C6" s="283"/>
    </row>
    <row r="7" ht="45.75" customHeight="1"/>
    <row r="8" spans="1:3" ht="37.5" customHeight="1">
      <c r="A8" s="288" t="s">
        <v>32</v>
      </c>
      <c r="B8" s="286" t="s">
        <v>34</v>
      </c>
      <c r="C8" s="287"/>
    </row>
    <row r="9" spans="1:3" ht="37.5" customHeight="1">
      <c r="A9" s="289"/>
      <c r="B9" s="284" t="s">
        <v>35</v>
      </c>
      <c r="C9" s="285"/>
    </row>
    <row r="10" spans="1:3" ht="18.75">
      <c r="A10" s="16">
        <v>1</v>
      </c>
      <c r="B10" s="281">
        <v>2</v>
      </c>
      <c r="C10" s="282"/>
    </row>
    <row r="11" spans="1:3" ht="49.5" customHeight="1">
      <c r="A11" s="14">
        <v>712010</v>
      </c>
      <c r="B11" s="290" t="s">
        <v>36</v>
      </c>
      <c r="C11" s="291"/>
    </row>
    <row r="12" spans="1:3" ht="49.5" customHeight="1">
      <c r="A12" s="14">
        <v>712030</v>
      </c>
      <c r="B12" s="290" t="s">
        <v>45</v>
      </c>
      <c r="C12" s="291"/>
    </row>
    <row r="13" spans="1:3" ht="49.5" customHeight="1">
      <c r="A13" s="15">
        <v>712100</v>
      </c>
      <c r="B13" s="290" t="s">
        <v>41</v>
      </c>
      <c r="C13" s="291"/>
    </row>
    <row r="14" spans="1:3" ht="49.5" customHeight="1">
      <c r="A14" s="15">
        <v>712150</v>
      </c>
      <c r="B14" s="290" t="s">
        <v>42</v>
      </c>
      <c r="C14" s="291"/>
    </row>
    <row r="15" spans="1:3" ht="49.5" customHeight="1">
      <c r="A15" s="15">
        <v>712151</v>
      </c>
      <c r="B15" s="290" t="s">
        <v>37</v>
      </c>
      <c r="C15" s="291"/>
    </row>
    <row r="16" spans="1:3" ht="49.5" customHeight="1">
      <c r="A16" s="15">
        <v>712152</v>
      </c>
      <c r="B16" s="290" t="s">
        <v>38</v>
      </c>
      <c r="C16" s="291"/>
    </row>
    <row r="17" spans="1:3" ht="49.5" customHeight="1">
      <c r="A17" s="15">
        <v>712140</v>
      </c>
      <c r="B17" s="292" t="s">
        <v>43</v>
      </c>
      <c r="C17" s="293"/>
    </row>
    <row r="18" spans="1:3" ht="49.5" customHeight="1">
      <c r="A18" s="15">
        <v>712144</v>
      </c>
      <c r="B18" s="292" t="s">
        <v>39</v>
      </c>
      <c r="C18" s="293"/>
    </row>
    <row r="19" spans="1:3" ht="49.5" customHeight="1">
      <c r="A19" s="15">
        <v>712146</v>
      </c>
      <c r="B19" s="292" t="s">
        <v>40</v>
      </c>
      <c r="C19" s="293"/>
    </row>
    <row r="20" spans="1:3" ht="57" customHeight="1">
      <c r="A20" s="15">
        <v>712111</v>
      </c>
      <c r="B20" s="290" t="s">
        <v>44</v>
      </c>
      <c r="C20" s="291"/>
    </row>
    <row r="23" spans="1:8" ht="33" customHeight="1">
      <c r="A23" s="453" t="s">
        <v>258</v>
      </c>
      <c r="B23" s="454"/>
      <c r="C23" s="135" t="s">
        <v>259</v>
      </c>
      <c r="D23" s="9"/>
      <c r="F23" s="10"/>
      <c r="H23" s="12"/>
    </row>
    <row r="24" spans="1:8" ht="20.25" customHeight="1">
      <c r="A24" s="5"/>
      <c r="B24"/>
      <c r="C24" s="11"/>
      <c r="D24" s="9"/>
      <c r="F24" s="10"/>
      <c r="H24" s="12"/>
    </row>
  </sheetData>
  <sheetProtection/>
  <mergeCells count="17">
    <mergeCell ref="B16:C16"/>
    <mergeCell ref="B17:C17"/>
    <mergeCell ref="B18:C18"/>
    <mergeCell ref="B19:C19"/>
    <mergeCell ref="B20:C20"/>
    <mergeCell ref="B11:C11"/>
    <mergeCell ref="B12:C12"/>
    <mergeCell ref="B13:C13"/>
    <mergeCell ref="B14:C14"/>
    <mergeCell ref="B15:C15"/>
    <mergeCell ref="B10:C10"/>
    <mergeCell ref="A4:C4"/>
    <mergeCell ref="A5:C5"/>
    <mergeCell ref="A6:C6"/>
    <mergeCell ref="B9:C9"/>
    <mergeCell ref="B8:C8"/>
    <mergeCell ref="A8:A9"/>
  </mergeCells>
  <printOptions/>
  <pageMargins left="0.7086614173228347" right="0.5118110236220472" top="0.9448818897637796" bottom="0.5511811023622047" header="0.31496062992125984" footer="0.31496062992125984"/>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rgb="FF92D050"/>
  </sheetPr>
  <dimension ref="A1:Q98"/>
  <sheetViews>
    <sheetView view="pageBreakPreview" zoomScale="56" zoomScaleNormal="74" zoomScaleSheetLayoutView="56" zoomScalePageLayoutView="0" workbookViewId="0" topLeftCell="A1">
      <pane ySplit="10" topLeftCell="A83" activePane="bottomLeft" state="frozen"/>
      <selection pane="topLeft" activeCell="A1" sqref="A1"/>
      <selection pane="bottomLeft" activeCell="B84" sqref="B84"/>
    </sheetView>
  </sheetViews>
  <sheetFormatPr defaultColWidth="9.140625" defaultRowHeight="12.75"/>
  <cols>
    <col min="1" max="1" width="6.7109375" style="153" customWidth="1"/>
    <col min="2" max="2" width="36.57421875" style="153" customWidth="1"/>
    <col min="3" max="3" width="72.57421875" style="169" customWidth="1"/>
    <col min="4" max="4" width="16.57421875" style="170" customWidth="1"/>
    <col min="5" max="5" width="22.7109375" style="153" customWidth="1"/>
    <col min="6" max="6" width="38.28125" style="173" customWidth="1"/>
    <col min="7" max="7" width="18.140625" style="173" customWidth="1"/>
    <col min="8" max="10" width="16.28125" style="173" customWidth="1"/>
    <col min="11" max="11" width="54.57421875" style="176" customWidth="1"/>
    <col min="12" max="12" width="17.8515625" style="153" customWidth="1"/>
    <col min="13" max="13" width="15.421875" style="153" customWidth="1"/>
    <col min="14" max="14" width="12.140625" style="153" bestFit="1" customWidth="1"/>
    <col min="15" max="15" width="14.57421875" style="153" customWidth="1"/>
    <col min="16" max="16" width="13.28125" style="153" bestFit="1" customWidth="1"/>
    <col min="17" max="17" width="10.00390625" style="153" bestFit="1" customWidth="1"/>
    <col min="18" max="16384" width="9.140625" style="153" customWidth="1"/>
  </cols>
  <sheetData>
    <row r="1" spans="6:14" ht="23.25" customHeight="1">
      <c r="F1" s="171"/>
      <c r="G1" s="171"/>
      <c r="H1" s="171"/>
      <c r="I1" s="171"/>
      <c r="J1" s="171"/>
      <c r="K1" s="153" t="s">
        <v>13</v>
      </c>
      <c r="L1" s="172"/>
      <c r="M1" s="172"/>
      <c r="N1" s="172"/>
    </row>
    <row r="2" ht="39.75" customHeight="1">
      <c r="K2" s="173" t="s">
        <v>86</v>
      </c>
    </row>
    <row r="3" spans="1:11" ht="39" customHeight="1">
      <c r="A3" s="174"/>
      <c r="K3" s="175"/>
    </row>
    <row r="4" ht="45.75" customHeight="1">
      <c r="A4" s="174"/>
    </row>
    <row r="5" spans="1:11" ht="33.75" customHeight="1">
      <c r="A5" s="337" t="s">
        <v>88</v>
      </c>
      <c r="B5" s="337"/>
      <c r="C5" s="337"/>
      <c r="D5" s="337"/>
      <c r="E5" s="337"/>
      <c r="F5" s="337"/>
      <c r="G5" s="337"/>
      <c r="H5" s="337"/>
      <c r="I5" s="337"/>
      <c r="J5" s="337"/>
      <c r="K5" s="337"/>
    </row>
    <row r="6" ht="44.25" customHeight="1" thickBot="1"/>
    <row r="7" spans="1:11" ht="20.25" customHeight="1">
      <c r="A7" s="344" t="s">
        <v>5</v>
      </c>
      <c r="B7" s="341" t="s">
        <v>6</v>
      </c>
      <c r="C7" s="341" t="s">
        <v>7</v>
      </c>
      <c r="D7" s="341" t="s">
        <v>8</v>
      </c>
      <c r="E7" s="341" t="s">
        <v>9</v>
      </c>
      <c r="F7" s="341" t="s">
        <v>10</v>
      </c>
      <c r="G7" s="386" t="s">
        <v>51</v>
      </c>
      <c r="H7" s="386"/>
      <c r="I7" s="386"/>
      <c r="J7" s="386"/>
      <c r="K7" s="383" t="s">
        <v>11</v>
      </c>
    </row>
    <row r="8" spans="1:11" ht="20.25" customHeight="1">
      <c r="A8" s="345"/>
      <c r="B8" s="342"/>
      <c r="C8" s="342"/>
      <c r="D8" s="342"/>
      <c r="E8" s="342"/>
      <c r="F8" s="342"/>
      <c r="G8" s="380" t="s">
        <v>52</v>
      </c>
      <c r="H8" s="382" t="s">
        <v>53</v>
      </c>
      <c r="I8" s="382"/>
      <c r="J8" s="382"/>
      <c r="K8" s="384"/>
    </row>
    <row r="9" spans="1:11" s="170" customFormat="1" ht="42.75" customHeight="1" thickBot="1">
      <c r="A9" s="346"/>
      <c r="B9" s="343"/>
      <c r="C9" s="343"/>
      <c r="D9" s="343"/>
      <c r="E9" s="343"/>
      <c r="F9" s="343"/>
      <c r="G9" s="381"/>
      <c r="H9" s="177" t="s">
        <v>54</v>
      </c>
      <c r="I9" s="177" t="s">
        <v>0</v>
      </c>
      <c r="J9" s="177" t="s">
        <v>55</v>
      </c>
      <c r="K9" s="385"/>
    </row>
    <row r="10" spans="1:16" s="170" customFormat="1" ht="19.5" customHeight="1" thickBot="1">
      <c r="A10" s="178">
        <v>1</v>
      </c>
      <c r="B10" s="178">
        <v>2</v>
      </c>
      <c r="C10" s="178">
        <v>3</v>
      </c>
      <c r="D10" s="178">
        <v>4</v>
      </c>
      <c r="E10" s="178">
        <v>5</v>
      </c>
      <c r="F10" s="178">
        <v>6</v>
      </c>
      <c r="G10" s="178">
        <v>7</v>
      </c>
      <c r="H10" s="178">
        <v>8</v>
      </c>
      <c r="I10" s="178">
        <v>9</v>
      </c>
      <c r="J10" s="178">
        <v>10</v>
      </c>
      <c r="K10" s="178">
        <v>11</v>
      </c>
      <c r="O10" s="179"/>
      <c r="P10" s="180"/>
    </row>
    <row r="11" spans="1:15" s="181" customFormat="1" ht="60.75" customHeight="1" thickBot="1">
      <c r="A11" s="338" t="s">
        <v>14</v>
      </c>
      <c r="B11" s="339"/>
      <c r="C11" s="339"/>
      <c r="D11" s="339"/>
      <c r="E11" s="339"/>
      <c r="F11" s="339"/>
      <c r="G11" s="339"/>
      <c r="H11" s="339"/>
      <c r="I11" s="339"/>
      <c r="J11" s="339"/>
      <c r="K11" s="340"/>
      <c r="O11" s="179"/>
    </row>
    <row r="12" spans="1:16" ht="141" customHeight="1">
      <c r="A12" s="182">
        <v>1</v>
      </c>
      <c r="B12" s="183" t="s">
        <v>47</v>
      </c>
      <c r="C12" s="90" t="s">
        <v>59</v>
      </c>
      <c r="D12" s="184" t="s">
        <v>60</v>
      </c>
      <c r="E12" s="90" t="s">
        <v>58</v>
      </c>
      <c r="F12" s="90" t="s">
        <v>57</v>
      </c>
      <c r="G12" s="185">
        <f>H12+I12+J12</f>
        <v>42143.442</v>
      </c>
      <c r="H12" s="185">
        <f>(L12*20%)+L12</f>
        <v>13200</v>
      </c>
      <c r="I12" s="185">
        <f>H12*1.067</f>
        <v>14084.4</v>
      </c>
      <c r="J12" s="185">
        <f>I12*1.055</f>
        <v>14859.042</v>
      </c>
      <c r="K12" s="186" t="s">
        <v>56</v>
      </c>
      <c r="L12" s="20">
        <v>11000</v>
      </c>
      <c r="O12" s="179"/>
      <c r="P12" s="187"/>
    </row>
    <row r="13" spans="1:15" ht="99.75" customHeight="1">
      <c r="A13" s="188">
        <v>2</v>
      </c>
      <c r="B13" s="189" t="s">
        <v>48</v>
      </c>
      <c r="C13" s="190" t="s">
        <v>16</v>
      </c>
      <c r="D13" s="191" t="s">
        <v>60</v>
      </c>
      <c r="E13" s="89" t="s">
        <v>58</v>
      </c>
      <c r="F13" s="89" t="s">
        <v>57</v>
      </c>
      <c r="G13" s="160">
        <f>H13+I13+J13</f>
        <v>6896.199599999999</v>
      </c>
      <c r="H13" s="160">
        <f>(L13*20%)+L13</f>
        <v>2160</v>
      </c>
      <c r="I13" s="160">
        <f>H13*1.067</f>
        <v>2304.72</v>
      </c>
      <c r="J13" s="160">
        <f>I13*1.055</f>
        <v>2431.4795999999997</v>
      </c>
      <c r="K13" s="192" t="s">
        <v>15</v>
      </c>
      <c r="L13" s="20">
        <v>1800</v>
      </c>
      <c r="O13" s="179"/>
    </row>
    <row r="14" spans="1:16" ht="117.75" customHeight="1">
      <c r="A14" s="188">
        <v>3</v>
      </c>
      <c r="B14" s="193" t="s">
        <v>49</v>
      </c>
      <c r="C14" s="89" t="s">
        <v>139</v>
      </c>
      <c r="D14" s="191" t="s">
        <v>60</v>
      </c>
      <c r="E14" s="89" t="s">
        <v>58</v>
      </c>
      <c r="F14" s="89" t="s">
        <v>57</v>
      </c>
      <c r="G14" s="160">
        <f>H14+I14+J14</f>
        <v>10380.727008000002</v>
      </c>
      <c r="H14" s="160">
        <f>(L14*20%)+L14</f>
        <v>3216</v>
      </c>
      <c r="I14" s="160">
        <f>H14*1.082</f>
        <v>3479.7120000000004</v>
      </c>
      <c r="J14" s="160">
        <f>I14*1.059</f>
        <v>3685.0150080000003</v>
      </c>
      <c r="K14" s="192" t="s">
        <v>61</v>
      </c>
      <c r="L14" s="20">
        <v>2680</v>
      </c>
      <c r="O14" s="179"/>
      <c r="P14" s="194"/>
    </row>
    <row r="15" spans="1:16" ht="157.5" customHeight="1" thickBot="1">
      <c r="A15" s="188">
        <v>4</v>
      </c>
      <c r="B15" s="183" t="s">
        <v>78</v>
      </c>
      <c r="C15" s="19" t="s">
        <v>154</v>
      </c>
      <c r="D15" s="191" t="s">
        <v>60</v>
      </c>
      <c r="E15" s="89" t="s">
        <v>58</v>
      </c>
      <c r="F15" s="89" t="s">
        <v>63</v>
      </c>
      <c r="G15" s="195">
        <f>H15+I15+J15</f>
        <v>11493.666</v>
      </c>
      <c r="H15" s="195">
        <f>(L15*20%)+L15</f>
        <v>3600</v>
      </c>
      <c r="I15" s="195">
        <f>H15*1.067</f>
        <v>3841.2</v>
      </c>
      <c r="J15" s="195">
        <f>I15*1.055</f>
        <v>4052.4659999999994</v>
      </c>
      <c r="K15" s="192" t="s">
        <v>138</v>
      </c>
      <c r="L15" s="196">
        <v>3000</v>
      </c>
      <c r="P15" s="187"/>
    </row>
    <row r="16" spans="1:17" ht="54.75" customHeight="1" thickBot="1">
      <c r="A16" s="321" t="s">
        <v>64</v>
      </c>
      <c r="B16" s="322"/>
      <c r="C16" s="322"/>
      <c r="D16" s="322"/>
      <c r="E16" s="323"/>
      <c r="F16" s="197"/>
      <c r="G16" s="198">
        <f>G12+G13+G14+G15</f>
        <v>70914.034608</v>
      </c>
      <c r="H16" s="198">
        <f>H12+H13+H14+H15</f>
        <v>22176</v>
      </c>
      <c r="I16" s="198">
        <f>I12+I13+I14+I15</f>
        <v>23710.032</v>
      </c>
      <c r="J16" s="198">
        <f>J12+J13+J14+J15</f>
        <v>25028.002608000003</v>
      </c>
      <c r="K16" s="199"/>
      <c r="L16" s="196"/>
      <c r="P16" s="200"/>
      <c r="Q16" s="201"/>
    </row>
    <row r="17" spans="1:17" ht="60" customHeight="1">
      <c r="A17" s="324" t="s">
        <v>65</v>
      </c>
      <c r="B17" s="325"/>
      <c r="C17" s="325"/>
      <c r="D17" s="325"/>
      <c r="E17" s="326"/>
      <c r="F17" s="92" t="s">
        <v>57</v>
      </c>
      <c r="G17" s="202">
        <f>G12+G13+G14</f>
        <v>59420.368608000004</v>
      </c>
      <c r="H17" s="202">
        <f>H12+H13+H14</f>
        <v>18576</v>
      </c>
      <c r="I17" s="202">
        <f>I12+I13+I14</f>
        <v>19868.832</v>
      </c>
      <c r="J17" s="202">
        <f>J12+J13+J14</f>
        <v>20975.536608000002</v>
      </c>
      <c r="K17" s="203"/>
      <c r="L17" s="196"/>
      <c r="P17" s="200"/>
      <c r="Q17" s="201"/>
    </row>
    <row r="18" spans="1:17" ht="60" customHeight="1" thickBot="1">
      <c r="A18" s="336"/>
      <c r="B18" s="329"/>
      <c r="C18" s="329"/>
      <c r="D18" s="329"/>
      <c r="E18" s="329"/>
      <c r="F18" s="204" t="s">
        <v>63</v>
      </c>
      <c r="G18" s="205">
        <f>G15</f>
        <v>11493.666</v>
      </c>
      <c r="H18" s="205">
        <f>H15</f>
        <v>3600</v>
      </c>
      <c r="I18" s="205">
        <f>I15</f>
        <v>3841.2</v>
      </c>
      <c r="J18" s="205">
        <f>J15</f>
        <v>4052.4659999999994</v>
      </c>
      <c r="K18" s="206"/>
      <c r="L18" s="207"/>
      <c r="Q18" s="187"/>
    </row>
    <row r="19" spans="1:11" s="181" customFormat="1" ht="69.75" customHeight="1" thickBot="1">
      <c r="A19" s="338" t="s">
        <v>62</v>
      </c>
      <c r="B19" s="339"/>
      <c r="C19" s="339"/>
      <c r="D19" s="339"/>
      <c r="E19" s="339"/>
      <c r="F19" s="339"/>
      <c r="G19" s="339"/>
      <c r="H19" s="339"/>
      <c r="I19" s="339"/>
      <c r="J19" s="339"/>
      <c r="K19" s="340"/>
    </row>
    <row r="20" spans="1:14" s="209" customFormat="1" ht="171.75" customHeight="1">
      <c r="A20" s="309">
        <v>1</v>
      </c>
      <c r="B20" s="307" t="s">
        <v>66</v>
      </c>
      <c r="C20" s="305" t="s">
        <v>225</v>
      </c>
      <c r="D20" s="311" t="s">
        <v>60</v>
      </c>
      <c r="E20" s="305" t="s">
        <v>58</v>
      </c>
      <c r="F20" s="90" t="s">
        <v>57</v>
      </c>
      <c r="G20" s="185">
        <f aca="true" t="shared" si="0" ref="G20:G31">H20+I20+J20</f>
        <v>41854.33798788</v>
      </c>
      <c r="H20" s="208">
        <f>(L20*20%)+L20</f>
        <v>13109.448</v>
      </c>
      <c r="I20" s="208">
        <f aca="true" t="shared" si="1" ref="I20:I26">H20*1.067</f>
        <v>13987.781015999999</v>
      </c>
      <c r="J20" s="208">
        <f aca="true" t="shared" si="2" ref="J20:J26">I20*1.055</f>
        <v>14757.108971879998</v>
      </c>
      <c r="K20" s="319" t="s">
        <v>17</v>
      </c>
      <c r="L20" s="209">
        <f>11073.1-148.56</f>
        <v>10924.54</v>
      </c>
      <c r="M20" s="209">
        <v>486.435</v>
      </c>
      <c r="N20" s="210">
        <f>L20+M20</f>
        <v>11410.975</v>
      </c>
    </row>
    <row r="21" spans="1:11" s="209" customFormat="1" ht="171.75" customHeight="1">
      <c r="A21" s="309"/>
      <c r="B21" s="307"/>
      <c r="C21" s="305"/>
      <c r="D21" s="311"/>
      <c r="E21" s="305"/>
      <c r="F21" s="93" t="s">
        <v>63</v>
      </c>
      <c r="G21" s="160">
        <f t="shared" si="0"/>
        <v>1863.64047357</v>
      </c>
      <c r="H21" s="195">
        <f>(M20*20%)+M20</f>
        <v>583.722</v>
      </c>
      <c r="I21" s="195">
        <f t="shared" si="1"/>
        <v>622.831374</v>
      </c>
      <c r="J21" s="195">
        <f t="shared" si="2"/>
        <v>657.08709957</v>
      </c>
      <c r="K21" s="319"/>
    </row>
    <row r="22" spans="1:13" s="209" customFormat="1" ht="129" customHeight="1">
      <c r="A22" s="310"/>
      <c r="B22" s="308"/>
      <c r="C22" s="306"/>
      <c r="D22" s="312"/>
      <c r="E22" s="306"/>
      <c r="F22" s="93" t="s">
        <v>71</v>
      </c>
      <c r="G22" s="160">
        <f t="shared" si="0"/>
        <v>63519.74514900001</v>
      </c>
      <c r="H22" s="195">
        <f>L22</f>
        <v>19895.4</v>
      </c>
      <c r="I22" s="195">
        <f t="shared" si="1"/>
        <v>21228.3918</v>
      </c>
      <c r="J22" s="195">
        <f t="shared" si="2"/>
        <v>22395.953349</v>
      </c>
      <c r="K22" s="320"/>
      <c r="L22" s="209">
        <v>19895.4</v>
      </c>
      <c r="M22" s="209" t="s">
        <v>91</v>
      </c>
    </row>
    <row r="23" spans="1:13" s="209" customFormat="1" ht="156.75" customHeight="1">
      <c r="A23" s="211">
        <v>2</v>
      </c>
      <c r="B23" s="212" t="s">
        <v>224</v>
      </c>
      <c r="C23" s="151" t="s">
        <v>226</v>
      </c>
      <c r="D23" s="191" t="s">
        <v>60</v>
      </c>
      <c r="E23" s="151" t="s">
        <v>244</v>
      </c>
      <c r="F23" s="89" t="s">
        <v>57</v>
      </c>
      <c r="G23" s="195">
        <f>H23+I23+J23</f>
        <v>783.7147723200001</v>
      </c>
      <c r="H23" s="195">
        <f>L23*20%+L23</f>
        <v>245.472</v>
      </c>
      <c r="I23" s="195">
        <f>H23*1.067</f>
        <v>261.918624</v>
      </c>
      <c r="J23" s="195">
        <f>I23*1.055</f>
        <v>276.32414832</v>
      </c>
      <c r="K23" s="152" t="s">
        <v>227</v>
      </c>
      <c r="L23" s="209">
        <f>148.56+56</f>
        <v>204.56</v>
      </c>
      <c r="M23" s="209" t="s">
        <v>228</v>
      </c>
    </row>
    <row r="24" spans="1:15" s="181" customFormat="1" ht="82.5" customHeight="1">
      <c r="A24" s="213">
        <v>3</v>
      </c>
      <c r="B24" s="214" t="s">
        <v>75</v>
      </c>
      <c r="C24" s="151" t="s">
        <v>229</v>
      </c>
      <c r="D24" s="191" t="s">
        <v>60</v>
      </c>
      <c r="E24" s="151" t="s">
        <v>58</v>
      </c>
      <c r="F24" s="89" t="s">
        <v>57</v>
      </c>
      <c r="G24" s="195">
        <f t="shared" si="0"/>
        <v>2124.412599</v>
      </c>
      <c r="H24" s="195">
        <f>(L24*20%)+L24</f>
        <v>665.4</v>
      </c>
      <c r="I24" s="195">
        <f t="shared" si="1"/>
        <v>709.9817999999999</v>
      </c>
      <c r="J24" s="195">
        <f t="shared" si="2"/>
        <v>749.0307989999999</v>
      </c>
      <c r="K24" s="152" t="s">
        <v>29</v>
      </c>
      <c r="L24" s="215">
        <f>610.5-56</f>
        <v>554.5</v>
      </c>
      <c r="M24" s="181" t="s">
        <v>31</v>
      </c>
      <c r="N24" s="216" t="s">
        <v>67</v>
      </c>
      <c r="O24" s="216" t="s">
        <v>68</v>
      </c>
    </row>
    <row r="25" spans="1:15" s="181" customFormat="1" ht="91.5" customHeight="1">
      <c r="A25" s="314">
        <v>4</v>
      </c>
      <c r="B25" s="387" t="s">
        <v>69</v>
      </c>
      <c r="C25" s="353" t="s">
        <v>230</v>
      </c>
      <c r="D25" s="317" t="s">
        <v>60</v>
      </c>
      <c r="E25" s="353" t="s">
        <v>58</v>
      </c>
      <c r="F25" s="190" t="s">
        <v>57</v>
      </c>
      <c r="G25" s="160">
        <f t="shared" si="0"/>
        <v>55660.10815266</v>
      </c>
      <c r="H25" s="160">
        <f>(N25*20%)+N25</f>
        <v>17433.636</v>
      </c>
      <c r="I25" s="160">
        <f t="shared" si="1"/>
        <v>18601.689612</v>
      </c>
      <c r="J25" s="160">
        <f t="shared" si="2"/>
        <v>19624.78254066</v>
      </c>
      <c r="K25" s="355" t="s">
        <v>18</v>
      </c>
      <c r="L25" s="215">
        <f>3519.678+7432.095+5144.454+164.765+618.197+667.268+230.269</f>
        <v>17776.726</v>
      </c>
      <c r="N25" s="181">
        <f>2700.3+5441.8+4935.7+667.268+164.765+618.197</f>
        <v>14528.029999999999</v>
      </c>
      <c r="O25" s="181">
        <f>230.269+208.754+1990.295+819.378</f>
        <v>3248.6960000000004</v>
      </c>
    </row>
    <row r="26" spans="1:16" s="181" customFormat="1" ht="91.5" customHeight="1">
      <c r="A26" s="316"/>
      <c r="B26" s="387"/>
      <c r="C26" s="305"/>
      <c r="D26" s="318"/>
      <c r="E26" s="354"/>
      <c r="F26" s="93" t="s">
        <v>63</v>
      </c>
      <c r="G26" s="160">
        <f t="shared" si="0"/>
        <v>12446.475586511999</v>
      </c>
      <c r="H26" s="160">
        <f>O25*20%+O25</f>
        <v>3898.4352000000003</v>
      </c>
      <c r="I26" s="160">
        <f t="shared" si="1"/>
        <v>4159.6303584</v>
      </c>
      <c r="J26" s="160">
        <f t="shared" si="2"/>
        <v>4388.410028111999</v>
      </c>
      <c r="K26" s="356"/>
      <c r="N26" s="216" t="s">
        <v>67</v>
      </c>
      <c r="O26" s="216" t="s">
        <v>68</v>
      </c>
      <c r="P26" s="216" t="s">
        <v>72</v>
      </c>
    </row>
    <row r="27" spans="1:16" s="181" customFormat="1" ht="42" customHeight="1">
      <c r="A27" s="314">
        <v>5</v>
      </c>
      <c r="B27" s="365" t="s">
        <v>70</v>
      </c>
      <c r="C27" s="353" t="s">
        <v>231</v>
      </c>
      <c r="D27" s="317" t="s">
        <v>60</v>
      </c>
      <c r="E27" s="353" t="s">
        <v>58</v>
      </c>
      <c r="F27" s="190" t="s">
        <v>57</v>
      </c>
      <c r="G27" s="160">
        <f t="shared" si="0"/>
        <v>160201.52963904003</v>
      </c>
      <c r="H27" s="160">
        <f>(N27*20%)+N27</f>
        <v>48974.16</v>
      </c>
      <c r="I27" s="160">
        <f>H27*1.094</f>
        <v>53577.731040000006</v>
      </c>
      <c r="J27" s="160">
        <f>I27*1.076</f>
        <v>57649.63859904001</v>
      </c>
      <c r="K27" s="366" t="s">
        <v>19</v>
      </c>
      <c r="L27" s="181">
        <f>33454.175+7357.625+7593.118+1670.458</f>
        <v>50075.376000000004</v>
      </c>
      <c r="M27" s="361">
        <f>L27+L28</f>
        <v>217197.67599999998</v>
      </c>
      <c r="N27" s="181">
        <f>33454.175+7357.625</f>
        <v>40811.8</v>
      </c>
      <c r="O27" s="181">
        <f>7593.118+1670.458</f>
        <v>9263.576000000001</v>
      </c>
      <c r="P27" s="181">
        <f>136983.525+30138.775</f>
        <v>167122.3</v>
      </c>
    </row>
    <row r="28" spans="1:13" s="181" customFormat="1" ht="62.25" customHeight="1">
      <c r="A28" s="315"/>
      <c r="B28" s="307"/>
      <c r="C28" s="305"/>
      <c r="D28" s="367"/>
      <c r="E28" s="305"/>
      <c r="F28" s="93" t="s">
        <v>71</v>
      </c>
      <c r="G28" s="160">
        <f t="shared" si="0"/>
        <v>656017.33069344</v>
      </c>
      <c r="H28" s="160">
        <f>(P27*20%)+P27</f>
        <v>200546.75999999998</v>
      </c>
      <c r="I28" s="160">
        <f>H28*1.094</f>
        <v>219398.15544</v>
      </c>
      <c r="J28" s="160">
        <f>I28*1.076</f>
        <v>236072.41525344</v>
      </c>
      <c r="K28" s="319"/>
      <c r="L28" s="181">
        <f>136983.525+30138.775</f>
        <v>167122.3</v>
      </c>
      <c r="M28" s="361"/>
    </row>
    <row r="29" spans="1:15" s="181" customFormat="1" ht="38.25" customHeight="1">
      <c r="A29" s="316"/>
      <c r="B29" s="307"/>
      <c r="C29" s="305"/>
      <c r="D29" s="367"/>
      <c r="E29" s="305"/>
      <c r="F29" s="93" t="s">
        <v>63</v>
      </c>
      <c r="G29" s="160">
        <f t="shared" si="0"/>
        <v>36362.98926113281</v>
      </c>
      <c r="H29" s="160">
        <f>(O27*20%)+O27</f>
        <v>11116.291200000001</v>
      </c>
      <c r="I29" s="160">
        <f>H29*1.094</f>
        <v>12161.222572800003</v>
      </c>
      <c r="J29" s="160">
        <f>I29*1.076</f>
        <v>13085.475488332804</v>
      </c>
      <c r="K29" s="319"/>
      <c r="M29" s="170"/>
      <c r="N29" s="216" t="s">
        <v>67</v>
      </c>
      <c r="O29" s="216" t="s">
        <v>68</v>
      </c>
    </row>
    <row r="30" spans="1:15" s="181" customFormat="1" ht="40.5" customHeight="1">
      <c r="A30" s="362">
        <v>6</v>
      </c>
      <c r="B30" s="364" t="s">
        <v>49</v>
      </c>
      <c r="C30" s="359" t="s">
        <v>232</v>
      </c>
      <c r="D30" s="317" t="s">
        <v>60</v>
      </c>
      <c r="E30" s="353" t="s">
        <v>58</v>
      </c>
      <c r="F30" s="190" t="s">
        <v>57</v>
      </c>
      <c r="G30" s="160">
        <f t="shared" si="0"/>
        <v>84466.68969343681</v>
      </c>
      <c r="H30" s="160">
        <f>N30*20%+N30</f>
        <v>26168.193600000002</v>
      </c>
      <c r="I30" s="160">
        <f>H30*1.082</f>
        <v>28313.985475200003</v>
      </c>
      <c r="J30" s="160">
        <f>I30*1.059</f>
        <v>29984.5106182368</v>
      </c>
      <c r="K30" s="357" t="s">
        <v>20</v>
      </c>
      <c r="L30" s="215">
        <v>22024.989</v>
      </c>
      <c r="N30" s="181">
        <v>21806.828</v>
      </c>
      <c r="O30" s="181">
        <v>218.161</v>
      </c>
    </row>
    <row r="31" spans="1:11" s="181" customFormat="1" ht="61.5" customHeight="1">
      <c r="A31" s="363"/>
      <c r="B31" s="364"/>
      <c r="C31" s="360"/>
      <c r="D31" s="318"/>
      <c r="E31" s="305"/>
      <c r="F31" s="93" t="s">
        <v>63</v>
      </c>
      <c r="G31" s="160">
        <f t="shared" si="0"/>
        <v>845.0260391016</v>
      </c>
      <c r="H31" s="160">
        <f>O30*20%+O30</f>
        <v>261.7932</v>
      </c>
      <c r="I31" s="160">
        <f>H31*1.082</f>
        <v>283.26024240000004</v>
      </c>
      <c r="J31" s="160">
        <f>I31*1.059</f>
        <v>299.9725967016</v>
      </c>
      <c r="K31" s="358"/>
    </row>
    <row r="32" spans="1:12" s="181" customFormat="1" ht="244.5" customHeight="1" thickBot="1">
      <c r="A32" s="217">
        <v>7</v>
      </c>
      <c r="B32" s="38" t="s">
        <v>78</v>
      </c>
      <c r="C32" s="39" t="s">
        <v>233</v>
      </c>
      <c r="D32" s="218" t="s">
        <v>60</v>
      </c>
      <c r="E32" s="219" t="s">
        <v>58</v>
      </c>
      <c r="F32" s="220" t="s">
        <v>63</v>
      </c>
      <c r="G32" s="221">
        <f>H32+I32+J32</f>
        <v>45974.664</v>
      </c>
      <c r="H32" s="221">
        <f>L32*20%+L32</f>
        <v>14400</v>
      </c>
      <c r="I32" s="221">
        <f>H32*1.067</f>
        <v>15364.8</v>
      </c>
      <c r="J32" s="221">
        <f>I32*1.055</f>
        <v>16209.863999999998</v>
      </c>
      <c r="K32" s="206" t="s">
        <v>27</v>
      </c>
      <c r="L32" s="215">
        <v>12000</v>
      </c>
    </row>
    <row r="33" spans="1:12" s="181" customFormat="1" ht="48" customHeight="1" thickBot="1">
      <c r="A33" s="321" t="s">
        <v>64</v>
      </c>
      <c r="B33" s="322"/>
      <c r="C33" s="322"/>
      <c r="D33" s="322"/>
      <c r="E33" s="323"/>
      <c r="F33" s="197"/>
      <c r="G33" s="198">
        <f>G20+G21+G24+G25+G26+G27+G28+G29+G30+G31+G32+G22+G23</f>
        <v>1162120.6640470934</v>
      </c>
      <c r="H33" s="198">
        <f>H20+H21+H24+H25+H26+H27+H28+H29+H30+H31+H32+H22+H23</f>
        <v>357298.7112</v>
      </c>
      <c r="I33" s="198">
        <f>I20+I21+I24+I25+I26+I27+I28+I29+I30+I31+I32+I22+I23</f>
        <v>388671.3793548</v>
      </c>
      <c r="J33" s="198">
        <f>J20+J21+J24+J25+J26+J27+J28+J29+J30+J31+J32+J22+J23</f>
        <v>416150.5734922932</v>
      </c>
      <c r="K33" s="199"/>
      <c r="L33" s="215"/>
    </row>
    <row r="34" spans="1:12" s="181" customFormat="1" ht="36" customHeight="1">
      <c r="A34" s="324" t="s">
        <v>65</v>
      </c>
      <c r="B34" s="325"/>
      <c r="C34" s="325"/>
      <c r="D34" s="325"/>
      <c r="E34" s="326"/>
      <c r="F34" s="92" t="s">
        <v>57</v>
      </c>
      <c r="G34" s="202">
        <f>G20+G24+G25+G27+G30+G23</f>
        <v>345090.79284433683</v>
      </c>
      <c r="H34" s="202">
        <f>H20+H24+H25+H27+H30+H23</f>
        <v>106596.3096</v>
      </c>
      <c r="I34" s="202">
        <f>I20+I24+I25+I27+I30+I23</f>
        <v>115453.0875672</v>
      </c>
      <c r="J34" s="202">
        <f>J20+J24+J25+J27+J30+J23</f>
        <v>123041.39567713681</v>
      </c>
      <c r="K34" s="203"/>
      <c r="L34" s="215"/>
    </row>
    <row r="35" spans="1:12" s="181" customFormat="1" ht="38.25" customHeight="1">
      <c r="A35" s="327"/>
      <c r="B35" s="328"/>
      <c r="C35" s="328"/>
      <c r="D35" s="328"/>
      <c r="E35" s="328"/>
      <c r="F35" s="91" t="s">
        <v>63</v>
      </c>
      <c r="G35" s="222">
        <f>G21+G26+G31+G32+G29</f>
        <v>97492.7953603164</v>
      </c>
      <c r="H35" s="222">
        <f>H21+H26+H31+H32+H29</f>
        <v>30260.2416</v>
      </c>
      <c r="I35" s="222">
        <f>I21+I26+I31+I32+I29</f>
        <v>32591.7445476</v>
      </c>
      <c r="J35" s="222">
        <f>J21+J26+J31+J32+J29</f>
        <v>34640.8092127164</v>
      </c>
      <c r="K35" s="161"/>
      <c r="L35" s="215"/>
    </row>
    <row r="36" spans="1:12" s="181" customFormat="1" ht="73.5" customHeight="1" thickBot="1">
      <c r="A36" s="223"/>
      <c r="B36" s="329"/>
      <c r="C36" s="329"/>
      <c r="D36" s="329"/>
      <c r="E36" s="329"/>
      <c r="F36" s="204" t="s">
        <v>71</v>
      </c>
      <c r="G36" s="205">
        <f>G28+G22</f>
        <v>719537.07584244</v>
      </c>
      <c r="H36" s="205">
        <f>H28+H22</f>
        <v>220442.15999999997</v>
      </c>
      <c r="I36" s="205">
        <f>I28+I22</f>
        <v>240626.54724</v>
      </c>
      <c r="J36" s="205">
        <f>J28+J22</f>
        <v>258468.36860244</v>
      </c>
      <c r="K36" s="206"/>
      <c r="L36" s="215"/>
    </row>
    <row r="37" spans="1:11" s="181" customFormat="1" ht="50.25" customHeight="1" thickBot="1">
      <c r="A37" s="332" t="s">
        <v>74</v>
      </c>
      <c r="B37" s="333"/>
      <c r="C37" s="333"/>
      <c r="D37" s="333"/>
      <c r="E37" s="333"/>
      <c r="F37" s="333"/>
      <c r="G37" s="333"/>
      <c r="H37" s="333"/>
      <c r="I37" s="333"/>
      <c r="J37" s="333"/>
      <c r="K37" s="334"/>
    </row>
    <row r="38" spans="1:14" s="181" customFormat="1" ht="303.75" customHeight="1">
      <c r="A38" s="211">
        <v>1</v>
      </c>
      <c r="B38" s="183" t="s">
        <v>77</v>
      </c>
      <c r="C38" s="224" t="s">
        <v>73</v>
      </c>
      <c r="D38" s="225" t="s">
        <v>60</v>
      </c>
      <c r="E38" s="224" t="s">
        <v>58</v>
      </c>
      <c r="F38" s="90" t="s">
        <v>57</v>
      </c>
      <c r="G38" s="185">
        <f>H38+I38+J38</f>
        <v>9488.44271742</v>
      </c>
      <c r="H38" s="185">
        <f>L38*20%+L38</f>
        <v>2971.932</v>
      </c>
      <c r="I38" s="185">
        <f>H38*1.067</f>
        <v>3171.0514439999997</v>
      </c>
      <c r="J38" s="185">
        <f>I38*1.055</f>
        <v>3345.4592734199996</v>
      </c>
      <c r="K38" s="226" t="s">
        <v>17</v>
      </c>
      <c r="L38" s="215">
        <f>2492.7-16.09</f>
        <v>2476.6099999999997</v>
      </c>
      <c r="M38" s="227" t="s">
        <v>67</v>
      </c>
      <c r="N38" s="227" t="s">
        <v>68</v>
      </c>
    </row>
    <row r="39" spans="1:14" s="181" customFormat="1" ht="136.5" customHeight="1">
      <c r="A39" s="228">
        <v>2</v>
      </c>
      <c r="B39" s="193" t="s">
        <v>224</v>
      </c>
      <c r="C39" s="151" t="s">
        <v>226</v>
      </c>
      <c r="D39" s="191" t="s">
        <v>60</v>
      </c>
      <c r="E39" s="151" t="s">
        <v>244</v>
      </c>
      <c r="F39" s="89" t="s">
        <v>57</v>
      </c>
      <c r="G39" s="195">
        <f>H39+I39+J39</f>
        <v>61.64436198</v>
      </c>
      <c r="H39" s="195">
        <f>L39*20%+L39</f>
        <v>19.308</v>
      </c>
      <c r="I39" s="195">
        <f>H39*1.067</f>
        <v>20.601636</v>
      </c>
      <c r="J39" s="195">
        <f>I39*1.055</f>
        <v>21.734725979999997</v>
      </c>
      <c r="K39" s="152" t="s">
        <v>227</v>
      </c>
      <c r="L39" s="215">
        <v>16.09</v>
      </c>
      <c r="M39" s="227" t="s">
        <v>228</v>
      </c>
      <c r="N39" s="227"/>
    </row>
    <row r="40" spans="1:14" s="230" customFormat="1" ht="68.25" customHeight="1">
      <c r="A40" s="314">
        <v>3</v>
      </c>
      <c r="B40" s="335" t="s">
        <v>69</v>
      </c>
      <c r="C40" s="313" t="s">
        <v>236</v>
      </c>
      <c r="D40" s="317" t="s">
        <v>60</v>
      </c>
      <c r="E40" s="330" t="s">
        <v>58</v>
      </c>
      <c r="F40" s="159" t="s">
        <v>57</v>
      </c>
      <c r="G40" s="160">
        <f aca="true" t="shared" si="3" ref="G40:G47">SUM(H40:J40)</f>
        <v>8054.761132799998</v>
      </c>
      <c r="H40" s="160">
        <f>L40*20%+L40</f>
        <v>2522.8799999999997</v>
      </c>
      <c r="I40" s="160">
        <f>H40*1.067</f>
        <v>2691.9129599999997</v>
      </c>
      <c r="J40" s="160">
        <f>I40*1.055</f>
        <v>2839.9681727999996</v>
      </c>
      <c r="K40" s="368" t="s">
        <v>22</v>
      </c>
      <c r="L40" s="229">
        <f>563+495.8+993.8+23+15.7+0.1+11</f>
        <v>2102.3999999999996</v>
      </c>
      <c r="M40" s="230">
        <f>561+495.8+991.8+23+15.7+0.1</f>
        <v>2087.3999999999996</v>
      </c>
      <c r="N40" s="230">
        <f>2+2+11</f>
        <v>15</v>
      </c>
    </row>
    <row r="41" spans="1:15" s="232" customFormat="1" ht="68.25" customHeight="1">
      <c r="A41" s="316"/>
      <c r="B41" s="335"/>
      <c r="C41" s="313"/>
      <c r="D41" s="318"/>
      <c r="E41" s="331"/>
      <c r="F41" s="231" t="s">
        <v>63</v>
      </c>
      <c r="G41" s="160">
        <f t="shared" si="3"/>
        <v>57.46833</v>
      </c>
      <c r="H41" s="160">
        <f>N40*20%+N40</f>
        <v>18</v>
      </c>
      <c r="I41" s="160">
        <f>H41*1.067</f>
        <v>19.206</v>
      </c>
      <c r="J41" s="160">
        <f>I41*1.055</f>
        <v>20.26233</v>
      </c>
      <c r="K41" s="368"/>
      <c r="L41" s="232">
        <f>L40*1.067</f>
        <v>2243.2607999999996</v>
      </c>
      <c r="M41" s="227" t="s">
        <v>67</v>
      </c>
      <c r="N41" s="227" t="s">
        <v>68</v>
      </c>
      <c r="O41" s="233" t="s">
        <v>76</v>
      </c>
    </row>
    <row r="42" spans="1:15" s="181" customFormat="1" ht="54" customHeight="1">
      <c r="A42" s="314">
        <v>4</v>
      </c>
      <c r="B42" s="365" t="s">
        <v>70</v>
      </c>
      <c r="C42" s="353" t="s">
        <v>235</v>
      </c>
      <c r="D42" s="317" t="s">
        <v>60</v>
      </c>
      <c r="E42" s="330" t="s">
        <v>58</v>
      </c>
      <c r="F42" s="159" t="s">
        <v>57</v>
      </c>
      <c r="G42" s="160">
        <f t="shared" si="3"/>
        <v>22702.00105152</v>
      </c>
      <c r="H42" s="160">
        <f>M42*20%+M42</f>
        <v>6940.08</v>
      </c>
      <c r="I42" s="160">
        <f>H42*1.094</f>
        <v>7592.447520000001</v>
      </c>
      <c r="J42" s="160">
        <f>I42*1.076</f>
        <v>8169.473531520001</v>
      </c>
      <c r="K42" s="366" t="s">
        <v>19</v>
      </c>
      <c r="L42" s="215">
        <f>4740.5+1042.9+11.8+2.6</f>
        <v>5797.8</v>
      </c>
      <c r="M42" s="181">
        <f>4740.5+1042.9</f>
        <v>5783.4</v>
      </c>
      <c r="N42" s="181">
        <f>11.8+2.6</f>
        <v>14.4</v>
      </c>
      <c r="O42" s="181">
        <f>19262+4237.6</f>
        <v>23499.6</v>
      </c>
    </row>
    <row r="43" spans="1:12" s="181" customFormat="1" ht="45.75" customHeight="1">
      <c r="A43" s="315"/>
      <c r="B43" s="307"/>
      <c r="C43" s="305"/>
      <c r="D43" s="367"/>
      <c r="E43" s="331"/>
      <c r="F43" s="231" t="s">
        <v>63</v>
      </c>
      <c r="G43" s="160">
        <f t="shared" si="3"/>
        <v>56.52536832</v>
      </c>
      <c r="H43" s="160">
        <f>N42*20%+N42</f>
        <v>17.28</v>
      </c>
      <c r="I43" s="160">
        <f>H43*1.094</f>
        <v>18.904320000000002</v>
      </c>
      <c r="J43" s="160">
        <f>I43*1.076</f>
        <v>20.341048320000002</v>
      </c>
      <c r="K43" s="319"/>
      <c r="L43" s="215">
        <f>19262+4237.6</f>
        <v>23499.6</v>
      </c>
    </row>
    <row r="44" spans="1:14" s="181" customFormat="1" ht="63" customHeight="1">
      <c r="A44" s="316"/>
      <c r="B44" s="307"/>
      <c r="C44" s="305"/>
      <c r="D44" s="318"/>
      <c r="E44" s="331"/>
      <c r="F44" s="93" t="s">
        <v>71</v>
      </c>
      <c r="G44" s="160">
        <f t="shared" si="3"/>
        <v>92244.69065087999</v>
      </c>
      <c r="H44" s="160">
        <f>O42*20%+O42</f>
        <v>28199.519999999997</v>
      </c>
      <c r="I44" s="160">
        <f>H44*1.094</f>
        <v>30850.274879999997</v>
      </c>
      <c r="J44" s="160">
        <f>I44*1.076</f>
        <v>33194.89577088</v>
      </c>
      <c r="K44" s="319"/>
      <c r="L44" s="181">
        <f>L42*1.094</f>
        <v>6342.793200000001</v>
      </c>
      <c r="M44" s="227" t="s">
        <v>67</v>
      </c>
      <c r="N44" s="227" t="s">
        <v>68</v>
      </c>
    </row>
    <row r="45" spans="1:14" s="181" customFormat="1" ht="53.25" customHeight="1">
      <c r="A45" s="362">
        <v>5</v>
      </c>
      <c r="B45" s="365" t="s">
        <v>49</v>
      </c>
      <c r="C45" s="359" t="s">
        <v>234</v>
      </c>
      <c r="D45" s="317" t="s">
        <v>60</v>
      </c>
      <c r="E45" s="353" t="s">
        <v>58</v>
      </c>
      <c r="F45" s="159" t="s">
        <v>57</v>
      </c>
      <c r="G45" s="160">
        <f t="shared" si="3"/>
        <v>14971.161959049601</v>
      </c>
      <c r="H45" s="160">
        <f>M45*20%+M45</f>
        <v>4638.1392</v>
      </c>
      <c r="I45" s="160">
        <f>H45*1.082</f>
        <v>5018.4666144</v>
      </c>
      <c r="J45" s="160">
        <f>I45*1.059</f>
        <v>5314.5561446496</v>
      </c>
      <c r="K45" s="357" t="s">
        <v>20</v>
      </c>
      <c r="L45" s="215">
        <v>3873.116</v>
      </c>
      <c r="M45" s="181">
        <v>3865.116</v>
      </c>
      <c r="N45" s="181">
        <v>8</v>
      </c>
    </row>
    <row r="46" spans="1:12" s="181" customFormat="1" ht="38.25" customHeight="1">
      <c r="A46" s="363"/>
      <c r="B46" s="307"/>
      <c r="C46" s="360"/>
      <c r="D46" s="318"/>
      <c r="E46" s="305"/>
      <c r="F46" s="231" t="s">
        <v>63</v>
      </c>
      <c r="G46" s="160">
        <f t="shared" si="3"/>
        <v>30.9872448</v>
      </c>
      <c r="H46" s="160">
        <f>N45*20%+N45</f>
        <v>9.6</v>
      </c>
      <c r="I46" s="160">
        <f>H46*1.082</f>
        <v>10.3872</v>
      </c>
      <c r="J46" s="160">
        <f>I46*1.059</f>
        <v>11.0000448</v>
      </c>
      <c r="K46" s="358"/>
      <c r="L46" s="181">
        <f>L45*1.082</f>
        <v>4190.711512</v>
      </c>
    </row>
    <row r="47" spans="1:13" s="181" customFormat="1" ht="125.25" customHeight="1">
      <c r="A47" s="188">
        <v>6</v>
      </c>
      <c r="B47" s="189" t="s">
        <v>78</v>
      </c>
      <c r="C47" s="21" t="s">
        <v>90</v>
      </c>
      <c r="D47" s="157" t="s">
        <v>60</v>
      </c>
      <c r="E47" s="151" t="s">
        <v>58</v>
      </c>
      <c r="F47" s="159" t="s">
        <v>63</v>
      </c>
      <c r="G47" s="160">
        <f t="shared" si="3"/>
        <v>3831.2219999999998</v>
      </c>
      <c r="H47" s="160">
        <f>L47*20%+L47</f>
        <v>1200</v>
      </c>
      <c r="I47" s="160">
        <f>H47*1.067</f>
        <v>1280.3999999999999</v>
      </c>
      <c r="J47" s="160">
        <f>I47*1.055</f>
        <v>1350.822</v>
      </c>
      <c r="K47" s="192" t="s">
        <v>21</v>
      </c>
      <c r="L47" s="215">
        <v>1000</v>
      </c>
      <c r="M47" s="181" t="s">
        <v>68</v>
      </c>
    </row>
    <row r="48" spans="1:12" s="181" customFormat="1" ht="26.25" customHeight="1">
      <c r="A48" s="347" t="s">
        <v>64</v>
      </c>
      <c r="B48" s="348"/>
      <c r="C48" s="348"/>
      <c r="D48" s="348"/>
      <c r="E48" s="349"/>
      <c r="F48" s="234"/>
      <c r="G48" s="222">
        <f>G38+G40+G41+G42+G43+G44+G45+G46+G47+G39</f>
        <v>151498.90481676962</v>
      </c>
      <c r="H48" s="222">
        <f>H38+H40+H41+H42+H43+H44+H45+H46+H47+H39</f>
        <v>46536.73919999999</v>
      </c>
      <c r="I48" s="222">
        <f>I38+I40+I41+I42+I43+I44+I45+I46+I47+I39</f>
        <v>50673.652574399996</v>
      </c>
      <c r="J48" s="222">
        <f>J38+J40+J41+J42+J43+J44+J45+J46+J47+J39</f>
        <v>54288.5130423696</v>
      </c>
      <c r="K48" s="161"/>
      <c r="L48" s="215"/>
    </row>
    <row r="49" spans="1:12" s="181" customFormat="1" ht="54" customHeight="1">
      <c r="A49" s="347" t="s">
        <v>65</v>
      </c>
      <c r="B49" s="348"/>
      <c r="C49" s="348"/>
      <c r="D49" s="348"/>
      <c r="E49" s="349"/>
      <c r="F49" s="91" t="s">
        <v>57</v>
      </c>
      <c r="G49" s="222">
        <f>G38+G40+G42+G45+G39</f>
        <v>55278.01122276959</v>
      </c>
      <c r="H49" s="222">
        <f>H38+H40+H42+H45+H39</f>
        <v>17092.3392</v>
      </c>
      <c r="I49" s="222">
        <f>I38+I40+I42+I45+I39</f>
        <v>18494.4801744</v>
      </c>
      <c r="J49" s="222">
        <f>J38+J40+J42+J45+J39</f>
        <v>19691.191848369603</v>
      </c>
      <c r="K49" s="161"/>
      <c r="L49" s="215"/>
    </row>
    <row r="50" spans="1:12" s="181" customFormat="1" ht="54" customHeight="1">
      <c r="A50" s="327"/>
      <c r="B50" s="328"/>
      <c r="C50" s="328"/>
      <c r="D50" s="328"/>
      <c r="E50" s="328"/>
      <c r="F50" s="91" t="s">
        <v>63</v>
      </c>
      <c r="G50" s="222">
        <f>G41+G43+G46+G47</f>
        <v>3976.20294312</v>
      </c>
      <c r="H50" s="222">
        <f>H41+H43+H46+H47</f>
        <v>1244.88</v>
      </c>
      <c r="I50" s="222">
        <f>I41+I43+I46+I47</f>
        <v>1328.8975199999998</v>
      </c>
      <c r="J50" s="222">
        <f>J41+J43+J46+J47</f>
        <v>1402.4254231199998</v>
      </c>
      <c r="K50" s="161"/>
      <c r="L50" s="215"/>
    </row>
    <row r="51" spans="1:12" s="181" customFormat="1" ht="60" customHeight="1" thickBot="1">
      <c r="A51" s="369"/>
      <c r="B51" s="370"/>
      <c r="C51" s="370"/>
      <c r="D51" s="370"/>
      <c r="E51" s="371"/>
      <c r="F51" s="204" t="s">
        <v>71</v>
      </c>
      <c r="G51" s="205">
        <f>G44</f>
        <v>92244.69065087999</v>
      </c>
      <c r="H51" s="205">
        <f>H44</f>
        <v>28199.519999999997</v>
      </c>
      <c r="I51" s="205">
        <f>I44</f>
        <v>30850.274879999997</v>
      </c>
      <c r="J51" s="205">
        <f>J44</f>
        <v>33194.89577088</v>
      </c>
      <c r="K51" s="206"/>
      <c r="L51" s="215"/>
    </row>
    <row r="52" spans="1:14" s="181" customFormat="1" ht="45.75" customHeight="1" thickBot="1">
      <c r="A52" s="332" t="s">
        <v>79</v>
      </c>
      <c r="B52" s="333"/>
      <c r="C52" s="333"/>
      <c r="D52" s="333"/>
      <c r="E52" s="333"/>
      <c r="F52" s="333"/>
      <c r="G52" s="333"/>
      <c r="H52" s="333"/>
      <c r="I52" s="333"/>
      <c r="J52" s="333"/>
      <c r="K52" s="334"/>
      <c r="M52" s="181" t="s">
        <v>67</v>
      </c>
      <c r="N52" s="181" t="s">
        <v>68</v>
      </c>
    </row>
    <row r="53" spans="1:14" s="181" customFormat="1" ht="37.5" customHeight="1">
      <c r="A53" s="315">
        <v>1</v>
      </c>
      <c r="B53" s="372" t="s">
        <v>66</v>
      </c>
      <c r="C53" s="305" t="s">
        <v>30</v>
      </c>
      <c r="D53" s="373" t="s">
        <v>60</v>
      </c>
      <c r="E53" s="305" t="s">
        <v>58</v>
      </c>
      <c r="F53" s="90" t="s">
        <v>57</v>
      </c>
      <c r="G53" s="208">
        <f aca="true" t="shared" si="4" ref="G53:G64">SUM(H53:J53)</f>
        <v>1111.8206243999998</v>
      </c>
      <c r="H53" s="185">
        <f>M53*20%+M53</f>
        <v>348.24</v>
      </c>
      <c r="I53" s="185">
        <f aca="true" t="shared" si="5" ref="I53:I58">H53*1.067</f>
        <v>371.57207999999997</v>
      </c>
      <c r="J53" s="185">
        <f aca="true" t="shared" si="6" ref="J53:J58">I53*1.055</f>
        <v>392.00854439999995</v>
      </c>
      <c r="K53" s="356" t="s">
        <v>28</v>
      </c>
      <c r="L53" s="215">
        <v>955.2</v>
      </c>
      <c r="M53" s="181">
        <f>299.2-9</f>
        <v>290.2</v>
      </c>
      <c r="N53" s="181">
        <v>656</v>
      </c>
    </row>
    <row r="54" spans="1:12" s="181" customFormat="1" ht="37.5" customHeight="1">
      <c r="A54" s="316"/>
      <c r="B54" s="335"/>
      <c r="C54" s="305"/>
      <c r="D54" s="374"/>
      <c r="E54" s="305"/>
      <c r="F54" s="93" t="s">
        <v>63</v>
      </c>
      <c r="G54" s="160">
        <f t="shared" si="4"/>
        <v>2513.281632</v>
      </c>
      <c r="H54" s="93">
        <f>N53*20%+N53</f>
        <v>787.2</v>
      </c>
      <c r="I54" s="160">
        <f t="shared" si="5"/>
        <v>839.9424</v>
      </c>
      <c r="J54" s="160">
        <f t="shared" si="6"/>
        <v>886.139232</v>
      </c>
      <c r="K54" s="356"/>
      <c r="L54" s="181">
        <f>L53*1.067</f>
        <v>1019.1984</v>
      </c>
    </row>
    <row r="55" spans="1:15" s="181" customFormat="1" ht="85.5" customHeight="1">
      <c r="A55" s="235">
        <v>2</v>
      </c>
      <c r="B55" s="214" t="s">
        <v>75</v>
      </c>
      <c r="C55" s="151" t="s">
        <v>89</v>
      </c>
      <c r="D55" s="236" t="s">
        <v>60</v>
      </c>
      <c r="E55" s="237" t="s">
        <v>58</v>
      </c>
      <c r="F55" s="89" t="s">
        <v>57</v>
      </c>
      <c r="G55" s="160">
        <f t="shared" si="4"/>
        <v>5264.482150199999</v>
      </c>
      <c r="H55" s="93">
        <f>L55*20%+L55</f>
        <v>1648.9199999999998</v>
      </c>
      <c r="I55" s="160">
        <f t="shared" si="5"/>
        <v>1759.3976399999997</v>
      </c>
      <c r="J55" s="160">
        <f t="shared" si="6"/>
        <v>1856.1645101999995</v>
      </c>
      <c r="K55" s="152" t="s">
        <v>29</v>
      </c>
      <c r="L55" s="181">
        <f>1518.1-144</f>
        <v>1374.1</v>
      </c>
      <c r="M55" s="227" t="s">
        <v>67</v>
      </c>
      <c r="N55" s="227" t="s">
        <v>68</v>
      </c>
      <c r="O55" s="233" t="s">
        <v>76</v>
      </c>
    </row>
    <row r="56" spans="1:15" s="181" customFormat="1" ht="144" customHeight="1">
      <c r="A56" s="213">
        <v>3</v>
      </c>
      <c r="B56" s="212" t="s">
        <v>224</v>
      </c>
      <c r="C56" s="151" t="s">
        <v>237</v>
      </c>
      <c r="D56" s="191" t="s">
        <v>60</v>
      </c>
      <c r="E56" s="151" t="s">
        <v>244</v>
      </c>
      <c r="F56" s="89" t="s">
        <v>57</v>
      </c>
      <c r="G56" s="195">
        <f>H56+I56+J56</f>
        <v>586.176966</v>
      </c>
      <c r="H56" s="195">
        <f>L56*20%+L56</f>
        <v>183.6</v>
      </c>
      <c r="I56" s="195">
        <f t="shared" si="5"/>
        <v>195.9012</v>
      </c>
      <c r="J56" s="195">
        <f t="shared" si="6"/>
        <v>206.67576599999998</v>
      </c>
      <c r="K56" s="152" t="s">
        <v>227</v>
      </c>
      <c r="L56" s="181">
        <f>144+9</f>
        <v>153</v>
      </c>
      <c r="M56" s="227" t="s">
        <v>228</v>
      </c>
      <c r="N56" s="227"/>
      <c r="O56" s="233"/>
    </row>
    <row r="57" spans="1:14" s="181" customFormat="1" ht="55.5" customHeight="1">
      <c r="A57" s="314">
        <v>4</v>
      </c>
      <c r="B57" s="335" t="s">
        <v>69</v>
      </c>
      <c r="C57" s="353" t="s">
        <v>238</v>
      </c>
      <c r="D57" s="317" t="s">
        <v>60</v>
      </c>
      <c r="E57" s="353" t="s">
        <v>58</v>
      </c>
      <c r="F57" s="89" t="s">
        <v>57</v>
      </c>
      <c r="G57" s="160">
        <f t="shared" si="4"/>
        <v>1266.44874432</v>
      </c>
      <c r="H57" s="160">
        <f>M57*20%+M57</f>
        <v>396.672</v>
      </c>
      <c r="I57" s="160">
        <f t="shared" si="5"/>
        <v>423.249024</v>
      </c>
      <c r="J57" s="160">
        <f t="shared" si="6"/>
        <v>446.52772032</v>
      </c>
      <c r="K57" s="355" t="s">
        <v>22</v>
      </c>
      <c r="L57" s="215">
        <f>226.3+301.3+5+10+32.46+10</f>
        <v>585.0600000000001</v>
      </c>
      <c r="M57" s="181">
        <f>138.8+151.3+8+32.46</f>
        <v>330.56</v>
      </c>
      <c r="N57" s="181">
        <f>87.5+150+5+2+10</f>
        <v>254.5</v>
      </c>
    </row>
    <row r="58" spans="1:15" s="181" customFormat="1" ht="55.5" customHeight="1">
      <c r="A58" s="315"/>
      <c r="B58" s="335"/>
      <c r="C58" s="305"/>
      <c r="D58" s="318"/>
      <c r="E58" s="305"/>
      <c r="F58" s="93" t="s">
        <v>63</v>
      </c>
      <c r="G58" s="160">
        <f t="shared" si="4"/>
        <v>975.0459989999999</v>
      </c>
      <c r="H58" s="160">
        <f>N57*20%+N57</f>
        <v>305.4</v>
      </c>
      <c r="I58" s="160">
        <f t="shared" si="5"/>
        <v>325.86179999999996</v>
      </c>
      <c r="J58" s="160">
        <f t="shared" si="6"/>
        <v>343.78419899999994</v>
      </c>
      <c r="K58" s="356"/>
      <c r="L58" s="181">
        <f>L57*1.067</f>
        <v>624.2590200000001</v>
      </c>
      <c r="M58" s="227" t="s">
        <v>67</v>
      </c>
      <c r="N58" s="227" t="s">
        <v>68</v>
      </c>
      <c r="O58" s="233" t="s">
        <v>76</v>
      </c>
    </row>
    <row r="59" spans="1:15" s="181" customFormat="1" ht="50.25" customHeight="1">
      <c r="A59" s="314">
        <v>5</v>
      </c>
      <c r="B59" s="365" t="s">
        <v>70</v>
      </c>
      <c r="C59" s="353" t="s">
        <v>239</v>
      </c>
      <c r="D59" s="317" t="s">
        <v>60</v>
      </c>
      <c r="E59" s="353" t="s">
        <v>58</v>
      </c>
      <c r="F59" s="159" t="s">
        <v>57</v>
      </c>
      <c r="G59" s="160">
        <f t="shared" si="4"/>
        <v>3926.9429491200003</v>
      </c>
      <c r="H59" s="160">
        <f>M59*20%+M59</f>
        <v>1200.48</v>
      </c>
      <c r="I59" s="160">
        <f>H59*1.094</f>
        <v>1313.3251200000002</v>
      </c>
      <c r="J59" s="160">
        <f>I59*1.076</f>
        <v>1413.1378291200003</v>
      </c>
      <c r="K59" s="366" t="s">
        <v>19</v>
      </c>
      <c r="L59" s="238">
        <f>820+5264+180.4+1184</f>
        <v>7448.4</v>
      </c>
      <c r="M59" s="181">
        <f>820+180.4</f>
        <v>1000.4</v>
      </c>
      <c r="N59" s="181">
        <f>5264+1184</f>
        <v>6448</v>
      </c>
      <c r="O59" s="209">
        <f>3331.8+733</f>
        <v>4064.8</v>
      </c>
    </row>
    <row r="60" spans="1:12" s="181" customFormat="1" ht="50.25" customHeight="1">
      <c r="A60" s="315"/>
      <c r="B60" s="307"/>
      <c r="C60" s="305"/>
      <c r="D60" s="367"/>
      <c r="E60" s="305"/>
      <c r="F60" s="231" t="s">
        <v>63</v>
      </c>
      <c r="G60" s="160">
        <f t="shared" si="4"/>
        <v>25310.803814400006</v>
      </c>
      <c r="H60" s="160">
        <f>N59*20%+N59</f>
        <v>7737.6</v>
      </c>
      <c r="I60" s="160">
        <f>H60*1.094</f>
        <v>8464.934400000002</v>
      </c>
      <c r="J60" s="160">
        <f>I60*1.076</f>
        <v>9108.269414400003</v>
      </c>
      <c r="K60" s="319"/>
      <c r="L60" s="238">
        <f>3331.8+733</f>
        <v>4064.8</v>
      </c>
    </row>
    <row r="61" spans="1:14" s="181" customFormat="1" ht="65.25" customHeight="1">
      <c r="A61" s="315"/>
      <c r="B61" s="307"/>
      <c r="C61" s="305"/>
      <c r="D61" s="318"/>
      <c r="E61" s="305"/>
      <c r="F61" s="93" t="s">
        <v>71</v>
      </c>
      <c r="G61" s="160">
        <f t="shared" si="4"/>
        <v>15955.855357440003</v>
      </c>
      <c r="H61" s="160">
        <f>O59*20%+O59</f>
        <v>4877.76</v>
      </c>
      <c r="I61" s="160">
        <f>H61*1.094</f>
        <v>5336.269440000001</v>
      </c>
      <c r="J61" s="160">
        <f>I61*1.076</f>
        <v>5741.825917440001</v>
      </c>
      <c r="K61" s="319"/>
      <c r="L61" s="239">
        <f>L59*1.094</f>
        <v>8148.5496</v>
      </c>
      <c r="M61" s="227" t="s">
        <v>67</v>
      </c>
      <c r="N61" s="227" t="s">
        <v>68</v>
      </c>
    </row>
    <row r="62" spans="1:14" s="181" customFormat="1" ht="47.25" customHeight="1">
      <c r="A62" s="362">
        <v>6</v>
      </c>
      <c r="B62" s="364" t="s">
        <v>49</v>
      </c>
      <c r="C62" s="378" t="s">
        <v>240</v>
      </c>
      <c r="D62" s="317" t="s">
        <v>60</v>
      </c>
      <c r="E62" s="313" t="s">
        <v>58</v>
      </c>
      <c r="F62" s="159" t="s">
        <v>57</v>
      </c>
      <c r="G62" s="160">
        <f t="shared" si="4"/>
        <v>2058.7034561831997</v>
      </c>
      <c r="H62" s="160">
        <f>M62*20%+M62</f>
        <v>637.7964</v>
      </c>
      <c r="I62" s="160">
        <f>H62*1.082</f>
        <v>690.0957048</v>
      </c>
      <c r="J62" s="160">
        <f>I62*1.059</f>
        <v>730.8113513832</v>
      </c>
      <c r="K62" s="379" t="s">
        <v>20</v>
      </c>
      <c r="L62" s="238">
        <v>807.407</v>
      </c>
      <c r="M62" s="181">
        <v>531.497</v>
      </c>
      <c r="N62" s="181">
        <v>275.91</v>
      </c>
    </row>
    <row r="63" spans="1:12" s="232" customFormat="1" ht="47.25" customHeight="1">
      <c r="A63" s="363"/>
      <c r="B63" s="364"/>
      <c r="C63" s="378"/>
      <c r="D63" s="318"/>
      <c r="E63" s="313"/>
      <c r="F63" s="231" t="s">
        <v>63</v>
      </c>
      <c r="G63" s="160">
        <f t="shared" si="4"/>
        <v>1068.711339096</v>
      </c>
      <c r="H63" s="93">
        <f>N62*20%+N62</f>
        <v>331.09200000000004</v>
      </c>
      <c r="I63" s="160">
        <f>H63*1.082</f>
        <v>358.2415440000001</v>
      </c>
      <c r="J63" s="160">
        <f>I63*1.059</f>
        <v>379.37779509600006</v>
      </c>
      <c r="K63" s="379"/>
      <c r="L63" s="240">
        <f>L62*1.082</f>
        <v>873.6143740000001</v>
      </c>
    </row>
    <row r="64" spans="1:13" s="232" customFormat="1" ht="129" customHeight="1" thickBot="1">
      <c r="A64" s="188">
        <v>7</v>
      </c>
      <c r="B64" s="189" t="s">
        <v>50</v>
      </c>
      <c r="C64" s="21" t="s">
        <v>233</v>
      </c>
      <c r="D64" s="191" t="s">
        <v>60</v>
      </c>
      <c r="E64" s="151" t="s">
        <v>58</v>
      </c>
      <c r="F64" s="190" t="s">
        <v>63</v>
      </c>
      <c r="G64" s="195">
        <f t="shared" si="4"/>
        <v>1532.4887999999999</v>
      </c>
      <c r="H64" s="195">
        <f>L64*20%+L64</f>
        <v>480</v>
      </c>
      <c r="I64" s="195">
        <f>H64*1.067</f>
        <v>512.16</v>
      </c>
      <c r="J64" s="195">
        <f>I64*1.055</f>
        <v>540.3287999999999</v>
      </c>
      <c r="K64" s="192" t="s">
        <v>21</v>
      </c>
      <c r="L64" s="241">
        <v>400</v>
      </c>
      <c r="M64" s="232" t="s">
        <v>68</v>
      </c>
    </row>
    <row r="65" spans="1:12" s="232" customFormat="1" ht="31.5" customHeight="1" thickBot="1">
      <c r="A65" s="321" t="s">
        <v>64</v>
      </c>
      <c r="B65" s="322"/>
      <c r="C65" s="322"/>
      <c r="D65" s="322"/>
      <c r="E65" s="323"/>
      <c r="F65" s="197"/>
      <c r="G65" s="198">
        <f>G53+G54+G55+G57+G58+G59+G60+G61+G62+G63+G64+G56</f>
        <v>61570.76183215921</v>
      </c>
      <c r="H65" s="198">
        <f>H53+H54+H55+H57+H58+H59+H60+H61+H62+H63+H64+H56</f>
        <v>18934.7604</v>
      </c>
      <c r="I65" s="198">
        <f>I53+I54+I55+I57+I58+I59+I60+I61+I62+I63+I64+I56</f>
        <v>20590.950352800006</v>
      </c>
      <c r="J65" s="198">
        <f>J53+J54+J55+J57+J58+J59+J60+J61+J62+J63+J64+J56</f>
        <v>22045.0510793592</v>
      </c>
      <c r="K65" s="199"/>
      <c r="L65" s="241"/>
    </row>
    <row r="66" spans="1:12" s="232" customFormat="1" ht="45.75" customHeight="1">
      <c r="A66" s="324" t="s">
        <v>65</v>
      </c>
      <c r="B66" s="325"/>
      <c r="C66" s="325"/>
      <c r="D66" s="325"/>
      <c r="E66" s="326"/>
      <c r="F66" s="92" t="s">
        <v>57</v>
      </c>
      <c r="G66" s="202">
        <f>G53+G55+G57+G59+G62+G56</f>
        <v>14214.574890223197</v>
      </c>
      <c r="H66" s="202">
        <f>H53+H55+H57+H59+H62+H56</f>
        <v>4415.7084</v>
      </c>
      <c r="I66" s="202">
        <f>I53+I55+I57+I59+I62+I56</f>
        <v>4753.5407688000005</v>
      </c>
      <c r="J66" s="202">
        <f>J53+J55+J57+J59+J62+J56</f>
        <v>5045.3257214232</v>
      </c>
      <c r="K66" s="203"/>
      <c r="L66" s="241"/>
    </row>
    <row r="67" spans="1:12" s="232" customFormat="1" ht="45.75" customHeight="1">
      <c r="A67" s="327"/>
      <c r="B67" s="328"/>
      <c r="C67" s="328"/>
      <c r="D67" s="328"/>
      <c r="E67" s="328"/>
      <c r="F67" s="91" t="s">
        <v>63</v>
      </c>
      <c r="G67" s="222">
        <f>G54+G58+G60+G63+G64</f>
        <v>31400.331584496005</v>
      </c>
      <c r="H67" s="222">
        <f>H54+H58+H60+H63+H64</f>
        <v>9641.292000000001</v>
      </c>
      <c r="I67" s="222">
        <f>I54+I58+I60+I63+I64</f>
        <v>10501.140144000003</v>
      </c>
      <c r="J67" s="222">
        <f>J54+J58+J60+J63+J64</f>
        <v>11257.899440496001</v>
      </c>
      <c r="K67" s="161"/>
      <c r="L67" s="241"/>
    </row>
    <row r="68" spans="1:12" s="232" customFormat="1" ht="59.25" customHeight="1" thickBot="1">
      <c r="A68" s="369"/>
      <c r="B68" s="370"/>
      <c r="C68" s="370"/>
      <c r="D68" s="370"/>
      <c r="E68" s="371"/>
      <c r="F68" s="204" t="s">
        <v>71</v>
      </c>
      <c r="G68" s="205">
        <f>G61</f>
        <v>15955.855357440003</v>
      </c>
      <c r="H68" s="205">
        <f>H61</f>
        <v>4877.76</v>
      </c>
      <c r="I68" s="205">
        <f>I61</f>
        <v>5336.269440000001</v>
      </c>
      <c r="J68" s="205">
        <f>J61</f>
        <v>5741.825917440001</v>
      </c>
      <c r="K68" s="206"/>
      <c r="L68" s="241"/>
    </row>
    <row r="69" spans="1:11" ht="44.25" customHeight="1" thickBot="1">
      <c r="A69" s="332" t="s">
        <v>81</v>
      </c>
      <c r="B69" s="333"/>
      <c r="C69" s="333"/>
      <c r="D69" s="333"/>
      <c r="E69" s="333"/>
      <c r="F69" s="333"/>
      <c r="G69" s="333"/>
      <c r="H69" s="333"/>
      <c r="I69" s="333"/>
      <c r="J69" s="333"/>
      <c r="K69" s="334"/>
    </row>
    <row r="70" spans="1:12" ht="85.5" customHeight="1">
      <c r="A70" s="182">
        <v>1</v>
      </c>
      <c r="B70" s="242" t="s">
        <v>82</v>
      </c>
      <c r="C70" s="243" t="s">
        <v>23</v>
      </c>
      <c r="D70" s="184" t="s">
        <v>60</v>
      </c>
      <c r="E70" s="224" t="s">
        <v>58</v>
      </c>
      <c r="F70" s="244" t="s">
        <v>71</v>
      </c>
      <c r="G70" s="208">
        <f>SUM(H70:J70)</f>
        <v>46293.932499999995</v>
      </c>
      <c r="H70" s="208">
        <v>14500</v>
      </c>
      <c r="I70" s="208">
        <f>H70*1.067</f>
        <v>15471.5</v>
      </c>
      <c r="J70" s="208">
        <f>I70*1.055</f>
        <v>16322.432499999999</v>
      </c>
      <c r="K70" s="186" t="s">
        <v>24</v>
      </c>
      <c r="L70" s="153">
        <v>14152</v>
      </c>
    </row>
    <row r="71" spans="1:12" ht="98.25" customHeight="1">
      <c r="A71" s="154">
        <v>2</v>
      </c>
      <c r="B71" s="214" t="s">
        <v>80</v>
      </c>
      <c r="C71" s="156" t="s">
        <v>25</v>
      </c>
      <c r="D71" s="157" t="s">
        <v>60</v>
      </c>
      <c r="E71" s="158" t="s">
        <v>58</v>
      </c>
      <c r="F71" s="93" t="s">
        <v>71</v>
      </c>
      <c r="G71" s="160">
        <f>SUM(H71:J71)</f>
        <v>28734.165</v>
      </c>
      <c r="H71" s="160">
        <v>9000</v>
      </c>
      <c r="I71" s="160">
        <f>H71*1.067</f>
        <v>9603</v>
      </c>
      <c r="J71" s="160">
        <f>I71*1.055</f>
        <v>10131.164999999999</v>
      </c>
      <c r="K71" s="161" t="s">
        <v>26</v>
      </c>
      <c r="L71" s="153">
        <v>8200</v>
      </c>
    </row>
    <row r="72" spans="1:11" ht="24" customHeight="1">
      <c r="A72" s="347" t="s">
        <v>64</v>
      </c>
      <c r="B72" s="348"/>
      <c r="C72" s="348"/>
      <c r="D72" s="348"/>
      <c r="E72" s="349"/>
      <c r="F72" s="234"/>
      <c r="G72" s="222">
        <f>G70+G71</f>
        <v>75028.0975</v>
      </c>
      <c r="H72" s="222">
        <f>H70+H71</f>
        <v>23500</v>
      </c>
      <c r="I72" s="222">
        <f>I70+I71</f>
        <v>25074.5</v>
      </c>
      <c r="J72" s="222">
        <f>J70+J71</f>
        <v>26453.597499999996</v>
      </c>
      <c r="K72" s="161"/>
    </row>
    <row r="73" spans="1:11" ht="78.75" customHeight="1" thickBot="1">
      <c r="A73" s="350" t="s">
        <v>65</v>
      </c>
      <c r="B73" s="351"/>
      <c r="C73" s="351"/>
      <c r="D73" s="351"/>
      <c r="E73" s="352"/>
      <c r="F73" s="204" t="s">
        <v>71</v>
      </c>
      <c r="G73" s="205">
        <f>G70+G71</f>
        <v>75028.0975</v>
      </c>
      <c r="H73" s="205">
        <f>H70+H71</f>
        <v>23500</v>
      </c>
      <c r="I73" s="205">
        <f>I70+I71</f>
        <v>25074.5</v>
      </c>
      <c r="J73" s="205">
        <f>J70+J71</f>
        <v>26453.597499999996</v>
      </c>
      <c r="K73" s="206"/>
    </row>
    <row r="74" spans="1:15" ht="40.5" customHeight="1">
      <c r="A74" s="375" t="s">
        <v>92</v>
      </c>
      <c r="B74" s="376"/>
      <c r="C74" s="376"/>
      <c r="D74" s="376"/>
      <c r="E74" s="376"/>
      <c r="F74" s="376"/>
      <c r="G74" s="376"/>
      <c r="H74" s="376"/>
      <c r="I74" s="376"/>
      <c r="J74" s="376"/>
      <c r="K74" s="377"/>
      <c r="M74" s="153" t="s">
        <v>110</v>
      </c>
      <c r="N74" s="153" t="s">
        <v>111</v>
      </c>
      <c r="O74" s="153" t="s">
        <v>112</v>
      </c>
    </row>
    <row r="75" spans="1:15" ht="98.25" customHeight="1">
      <c r="A75" s="154" t="s">
        <v>84</v>
      </c>
      <c r="B75" s="155" t="s">
        <v>85</v>
      </c>
      <c r="C75" s="156" t="s">
        <v>83</v>
      </c>
      <c r="D75" s="157" t="s">
        <v>60</v>
      </c>
      <c r="E75" s="158" t="s">
        <v>58</v>
      </c>
      <c r="F75" s="159" t="s">
        <v>57</v>
      </c>
      <c r="G75" s="160">
        <f>SUM(H75:J75)</f>
        <v>10195.30703754744</v>
      </c>
      <c r="H75" s="160">
        <f>P76</f>
        <v>3122.9628</v>
      </c>
      <c r="I75" s="160">
        <f>P77</f>
        <v>3409.6723896000003</v>
      </c>
      <c r="J75" s="160">
        <f>P78</f>
        <v>3662.6718479474407</v>
      </c>
      <c r="K75" s="161" t="s">
        <v>114</v>
      </c>
      <c r="L75" s="153">
        <f>1360.513+1241.956</f>
        <v>2602.469</v>
      </c>
      <c r="M75" s="153">
        <f>1273+1093.6</f>
        <v>2366.6</v>
      </c>
      <c r="N75" s="153">
        <f>32.356+11.713</f>
        <v>44.069</v>
      </c>
      <c r="O75" s="153">
        <f>40+30+5+0.8+50+50+15+1</f>
        <v>191.8</v>
      </c>
    </row>
    <row r="76" spans="1:16" ht="34.5" customHeight="1">
      <c r="A76" s="347" t="s">
        <v>64</v>
      </c>
      <c r="B76" s="348"/>
      <c r="C76" s="348"/>
      <c r="D76" s="348"/>
      <c r="E76" s="349"/>
      <c r="F76" s="234"/>
      <c r="G76" s="222">
        <f>G75</f>
        <v>10195.30703754744</v>
      </c>
      <c r="H76" s="222">
        <f>H75</f>
        <v>3122.9628</v>
      </c>
      <c r="I76" s="222">
        <f>I75</f>
        <v>3409.6723896000003</v>
      </c>
      <c r="J76" s="222">
        <f>J75</f>
        <v>3662.6718479474407</v>
      </c>
      <c r="K76" s="161"/>
      <c r="L76" s="153">
        <v>19</v>
      </c>
      <c r="M76" s="245">
        <f>M75*20%+M75</f>
        <v>2839.92</v>
      </c>
      <c r="N76" s="245">
        <f>N75*20%+N75</f>
        <v>52.8828</v>
      </c>
      <c r="O76" s="245">
        <f>O75*20%+O75</f>
        <v>230.16000000000003</v>
      </c>
      <c r="P76" s="245">
        <f>SUM(M76:O76)</f>
        <v>3122.9628</v>
      </c>
    </row>
    <row r="77" spans="1:16" ht="53.25" customHeight="1" thickBot="1">
      <c r="A77" s="350" t="s">
        <v>65</v>
      </c>
      <c r="B77" s="351"/>
      <c r="C77" s="351"/>
      <c r="D77" s="351"/>
      <c r="E77" s="352"/>
      <c r="F77" s="38" t="s">
        <v>57</v>
      </c>
      <c r="G77" s="205">
        <f>G75</f>
        <v>10195.30703754744</v>
      </c>
      <c r="H77" s="205">
        <f>H75</f>
        <v>3122.9628</v>
      </c>
      <c r="I77" s="205">
        <f>I75</f>
        <v>3409.6723896000003</v>
      </c>
      <c r="J77" s="205">
        <f>J75</f>
        <v>3662.6718479474407</v>
      </c>
      <c r="K77" s="206"/>
      <c r="L77" s="153">
        <v>20</v>
      </c>
      <c r="M77" s="245">
        <f>M76*1.094</f>
        <v>3106.8724800000005</v>
      </c>
      <c r="N77" s="245">
        <f>N76*1.082</f>
        <v>57.21918960000001</v>
      </c>
      <c r="O77" s="245">
        <f>O76*1.067</f>
        <v>245.58072</v>
      </c>
      <c r="P77" s="245">
        <f>SUM(M77:O77)</f>
        <v>3409.6723896000003</v>
      </c>
    </row>
    <row r="78" spans="1:16" ht="53.25" customHeight="1" thickBot="1">
      <c r="A78" s="294" t="s">
        <v>113</v>
      </c>
      <c r="B78" s="295"/>
      <c r="C78" s="295"/>
      <c r="D78" s="295"/>
      <c r="E78" s="295"/>
      <c r="F78" s="246"/>
      <c r="G78" s="198">
        <f>G16+G33+G48+G65+G72+G76</f>
        <v>1531327.7698415695</v>
      </c>
      <c r="H78" s="198">
        <f>H16+H33+H48+H65+H72+H76</f>
        <v>471569.1736</v>
      </c>
      <c r="I78" s="198">
        <f>I16+I33+I48+I65+I72+I76</f>
        <v>512130.18667160004</v>
      </c>
      <c r="J78" s="198">
        <f>J16+J33+J48+J65+J72+J76</f>
        <v>547628.4095699694</v>
      </c>
      <c r="K78" s="199"/>
      <c r="L78" s="247">
        <v>21</v>
      </c>
      <c r="M78" s="248">
        <f>M77*1.076</f>
        <v>3342.994788480001</v>
      </c>
      <c r="N78" s="248">
        <f>N77*1.0589</f>
        <v>60.58939986744001</v>
      </c>
      <c r="O78" s="248">
        <f>O77*1.055</f>
        <v>259.0876596</v>
      </c>
      <c r="P78" s="245">
        <f>SUM(M78:O78)</f>
        <v>3662.6718479474407</v>
      </c>
    </row>
    <row r="79" spans="1:16" ht="53.25" customHeight="1">
      <c r="A79" s="296" t="s">
        <v>65</v>
      </c>
      <c r="B79" s="297"/>
      <c r="C79" s="297"/>
      <c r="D79" s="297"/>
      <c r="E79" s="298"/>
      <c r="F79" s="249" t="s">
        <v>57</v>
      </c>
      <c r="G79" s="250">
        <f>G17+G34+G49+G66+G77</f>
        <v>484199.0546028771</v>
      </c>
      <c r="H79" s="250">
        <f>H17+H34+H49+H66+H77</f>
        <v>149803.32</v>
      </c>
      <c r="I79" s="250">
        <f>I17+I34+I49+I66+I77</f>
        <v>161979.6129</v>
      </c>
      <c r="J79" s="250">
        <f>J17+J34+J49+J66+J77</f>
        <v>172416.12170287705</v>
      </c>
      <c r="K79" s="251"/>
      <c r="M79" s="245"/>
      <c r="N79" s="245"/>
      <c r="O79" s="245"/>
      <c r="P79" s="245"/>
    </row>
    <row r="80" spans="1:16" ht="53.25" customHeight="1">
      <c r="A80" s="299"/>
      <c r="B80" s="300"/>
      <c r="C80" s="300"/>
      <c r="D80" s="300"/>
      <c r="E80" s="301"/>
      <c r="F80" s="193" t="s">
        <v>63</v>
      </c>
      <c r="G80" s="222">
        <f>G18+G35+G50+G67</f>
        <v>144362.99588793243</v>
      </c>
      <c r="H80" s="222">
        <f>H18+H35+H50+H67</f>
        <v>44746.4136</v>
      </c>
      <c r="I80" s="222">
        <f>I18+I35+I50+I67</f>
        <v>48262.9822116</v>
      </c>
      <c r="J80" s="222">
        <f>J18+J35+J50+J67</f>
        <v>51353.600076332405</v>
      </c>
      <c r="K80" s="161"/>
      <c r="M80" s="245"/>
      <c r="N80" s="245"/>
      <c r="O80" s="245"/>
      <c r="P80" s="245"/>
    </row>
    <row r="81" spans="1:16" ht="66.75" customHeight="1" thickBot="1">
      <c r="A81" s="302"/>
      <c r="B81" s="303"/>
      <c r="C81" s="303"/>
      <c r="D81" s="303"/>
      <c r="E81" s="304"/>
      <c r="F81" s="204" t="s">
        <v>71</v>
      </c>
      <c r="G81" s="205">
        <f>G36+G51+G68+G73</f>
        <v>902765.71935076</v>
      </c>
      <c r="H81" s="205">
        <f>H36+H51+H68+H73</f>
        <v>277019.43999999994</v>
      </c>
      <c r="I81" s="205">
        <f>I36+I51+I68+I73</f>
        <v>301887.59156000003</v>
      </c>
      <c r="J81" s="205">
        <f>J36+J51+J68+J73</f>
        <v>323858.68779075996</v>
      </c>
      <c r="K81" s="206"/>
      <c r="M81" s="245"/>
      <c r="N81" s="245"/>
      <c r="O81" s="245"/>
      <c r="P81" s="245"/>
    </row>
    <row r="82" spans="1:16" ht="53.25" customHeight="1">
      <c r="A82" s="252"/>
      <c r="B82" s="252"/>
      <c r="C82" s="252"/>
      <c r="D82" s="252"/>
      <c r="E82" s="252"/>
      <c r="F82" s="253"/>
      <c r="G82" s="254"/>
      <c r="H82" s="254"/>
      <c r="I82" s="254"/>
      <c r="J82" s="254"/>
      <c r="K82" s="255"/>
      <c r="M82" s="245"/>
      <c r="N82" s="245"/>
      <c r="O82" s="245"/>
      <c r="P82" s="245"/>
    </row>
    <row r="83" spans="1:16" ht="27.75" customHeight="1">
      <c r="A83" s="256"/>
      <c r="C83" s="257"/>
      <c r="D83" s="258"/>
      <c r="E83" s="259"/>
      <c r="F83" s="260"/>
      <c r="G83" s="260"/>
      <c r="H83" s="260"/>
      <c r="I83" s="260"/>
      <c r="J83" s="260"/>
      <c r="K83" s="255"/>
      <c r="M83" s="245"/>
      <c r="N83" s="245"/>
      <c r="O83" s="245"/>
      <c r="P83" s="245"/>
    </row>
    <row r="84" spans="2:16" s="455" customFormat="1" ht="30.75" customHeight="1">
      <c r="B84" s="456" t="s">
        <v>258</v>
      </c>
      <c r="C84" s="457"/>
      <c r="D84" s="458" t="s">
        <v>259</v>
      </c>
      <c r="E84" s="458"/>
      <c r="F84" s="458"/>
      <c r="G84" s="458"/>
      <c r="H84" s="458"/>
      <c r="I84" s="459"/>
      <c r="J84" s="460"/>
      <c r="K84" s="461"/>
      <c r="M84" s="462"/>
      <c r="N84" s="462"/>
      <c r="O84" s="462"/>
      <c r="P84" s="462"/>
    </row>
    <row r="85" spans="1:15" s="247" customFormat="1" ht="30" customHeight="1">
      <c r="A85" s="264"/>
      <c r="C85" s="265"/>
      <c r="D85" s="261"/>
      <c r="F85" s="262"/>
      <c r="G85" s="262"/>
      <c r="H85" s="262"/>
      <c r="I85" s="262"/>
      <c r="J85" s="262"/>
      <c r="K85" s="263"/>
      <c r="O85" s="248"/>
    </row>
    <row r="86" spans="4:11" s="247" customFormat="1" ht="31.5" customHeight="1">
      <c r="D86" s="261"/>
      <c r="F86" s="262"/>
      <c r="G86" s="262"/>
      <c r="H86" s="262"/>
      <c r="I86" s="262"/>
      <c r="J86" s="262"/>
      <c r="K86" s="263"/>
    </row>
    <row r="87" ht="15.75" customHeight="1"/>
    <row r="90" ht="18.75">
      <c r="O90" s="245"/>
    </row>
    <row r="92" ht="18.75">
      <c r="B92" s="266"/>
    </row>
    <row r="98" spans="1:11" ht="18.75">
      <c r="A98" s="266"/>
      <c r="C98" s="266"/>
      <c r="D98" s="266"/>
      <c r="E98" s="266"/>
      <c r="F98" s="266"/>
      <c r="G98" s="266"/>
      <c r="H98" s="266"/>
      <c r="I98" s="266"/>
      <c r="J98" s="266"/>
      <c r="K98" s="266"/>
    </row>
  </sheetData>
  <sheetProtection/>
  <mergeCells count="106">
    <mergeCell ref="D84:H84"/>
    <mergeCell ref="A50:E50"/>
    <mergeCell ref="A51:E51"/>
    <mergeCell ref="A72:E72"/>
    <mergeCell ref="A69:K69"/>
    <mergeCell ref="K59:K61"/>
    <mergeCell ref="B57:B58"/>
    <mergeCell ref="C57:C58"/>
    <mergeCell ref="A53:A54"/>
    <mergeCell ref="A57:A58"/>
    <mergeCell ref="D57:D58"/>
    <mergeCell ref="G8:G9"/>
    <mergeCell ref="H8:J8"/>
    <mergeCell ref="K7:K9"/>
    <mergeCell ref="G7:J7"/>
    <mergeCell ref="D7:D9"/>
    <mergeCell ref="D45:D46"/>
    <mergeCell ref="D42:D44"/>
    <mergeCell ref="A19:K19"/>
    <mergeCell ref="B25:B26"/>
    <mergeCell ref="C25:C26"/>
    <mergeCell ref="A45:A46"/>
    <mergeCell ref="A65:E65"/>
    <mergeCell ref="A59:A61"/>
    <mergeCell ref="B59:B61"/>
    <mergeCell ref="C59:C61"/>
    <mergeCell ref="E59:E61"/>
    <mergeCell ref="E57:E58"/>
    <mergeCell ref="A48:E48"/>
    <mergeCell ref="A49:E49"/>
    <mergeCell ref="B45:B46"/>
    <mergeCell ref="A73:E73"/>
    <mergeCell ref="A74:K74"/>
    <mergeCell ref="B62:B63"/>
    <mergeCell ref="C62:C63"/>
    <mergeCell ref="E62:E63"/>
    <mergeCell ref="K62:K63"/>
    <mergeCell ref="A66:E66"/>
    <mergeCell ref="A62:A63"/>
    <mergeCell ref="D62:D63"/>
    <mergeCell ref="K57:K58"/>
    <mergeCell ref="A67:E67"/>
    <mergeCell ref="A68:E68"/>
    <mergeCell ref="A52:K52"/>
    <mergeCell ref="B53:B54"/>
    <mergeCell ref="C53:C54"/>
    <mergeCell ref="E53:E54"/>
    <mergeCell ref="K53:K54"/>
    <mergeCell ref="D53:D54"/>
    <mergeCell ref="D59:D61"/>
    <mergeCell ref="K40:K41"/>
    <mergeCell ref="A42:A44"/>
    <mergeCell ref="B42:B44"/>
    <mergeCell ref="C42:C44"/>
    <mergeCell ref="E42:E44"/>
    <mergeCell ref="K42:K44"/>
    <mergeCell ref="M27:M28"/>
    <mergeCell ref="A30:A31"/>
    <mergeCell ref="B30:B31"/>
    <mergeCell ref="C30:C31"/>
    <mergeCell ref="E30:E31"/>
    <mergeCell ref="B27:B29"/>
    <mergeCell ref="C27:C29"/>
    <mergeCell ref="E27:E29"/>
    <mergeCell ref="K27:K29"/>
    <mergeCell ref="D27:D29"/>
    <mergeCell ref="A76:E76"/>
    <mergeCell ref="A77:E77"/>
    <mergeCell ref="E25:E26"/>
    <mergeCell ref="K25:K26"/>
    <mergeCell ref="D25:D26"/>
    <mergeCell ref="A25:A26"/>
    <mergeCell ref="K30:K31"/>
    <mergeCell ref="C45:C46"/>
    <mergeCell ref="E45:E46"/>
    <mergeCell ref="K45:K46"/>
    <mergeCell ref="A17:E17"/>
    <mergeCell ref="A18:E18"/>
    <mergeCell ref="A5:K5"/>
    <mergeCell ref="A11:K11"/>
    <mergeCell ref="B7:B9"/>
    <mergeCell ref="A7:A9"/>
    <mergeCell ref="C7:C9"/>
    <mergeCell ref="A16:E16"/>
    <mergeCell ref="E7:E9"/>
    <mergeCell ref="F7:F9"/>
    <mergeCell ref="K20:K22"/>
    <mergeCell ref="A33:E33"/>
    <mergeCell ref="A34:E34"/>
    <mergeCell ref="A35:E35"/>
    <mergeCell ref="B36:E36"/>
    <mergeCell ref="E40:E41"/>
    <mergeCell ref="D40:D41"/>
    <mergeCell ref="A37:K37"/>
    <mergeCell ref="A40:A41"/>
    <mergeCell ref="B40:B41"/>
    <mergeCell ref="A78:E78"/>
    <mergeCell ref="A79:E81"/>
    <mergeCell ref="C20:C22"/>
    <mergeCell ref="B20:B22"/>
    <mergeCell ref="A20:A22"/>
    <mergeCell ref="D20:D22"/>
    <mergeCell ref="E20:E22"/>
    <mergeCell ref="C40:C41"/>
    <mergeCell ref="A27:A29"/>
    <mergeCell ref="D30:D31"/>
  </mergeCells>
  <printOptions/>
  <pageMargins left="0.9055118110236221" right="0.9055118110236221" top="1.141732283464567" bottom="0.5511811023622047" header="0.31496062992125984" footer="0.31496062992125984"/>
  <pageSetup fitToHeight="6" horizontalDpi="600" verticalDpi="600" orientation="landscape" paperSize="9" scale="40" r:id="rId1"/>
  <rowBreaks count="1" manualBreakCount="1">
    <brk id="18" max="10" man="1"/>
  </rowBreaks>
</worksheet>
</file>

<file path=xl/worksheets/sheet3.xml><?xml version="1.0" encoding="utf-8"?>
<worksheet xmlns="http://schemas.openxmlformats.org/spreadsheetml/2006/main" xmlns:r="http://schemas.openxmlformats.org/officeDocument/2006/relationships">
  <sheetPr>
    <tabColor rgb="FF00B0F0"/>
  </sheetPr>
  <dimension ref="A1:P186"/>
  <sheetViews>
    <sheetView view="pageBreakPreview" zoomScale="69" zoomScaleNormal="64" zoomScaleSheetLayoutView="69" zoomScalePageLayoutView="0" workbookViewId="0" topLeftCell="A1">
      <pane ySplit="10" topLeftCell="A119" activePane="bottomLeft" state="frozen"/>
      <selection pane="topLeft" activeCell="A1" sqref="A1"/>
      <selection pane="bottomLeft" activeCell="D184" sqref="D184:H184"/>
    </sheetView>
  </sheetViews>
  <sheetFormatPr defaultColWidth="9.140625" defaultRowHeight="12.75"/>
  <cols>
    <col min="1" max="1" width="69.7109375" style="8" customWidth="1"/>
    <col min="2" max="2" width="15.7109375" style="8" customWidth="1"/>
    <col min="3" max="5" width="16.00390625" style="8" customWidth="1"/>
    <col min="6" max="6" width="18.421875" style="8" customWidth="1"/>
    <col min="7" max="8" width="16.00390625" style="8" customWidth="1"/>
    <col min="9" max="9" width="17.8515625" style="8" customWidth="1"/>
    <col min="10" max="11" width="16.00390625" style="8" customWidth="1"/>
    <col min="12" max="12" width="11.7109375" style="8" bestFit="1" customWidth="1"/>
    <col min="13" max="16384" width="9.140625" style="8" customWidth="1"/>
  </cols>
  <sheetData>
    <row r="1" spans="2:11" ht="16.5">
      <c r="B1" s="110"/>
      <c r="F1" s="110"/>
      <c r="G1" s="110"/>
      <c r="H1" s="420" t="s">
        <v>12</v>
      </c>
      <c r="I1" s="420"/>
      <c r="J1" s="420"/>
      <c r="K1" s="111"/>
    </row>
    <row r="2" spans="1:11" ht="42.75" customHeight="1">
      <c r="A2" s="112"/>
      <c r="B2" s="110"/>
      <c r="F2" s="110"/>
      <c r="G2" s="110"/>
      <c r="H2" s="421" t="s">
        <v>86</v>
      </c>
      <c r="I2" s="421"/>
      <c r="J2" s="421"/>
      <c r="K2" s="421"/>
    </row>
    <row r="3" spans="1:11" ht="15.75">
      <c r="A3" s="30"/>
      <c r="B3" s="110"/>
      <c r="F3" s="110"/>
      <c r="G3" s="110"/>
      <c r="H3" s="422"/>
      <c r="I3" s="422"/>
      <c r="J3" s="422"/>
      <c r="K3" s="422"/>
    </row>
    <row r="4" spans="2:10" ht="15.75">
      <c r="B4" s="110"/>
      <c r="F4" s="110"/>
      <c r="G4" s="110"/>
      <c r="H4" s="31"/>
      <c r="I4" s="5"/>
      <c r="J4" s="5"/>
    </row>
    <row r="5" spans="1:11" ht="18.75">
      <c r="A5" s="423" t="s">
        <v>222</v>
      </c>
      <c r="B5" s="423"/>
      <c r="C5" s="423"/>
      <c r="D5" s="423"/>
      <c r="E5" s="423"/>
      <c r="F5" s="423"/>
      <c r="G5" s="423"/>
      <c r="H5" s="423"/>
      <c r="I5" s="423"/>
      <c r="J5" s="423"/>
      <c r="K5" s="423"/>
    </row>
    <row r="6" spans="1:11" ht="15.75">
      <c r="A6" s="32"/>
      <c r="B6" s="110"/>
      <c r="F6" s="110"/>
      <c r="G6" s="110"/>
      <c r="H6" s="110"/>
      <c r="K6" s="1" t="s">
        <v>93</v>
      </c>
    </row>
    <row r="7" spans="1:11" ht="12.75">
      <c r="A7" s="424" t="s">
        <v>94</v>
      </c>
      <c r="B7" s="414" t="s">
        <v>95</v>
      </c>
      <c r="C7" s="415" t="s">
        <v>96</v>
      </c>
      <c r="D7" s="415"/>
      <c r="E7" s="415"/>
      <c r="F7" s="415" t="s">
        <v>97</v>
      </c>
      <c r="G7" s="415"/>
      <c r="H7" s="415"/>
      <c r="I7" s="415" t="s">
        <v>98</v>
      </c>
      <c r="J7" s="415"/>
      <c r="K7" s="415"/>
    </row>
    <row r="8" spans="1:11" ht="12.75">
      <c r="A8" s="424"/>
      <c r="B8" s="414"/>
      <c r="C8" s="415"/>
      <c r="D8" s="415"/>
      <c r="E8" s="415"/>
      <c r="F8" s="415"/>
      <c r="G8" s="415"/>
      <c r="H8" s="415"/>
      <c r="I8" s="415"/>
      <c r="J8" s="415"/>
      <c r="K8" s="415"/>
    </row>
    <row r="9" spans="1:11" ht="14.25">
      <c r="A9" s="424"/>
      <c r="B9" s="414"/>
      <c r="C9" s="395" t="s">
        <v>3</v>
      </c>
      <c r="D9" s="395" t="s">
        <v>99</v>
      </c>
      <c r="E9" s="395"/>
      <c r="F9" s="395" t="s">
        <v>3</v>
      </c>
      <c r="G9" s="395" t="s">
        <v>99</v>
      </c>
      <c r="H9" s="395"/>
      <c r="I9" s="395" t="s">
        <v>3</v>
      </c>
      <c r="J9" s="395" t="s">
        <v>99</v>
      </c>
      <c r="K9" s="395"/>
    </row>
    <row r="10" spans="1:11" ht="28.5">
      <c r="A10" s="424"/>
      <c r="B10" s="414"/>
      <c r="C10" s="395"/>
      <c r="D10" s="34" t="s">
        <v>100</v>
      </c>
      <c r="E10" s="34" t="s">
        <v>101</v>
      </c>
      <c r="F10" s="395"/>
      <c r="G10" s="34" t="s">
        <v>100</v>
      </c>
      <c r="H10" s="34" t="s">
        <v>101</v>
      </c>
      <c r="I10" s="395"/>
      <c r="J10" s="34" t="s">
        <v>100</v>
      </c>
      <c r="K10" s="34" t="s">
        <v>101</v>
      </c>
    </row>
    <row r="11" spans="1:11" ht="14.25">
      <c r="A11" s="33">
        <v>1</v>
      </c>
      <c r="B11" s="35">
        <v>2</v>
      </c>
      <c r="C11" s="34">
        <v>3</v>
      </c>
      <c r="D11" s="34">
        <v>4</v>
      </c>
      <c r="E11" s="34">
        <v>5</v>
      </c>
      <c r="F11" s="34">
        <v>6</v>
      </c>
      <c r="G11" s="34">
        <v>7</v>
      </c>
      <c r="H11" s="34">
        <v>8</v>
      </c>
      <c r="I11" s="34">
        <v>9</v>
      </c>
      <c r="J11" s="34">
        <v>10</v>
      </c>
      <c r="K11" s="34">
        <v>11</v>
      </c>
    </row>
    <row r="12" spans="1:11" ht="39" customHeight="1" thickBot="1">
      <c r="A12" s="62" t="s">
        <v>102</v>
      </c>
      <c r="B12" s="60">
        <f>C12+F12+I12</f>
        <v>1531327769.8415694</v>
      </c>
      <c r="C12" s="61">
        <f>D12+E12</f>
        <v>471569173.6</v>
      </c>
      <c r="D12" s="61">
        <f>D17+D43+D79+D114+D148+D164</f>
        <v>426822760</v>
      </c>
      <c r="E12" s="61">
        <f>E17+E43+E79+E114+E148+E164</f>
        <v>44746413.6</v>
      </c>
      <c r="F12" s="61">
        <f>G12+H12</f>
        <v>512130186.6716</v>
      </c>
      <c r="G12" s="61">
        <f>G17+G43+G79+G114+G148+G164</f>
        <v>463867204.46</v>
      </c>
      <c r="H12" s="61">
        <f>H17+H43+H79+H114+H148+H164</f>
        <v>48262982.211600006</v>
      </c>
      <c r="I12" s="61">
        <f>J12+K12</f>
        <v>547628409.5699694</v>
      </c>
      <c r="J12" s="61">
        <f>J17+J43+J79+J114+J148+J164</f>
        <v>496274809.49363697</v>
      </c>
      <c r="K12" s="61">
        <f>K17+K43+K79+K114+K148+K164</f>
        <v>51353600.076332405</v>
      </c>
    </row>
    <row r="13" spans="1:11" ht="39" customHeight="1" thickBot="1">
      <c r="A13" s="401" t="s">
        <v>119</v>
      </c>
      <c r="B13" s="402"/>
      <c r="C13" s="402"/>
      <c r="D13" s="402"/>
      <c r="E13" s="402"/>
      <c r="F13" s="402"/>
      <c r="G13" s="402"/>
      <c r="H13" s="402"/>
      <c r="I13" s="402"/>
      <c r="J13" s="402"/>
      <c r="K13" s="403"/>
    </row>
    <row r="14" spans="1:11" ht="19.5" customHeight="1" thickBot="1">
      <c r="A14" s="409" t="str">
        <f>'Додаток 2'!A11:K11</f>
        <v>Підпрограма 1. СПРИЯННЯ ПОКРАЩЕННЮ НАДАННЯ ПЕРВИННОЇ МЕДИКО-САНІТАРНОЇ ДОПОМОГИ НАСЕЛЕННЮ М. СУМИ</v>
      </c>
      <c r="B14" s="410"/>
      <c r="C14" s="410"/>
      <c r="D14" s="410"/>
      <c r="E14" s="410"/>
      <c r="F14" s="410"/>
      <c r="G14" s="410"/>
      <c r="H14" s="410"/>
      <c r="I14" s="410"/>
      <c r="J14" s="410"/>
      <c r="K14" s="411"/>
    </row>
    <row r="15" spans="1:11" s="2" customFormat="1" ht="38.25" customHeight="1">
      <c r="A15" s="116" t="s">
        <v>120</v>
      </c>
      <c r="B15" s="404" t="str">
        <f>'Додаток 2'!K12</f>
        <v>Забезпечення виконання державних гарантій, попередження розвитку необоротних ускладнень та продовження тривалості і якості життя населення                                                                 </v>
      </c>
      <c r="C15" s="404"/>
      <c r="D15" s="404"/>
      <c r="E15" s="404"/>
      <c r="F15" s="404"/>
      <c r="G15" s="404"/>
      <c r="H15" s="404"/>
      <c r="I15" s="404"/>
      <c r="J15" s="404"/>
      <c r="K15" s="405"/>
    </row>
    <row r="16" spans="1:11" ht="33" customHeight="1">
      <c r="A16" s="149" t="s">
        <v>121</v>
      </c>
      <c r="B16" s="393" t="s">
        <v>220</v>
      </c>
      <c r="C16" s="393"/>
      <c r="D16" s="393"/>
      <c r="E16" s="393"/>
      <c r="F16" s="393"/>
      <c r="G16" s="393"/>
      <c r="H16" s="393"/>
      <c r="I16" s="393"/>
      <c r="J16" s="393"/>
      <c r="K16" s="394"/>
    </row>
    <row r="17" spans="1:12" ht="22.5" customHeight="1">
      <c r="A17" s="63" t="s">
        <v>103</v>
      </c>
      <c r="B17" s="36">
        <f>C17+F17+I17</f>
        <v>70914034.60800001</v>
      </c>
      <c r="C17" s="37">
        <f>D17+E17</f>
        <v>22176000</v>
      </c>
      <c r="D17" s="37">
        <f>SUM(D18:D22)</f>
        <v>18576000</v>
      </c>
      <c r="E17" s="37">
        <f>SUM(E18:E22)</f>
        <v>3600000</v>
      </c>
      <c r="F17" s="37">
        <f aca="true" t="shared" si="0" ref="F17:F22">G17+H17</f>
        <v>23710032</v>
      </c>
      <c r="G17" s="37">
        <f>SUM(G18:G22)</f>
        <v>19868832</v>
      </c>
      <c r="H17" s="37">
        <f>SUM(H18:H22)</f>
        <v>3841200</v>
      </c>
      <c r="I17" s="37">
        <f aca="true" t="shared" si="1" ref="I17:I22">J17+K17</f>
        <v>25028002.608000003</v>
      </c>
      <c r="J17" s="37">
        <f>SUM(J18:J22)</f>
        <v>20975536.608000003</v>
      </c>
      <c r="K17" s="37">
        <f>SUM(K18:K22)</f>
        <v>4052466</v>
      </c>
      <c r="L17" s="113">
        <f>B17-'Додаток 2'!G16*1000</f>
        <v>0</v>
      </c>
    </row>
    <row r="18" spans="1:11" ht="38.25" customHeight="1">
      <c r="A18" s="64" t="str">
        <f>'Додаток 2'!B12</f>
        <v>Забезпечення виконання соціальних гарантій для пільгових категорій населення</v>
      </c>
      <c r="B18" s="4"/>
      <c r="C18" s="6">
        <f>E18+D18</f>
        <v>13200000</v>
      </c>
      <c r="D18" s="6">
        <f>'Додаток 2'!H12*1000</f>
        <v>13200000</v>
      </c>
      <c r="E18" s="6"/>
      <c r="F18" s="6">
        <f t="shared" si="0"/>
        <v>14084400</v>
      </c>
      <c r="G18" s="6">
        <f>D18*1.067</f>
        <v>14084400</v>
      </c>
      <c r="H18" s="6"/>
      <c r="I18" s="6">
        <f t="shared" si="1"/>
        <v>14859042</v>
      </c>
      <c r="J18" s="6">
        <f>G18*1.055</f>
        <v>14859042</v>
      </c>
      <c r="K18" s="103"/>
    </row>
    <row r="19" spans="1:11" ht="19.5" customHeight="1">
      <c r="A19" s="64" t="str">
        <f>'Додаток 2'!B13</f>
        <v>Придбання медикаментів та перев’язувальних матеріалів</v>
      </c>
      <c r="B19" s="4"/>
      <c r="C19" s="6">
        <f>E19+D19</f>
        <v>2160000</v>
      </c>
      <c r="D19" s="6">
        <f>'Додаток 2'!H13*1000</f>
        <v>2160000</v>
      </c>
      <c r="E19" s="6"/>
      <c r="F19" s="6">
        <f t="shared" si="0"/>
        <v>2304720</v>
      </c>
      <c r="G19" s="6">
        <f>D19*1.067</f>
        <v>2304720</v>
      </c>
      <c r="H19" s="6"/>
      <c r="I19" s="6">
        <f t="shared" si="1"/>
        <v>2431479.5999999996</v>
      </c>
      <c r="J19" s="6">
        <f>G19*1.055</f>
        <v>2431479.5999999996</v>
      </c>
      <c r="K19" s="103"/>
    </row>
    <row r="20" spans="1:11" ht="20.25" customHeight="1">
      <c r="A20" s="64" t="str">
        <f>'Додаток 2'!B14</f>
        <v>Видатки на оплату вартості комунальних послуг та енергоносіїв</v>
      </c>
      <c r="B20" s="4"/>
      <c r="C20" s="6">
        <f>E20+D20</f>
        <v>3216000</v>
      </c>
      <c r="D20" s="6">
        <f>'Додаток 2'!H14*1000</f>
        <v>3216000</v>
      </c>
      <c r="E20" s="6"/>
      <c r="F20" s="6">
        <f t="shared" si="0"/>
        <v>3479712.0000000005</v>
      </c>
      <c r="G20" s="6">
        <f>D20*1.082</f>
        <v>3479712.0000000005</v>
      </c>
      <c r="H20" s="6"/>
      <c r="I20" s="6">
        <f t="shared" si="1"/>
        <v>3685015.0080000004</v>
      </c>
      <c r="J20" s="6">
        <f>G20*1.059</f>
        <v>3685015.0080000004</v>
      </c>
      <c r="K20" s="103"/>
    </row>
    <row r="21" spans="1:11" ht="21.75" customHeight="1">
      <c r="A21" s="64" t="s">
        <v>122</v>
      </c>
      <c r="B21" s="4"/>
      <c r="C21" s="6">
        <f>E21+D21</f>
        <v>1200000</v>
      </c>
      <c r="D21" s="6"/>
      <c r="E21" s="163">
        <f>1000000*20%+1000000</f>
        <v>1200000</v>
      </c>
      <c r="F21" s="6">
        <f t="shared" si="0"/>
        <v>1280400</v>
      </c>
      <c r="G21" s="6"/>
      <c r="H21" s="6">
        <f>E21*1.067</f>
        <v>1280400</v>
      </c>
      <c r="I21" s="6">
        <f t="shared" si="1"/>
        <v>1350822</v>
      </c>
      <c r="J21" s="6"/>
      <c r="K21" s="103">
        <f>H21*1.055</f>
        <v>1350822</v>
      </c>
    </row>
    <row r="22" spans="1:11" ht="29.25" customHeight="1">
      <c r="A22" s="64" t="s">
        <v>123</v>
      </c>
      <c r="B22" s="4"/>
      <c r="C22" s="6">
        <f>E22+D22</f>
        <v>2400000</v>
      </c>
      <c r="D22" s="6"/>
      <c r="E22" s="163">
        <f>2000000*20%+2000000</f>
        <v>2400000</v>
      </c>
      <c r="F22" s="6">
        <f t="shared" si="0"/>
        <v>2560800</v>
      </c>
      <c r="G22" s="6"/>
      <c r="H22" s="6">
        <f>E22*1.067</f>
        <v>2560800</v>
      </c>
      <c r="I22" s="6">
        <f t="shared" si="1"/>
        <v>2701644</v>
      </c>
      <c r="J22" s="6"/>
      <c r="K22" s="103">
        <f>H22*1.055</f>
        <v>2701644</v>
      </c>
    </row>
    <row r="23" spans="1:11" ht="17.25" customHeight="1">
      <c r="A23" s="66" t="s">
        <v>104</v>
      </c>
      <c r="B23" s="4"/>
      <c r="C23" s="4"/>
      <c r="D23" s="4"/>
      <c r="E23" s="4"/>
      <c r="F23" s="4"/>
      <c r="G23" s="4"/>
      <c r="H23" s="4"/>
      <c r="I23" s="4"/>
      <c r="J23" s="4"/>
      <c r="K23" s="65"/>
    </row>
    <row r="24" spans="1:11" ht="15.75">
      <c r="A24" s="67" t="s">
        <v>124</v>
      </c>
      <c r="B24" s="80"/>
      <c r="C24" s="81"/>
      <c r="D24" s="81"/>
      <c r="E24" s="81"/>
      <c r="F24" s="81"/>
      <c r="G24" s="81"/>
      <c r="H24" s="81"/>
      <c r="I24" s="81"/>
      <c r="J24" s="81"/>
      <c r="K24" s="82"/>
    </row>
    <row r="25" spans="1:11" ht="15.75">
      <c r="A25" s="68" t="s">
        <v>125</v>
      </c>
      <c r="B25" s="80"/>
      <c r="C25" s="83">
        <v>2</v>
      </c>
      <c r="D25" s="83"/>
      <c r="E25" s="83"/>
      <c r="F25" s="83">
        <f>C25</f>
        <v>2</v>
      </c>
      <c r="G25" s="83"/>
      <c r="H25" s="83"/>
      <c r="I25" s="83">
        <f>F25</f>
        <v>2</v>
      </c>
      <c r="J25" s="81"/>
      <c r="K25" s="82"/>
    </row>
    <row r="26" spans="1:11" ht="15.75">
      <c r="A26" s="68" t="s">
        <v>126</v>
      </c>
      <c r="B26" s="80"/>
      <c r="C26" s="81">
        <f>96+104.25</f>
        <v>200.25</v>
      </c>
      <c r="D26" s="81"/>
      <c r="E26" s="81"/>
      <c r="F26" s="81">
        <f aca="true" t="shared" si="2" ref="F26:F32">C26</f>
        <v>200.25</v>
      </c>
      <c r="G26" s="81"/>
      <c r="H26" s="81"/>
      <c r="I26" s="81">
        <f aca="true" t="shared" si="3" ref="I26:I32">F26</f>
        <v>200.25</v>
      </c>
      <c r="J26" s="81"/>
      <c r="K26" s="82"/>
    </row>
    <row r="27" spans="1:11" ht="15.75">
      <c r="A27" s="67" t="s">
        <v>105</v>
      </c>
      <c r="B27" s="80"/>
      <c r="C27" s="83"/>
      <c r="D27" s="83"/>
      <c r="E27" s="83"/>
      <c r="F27" s="83"/>
      <c r="G27" s="83"/>
      <c r="H27" s="83"/>
      <c r="I27" s="83"/>
      <c r="J27" s="83"/>
      <c r="K27" s="82"/>
    </row>
    <row r="28" spans="1:11" ht="15.75">
      <c r="A28" s="69" t="s">
        <v>127</v>
      </c>
      <c r="B28" s="80"/>
      <c r="C28" s="83">
        <v>60319</v>
      </c>
      <c r="D28" s="83"/>
      <c r="E28" s="81"/>
      <c r="F28" s="83">
        <f t="shared" si="2"/>
        <v>60319</v>
      </c>
      <c r="G28" s="83"/>
      <c r="H28" s="81"/>
      <c r="I28" s="83">
        <f t="shared" si="3"/>
        <v>60319</v>
      </c>
      <c r="J28" s="83"/>
      <c r="K28" s="82"/>
    </row>
    <row r="29" spans="1:11" ht="17.25" customHeight="1">
      <c r="A29" s="69" t="s">
        <v>128</v>
      </c>
      <c r="B29" s="80"/>
      <c r="C29" s="83">
        <f>4</f>
        <v>4</v>
      </c>
      <c r="D29" s="83"/>
      <c r="E29" s="81"/>
      <c r="F29" s="83">
        <f t="shared" si="2"/>
        <v>4</v>
      </c>
      <c r="G29" s="83"/>
      <c r="H29" s="81"/>
      <c r="I29" s="83">
        <f t="shared" si="3"/>
        <v>4</v>
      </c>
      <c r="J29" s="83"/>
      <c r="K29" s="82"/>
    </row>
    <row r="30" spans="1:11" ht="17.25" customHeight="1">
      <c r="A30" s="69" t="s">
        <v>106</v>
      </c>
      <c r="B30" s="80"/>
      <c r="C30" s="83">
        <v>34</v>
      </c>
      <c r="D30" s="83"/>
      <c r="E30" s="81"/>
      <c r="F30" s="83">
        <f>C30</f>
        <v>34</v>
      </c>
      <c r="G30" s="83"/>
      <c r="H30" s="81"/>
      <c r="I30" s="83">
        <f t="shared" si="3"/>
        <v>34</v>
      </c>
      <c r="J30" s="83"/>
      <c r="K30" s="82"/>
    </row>
    <row r="31" spans="1:11" ht="16.5" customHeight="1">
      <c r="A31" s="88" t="s">
        <v>129</v>
      </c>
      <c r="B31" s="80"/>
      <c r="C31" s="83">
        <f>6738.31+3997.55</f>
        <v>10735.86</v>
      </c>
      <c r="D31" s="81"/>
      <c r="E31" s="81"/>
      <c r="F31" s="83">
        <f t="shared" si="2"/>
        <v>10735.86</v>
      </c>
      <c r="G31" s="81"/>
      <c r="H31" s="81"/>
      <c r="I31" s="83">
        <f t="shared" si="3"/>
        <v>10735.86</v>
      </c>
      <c r="J31" s="81"/>
      <c r="K31" s="82"/>
    </row>
    <row r="32" spans="1:11" ht="15.75">
      <c r="A32" s="70" t="s">
        <v>107</v>
      </c>
      <c r="B32" s="80"/>
      <c r="C32" s="83"/>
      <c r="D32" s="81"/>
      <c r="E32" s="81"/>
      <c r="F32" s="83">
        <f t="shared" si="2"/>
        <v>0</v>
      </c>
      <c r="G32" s="81"/>
      <c r="H32" s="81"/>
      <c r="I32" s="83">
        <f t="shared" si="3"/>
        <v>0</v>
      </c>
      <c r="J32" s="81"/>
      <c r="K32" s="82"/>
    </row>
    <row r="33" spans="1:11" ht="15.75">
      <c r="A33" s="71" t="s">
        <v>131</v>
      </c>
      <c r="B33" s="80"/>
      <c r="C33" s="81">
        <f>C18/C28</f>
        <v>218.8365191730632</v>
      </c>
      <c r="D33" s="81"/>
      <c r="E33" s="81"/>
      <c r="F33" s="81">
        <f>F18/F28</f>
        <v>233.49856595765846</v>
      </c>
      <c r="G33" s="81"/>
      <c r="H33" s="81"/>
      <c r="I33" s="81">
        <f>I18/I28</f>
        <v>246.34098708532966</v>
      </c>
      <c r="J33" s="81"/>
      <c r="K33" s="82"/>
    </row>
    <row r="34" spans="1:11" ht="15.75">
      <c r="A34" s="71" t="s">
        <v>150</v>
      </c>
      <c r="B34" s="80"/>
      <c r="C34" s="81">
        <f>C21/C29</f>
        <v>300000</v>
      </c>
      <c r="D34" s="81"/>
      <c r="E34" s="81"/>
      <c r="F34" s="81">
        <f>F21/F29</f>
        <v>320100</v>
      </c>
      <c r="G34" s="81"/>
      <c r="H34" s="81"/>
      <c r="I34" s="81">
        <f>I21/I29</f>
        <v>337705.5</v>
      </c>
      <c r="J34" s="81"/>
      <c r="K34" s="82"/>
    </row>
    <row r="35" spans="1:11" ht="15.75">
      <c r="A35" s="71" t="s">
        <v>151</v>
      </c>
      <c r="B35" s="80"/>
      <c r="C35" s="81">
        <f>C22/C30</f>
        <v>70588.23529411765</v>
      </c>
      <c r="D35" s="81"/>
      <c r="E35" s="81"/>
      <c r="F35" s="81">
        <f>F22/F30</f>
        <v>75317.64705882352</v>
      </c>
      <c r="G35" s="81"/>
      <c r="H35" s="81"/>
      <c r="I35" s="81">
        <f>I22/I30</f>
        <v>79460.11764705883</v>
      </c>
      <c r="J35" s="81"/>
      <c r="K35" s="82"/>
    </row>
    <row r="36" spans="1:11" ht="34.5">
      <c r="A36" s="71" t="s">
        <v>130</v>
      </c>
      <c r="B36" s="80"/>
      <c r="C36" s="81">
        <f>C20/C31</f>
        <v>299.5568124025462</v>
      </c>
      <c r="D36" s="81"/>
      <c r="E36" s="81"/>
      <c r="F36" s="81">
        <f>F20/F31</f>
        <v>324.12047101955505</v>
      </c>
      <c r="G36" s="81"/>
      <c r="H36" s="81"/>
      <c r="I36" s="81">
        <f>I20/I31</f>
        <v>343.24357880970877</v>
      </c>
      <c r="J36" s="81"/>
      <c r="K36" s="82"/>
    </row>
    <row r="37" spans="1:11" ht="15.75">
      <c r="A37" s="72" t="s">
        <v>108</v>
      </c>
      <c r="B37" s="80"/>
      <c r="C37" s="83"/>
      <c r="D37" s="81"/>
      <c r="E37" s="81"/>
      <c r="F37" s="83"/>
      <c r="G37" s="81"/>
      <c r="H37" s="81"/>
      <c r="I37" s="83"/>
      <c r="J37" s="81"/>
      <c r="K37" s="82"/>
    </row>
    <row r="38" spans="1:11" ht="39.75" customHeight="1">
      <c r="A38" s="162" t="s">
        <v>251</v>
      </c>
      <c r="B38" s="94"/>
      <c r="C38" s="274">
        <v>43.4</v>
      </c>
      <c r="D38" s="274"/>
      <c r="E38" s="274"/>
      <c r="F38" s="274">
        <f>C38-0.1</f>
        <v>43.3</v>
      </c>
      <c r="G38" s="274"/>
      <c r="H38" s="274"/>
      <c r="I38" s="274">
        <f>F38-0.2</f>
        <v>43.099999999999994</v>
      </c>
      <c r="J38" s="96"/>
      <c r="K38" s="97"/>
    </row>
    <row r="39" spans="1:11" ht="26.25" customHeight="1" thickBot="1">
      <c r="A39" s="275" t="s">
        <v>252</v>
      </c>
      <c r="B39" s="85"/>
      <c r="C39" s="164">
        <v>52668.1</v>
      </c>
      <c r="D39" s="86"/>
      <c r="E39" s="86"/>
      <c r="F39" s="73">
        <f>C39+300</f>
        <v>52968.1</v>
      </c>
      <c r="G39" s="86"/>
      <c r="H39" s="86"/>
      <c r="I39" s="73">
        <f>C39</f>
        <v>52668.1</v>
      </c>
      <c r="J39" s="86"/>
      <c r="K39" s="87"/>
    </row>
    <row r="40" spans="1:11" ht="52.5" customHeight="1" thickBot="1">
      <c r="A40" s="406" t="str">
        <f>'Додаток 2'!A19:K19</f>
        <v>Підпрограма 2. РОЗВИТОК МЕРЕЖІ ЗАКЛАДІВ ОХОРОНИ ЗДОРОВ'Я, ЯКІ НАДАЮТЬ ВТОРИННУ (СПЕЦІАЛІЗОВАНУ) МЕДИЧНУ ДОПОМОГУ НАСЕЛЕННЮ </v>
      </c>
      <c r="B40" s="407"/>
      <c r="C40" s="407"/>
      <c r="D40" s="407"/>
      <c r="E40" s="407"/>
      <c r="F40" s="407"/>
      <c r="G40" s="407"/>
      <c r="H40" s="407"/>
      <c r="I40" s="407"/>
      <c r="J40" s="407"/>
      <c r="K40" s="408"/>
    </row>
    <row r="41" spans="1:11" s="17" customFormat="1" ht="30.75" customHeight="1" thickBot="1">
      <c r="A41" s="117" t="s">
        <v>120</v>
      </c>
      <c r="B41" s="412" t="s">
        <v>17</v>
      </c>
      <c r="C41" s="412"/>
      <c r="D41" s="412"/>
      <c r="E41" s="412"/>
      <c r="F41" s="412"/>
      <c r="G41" s="412"/>
      <c r="H41" s="412"/>
      <c r="I41" s="412"/>
      <c r="J41" s="412"/>
      <c r="K41" s="413"/>
    </row>
    <row r="42" spans="1:11" ht="28.5" customHeight="1" thickBot="1">
      <c r="A42" s="150" t="s">
        <v>132</v>
      </c>
      <c r="B42" s="390" t="s">
        <v>221</v>
      </c>
      <c r="C42" s="391"/>
      <c r="D42" s="391"/>
      <c r="E42" s="391"/>
      <c r="F42" s="391"/>
      <c r="G42" s="391"/>
      <c r="H42" s="391"/>
      <c r="I42" s="391"/>
      <c r="J42" s="391"/>
      <c r="K42" s="392"/>
    </row>
    <row r="43" spans="1:12" ht="33" customHeight="1" thickBot="1">
      <c r="A43" s="76" t="s">
        <v>103</v>
      </c>
      <c r="B43" s="77">
        <f>C43+F43+I43</f>
        <v>1162120664.0470932</v>
      </c>
      <c r="C43" s="78">
        <f>D43+E43</f>
        <v>357298711.20000005</v>
      </c>
      <c r="D43" s="78">
        <f>D44+D47+D48+D49+D50+D51+D52+D46</f>
        <v>327038469.6</v>
      </c>
      <c r="E43" s="78">
        <f>SUM(E44:E58)</f>
        <v>30260241.6</v>
      </c>
      <c r="F43" s="78">
        <f>G43+H43</f>
        <v>388671379.3548</v>
      </c>
      <c r="G43" s="78">
        <f>G44+G47+G48+G49+G50+G51+G52+G46</f>
        <v>356079634.80719995</v>
      </c>
      <c r="H43" s="78">
        <f>SUM(H44:H58)</f>
        <v>32591744.547600005</v>
      </c>
      <c r="I43" s="78">
        <f>J43+K43</f>
        <v>416150573.4922932</v>
      </c>
      <c r="J43" s="78">
        <f>J44+J47+J48+J49+J50+J51+J52+J46</f>
        <v>381509764.2795768</v>
      </c>
      <c r="K43" s="78">
        <f>SUM(K44:K58)</f>
        <v>34640809.2127164</v>
      </c>
      <c r="L43" s="114">
        <f>B43-'Додаток 2'!G33*1000</f>
        <v>0</v>
      </c>
    </row>
    <row r="44" spans="1:11" ht="31.5">
      <c r="A44" s="74" t="s">
        <v>136</v>
      </c>
      <c r="B44" s="75"/>
      <c r="C44" s="101">
        <f>E44+D44</f>
        <v>33588570</v>
      </c>
      <c r="D44" s="101">
        <f>('Додаток 2'!H20+'Додаток 2'!H22)*1000</f>
        <v>33004848</v>
      </c>
      <c r="E44" s="101">
        <f>'Додаток 2'!H21*1000</f>
        <v>583722</v>
      </c>
      <c r="F44" s="101">
        <f>G44+H44</f>
        <v>35839004.19</v>
      </c>
      <c r="G44" s="101">
        <f>D44*1.067</f>
        <v>35216172.816</v>
      </c>
      <c r="H44" s="101">
        <f>E44*1.067</f>
        <v>622831.374</v>
      </c>
      <c r="I44" s="101">
        <f>J44+K44</f>
        <v>37810149.420449995</v>
      </c>
      <c r="J44" s="101">
        <f>G44*1.055</f>
        <v>37153062.320879996</v>
      </c>
      <c r="K44" s="102">
        <f>H44*1.055</f>
        <v>657087.09957</v>
      </c>
    </row>
    <row r="45" spans="1:11" ht="31.5">
      <c r="A45" s="64" t="s">
        <v>137</v>
      </c>
      <c r="B45" s="4"/>
      <c r="C45" s="6">
        <f>E45+D45</f>
        <v>19895400</v>
      </c>
      <c r="D45" s="6">
        <f>'Додаток 2'!H22*1000</f>
        <v>19895400</v>
      </c>
      <c r="E45" s="6"/>
      <c r="F45" s="6">
        <f>G45+H45</f>
        <v>21228391.8</v>
      </c>
      <c r="G45" s="6">
        <f>D45*1.067</f>
        <v>21228391.8</v>
      </c>
      <c r="H45" s="6"/>
      <c r="I45" s="6">
        <f>J45+K45</f>
        <v>22395953.349</v>
      </c>
      <c r="J45" s="6">
        <f>G45*1.055</f>
        <v>22395953.349</v>
      </c>
      <c r="K45" s="103"/>
    </row>
    <row r="46" spans="1:11" ht="15.75">
      <c r="A46" s="64" t="s">
        <v>224</v>
      </c>
      <c r="B46" s="4"/>
      <c r="C46" s="6">
        <f>E46+D46</f>
        <v>245472</v>
      </c>
      <c r="D46" s="6">
        <f>'Додаток 2'!H23*1000</f>
        <v>245472</v>
      </c>
      <c r="E46" s="6"/>
      <c r="F46" s="6">
        <f>G46+H46</f>
        <v>261918.62399999998</v>
      </c>
      <c r="G46" s="6">
        <f>D46*1.067</f>
        <v>261918.62399999998</v>
      </c>
      <c r="H46" s="6"/>
      <c r="I46" s="6">
        <f>J46+K46</f>
        <v>276324.14832</v>
      </c>
      <c r="J46" s="6">
        <f>G46*1.055</f>
        <v>276324.14832</v>
      </c>
      <c r="K46" s="103"/>
    </row>
    <row r="47" spans="1:11" ht="15.75">
      <c r="A47" s="64" t="s">
        <v>75</v>
      </c>
      <c r="B47" s="4"/>
      <c r="C47" s="6">
        <f aca="true" t="shared" si="4" ref="C47:C52">E47+D47</f>
        <v>665400</v>
      </c>
      <c r="D47" s="6">
        <f>'Додаток 2'!H24*1000</f>
        <v>665400</v>
      </c>
      <c r="E47" s="6"/>
      <c r="F47" s="6">
        <f aca="true" t="shared" si="5" ref="F47:F52">G47+H47</f>
        <v>709981.7999999999</v>
      </c>
      <c r="G47" s="6">
        <f>D47*1.067</f>
        <v>709981.7999999999</v>
      </c>
      <c r="H47" s="6"/>
      <c r="I47" s="6">
        <f aca="true" t="shared" si="6" ref="I47:I52">J47+K47</f>
        <v>749030.7989999999</v>
      </c>
      <c r="J47" s="6">
        <f>G47*1.055</f>
        <v>749030.7989999999</v>
      </c>
      <c r="K47" s="103"/>
    </row>
    <row r="48" spans="1:11" ht="31.5" customHeight="1">
      <c r="A48" s="64" t="s">
        <v>69</v>
      </c>
      <c r="B48" s="4"/>
      <c r="C48" s="6">
        <f t="shared" si="4"/>
        <v>21332071.2</v>
      </c>
      <c r="D48" s="6">
        <f>'Додаток 2'!H25*1000</f>
        <v>17433636</v>
      </c>
      <c r="E48" s="6">
        <f>'Додаток 2'!H26*1000</f>
        <v>3898435.2</v>
      </c>
      <c r="F48" s="6">
        <f t="shared" si="5"/>
        <v>22761319.970399998</v>
      </c>
      <c r="G48" s="6">
        <f>D48*1.067</f>
        <v>18601689.612</v>
      </c>
      <c r="H48" s="6">
        <f>E48*1.067</f>
        <v>4159630.3584</v>
      </c>
      <c r="I48" s="6">
        <f t="shared" si="6"/>
        <v>24013192.568771996</v>
      </c>
      <c r="J48" s="6">
        <f>G48*1.055</f>
        <v>19624782.540659998</v>
      </c>
      <c r="K48" s="103">
        <f>H48*1.055</f>
        <v>4388410.028112</v>
      </c>
    </row>
    <row r="49" spans="1:11" ht="19.5" customHeight="1">
      <c r="A49" s="64" t="s">
        <v>70</v>
      </c>
      <c r="B49" s="4"/>
      <c r="C49" s="6">
        <f t="shared" si="4"/>
        <v>260637211.19999996</v>
      </c>
      <c r="D49" s="6">
        <f>('Додаток 2'!H27+'Додаток 2'!H28)*1000</f>
        <v>249520919.99999997</v>
      </c>
      <c r="E49" s="6">
        <f>'Додаток 2'!H29*1000</f>
        <v>11116291.200000001</v>
      </c>
      <c r="F49" s="6">
        <f t="shared" si="5"/>
        <v>285137109.05279994</v>
      </c>
      <c r="G49" s="6">
        <f>D49*1.094</f>
        <v>272975886.47999996</v>
      </c>
      <c r="H49" s="6">
        <f>E49*1.094</f>
        <v>12161222.572800003</v>
      </c>
      <c r="I49" s="6">
        <f t="shared" si="6"/>
        <v>306807529.3408128</v>
      </c>
      <c r="J49" s="6">
        <f>G49*1.076</f>
        <v>293722053.85248</v>
      </c>
      <c r="K49" s="103">
        <f>H49*1.076</f>
        <v>13085475.488332804</v>
      </c>
    </row>
    <row r="50" spans="1:11" ht="19.5" customHeight="1">
      <c r="A50" s="64" t="s">
        <v>49</v>
      </c>
      <c r="B50" s="4"/>
      <c r="C50" s="6">
        <f t="shared" si="4"/>
        <v>26429986.8</v>
      </c>
      <c r="D50" s="6">
        <f>'Додаток 2'!H30*1000</f>
        <v>26168193.6</v>
      </c>
      <c r="E50" s="6">
        <f>'Додаток 2'!H31*1000</f>
        <v>261793.2</v>
      </c>
      <c r="F50" s="6">
        <f t="shared" si="5"/>
        <v>28597245.717600007</v>
      </c>
      <c r="G50" s="6">
        <f>D50*1.082</f>
        <v>28313985.475200005</v>
      </c>
      <c r="H50" s="6">
        <f>E50*1.082</f>
        <v>283260.24240000005</v>
      </c>
      <c r="I50" s="6">
        <f t="shared" si="6"/>
        <v>30284483.214938402</v>
      </c>
      <c r="J50" s="6">
        <f>G50*1.059</f>
        <v>29984510.618236803</v>
      </c>
      <c r="K50" s="103">
        <f>H50*1.059</f>
        <v>299972.5967016</v>
      </c>
    </row>
    <row r="51" spans="1:11" ht="21.75" customHeight="1">
      <c r="A51" s="64" t="s">
        <v>122</v>
      </c>
      <c r="B51" s="4"/>
      <c r="C51" s="6">
        <f t="shared" si="4"/>
        <v>9600000</v>
      </c>
      <c r="D51" s="6"/>
      <c r="E51" s="104">
        <f>8000000*20%+8000000</f>
        <v>9600000</v>
      </c>
      <c r="F51" s="6">
        <f t="shared" si="5"/>
        <v>10243200</v>
      </c>
      <c r="G51" s="6"/>
      <c r="H51" s="6">
        <f>E51*1.067</f>
        <v>10243200</v>
      </c>
      <c r="I51" s="6">
        <f t="shared" si="6"/>
        <v>10806576</v>
      </c>
      <c r="J51" s="6"/>
      <c r="K51" s="103">
        <f>H51*1.055</f>
        <v>10806576</v>
      </c>
    </row>
    <row r="52" spans="1:11" ht="31.5">
      <c r="A52" s="64" t="s">
        <v>123</v>
      </c>
      <c r="B52" s="4"/>
      <c r="C52" s="6">
        <f t="shared" si="4"/>
        <v>4800000</v>
      </c>
      <c r="D52" s="6"/>
      <c r="E52" s="104">
        <f>4000000*20%+4000000</f>
        <v>4800000</v>
      </c>
      <c r="F52" s="6">
        <f t="shared" si="5"/>
        <v>5121600</v>
      </c>
      <c r="G52" s="6"/>
      <c r="H52" s="6">
        <f>E52*1.067</f>
        <v>5121600</v>
      </c>
      <c r="I52" s="6">
        <f t="shared" si="6"/>
        <v>5403288</v>
      </c>
      <c r="J52" s="6"/>
      <c r="K52" s="103">
        <f>H52*1.055</f>
        <v>5403288</v>
      </c>
    </row>
    <row r="53" spans="1:11" ht="15.75">
      <c r="A53" s="66" t="s">
        <v>104</v>
      </c>
      <c r="B53" s="4"/>
      <c r="C53" s="4"/>
      <c r="D53" s="4"/>
      <c r="E53" s="4"/>
      <c r="F53" s="4"/>
      <c r="G53" s="4"/>
      <c r="H53" s="4"/>
      <c r="I53" s="4"/>
      <c r="J53" s="4"/>
      <c r="K53" s="65"/>
    </row>
    <row r="54" spans="1:11" ht="15.75">
      <c r="A54" s="67" t="s">
        <v>124</v>
      </c>
      <c r="B54" s="80"/>
      <c r="C54" s="81"/>
      <c r="D54" s="81"/>
      <c r="E54" s="81"/>
      <c r="F54" s="81"/>
      <c r="G54" s="81"/>
      <c r="H54" s="81"/>
      <c r="I54" s="81"/>
      <c r="J54" s="81"/>
      <c r="K54" s="82"/>
    </row>
    <row r="55" spans="1:11" ht="15.75">
      <c r="A55" s="100" t="s">
        <v>135</v>
      </c>
      <c r="B55" s="80"/>
      <c r="C55" s="83">
        <v>64</v>
      </c>
      <c r="D55" s="81"/>
      <c r="E55" s="81"/>
      <c r="F55" s="83">
        <f>C55</f>
        <v>64</v>
      </c>
      <c r="G55" s="81"/>
      <c r="H55" s="81"/>
      <c r="I55" s="83">
        <f>F55</f>
        <v>64</v>
      </c>
      <c r="J55" s="81"/>
      <c r="K55" s="82"/>
    </row>
    <row r="56" spans="1:11" ht="15.75">
      <c r="A56" s="100" t="s">
        <v>241</v>
      </c>
      <c r="B56" s="80"/>
      <c r="C56" s="81">
        <f>885+14</f>
        <v>899</v>
      </c>
      <c r="D56" s="81"/>
      <c r="E56" s="81"/>
      <c r="F56" s="83">
        <f>C56</f>
        <v>899</v>
      </c>
      <c r="G56" s="81"/>
      <c r="H56" s="81"/>
      <c r="I56" s="83">
        <f>F56</f>
        <v>899</v>
      </c>
      <c r="J56" s="81"/>
      <c r="K56" s="82"/>
    </row>
    <row r="57" spans="1:11" ht="15.75">
      <c r="A57" s="68" t="s">
        <v>125</v>
      </c>
      <c r="B57" s="80"/>
      <c r="C57" s="83">
        <v>4</v>
      </c>
      <c r="D57" s="83"/>
      <c r="E57" s="83"/>
      <c r="F57" s="83">
        <f>C57</f>
        <v>4</v>
      </c>
      <c r="G57" s="83"/>
      <c r="H57" s="83"/>
      <c r="I57" s="83">
        <f>F57</f>
        <v>4</v>
      </c>
      <c r="J57" s="81"/>
      <c r="K57" s="82"/>
    </row>
    <row r="58" spans="1:11" ht="15.75">
      <c r="A58" s="68" t="s">
        <v>126</v>
      </c>
      <c r="B58" s="80"/>
      <c r="C58" s="81">
        <v>554.75</v>
      </c>
      <c r="D58" s="81"/>
      <c r="E58" s="81"/>
      <c r="F58" s="81">
        <f>C58</f>
        <v>554.75</v>
      </c>
      <c r="G58" s="81"/>
      <c r="H58" s="81"/>
      <c r="I58" s="81">
        <f>F58</f>
        <v>554.75</v>
      </c>
      <c r="J58" s="81"/>
      <c r="K58" s="82"/>
    </row>
    <row r="59" spans="1:11" ht="15.75">
      <c r="A59" s="67" t="s">
        <v>105</v>
      </c>
      <c r="B59" s="80"/>
      <c r="C59" s="83"/>
      <c r="D59" s="83"/>
      <c r="E59" s="83"/>
      <c r="F59" s="83"/>
      <c r="G59" s="83"/>
      <c r="H59" s="83"/>
      <c r="I59" s="83"/>
      <c r="J59" s="83"/>
      <c r="K59" s="82"/>
    </row>
    <row r="60" spans="1:11" ht="15.75">
      <c r="A60" s="69" t="s">
        <v>133</v>
      </c>
      <c r="B60" s="80"/>
      <c r="C60" s="83">
        <f>1576</f>
        <v>1576</v>
      </c>
      <c r="D60" s="83"/>
      <c r="E60" s="81"/>
      <c r="F60" s="83">
        <f>C60-10</f>
        <v>1566</v>
      </c>
      <c r="G60" s="83"/>
      <c r="H60" s="81"/>
      <c r="I60" s="83">
        <f>F60-10</f>
        <v>1556</v>
      </c>
      <c r="J60" s="83"/>
      <c r="K60" s="82"/>
    </row>
    <row r="61" spans="1:11" ht="15.75">
      <c r="A61" s="69" t="s">
        <v>128</v>
      </c>
      <c r="B61" s="80"/>
      <c r="C61" s="165">
        <v>9</v>
      </c>
      <c r="D61" s="83"/>
      <c r="E61" s="81"/>
      <c r="F61" s="83">
        <f>C61</f>
        <v>9</v>
      </c>
      <c r="G61" s="83"/>
      <c r="H61" s="81"/>
      <c r="I61" s="83">
        <f>F61</f>
        <v>9</v>
      </c>
      <c r="J61" s="83"/>
      <c r="K61" s="82"/>
    </row>
    <row r="62" spans="1:11" ht="15.75">
      <c r="A62" s="69" t="s">
        <v>106</v>
      </c>
      <c r="B62" s="80"/>
      <c r="C62" s="83">
        <v>4</v>
      </c>
      <c r="D62" s="83"/>
      <c r="E62" s="81"/>
      <c r="F62" s="83">
        <f>C62</f>
        <v>4</v>
      </c>
      <c r="G62" s="83"/>
      <c r="H62" s="81"/>
      <c r="I62" s="83">
        <f>F62</f>
        <v>4</v>
      </c>
      <c r="J62" s="83"/>
      <c r="K62" s="82"/>
    </row>
    <row r="63" spans="1:11" ht="18.75">
      <c r="A63" s="69" t="s">
        <v>129</v>
      </c>
      <c r="B63" s="80"/>
      <c r="C63" s="83">
        <v>125075.22</v>
      </c>
      <c r="D63" s="81"/>
      <c r="E63" s="81"/>
      <c r="F63" s="83">
        <f>C63</f>
        <v>125075.22</v>
      </c>
      <c r="G63" s="81"/>
      <c r="H63" s="81"/>
      <c r="I63" s="83">
        <f>F63</f>
        <v>125075.22</v>
      </c>
      <c r="J63" s="81"/>
      <c r="K63" s="82"/>
    </row>
    <row r="64" spans="1:11" ht="15.75">
      <c r="A64" s="70" t="s">
        <v>107</v>
      </c>
      <c r="B64" s="80"/>
      <c r="C64" s="83"/>
      <c r="D64" s="81"/>
      <c r="E64" s="81"/>
      <c r="F64" s="83">
        <f>C64</f>
        <v>0</v>
      </c>
      <c r="G64" s="81"/>
      <c r="H64" s="81"/>
      <c r="I64" s="83">
        <f>F64</f>
        <v>0</v>
      </c>
      <c r="J64" s="81"/>
      <c r="K64" s="82"/>
    </row>
    <row r="65" spans="1:11" ht="35.25" customHeight="1">
      <c r="A65" s="100" t="s">
        <v>141</v>
      </c>
      <c r="B65" s="80"/>
      <c r="C65" s="83">
        <f>C45/C55</f>
        <v>310865.625</v>
      </c>
      <c r="D65" s="81"/>
      <c r="E65" s="81"/>
      <c r="F65" s="83"/>
      <c r="G65" s="81"/>
      <c r="H65" s="81"/>
      <c r="I65" s="83"/>
      <c r="J65" s="81"/>
      <c r="K65" s="82"/>
    </row>
    <row r="66" spans="1:11" ht="15" customHeight="1">
      <c r="A66" s="71" t="s">
        <v>242</v>
      </c>
      <c r="B66" s="80"/>
      <c r="C66" s="83">
        <f>C46/C56</f>
        <v>273.0500556173526</v>
      </c>
      <c r="D66" s="81"/>
      <c r="E66" s="81"/>
      <c r="F66" s="83">
        <f>F46/F56</f>
        <v>291.3444093437152</v>
      </c>
      <c r="G66" s="81"/>
      <c r="H66" s="81"/>
      <c r="I66" s="83">
        <f>I46/I56</f>
        <v>307.36835185761953</v>
      </c>
      <c r="J66" s="81"/>
      <c r="K66" s="82"/>
    </row>
    <row r="67" spans="1:11" ht="31.5">
      <c r="A67" s="71" t="s">
        <v>134</v>
      </c>
      <c r="B67" s="80"/>
      <c r="C67" s="81">
        <f>C47/C60</f>
        <v>422.20812182741116</v>
      </c>
      <c r="D67" s="81"/>
      <c r="E67" s="81"/>
      <c r="F67" s="81">
        <f>F47/F60</f>
        <v>453.37279693486585</v>
      </c>
      <c r="G67" s="81"/>
      <c r="H67" s="81"/>
      <c r="I67" s="81">
        <f>I47/I60</f>
        <v>481.38226156812334</v>
      </c>
      <c r="J67" s="81"/>
      <c r="K67" s="82"/>
    </row>
    <row r="68" spans="1:11" ht="15.75">
      <c r="A68" s="71" t="s">
        <v>245</v>
      </c>
      <c r="B68" s="80"/>
      <c r="C68" s="81">
        <v>16.25</v>
      </c>
      <c r="D68" s="81"/>
      <c r="E68" s="81"/>
      <c r="F68" s="81">
        <f>C68*1.067</f>
        <v>17.338749999999997</v>
      </c>
      <c r="G68" s="81"/>
      <c r="H68" s="81"/>
      <c r="I68" s="81">
        <f>F68*1.055</f>
        <v>18.292381249999995</v>
      </c>
      <c r="J68" s="81"/>
      <c r="K68" s="82"/>
    </row>
    <row r="69" spans="1:11" ht="15.75">
      <c r="A69" s="71" t="s">
        <v>150</v>
      </c>
      <c r="B69" s="80"/>
      <c r="C69" s="81">
        <f>C51/C61</f>
        <v>1066666.6666666667</v>
      </c>
      <c r="D69" s="81"/>
      <c r="E69" s="81"/>
      <c r="F69" s="81">
        <f>F51/F61</f>
        <v>1138133.3333333333</v>
      </c>
      <c r="G69" s="81"/>
      <c r="H69" s="81"/>
      <c r="I69" s="81">
        <f>I51/I61</f>
        <v>1200730.6666666667</v>
      </c>
      <c r="J69" s="81"/>
      <c r="K69" s="82"/>
    </row>
    <row r="70" spans="1:11" ht="15.75">
      <c r="A70" s="71" t="s">
        <v>151</v>
      </c>
      <c r="B70" s="80"/>
      <c r="C70" s="81">
        <f>C52/C62</f>
        <v>1200000</v>
      </c>
      <c r="D70" s="81"/>
      <c r="E70" s="81"/>
      <c r="F70" s="81">
        <f>F52/F62</f>
        <v>1280400</v>
      </c>
      <c r="G70" s="81"/>
      <c r="H70" s="81"/>
      <c r="I70" s="81">
        <f>I52/I62</f>
        <v>1350822</v>
      </c>
      <c r="J70" s="81"/>
      <c r="K70" s="82"/>
    </row>
    <row r="71" spans="1:11" ht="34.5">
      <c r="A71" s="71" t="s">
        <v>130</v>
      </c>
      <c r="B71" s="80"/>
      <c r="C71" s="81">
        <f>C50/C63</f>
        <v>211.31273484867745</v>
      </c>
      <c r="D71" s="81"/>
      <c r="E71" s="81"/>
      <c r="F71" s="81">
        <f>F48/F63</f>
        <v>181.98105084604288</v>
      </c>
      <c r="G71" s="81"/>
      <c r="H71" s="81"/>
      <c r="I71" s="81">
        <f>I48/I63</f>
        <v>191.99000864257522</v>
      </c>
      <c r="J71" s="81"/>
      <c r="K71" s="82"/>
    </row>
    <row r="72" spans="1:11" ht="15.75">
      <c r="A72" s="72" t="s">
        <v>108</v>
      </c>
      <c r="B72" s="80"/>
      <c r="C72" s="83"/>
      <c r="D72" s="81"/>
      <c r="E72" s="81"/>
      <c r="F72" s="83"/>
      <c r="G72" s="81"/>
      <c r="H72" s="81"/>
      <c r="I72" s="83"/>
      <c r="J72" s="81"/>
      <c r="K72" s="82"/>
    </row>
    <row r="73" spans="1:11" ht="23.25" customHeight="1">
      <c r="A73" s="100" t="s">
        <v>246</v>
      </c>
      <c r="B73" s="94"/>
      <c r="C73" s="279">
        <v>40099</v>
      </c>
      <c r="D73" s="96"/>
      <c r="E73" s="96"/>
      <c r="F73" s="278">
        <f>C73+100</f>
        <v>40199</v>
      </c>
      <c r="G73" s="96"/>
      <c r="H73" s="96"/>
      <c r="I73" s="278">
        <f>F73+100</f>
        <v>40299</v>
      </c>
      <c r="J73" s="96"/>
      <c r="K73" s="97"/>
    </row>
    <row r="74" spans="1:11" ht="21.75" customHeight="1">
      <c r="A74" s="100" t="s">
        <v>247</v>
      </c>
      <c r="B74" s="94"/>
      <c r="C74" s="280">
        <v>317676</v>
      </c>
      <c r="D74" s="96"/>
      <c r="E74" s="96"/>
      <c r="F74" s="95">
        <f>C74+200</f>
        <v>317876</v>
      </c>
      <c r="G74" s="96"/>
      <c r="H74" s="96"/>
      <c r="I74" s="95">
        <f>F74+200</f>
        <v>318076</v>
      </c>
      <c r="J74" s="96"/>
      <c r="K74" s="97"/>
    </row>
    <row r="75" spans="1:11" ht="24" customHeight="1">
      <c r="A75" s="166" t="s">
        <v>142</v>
      </c>
      <c r="B75" s="80"/>
      <c r="C75" s="167">
        <v>0.01</v>
      </c>
      <c r="D75" s="81"/>
      <c r="E75" s="81"/>
      <c r="F75" s="98">
        <f>C75</f>
        <v>0.01</v>
      </c>
      <c r="G75" s="81"/>
      <c r="H75" s="81"/>
      <c r="I75" s="98">
        <f>F75</f>
        <v>0.01</v>
      </c>
      <c r="J75" s="81"/>
      <c r="K75" s="99"/>
    </row>
    <row r="76" spans="1:11" ht="30" customHeight="1" thickBot="1">
      <c r="A76" s="396" t="str">
        <f>'Додаток 2'!A37:K37</f>
        <v>Підпрограма 3. ОХОРОНА МАТЕРИНСТВА ТА ДИТИНСТВА</v>
      </c>
      <c r="B76" s="397"/>
      <c r="C76" s="397"/>
      <c r="D76" s="397"/>
      <c r="E76" s="397"/>
      <c r="F76" s="397"/>
      <c r="G76" s="397"/>
      <c r="H76" s="397"/>
      <c r="I76" s="397"/>
      <c r="J76" s="397"/>
      <c r="K76" s="398"/>
    </row>
    <row r="77" spans="1:11" ht="33" customHeight="1" thickBot="1">
      <c r="A77" s="109" t="s">
        <v>120</v>
      </c>
      <c r="B77" s="399" t="s">
        <v>17</v>
      </c>
      <c r="C77" s="399"/>
      <c r="D77" s="399"/>
      <c r="E77" s="399"/>
      <c r="F77" s="399"/>
      <c r="G77" s="399"/>
      <c r="H77" s="399"/>
      <c r="I77" s="399"/>
      <c r="J77" s="399"/>
      <c r="K77" s="400"/>
    </row>
    <row r="78" spans="1:11" ht="27" customHeight="1" thickBot="1">
      <c r="A78" s="150" t="s">
        <v>140</v>
      </c>
      <c r="B78" s="390" t="s">
        <v>206</v>
      </c>
      <c r="C78" s="391"/>
      <c r="D78" s="391"/>
      <c r="E78" s="391"/>
      <c r="F78" s="391"/>
      <c r="G78" s="391"/>
      <c r="H78" s="391"/>
      <c r="I78" s="391"/>
      <c r="J78" s="391"/>
      <c r="K78" s="392"/>
    </row>
    <row r="79" spans="1:12" ht="22.5" customHeight="1" thickBot="1">
      <c r="A79" s="76" t="s">
        <v>103</v>
      </c>
      <c r="B79" s="77">
        <f>C79+F79+I79</f>
        <v>151498904.8167696</v>
      </c>
      <c r="C79" s="78">
        <f>D79+E79</f>
        <v>46536739.2</v>
      </c>
      <c r="D79" s="78">
        <f>D80+D82+D83+D84+D85+D86+D81</f>
        <v>45291859.2</v>
      </c>
      <c r="E79" s="78">
        <f>E80+E82+E83+E84+E85+E86</f>
        <v>1244880</v>
      </c>
      <c r="F79" s="78">
        <f aca="true" t="shared" si="7" ref="F79:F86">G79+H79</f>
        <v>50673652.57440001</v>
      </c>
      <c r="G79" s="78">
        <f>G80+G82+G83+G84+G85+G86+G81</f>
        <v>49344755.054400004</v>
      </c>
      <c r="H79" s="78">
        <f>H80+H82+H83+H84+H85+H86</f>
        <v>1328897.52</v>
      </c>
      <c r="I79" s="78">
        <f aca="true" t="shared" si="8" ref="I79:I86">J79+K79</f>
        <v>54288513.0423696</v>
      </c>
      <c r="J79" s="78">
        <f>J80+J82+J83+J84+J85+J86+J81</f>
        <v>52886087.6192496</v>
      </c>
      <c r="K79" s="79">
        <f>K80+K82+K83+K84+K85+K86</f>
        <v>1402425.42312</v>
      </c>
      <c r="L79" s="8">
        <f>B79-'Додаток 2'!G48*1000</f>
        <v>0</v>
      </c>
    </row>
    <row r="80" spans="1:11" ht="39" customHeight="1">
      <c r="A80" s="74" t="s">
        <v>77</v>
      </c>
      <c r="B80" s="75"/>
      <c r="C80" s="101">
        <f aca="true" t="shared" si="9" ref="C80:C86">E80+D80</f>
        <v>2971932</v>
      </c>
      <c r="D80" s="101">
        <f>'Додаток 2'!H38*1000</f>
        <v>2971932</v>
      </c>
      <c r="E80" s="101"/>
      <c r="F80" s="101">
        <f t="shared" si="7"/>
        <v>3171051.4439999997</v>
      </c>
      <c r="G80" s="101">
        <f>D80*1.067</f>
        <v>3171051.4439999997</v>
      </c>
      <c r="H80" s="101"/>
      <c r="I80" s="101">
        <f t="shared" si="8"/>
        <v>3345459.2734199995</v>
      </c>
      <c r="J80" s="101">
        <f>G80*1.055</f>
        <v>3345459.2734199995</v>
      </c>
      <c r="K80" s="101"/>
    </row>
    <row r="81" spans="1:11" ht="21.75" customHeight="1">
      <c r="A81" s="74" t="s">
        <v>243</v>
      </c>
      <c r="B81" s="75"/>
      <c r="C81" s="6">
        <f t="shared" si="9"/>
        <v>19308</v>
      </c>
      <c r="D81" s="6">
        <f>'Додаток 2'!H39*1000</f>
        <v>19308</v>
      </c>
      <c r="E81" s="6"/>
      <c r="F81" s="6">
        <f t="shared" si="7"/>
        <v>20601.636</v>
      </c>
      <c r="G81" s="6">
        <f>D81*1.067</f>
        <v>20601.636</v>
      </c>
      <c r="H81" s="6"/>
      <c r="I81" s="6">
        <f t="shared" si="8"/>
        <v>21734.725979999996</v>
      </c>
      <c r="J81" s="6">
        <f>G81*1.055</f>
        <v>21734.725979999996</v>
      </c>
      <c r="K81" s="6"/>
    </row>
    <row r="82" spans="1:11" ht="39" customHeight="1">
      <c r="A82" s="64" t="s">
        <v>69</v>
      </c>
      <c r="B82" s="4"/>
      <c r="C82" s="6">
        <f t="shared" si="9"/>
        <v>2540879.9999999995</v>
      </c>
      <c r="D82" s="6">
        <f>'Додаток 2'!H40*1000</f>
        <v>2522879.9999999995</v>
      </c>
      <c r="E82" s="6">
        <f>'Додаток 2'!H41*1000</f>
        <v>18000</v>
      </c>
      <c r="F82" s="6">
        <f t="shared" si="7"/>
        <v>2711118.9599999995</v>
      </c>
      <c r="G82" s="6">
        <f>D82*1.067</f>
        <v>2691912.9599999995</v>
      </c>
      <c r="H82" s="101">
        <f>E82*1.067</f>
        <v>19206</v>
      </c>
      <c r="I82" s="6">
        <f t="shared" si="8"/>
        <v>2860230.5027999994</v>
      </c>
      <c r="J82" s="6">
        <f>G82*1.055</f>
        <v>2839968.1727999994</v>
      </c>
      <c r="K82" s="102">
        <f>H82*1.055</f>
        <v>20262.329999999998</v>
      </c>
    </row>
    <row r="83" spans="1:11" ht="23.25" customHeight="1">
      <c r="A83" s="64" t="s">
        <v>70</v>
      </c>
      <c r="B83" s="4"/>
      <c r="C83" s="6">
        <f t="shared" si="9"/>
        <v>35156880</v>
      </c>
      <c r="D83" s="6">
        <f>('Додаток 2'!H42+'Додаток 2'!H44)*1000</f>
        <v>35139600</v>
      </c>
      <c r="E83" s="6">
        <f>'Додаток 2'!H43*1000</f>
        <v>17280</v>
      </c>
      <c r="F83" s="6">
        <f t="shared" si="7"/>
        <v>38461626.720000006</v>
      </c>
      <c r="G83" s="6">
        <f>D83*1.094</f>
        <v>38442722.400000006</v>
      </c>
      <c r="H83" s="6">
        <f>E83*1.094</f>
        <v>18904.32</v>
      </c>
      <c r="I83" s="6">
        <f t="shared" si="8"/>
        <v>41384710.35072001</v>
      </c>
      <c r="J83" s="6">
        <f>G83*1.076</f>
        <v>41364369.30240001</v>
      </c>
      <c r="K83" s="103">
        <f>H83*1.076</f>
        <v>20341.04832</v>
      </c>
    </row>
    <row r="84" spans="1:11" ht="23.25" customHeight="1">
      <c r="A84" s="64" t="s">
        <v>49</v>
      </c>
      <c r="B84" s="4"/>
      <c r="C84" s="6">
        <f t="shared" si="9"/>
        <v>4647739.199999999</v>
      </c>
      <c r="D84" s="6">
        <f>'Додаток 2'!H45*1000</f>
        <v>4638139.199999999</v>
      </c>
      <c r="E84" s="6">
        <f>'Додаток 2'!H46*1000</f>
        <v>9600</v>
      </c>
      <c r="F84" s="6">
        <f t="shared" si="7"/>
        <v>5028853.8144</v>
      </c>
      <c r="G84" s="6">
        <f>D84*1.082</f>
        <v>5018466.614399999</v>
      </c>
      <c r="H84" s="6">
        <f>E84*1.082</f>
        <v>10387.2</v>
      </c>
      <c r="I84" s="6">
        <f t="shared" si="8"/>
        <v>5325556.189449599</v>
      </c>
      <c r="J84" s="6">
        <f>G84*1.059</f>
        <v>5314556.144649599</v>
      </c>
      <c r="K84" s="103">
        <f>H84*1.059</f>
        <v>11000.0448</v>
      </c>
    </row>
    <row r="85" spans="1:11" ht="15.75">
      <c r="A85" s="64" t="s">
        <v>122</v>
      </c>
      <c r="B85" s="4"/>
      <c r="C85" s="6">
        <f t="shared" si="9"/>
        <v>588600</v>
      </c>
      <c r="D85" s="6"/>
      <c r="E85" s="6">
        <f>490500*20%+490500</f>
        <v>588600</v>
      </c>
      <c r="F85" s="6">
        <f t="shared" si="7"/>
        <v>628036.2</v>
      </c>
      <c r="G85" s="6"/>
      <c r="H85" s="6">
        <f>E85*1.067</f>
        <v>628036.2</v>
      </c>
      <c r="I85" s="6">
        <f t="shared" si="8"/>
        <v>662578.1909999999</v>
      </c>
      <c r="J85" s="6"/>
      <c r="K85" s="103">
        <f>H85*1.055</f>
        <v>662578.1909999999</v>
      </c>
    </row>
    <row r="86" spans="1:11" ht="31.5">
      <c r="A86" s="64" t="s">
        <v>123</v>
      </c>
      <c r="B86" s="4"/>
      <c r="C86" s="6">
        <f t="shared" si="9"/>
        <v>611400</v>
      </c>
      <c r="D86" s="6"/>
      <c r="E86" s="6">
        <f>509500*20%+509500</f>
        <v>611400</v>
      </c>
      <c r="F86" s="6">
        <f t="shared" si="7"/>
        <v>652363.7999999999</v>
      </c>
      <c r="G86" s="6"/>
      <c r="H86" s="6">
        <f>E86*1.067</f>
        <v>652363.7999999999</v>
      </c>
      <c r="I86" s="6">
        <f t="shared" si="8"/>
        <v>688243.8089999999</v>
      </c>
      <c r="J86" s="6"/>
      <c r="K86" s="103">
        <f>H86*1.055</f>
        <v>688243.8089999999</v>
      </c>
    </row>
    <row r="87" spans="1:11" ht="15.75">
      <c r="A87" s="66" t="s">
        <v>104</v>
      </c>
      <c r="B87" s="4"/>
      <c r="C87" s="4"/>
      <c r="D87" s="4"/>
      <c r="E87" s="4"/>
      <c r="F87" s="4"/>
      <c r="G87" s="4"/>
      <c r="H87" s="4"/>
      <c r="I87" s="4"/>
      <c r="J87" s="4"/>
      <c r="K87" s="65"/>
    </row>
    <row r="88" spans="1:11" ht="15.75">
      <c r="A88" s="67" t="s">
        <v>124</v>
      </c>
      <c r="B88" s="80"/>
      <c r="C88" s="81"/>
      <c r="D88" s="81"/>
      <c r="E88" s="81"/>
      <c r="F88" s="81"/>
      <c r="G88" s="81"/>
      <c r="H88" s="81"/>
      <c r="I88" s="81"/>
      <c r="J88" s="81"/>
      <c r="K88" s="82"/>
    </row>
    <row r="89" spans="1:11" ht="15.75">
      <c r="A89" s="68" t="s">
        <v>125</v>
      </c>
      <c r="B89" s="80"/>
      <c r="C89" s="83">
        <v>1</v>
      </c>
      <c r="D89" s="83"/>
      <c r="E89" s="83"/>
      <c r="F89" s="83">
        <f>C89</f>
        <v>1</v>
      </c>
      <c r="G89" s="83"/>
      <c r="H89" s="83"/>
      <c r="I89" s="83">
        <f>F89</f>
        <v>1</v>
      </c>
      <c r="J89" s="81"/>
      <c r="K89" s="82"/>
    </row>
    <row r="90" spans="1:11" ht="15.75">
      <c r="A90" s="68" t="s">
        <v>126</v>
      </c>
      <c r="B90" s="80"/>
      <c r="C90" s="81">
        <v>86.75</v>
      </c>
      <c r="D90" s="81"/>
      <c r="E90" s="81"/>
      <c r="F90" s="81">
        <f>C90</f>
        <v>86.75</v>
      </c>
      <c r="G90" s="81"/>
      <c r="H90" s="81"/>
      <c r="I90" s="81">
        <f>F90</f>
        <v>86.75</v>
      </c>
      <c r="J90" s="81"/>
      <c r="K90" s="82"/>
    </row>
    <row r="91" spans="1:11" ht="15.75">
      <c r="A91" s="100" t="s">
        <v>241</v>
      </c>
      <c r="B91" s="80"/>
      <c r="C91" s="81">
        <v>30</v>
      </c>
      <c r="D91" s="81"/>
      <c r="E91" s="81"/>
      <c r="F91" s="81">
        <f>C91</f>
        <v>30</v>
      </c>
      <c r="G91" s="81"/>
      <c r="H91" s="81"/>
      <c r="I91" s="81">
        <f>F91</f>
        <v>30</v>
      </c>
      <c r="J91" s="81"/>
      <c r="K91" s="82"/>
    </row>
    <row r="92" spans="1:11" ht="15.75">
      <c r="A92" s="108" t="s">
        <v>143</v>
      </c>
      <c r="B92" s="80"/>
      <c r="C92" s="81">
        <v>165</v>
      </c>
      <c r="D92" s="81"/>
      <c r="E92" s="81"/>
      <c r="F92" s="81">
        <f>C92</f>
        <v>165</v>
      </c>
      <c r="G92" s="81"/>
      <c r="H92" s="81"/>
      <c r="I92" s="81">
        <f>F92</f>
        <v>165</v>
      </c>
      <c r="J92" s="81"/>
      <c r="K92" s="82"/>
    </row>
    <row r="93" spans="1:11" ht="15.75">
      <c r="A93" s="67" t="s">
        <v>105</v>
      </c>
      <c r="B93" s="80"/>
      <c r="C93" s="83"/>
      <c r="D93" s="83"/>
      <c r="E93" s="83"/>
      <c r="F93" s="83"/>
      <c r="G93" s="83"/>
      <c r="H93" s="83"/>
      <c r="I93" s="83"/>
      <c r="J93" s="83"/>
      <c r="K93" s="82"/>
    </row>
    <row r="94" spans="1:11" ht="15.75">
      <c r="A94" s="69" t="s">
        <v>144</v>
      </c>
      <c r="B94" s="80"/>
      <c r="C94" s="276">
        <v>3300</v>
      </c>
      <c r="D94" s="84"/>
      <c r="E94" s="84"/>
      <c r="F94" s="84">
        <f>C94+50</f>
        <v>3350</v>
      </c>
      <c r="G94" s="84"/>
      <c r="H94" s="84"/>
      <c r="I94" s="84">
        <f>F94+50</f>
        <v>3400</v>
      </c>
      <c r="J94" s="83"/>
      <c r="K94" s="82"/>
    </row>
    <row r="95" spans="1:11" ht="15.75">
      <c r="A95" s="69" t="s">
        <v>145</v>
      </c>
      <c r="B95" s="80"/>
      <c r="C95" s="84">
        <v>3316</v>
      </c>
      <c r="D95" s="84"/>
      <c r="E95" s="84"/>
      <c r="F95" s="84">
        <f>C95</f>
        <v>3316</v>
      </c>
      <c r="G95" s="84"/>
      <c r="H95" s="84"/>
      <c r="I95" s="84">
        <f>F95</f>
        <v>3316</v>
      </c>
      <c r="J95" s="83"/>
      <c r="K95" s="82"/>
    </row>
    <row r="96" spans="1:11" ht="15.75">
      <c r="A96" s="69" t="s">
        <v>146</v>
      </c>
      <c r="B96" s="80"/>
      <c r="C96" s="84">
        <v>147714</v>
      </c>
      <c r="D96" s="84"/>
      <c r="E96" s="84"/>
      <c r="F96" s="84">
        <f>C96</f>
        <v>147714</v>
      </c>
      <c r="G96" s="84"/>
      <c r="H96" s="84"/>
      <c r="I96" s="84">
        <f>F96</f>
        <v>147714</v>
      </c>
      <c r="J96" s="83"/>
      <c r="K96" s="82"/>
    </row>
    <row r="97" spans="1:11" ht="15.75">
      <c r="A97" s="69" t="s">
        <v>128</v>
      </c>
      <c r="B97" s="80"/>
      <c r="C97" s="165">
        <v>6</v>
      </c>
      <c r="D97" s="83"/>
      <c r="E97" s="81"/>
      <c r="F97" s="83">
        <f>C97</f>
        <v>6</v>
      </c>
      <c r="G97" s="83"/>
      <c r="H97" s="81"/>
      <c r="I97" s="83">
        <f>F97</f>
        <v>6</v>
      </c>
      <c r="J97" s="83"/>
      <c r="K97" s="82"/>
    </row>
    <row r="98" spans="1:11" ht="15.75">
      <c r="A98" s="69" t="s">
        <v>106</v>
      </c>
      <c r="B98" s="80"/>
      <c r="C98" s="83">
        <v>53</v>
      </c>
      <c r="D98" s="83"/>
      <c r="E98" s="81"/>
      <c r="F98" s="83">
        <f>C98</f>
        <v>53</v>
      </c>
      <c r="G98" s="83"/>
      <c r="H98" s="81"/>
      <c r="I98" s="83">
        <f>F98</f>
        <v>53</v>
      </c>
      <c r="J98" s="83"/>
      <c r="K98" s="82"/>
    </row>
    <row r="99" spans="1:11" ht="18.75">
      <c r="A99" s="69" t="s">
        <v>129</v>
      </c>
      <c r="B99" s="80"/>
      <c r="C99" s="83">
        <v>19323.039999999997</v>
      </c>
      <c r="D99" s="81"/>
      <c r="E99" s="81"/>
      <c r="F99" s="83">
        <f>C99</f>
        <v>19323.039999999997</v>
      </c>
      <c r="G99" s="81"/>
      <c r="H99" s="81"/>
      <c r="I99" s="83">
        <f>F99</f>
        <v>19323.039999999997</v>
      </c>
      <c r="J99" s="81"/>
      <c r="K99" s="82"/>
    </row>
    <row r="100" spans="1:11" ht="15.75">
      <c r="A100" s="70" t="s">
        <v>107</v>
      </c>
      <c r="B100" s="80"/>
      <c r="C100" s="83"/>
      <c r="D100" s="81"/>
      <c r="E100" s="81"/>
      <c r="F100" s="83"/>
      <c r="G100" s="81"/>
      <c r="H100" s="81"/>
      <c r="I100" s="83"/>
      <c r="J100" s="81"/>
      <c r="K100" s="82"/>
    </row>
    <row r="101" spans="1:11" ht="34.5" customHeight="1">
      <c r="A101" s="100" t="s">
        <v>147</v>
      </c>
      <c r="B101" s="80"/>
      <c r="C101" s="84">
        <v>5.1</v>
      </c>
      <c r="D101" s="81"/>
      <c r="E101" s="81"/>
      <c r="F101" s="84">
        <f>C101</f>
        <v>5.1</v>
      </c>
      <c r="G101" s="81"/>
      <c r="H101" s="81"/>
      <c r="I101" s="84">
        <f>F101</f>
        <v>5.1</v>
      </c>
      <c r="J101" s="81"/>
      <c r="K101" s="82"/>
    </row>
    <row r="102" spans="1:11" ht="15.75">
      <c r="A102" s="71" t="s">
        <v>148</v>
      </c>
      <c r="B102" s="80"/>
      <c r="C102" s="84">
        <f>C94/C90</f>
        <v>38.04034582132565</v>
      </c>
      <c r="D102" s="81"/>
      <c r="E102" s="81"/>
      <c r="F102" s="84">
        <f>F94/F90</f>
        <v>38.61671469740634</v>
      </c>
      <c r="G102" s="81"/>
      <c r="H102" s="81"/>
      <c r="I102" s="84">
        <f>I94/I90</f>
        <v>39.19308357348703</v>
      </c>
      <c r="J102" s="81"/>
      <c r="K102" s="82"/>
    </row>
    <row r="103" spans="1:11" ht="15.75">
      <c r="A103" s="71" t="s">
        <v>242</v>
      </c>
      <c r="B103" s="80"/>
      <c r="C103" s="83">
        <f>C81/C91</f>
        <v>643.6</v>
      </c>
      <c r="D103" s="81"/>
      <c r="E103" s="81"/>
      <c r="F103" s="83">
        <f>F81/F91</f>
        <v>686.7212</v>
      </c>
      <c r="G103" s="81"/>
      <c r="H103" s="81"/>
      <c r="I103" s="83">
        <f>I81/I91</f>
        <v>724.4908659999999</v>
      </c>
      <c r="J103" s="81"/>
      <c r="K103" s="82"/>
    </row>
    <row r="104" spans="1:11" ht="15.75">
      <c r="A104" s="71" t="s">
        <v>150</v>
      </c>
      <c r="B104" s="80"/>
      <c r="C104" s="81">
        <f>C85/C97</f>
        <v>98100</v>
      </c>
      <c r="D104" s="81"/>
      <c r="E104" s="81"/>
      <c r="F104" s="81">
        <f>F85/F97</f>
        <v>104672.7</v>
      </c>
      <c r="G104" s="81"/>
      <c r="H104" s="81"/>
      <c r="I104" s="81">
        <f>I85/I97</f>
        <v>110429.69849999998</v>
      </c>
      <c r="J104" s="81"/>
      <c r="K104" s="82"/>
    </row>
    <row r="105" spans="1:11" ht="15.75">
      <c r="A105" s="71" t="s">
        <v>151</v>
      </c>
      <c r="B105" s="80"/>
      <c r="C105" s="81">
        <f>C86/C98</f>
        <v>11535.849056603774</v>
      </c>
      <c r="D105" s="81"/>
      <c r="E105" s="81"/>
      <c r="F105" s="81">
        <f>F86/F98</f>
        <v>12308.750943396226</v>
      </c>
      <c r="G105" s="81"/>
      <c r="H105" s="81"/>
      <c r="I105" s="81">
        <f>I86/I98</f>
        <v>12985.732245283018</v>
      </c>
      <c r="J105" s="81"/>
      <c r="K105" s="82"/>
    </row>
    <row r="106" spans="1:11" ht="34.5">
      <c r="A106" s="71" t="s">
        <v>130</v>
      </c>
      <c r="B106" s="80"/>
      <c r="C106" s="81">
        <f>C84/C99</f>
        <v>240.5283640669377</v>
      </c>
      <c r="D106" s="81"/>
      <c r="E106" s="81"/>
      <c r="F106" s="81">
        <f>F84/F99</f>
        <v>260.2516899204266</v>
      </c>
      <c r="G106" s="81"/>
      <c r="H106" s="81"/>
      <c r="I106" s="81">
        <f>I84/I99</f>
        <v>275.6065396257318</v>
      </c>
      <c r="J106" s="81"/>
      <c r="K106" s="82"/>
    </row>
    <row r="107" spans="1:11" ht="15.75">
      <c r="A107" s="72" t="s">
        <v>108</v>
      </c>
      <c r="B107" s="80"/>
      <c r="C107" s="83"/>
      <c r="D107" s="81"/>
      <c r="E107" s="81"/>
      <c r="F107" s="83"/>
      <c r="G107" s="81"/>
      <c r="H107" s="81"/>
      <c r="I107" s="83"/>
      <c r="J107" s="81"/>
      <c r="K107" s="82"/>
    </row>
    <row r="108" spans="1:11" ht="22.5" customHeight="1">
      <c r="A108" s="71" t="s">
        <v>248</v>
      </c>
      <c r="B108" s="80"/>
      <c r="C108" s="167">
        <v>0</v>
      </c>
      <c r="D108" s="81"/>
      <c r="E108" s="81"/>
      <c r="F108" s="98">
        <f>C108</f>
        <v>0</v>
      </c>
      <c r="G108" s="81"/>
      <c r="H108" s="81"/>
      <c r="I108" s="98">
        <f>F108</f>
        <v>0</v>
      </c>
      <c r="J108" s="81"/>
      <c r="K108" s="82"/>
    </row>
    <row r="109" spans="1:11" ht="31.5">
      <c r="A109" s="71" t="s">
        <v>149</v>
      </c>
      <c r="B109" s="80"/>
      <c r="C109" s="167">
        <v>0.2</v>
      </c>
      <c r="D109" s="81"/>
      <c r="E109" s="81"/>
      <c r="F109" s="98">
        <f>C109</f>
        <v>0.2</v>
      </c>
      <c r="G109" s="81"/>
      <c r="H109" s="81"/>
      <c r="I109" s="98">
        <f>F109</f>
        <v>0.2</v>
      </c>
      <c r="J109" s="81"/>
      <c r="K109" s="82"/>
    </row>
    <row r="110" spans="1:11" ht="32.25" thickBot="1">
      <c r="A110" s="168" t="s">
        <v>249</v>
      </c>
      <c r="B110" s="85"/>
      <c r="C110" s="164">
        <v>3</v>
      </c>
      <c r="D110" s="86"/>
      <c r="E110" s="86"/>
      <c r="F110" s="73">
        <f>C110</f>
        <v>3</v>
      </c>
      <c r="G110" s="86"/>
      <c r="H110" s="86"/>
      <c r="I110" s="73">
        <f>F110</f>
        <v>3</v>
      </c>
      <c r="J110" s="86"/>
      <c r="K110" s="87"/>
    </row>
    <row r="111" spans="1:11" ht="40.5" customHeight="1" thickBot="1">
      <c r="A111" s="409" t="str">
        <f>'Додаток 2'!A52:K52</f>
        <v>Підпрограма 4. НАДАННЯ СТОМАТОЛОГІЧНОЇ ДОПОМОГИ НАСЕЛЕННЮ МІСТА</v>
      </c>
      <c r="B111" s="410"/>
      <c r="C111" s="410"/>
      <c r="D111" s="410"/>
      <c r="E111" s="410"/>
      <c r="F111" s="410"/>
      <c r="G111" s="410"/>
      <c r="H111" s="410"/>
      <c r="I111" s="410"/>
      <c r="J111" s="410"/>
      <c r="K111" s="411"/>
    </row>
    <row r="112" spans="1:11" s="2" customFormat="1" ht="26.25" customHeight="1" thickBot="1">
      <c r="A112" s="109" t="s">
        <v>120</v>
      </c>
      <c r="B112" s="399" t="s">
        <v>152</v>
      </c>
      <c r="C112" s="399"/>
      <c r="D112" s="399"/>
      <c r="E112" s="399"/>
      <c r="F112" s="399"/>
      <c r="G112" s="399"/>
      <c r="H112" s="399"/>
      <c r="I112" s="399"/>
      <c r="J112" s="399"/>
      <c r="K112" s="400"/>
    </row>
    <row r="113" spans="1:11" ht="19.5" thickBot="1">
      <c r="A113" s="149" t="s">
        <v>153</v>
      </c>
      <c r="B113" s="390" t="s">
        <v>203</v>
      </c>
      <c r="C113" s="391"/>
      <c r="D113" s="391"/>
      <c r="E113" s="391"/>
      <c r="F113" s="391"/>
      <c r="G113" s="391"/>
      <c r="H113" s="391"/>
      <c r="I113" s="391"/>
      <c r="J113" s="391"/>
      <c r="K113" s="392"/>
    </row>
    <row r="114" spans="1:12" ht="35.25" customHeight="1" thickBot="1">
      <c r="A114" s="76" t="s">
        <v>103</v>
      </c>
      <c r="B114" s="77">
        <f>C114+F114+I114</f>
        <v>61570761.832159206</v>
      </c>
      <c r="C114" s="78">
        <f>D114+E114</f>
        <v>18934760.4</v>
      </c>
      <c r="D114" s="78">
        <f>D115+D117+D118+D119+D120+D116</f>
        <v>9293468.4</v>
      </c>
      <c r="E114" s="78">
        <f>E115+E117+E118+E119+E120+E121</f>
        <v>9641292</v>
      </c>
      <c r="F114" s="78">
        <f aca="true" t="shared" si="10" ref="F114:F121">G114+H114</f>
        <v>20590950.3528</v>
      </c>
      <c r="G114" s="78">
        <f>G115+G117+G118+G119+G120+G116</f>
        <v>10089810.208800001</v>
      </c>
      <c r="H114" s="78">
        <f>H115+H117+H118+H119+H120+H121</f>
        <v>10501140.144</v>
      </c>
      <c r="I114" s="78">
        <f aca="true" t="shared" si="11" ref="I114:I121">J114+K114</f>
        <v>22045051.079359204</v>
      </c>
      <c r="J114" s="78">
        <f>J115+J117+J118+J119+J120+J116</f>
        <v>10787151.6388632</v>
      </c>
      <c r="K114" s="78">
        <f>K115+K117+K118+K119+K120+K121</f>
        <v>11257899.440496001</v>
      </c>
      <c r="L114" s="8">
        <f>B114-'Додаток 2'!G65*1000</f>
        <v>0</v>
      </c>
    </row>
    <row r="115" spans="1:11" ht="31.5">
      <c r="A115" s="105" t="s">
        <v>66</v>
      </c>
      <c r="B115" s="115"/>
      <c r="C115" s="118">
        <f aca="true" t="shared" si="12" ref="C115:C121">E115+D115</f>
        <v>1135440</v>
      </c>
      <c r="D115" s="118">
        <f>'Додаток 2'!H53*1000</f>
        <v>348240</v>
      </c>
      <c r="E115" s="118">
        <f>'Додаток 2'!H54*1000</f>
        <v>787200</v>
      </c>
      <c r="F115" s="118">
        <f t="shared" si="10"/>
        <v>1211514.48</v>
      </c>
      <c r="G115" s="118">
        <f>D115*1.067</f>
        <v>371572.07999999996</v>
      </c>
      <c r="H115" s="118">
        <f>E115*1.067</f>
        <v>839942.3999999999</v>
      </c>
      <c r="I115" s="118">
        <f t="shared" si="11"/>
        <v>1278147.7763999999</v>
      </c>
      <c r="J115" s="118">
        <f>G115*1.055</f>
        <v>392008.54439999996</v>
      </c>
      <c r="K115" s="118">
        <f>H115*1.055</f>
        <v>886139.2319999998</v>
      </c>
    </row>
    <row r="116" spans="1:11" ht="15.75">
      <c r="A116" s="74" t="s">
        <v>224</v>
      </c>
      <c r="B116" s="75"/>
      <c r="C116" s="6">
        <f t="shared" si="12"/>
        <v>183600</v>
      </c>
      <c r="D116" s="6">
        <f>'Додаток 2'!H56*1000</f>
        <v>183600</v>
      </c>
      <c r="E116" s="6"/>
      <c r="F116" s="6">
        <f t="shared" si="10"/>
        <v>195901.19999999998</v>
      </c>
      <c r="G116" s="6">
        <f>D116*1.067</f>
        <v>195901.19999999998</v>
      </c>
      <c r="H116" s="6">
        <f>E116*1.067</f>
        <v>0</v>
      </c>
      <c r="I116" s="6">
        <f t="shared" si="11"/>
        <v>206675.76599999997</v>
      </c>
      <c r="J116" s="6">
        <f>G116*1.055</f>
        <v>206675.76599999997</v>
      </c>
      <c r="K116" s="6">
        <f>H116*1.055</f>
        <v>0</v>
      </c>
    </row>
    <row r="117" spans="1:11" ht="18.75" customHeight="1">
      <c r="A117" s="74" t="s">
        <v>75</v>
      </c>
      <c r="B117" s="75"/>
      <c r="C117" s="6">
        <f t="shared" si="12"/>
        <v>1648919.9999999998</v>
      </c>
      <c r="D117" s="6">
        <f>'Додаток 2'!H55*1000</f>
        <v>1648919.9999999998</v>
      </c>
      <c r="E117" s="6"/>
      <c r="F117" s="6">
        <f t="shared" si="10"/>
        <v>1759397.6399999997</v>
      </c>
      <c r="G117" s="6">
        <f>D117*1.067</f>
        <v>1759397.6399999997</v>
      </c>
      <c r="H117" s="6"/>
      <c r="I117" s="6">
        <f t="shared" si="11"/>
        <v>1856164.5101999994</v>
      </c>
      <c r="J117" s="6">
        <f>G117*1.055</f>
        <v>1856164.5101999994</v>
      </c>
      <c r="K117" s="6"/>
    </row>
    <row r="118" spans="1:11" ht="36.75" customHeight="1">
      <c r="A118" s="64" t="s">
        <v>69</v>
      </c>
      <c r="B118" s="4"/>
      <c r="C118" s="6">
        <f t="shared" si="12"/>
        <v>702072</v>
      </c>
      <c r="D118" s="6">
        <f>'Додаток 2'!H57*1000</f>
        <v>396672</v>
      </c>
      <c r="E118" s="6">
        <f>'Додаток 2'!H58*1000</f>
        <v>305400</v>
      </c>
      <c r="F118" s="6">
        <f t="shared" si="10"/>
        <v>749110.824</v>
      </c>
      <c r="G118" s="6">
        <f>D118*1.067</f>
        <v>423249.024</v>
      </c>
      <c r="H118" s="101">
        <f>E118*1.067</f>
        <v>325861.8</v>
      </c>
      <c r="I118" s="6">
        <f t="shared" si="11"/>
        <v>790311.9193199999</v>
      </c>
      <c r="J118" s="6">
        <f>G118*1.055</f>
        <v>446527.72031999996</v>
      </c>
      <c r="K118" s="102">
        <f>H118*1.055</f>
        <v>343784.19899999996</v>
      </c>
    </row>
    <row r="119" spans="1:11" ht="18" customHeight="1">
      <c r="A119" s="64" t="s">
        <v>70</v>
      </c>
      <c r="B119" s="4"/>
      <c r="C119" s="6">
        <f t="shared" si="12"/>
        <v>13815840</v>
      </c>
      <c r="D119" s="6">
        <f>('Додаток 2'!H59+'Додаток 2'!H61)*1000</f>
        <v>6078240</v>
      </c>
      <c r="E119" s="6">
        <f>'Додаток 2'!H60*1000</f>
        <v>7737600</v>
      </c>
      <c r="F119" s="6">
        <f t="shared" si="10"/>
        <v>15114528.96</v>
      </c>
      <c r="G119" s="6">
        <f>D119*1.094</f>
        <v>6649594.5600000005</v>
      </c>
      <c r="H119" s="6">
        <f>E119*1.094</f>
        <v>8464934.4</v>
      </c>
      <c r="I119" s="6">
        <f t="shared" si="11"/>
        <v>16263233.16096</v>
      </c>
      <c r="J119" s="6">
        <f>G119*1.076</f>
        <v>7154963.746560001</v>
      </c>
      <c r="K119" s="103">
        <f>H119*1.076</f>
        <v>9108269.4144</v>
      </c>
    </row>
    <row r="120" spans="1:11" ht="15.75">
      <c r="A120" s="64" t="s">
        <v>49</v>
      </c>
      <c r="B120" s="4"/>
      <c r="C120" s="6">
        <f t="shared" si="12"/>
        <v>968888.3999999999</v>
      </c>
      <c r="D120" s="6">
        <f>'Додаток 2'!H62*1000</f>
        <v>637796.3999999999</v>
      </c>
      <c r="E120" s="6">
        <f>'Додаток 2'!H63*1000</f>
        <v>331092.00000000006</v>
      </c>
      <c r="F120" s="6">
        <f t="shared" si="10"/>
        <v>1048337.2488000001</v>
      </c>
      <c r="G120" s="6">
        <f>D120*1.082</f>
        <v>690095.7048</v>
      </c>
      <c r="H120" s="6">
        <f>E120*1.082</f>
        <v>358241.5440000001</v>
      </c>
      <c r="I120" s="6">
        <f t="shared" si="11"/>
        <v>1110189.1464792</v>
      </c>
      <c r="J120" s="6">
        <f>G120*1.059</f>
        <v>730811.3513831999</v>
      </c>
      <c r="K120" s="103">
        <f>H120*1.059</f>
        <v>379377.7950960001</v>
      </c>
    </row>
    <row r="121" spans="1:11" ht="15.75">
      <c r="A121" s="64" t="s">
        <v>122</v>
      </c>
      <c r="B121" s="4"/>
      <c r="C121" s="6">
        <f t="shared" si="12"/>
        <v>480000</v>
      </c>
      <c r="D121" s="6"/>
      <c r="E121" s="6">
        <f>'Додаток 2'!H64*1000</f>
        <v>480000</v>
      </c>
      <c r="F121" s="6">
        <f t="shared" si="10"/>
        <v>512160</v>
      </c>
      <c r="G121" s="6"/>
      <c r="H121" s="6">
        <f>E121*1.067</f>
        <v>512160</v>
      </c>
      <c r="I121" s="6">
        <f t="shared" si="11"/>
        <v>540328.7999999999</v>
      </c>
      <c r="J121" s="6"/>
      <c r="K121" s="103">
        <f>H121*1.055</f>
        <v>540328.7999999999</v>
      </c>
    </row>
    <row r="122" spans="1:11" ht="15.75">
      <c r="A122" s="66" t="s">
        <v>104</v>
      </c>
      <c r="B122" s="4"/>
      <c r="C122" s="4"/>
      <c r="D122" s="4"/>
      <c r="E122" s="4"/>
      <c r="F122" s="4"/>
      <c r="G122" s="4"/>
      <c r="H122" s="4"/>
      <c r="I122" s="4"/>
      <c r="J122" s="4"/>
      <c r="K122" s="65"/>
    </row>
    <row r="123" spans="1:11" ht="15.75">
      <c r="A123" s="67" t="s">
        <v>124</v>
      </c>
      <c r="B123" s="80"/>
      <c r="C123" s="81"/>
      <c r="D123" s="81"/>
      <c r="E123" s="81"/>
      <c r="F123" s="81"/>
      <c r="G123" s="81"/>
      <c r="H123" s="81"/>
      <c r="I123" s="81"/>
      <c r="J123" s="81"/>
      <c r="K123" s="82"/>
    </row>
    <row r="124" spans="1:11" ht="15.75">
      <c r="A124" s="68" t="s">
        <v>125</v>
      </c>
      <c r="B124" s="80"/>
      <c r="C124" s="83">
        <v>1</v>
      </c>
      <c r="D124" s="83"/>
      <c r="E124" s="83"/>
      <c r="F124" s="83">
        <f>C124</f>
        <v>1</v>
      </c>
      <c r="G124" s="83"/>
      <c r="H124" s="83"/>
      <c r="I124" s="83">
        <f>F124</f>
        <v>1</v>
      </c>
      <c r="J124" s="81"/>
      <c r="K124" s="82"/>
    </row>
    <row r="125" spans="1:11" ht="15.75">
      <c r="A125" s="100" t="s">
        <v>241</v>
      </c>
      <c r="B125" s="80"/>
      <c r="C125" s="83">
        <f>36+150</f>
        <v>186</v>
      </c>
      <c r="D125" s="83"/>
      <c r="E125" s="83"/>
      <c r="F125" s="83">
        <f>C125</f>
        <v>186</v>
      </c>
      <c r="G125" s="83"/>
      <c r="H125" s="83"/>
      <c r="I125" s="83">
        <f>F125</f>
        <v>186</v>
      </c>
      <c r="J125" s="81"/>
      <c r="K125" s="82"/>
    </row>
    <row r="126" spans="1:11" ht="15.75">
      <c r="A126" s="68" t="s">
        <v>126</v>
      </c>
      <c r="B126" s="80"/>
      <c r="C126" s="81">
        <v>39.75</v>
      </c>
      <c r="D126" s="81"/>
      <c r="E126" s="81"/>
      <c r="F126" s="81">
        <f>C126</f>
        <v>39.75</v>
      </c>
      <c r="G126" s="81"/>
      <c r="H126" s="81"/>
      <c r="I126" s="81">
        <f>F126</f>
        <v>39.75</v>
      </c>
      <c r="J126" s="81"/>
      <c r="K126" s="82"/>
    </row>
    <row r="127" spans="1:11" ht="15.75">
      <c r="A127" s="67" t="s">
        <v>105</v>
      </c>
      <c r="B127" s="80"/>
      <c r="C127" s="83"/>
      <c r="D127" s="83"/>
      <c r="E127" s="83"/>
      <c r="F127" s="83"/>
      <c r="G127" s="83"/>
      <c r="H127" s="83"/>
      <c r="I127" s="83"/>
      <c r="J127" s="83"/>
      <c r="K127" s="82"/>
    </row>
    <row r="128" spans="1:11" ht="15.75">
      <c r="A128" s="3" t="s">
        <v>155</v>
      </c>
      <c r="B128" s="80"/>
      <c r="C128" s="84">
        <v>99737</v>
      </c>
      <c r="D128" s="84"/>
      <c r="E128" s="84"/>
      <c r="F128" s="84">
        <f aca="true" t="shared" si="13" ref="F128:F134">C128</f>
        <v>99737</v>
      </c>
      <c r="G128" s="84"/>
      <c r="H128" s="84"/>
      <c r="I128" s="84">
        <f aca="true" t="shared" si="14" ref="I128:I134">F128</f>
        <v>99737</v>
      </c>
      <c r="J128" s="83"/>
      <c r="K128" s="82"/>
    </row>
    <row r="129" spans="1:11" ht="15.75">
      <c r="A129" s="3" t="s">
        <v>156</v>
      </c>
      <c r="B129" s="80"/>
      <c r="C129" s="276">
        <v>7360</v>
      </c>
      <c r="D129" s="84"/>
      <c r="E129" s="84"/>
      <c r="F129" s="84">
        <f t="shared" si="13"/>
        <v>7360</v>
      </c>
      <c r="G129" s="84"/>
      <c r="H129" s="84"/>
      <c r="I129" s="84">
        <f t="shared" si="14"/>
        <v>7360</v>
      </c>
      <c r="J129" s="83"/>
      <c r="K129" s="82"/>
    </row>
    <row r="130" spans="1:11" ht="15.75">
      <c r="A130" s="69" t="s">
        <v>133</v>
      </c>
      <c r="B130" s="80"/>
      <c r="C130" s="84">
        <v>6028</v>
      </c>
      <c r="D130" s="84"/>
      <c r="E130" s="84"/>
      <c r="F130" s="84">
        <f>C130-10</f>
        <v>6018</v>
      </c>
      <c r="G130" s="84"/>
      <c r="H130" s="84"/>
      <c r="I130" s="84">
        <f>F130-10</f>
        <v>6008</v>
      </c>
      <c r="J130" s="83"/>
      <c r="K130" s="82"/>
    </row>
    <row r="131" spans="1:11" ht="15.75">
      <c r="A131" s="3" t="s">
        <v>157</v>
      </c>
      <c r="B131" s="80"/>
      <c r="C131" s="84">
        <v>2600</v>
      </c>
      <c r="D131" s="84"/>
      <c r="E131" s="84"/>
      <c r="F131" s="84">
        <f t="shared" si="13"/>
        <v>2600</v>
      </c>
      <c r="G131" s="84"/>
      <c r="H131" s="84"/>
      <c r="I131" s="84">
        <f t="shared" si="14"/>
        <v>2600</v>
      </c>
      <c r="J131" s="83"/>
      <c r="K131" s="82"/>
    </row>
    <row r="132" spans="1:11" ht="15.75">
      <c r="A132" s="3" t="s">
        <v>158</v>
      </c>
      <c r="B132" s="80"/>
      <c r="C132" s="84">
        <v>18000</v>
      </c>
      <c r="D132" s="84"/>
      <c r="E132" s="84"/>
      <c r="F132" s="84">
        <f t="shared" si="13"/>
        <v>18000</v>
      </c>
      <c r="G132" s="84"/>
      <c r="H132" s="84"/>
      <c r="I132" s="84">
        <f t="shared" si="14"/>
        <v>18000</v>
      </c>
      <c r="J132" s="83"/>
      <c r="K132" s="82"/>
    </row>
    <row r="133" spans="1:11" ht="15.75">
      <c r="A133" s="69" t="s">
        <v>128</v>
      </c>
      <c r="B133" s="80"/>
      <c r="C133" s="165">
        <v>1</v>
      </c>
      <c r="D133" s="83"/>
      <c r="E133" s="81"/>
      <c r="F133" s="83">
        <f t="shared" si="13"/>
        <v>1</v>
      </c>
      <c r="G133" s="83"/>
      <c r="H133" s="81"/>
      <c r="I133" s="83">
        <f t="shared" si="14"/>
        <v>1</v>
      </c>
      <c r="J133" s="83"/>
      <c r="K133" s="82"/>
    </row>
    <row r="134" spans="1:11" ht="18.75">
      <c r="A134" s="69" t="s">
        <v>129</v>
      </c>
      <c r="B134" s="80"/>
      <c r="C134" s="83">
        <v>1702.8</v>
      </c>
      <c r="D134" s="81"/>
      <c r="E134" s="81"/>
      <c r="F134" s="83">
        <f t="shared" si="13"/>
        <v>1702.8</v>
      </c>
      <c r="G134" s="81"/>
      <c r="H134" s="81"/>
      <c r="I134" s="83">
        <f t="shared" si="14"/>
        <v>1702.8</v>
      </c>
      <c r="J134" s="81"/>
      <c r="K134" s="82"/>
    </row>
    <row r="135" spans="1:11" ht="15.75">
      <c r="A135" s="70" t="s">
        <v>107</v>
      </c>
      <c r="B135" s="80"/>
      <c r="C135" s="83"/>
      <c r="D135" s="81"/>
      <c r="E135" s="81"/>
      <c r="F135" s="83"/>
      <c r="G135" s="81"/>
      <c r="H135" s="81"/>
      <c r="I135" s="83"/>
      <c r="J135" s="81"/>
      <c r="K135" s="82"/>
    </row>
    <row r="136" spans="1:11" ht="15.75">
      <c r="A136" s="3" t="s">
        <v>160</v>
      </c>
      <c r="B136" s="80"/>
      <c r="C136" s="84">
        <v>395.6043956043956</v>
      </c>
      <c r="D136" s="81"/>
      <c r="E136" s="81"/>
      <c r="F136" s="84">
        <f>C136</f>
        <v>395.6043956043956</v>
      </c>
      <c r="G136" s="81"/>
      <c r="H136" s="81"/>
      <c r="I136" s="84">
        <f>F136</f>
        <v>395.6043956043956</v>
      </c>
      <c r="J136" s="81"/>
      <c r="K136" s="82"/>
    </row>
    <row r="137" spans="1:11" ht="15.75">
      <c r="A137" s="3" t="s">
        <v>161</v>
      </c>
      <c r="B137" s="80"/>
      <c r="C137" s="84">
        <v>266.6666666666667</v>
      </c>
      <c r="D137" s="81"/>
      <c r="E137" s="81"/>
      <c r="F137" s="84">
        <f>F129/F126</f>
        <v>185.1572327044025</v>
      </c>
      <c r="G137" s="81"/>
      <c r="H137" s="81"/>
      <c r="I137" s="84">
        <f>I129/I126</f>
        <v>185.1572327044025</v>
      </c>
      <c r="J137" s="81"/>
      <c r="K137" s="82"/>
    </row>
    <row r="138" spans="1:11" ht="31.5">
      <c r="A138" s="71" t="s">
        <v>134</v>
      </c>
      <c r="B138" s="80"/>
      <c r="C138" s="84">
        <f>C117/C130</f>
        <v>273.5434638354346</v>
      </c>
      <c r="D138" s="81"/>
      <c r="E138" s="81"/>
      <c r="F138" s="84">
        <f>F117/F130</f>
        <v>292.3558723828514</v>
      </c>
      <c r="G138" s="81"/>
      <c r="H138" s="81"/>
      <c r="I138" s="84">
        <f>I117/I130</f>
        <v>308.9488199400798</v>
      </c>
      <c r="J138" s="81"/>
      <c r="K138" s="82"/>
    </row>
    <row r="139" spans="1:11" ht="15.75">
      <c r="A139" s="71" t="s">
        <v>242</v>
      </c>
      <c r="B139" s="80"/>
      <c r="C139" s="84">
        <f>C116/C125</f>
        <v>987.0967741935484</v>
      </c>
      <c r="D139" s="81"/>
      <c r="E139" s="81"/>
      <c r="F139" s="84">
        <f>F116/F125</f>
        <v>1053.2322580645161</v>
      </c>
      <c r="G139" s="81"/>
      <c r="H139" s="81"/>
      <c r="I139" s="84">
        <f>I116/I125</f>
        <v>1111.1600322580643</v>
      </c>
      <c r="J139" s="81"/>
      <c r="K139" s="82"/>
    </row>
    <row r="140" spans="1:11" ht="15.75">
      <c r="A140" s="71" t="s">
        <v>150</v>
      </c>
      <c r="B140" s="80"/>
      <c r="C140" s="81">
        <f>C121/1</f>
        <v>480000</v>
      </c>
      <c r="D140" s="81"/>
      <c r="E140" s="81"/>
      <c r="F140" s="81">
        <f>F121/F133</f>
        <v>512160</v>
      </c>
      <c r="G140" s="81"/>
      <c r="H140" s="81"/>
      <c r="I140" s="81">
        <f>I121/I133</f>
        <v>540328.7999999999</v>
      </c>
      <c r="J140" s="81"/>
      <c r="K140" s="82"/>
    </row>
    <row r="141" spans="1:11" ht="27.75" customHeight="1">
      <c r="A141" s="71" t="s">
        <v>130</v>
      </c>
      <c r="B141" s="80"/>
      <c r="C141" s="81">
        <f>C120/C134</f>
        <v>568.9971811134601</v>
      </c>
      <c r="D141" s="81"/>
      <c r="E141" s="81"/>
      <c r="F141" s="81">
        <f>F120/F134</f>
        <v>615.654949964764</v>
      </c>
      <c r="G141" s="81"/>
      <c r="H141" s="81"/>
      <c r="I141" s="81">
        <f>I120/I134</f>
        <v>651.9785920126851</v>
      </c>
      <c r="J141" s="81"/>
      <c r="K141" s="82"/>
    </row>
    <row r="142" spans="1:11" ht="15.75">
      <c r="A142" s="72" t="s">
        <v>108</v>
      </c>
      <c r="B142" s="80"/>
      <c r="C142" s="83"/>
      <c r="D142" s="81"/>
      <c r="E142" s="81"/>
      <c r="F142" s="83"/>
      <c r="G142" s="81"/>
      <c r="H142" s="81"/>
      <c r="I142" s="83"/>
      <c r="J142" s="81"/>
      <c r="K142" s="82"/>
    </row>
    <row r="143" spans="1:11" ht="24.75" customHeight="1">
      <c r="A143" s="277" t="s">
        <v>159</v>
      </c>
      <c r="B143" s="80"/>
      <c r="C143" s="167">
        <v>1</v>
      </c>
      <c r="D143" s="81"/>
      <c r="E143" s="81"/>
      <c r="F143" s="98">
        <f>C143</f>
        <v>1</v>
      </c>
      <c r="G143" s="81"/>
      <c r="H143" s="81"/>
      <c r="I143" s="98">
        <f>F143</f>
        <v>1</v>
      </c>
      <c r="J143" s="81"/>
      <c r="K143" s="82"/>
    </row>
    <row r="144" spans="1:11" ht="24.75" customHeight="1" thickBot="1">
      <c r="A144" s="277" t="s">
        <v>253</v>
      </c>
      <c r="B144" s="80"/>
      <c r="C144" s="167">
        <v>100</v>
      </c>
      <c r="D144" s="81"/>
      <c r="E144" s="81"/>
      <c r="F144" s="98">
        <f>C144</f>
        <v>100</v>
      </c>
      <c r="G144" s="81"/>
      <c r="H144" s="81"/>
      <c r="I144" s="98">
        <f>F144</f>
        <v>100</v>
      </c>
      <c r="J144" s="81"/>
      <c r="K144" s="82"/>
    </row>
    <row r="145" spans="1:11" ht="26.25" customHeight="1" thickBot="1">
      <c r="A145" s="409" t="str">
        <f>'Додаток 2'!A69:K69</f>
        <v>Підпрограма 5. ПРОГРАМНІ ТА ЦЕНТРАЛІЗОВАНІ ЗАХОДИ У ГАЛУЗІ "ОХОРОНА ЗДОРОВ'Я"</v>
      </c>
      <c r="B145" s="410"/>
      <c r="C145" s="410"/>
      <c r="D145" s="410"/>
      <c r="E145" s="410"/>
      <c r="F145" s="410"/>
      <c r="G145" s="410"/>
      <c r="H145" s="410"/>
      <c r="I145" s="410"/>
      <c r="J145" s="410"/>
      <c r="K145" s="411"/>
    </row>
    <row r="146" spans="1:11" ht="28.5" customHeight="1" thickBot="1">
      <c r="A146" s="109" t="s">
        <v>120</v>
      </c>
      <c r="B146" s="399" t="s">
        <v>162</v>
      </c>
      <c r="C146" s="416"/>
      <c r="D146" s="416"/>
      <c r="E146" s="416"/>
      <c r="F146" s="416"/>
      <c r="G146" s="416"/>
      <c r="H146" s="416"/>
      <c r="I146" s="416"/>
      <c r="J146" s="416"/>
      <c r="K146" s="417"/>
    </row>
    <row r="147" spans="1:11" ht="39.75" customHeight="1" thickBot="1">
      <c r="A147" s="150" t="s">
        <v>218</v>
      </c>
      <c r="B147" s="390" t="s">
        <v>219</v>
      </c>
      <c r="C147" s="391"/>
      <c r="D147" s="391"/>
      <c r="E147" s="391"/>
      <c r="F147" s="391"/>
      <c r="G147" s="391"/>
      <c r="H147" s="391"/>
      <c r="I147" s="391"/>
      <c r="J147" s="391"/>
      <c r="K147" s="392"/>
    </row>
    <row r="148" spans="1:12" ht="36" customHeight="1" thickBot="1">
      <c r="A148" s="76" t="s">
        <v>103</v>
      </c>
      <c r="B148" s="77">
        <f>C148+F148+I148</f>
        <v>75028097.5</v>
      </c>
      <c r="C148" s="78">
        <f>D148+E148</f>
        <v>23500000</v>
      </c>
      <c r="D148" s="78">
        <f>D149+D150</f>
        <v>23500000</v>
      </c>
      <c r="E148" s="78">
        <f>E149+E150</f>
        <v>0</v>
      </c>
      <c r="F148" s="78">
        <f>G148+H148</f>
        <v>25074500</v>
      </c>
      <c r="G148" s="78">
        <f>G149+G150</f>
        <v>25074500</v>
      </c>
      <c r="H148" s="78">
        <f>H149+H150</f>
        <v>0</v>
      </c>
      <c r="I148" s="78">
        <f>J148+K148</f>
        <v>26453597.5</v>
      </c>
      <c r="J148" s="78">
        <f>J149+J150</f>
        <v>26453597.5</v>
      </c>
      <c r="K148" s="78">
        <f>K149+K150</f>
        <v>0</v>
      </c>
      <c r="L148" s="8">
        <f>B148-'Додаток 2'!G72*1000</f>
        <v>0</v>
      </c>
    </row>
    <row r="149" spans="1:11" ht="45" customHeight="1">
      <c r="A149" s="119" t="str">
        <f>'Додаток 2'!B70</f>
        <v>Забезпечення відшкодування витрат, пов’язаних з відпуском препаратів інсуліну  </v>
      </c>
      <c r="B149" s="115"/>
      <c r="C149" s="106">
        <f>E149+D149</f>
        <v>14500000</v>
      </c>
      <c r="D149" s="106">
        <f>'Додаток 2'!H70*1000</f>
        <v>14500000</v>
      </c>
      <c r="E149" s="106"/>
      <c r="F149" s="106">
        <f>G149+H149</f>
        <v>15471500</v>
      </c>
      <c r="G149" s="118">
        <f>D149*1.067</f>
        <v>15471500</v>
      </c>
      <c r="H149" s="118">
        <f>E149*1.067</f>
        <v>0</v>
      </c>
      <c r="I149" s="118">
        <f>J149+K149</f>
        <v>16322432.499999998</v>
      </c>
      <c r="J149" s="118">
        <f>G149*1.055</f>
        <v>16322432.499999998</v>
      </c>
      <c r="K149" s="106">
        <f>H149*1.055</f>
        <v>0</v>
      </c>
    </row>
    <row r="150" spans="1:11" ht="45" customHeight="1">
      <c r="A150" s="74" t="str">
        <f>'Додаток 2'!B71</f>
        <v>Забезпечення відшкодування витрат, пов’язаних з відпуском медикаментів за Урядовою програмою "Доступні ліки"</v>
      </c>
      <c r="B150" s="75"/>
      <c r="C150" s="101">
        <f>E150+D150</f>
        <v>9000000</v>
      </c>
      <c r="D150" s="101">
        <f>'Додаток 2'!H71*1000</f>
        <v>9000000</v>
      </c>
      <c r="E150" s="101"/>
      <c r="F150" s="101">
        <f>G150+H150</f>
        <v>9603000</v>
      </c>
      <c r="G150" s="6">
        <f>D150*1.067</f>
        <v>9603000</v>
      </c>
      <c r="H150" s="6"/>
      <c r="I150" s="6">
        <f>J150+K150</f>
        <v>10131165</v>
      </c>
      <c r="J150" s="6">
        <f>G150*1.055</f>
        <v>10131165</v>
      </c>
      <c r="K150" s="102"/>
    </row>
    <row r="151" spans="1:11" ht="15.75">
      <c r="A151" s="66" t="s">
        <v>104</v>
      </c>
      <c r="B151" s="4"/>
      <c r="C151" s="4"/>
      <c r="D151" s="4"/>
      <c r="E151" s="4"/>
      <c r="F151" s="4"/>
      <c r="G151" s="4"/>
      <c r="H151" s="4"/>
      <c r="I151" s="4"/>
      <c r="J151" s="4"/>
      <c r="K151" s="65"/>
    </row>
    <row r="152" spans="1:11" ht="26.25" customHeight="1">
      <c r="A152" s="67" t="s">
        <v>124</v>
      </c>
      <c r="B152" s="80"/>
      <c r="C152" s="81"/>
      <c r="D152" s="81"/>
      <c r="E152" s="81"/>
      <c r="F152" s="81"/>
      <c r="G152" s="81"/>
      <c r="H152" s="81"/>
      <c r="I152" s="81"/>
      <c r="J152" s="81"/>
      <c r="K152" s="82"/>
    </row>
    <row r="153" spans="1:11" ht="33.75" customHeight="1">
      <c r="A153" s="120" t="s">
        <v>163</v>
      </c>
      <c r="B153" s="80"/>
      <c r="C153" s="83">
        <f>C149/1000</f>
        <v>14500</v>
      </c>
      <c r="D153" s="83"/>
      <c r="E153" s="83"/>
      <c r="F153" s="83">
        <f>F149/1000</f>
        <v>15471.5</v>
      </c>
      <c r="G153" s="83"/>
      <c r="H153" s="83"/>
      <c r="I153" s="83">
        <f>I149/1000</f>
        <v>16322.432499999999</v>
      </c>
      <c r="J153" s="81"/>
      <c r="K153" s="82"/>
    </row>
    <row r="154" spans="1:11" ht="33.75" customHeight="1">
      <c r="A154" s="120" t="s">
        <v>254</v>
      </c>
      <c r="B154" s="80"/>
      <c r="C154" s="83">
        <f>C150/1000</f>
        <v>9000</v>
      </c>
      <c r="D154" s="83"/>
      <c r="E154" s="83"/>
      <c r="F154" s="83">
        <f>F150/1000</f>
        <v>9603</v>
      </c>
      <c r="G154" s="83"/>
      <c r="H154" s="83"/>
      <c r="I154" s="83">
        <f>I150/1000</f>
        <v>10131.165</v>
      </c>
      <c r="J154" s="81"/>
      <c r="K154" s="82"/>
    </row>
    <row r="155" spans="1:11" ht="20.25" customHeight="1">
      <c r="A155" s="67" t="s">
        <v>105</v>
      </c>
      <c r="B155" s="80"/>
      <c r="C155" s="83"/>
      <c r="D155" s="83"/>
      <c r="E155" s="83"/>
      <c r="F155" s="83"/>
      <c r="G155" s="83"/>
      <c r="H155" s="83"/>
      <c r="I155" s="83"/>
      <c r="J155" s="83"/>
      <c r="K155" s="82"/>
    </row>
    <row r="156" spans="1:11" ht="31.5">
      <c r="A156" s="121" t="s">
        <v>164</v>
      </c>
      <c r="B156" s="80"/>
      <c r="C156" s="84">
        <v>1462</v>
      </c>
      <c r="D156" s="84"/>
      <c r="E156" s="84"/>
      <c r="F156" s="84">
        <f>C156</f>
        <v>1462</v>
      </c>
      <c r="G156" s="84"/>
      <c r="H156" s="84"/>
      <c r="I156" s="84">
        <f>F156</f>
        <v>1462</v>
      </c>
      <c r="J156" s="83"/>
      <c r="K156" s="82"/>
    </row>
    <row r="157" spans="1:11" ht="31.5">
      <c r="A157" s="121" t="s">
        <v>257</v>
      </c>
      <c r="B157" s="80"/>
      <c r="C157" s="84">
        <v>83271</v>
      </c>
      <c r="D157" s="84"/>
      <c r="E157" s="84"/>
      <c r="F157" s="84">
        <f>C157+10</f>
        <v>83281</v>
      </c>
      <c r="G157" s="84"/>
      <c r="H157" s="84"/>
      <c r="I157" s="84">
        <f>F157+10</f>
        <v>83291</v>
      </c>
      <c r="J157" s="83"/>
      <c r="K157" s="82"/>
    </row>
    <row r="158" spans="1:11" ht="27.75" customHeight="1">
      <c r="A158" s="70" t="s">
        <v>107</v>
      </c>
      <c r="B158" s="80"/>
      <c r="C158" s="83"/>
      <c r="D158" s="81"/>
      <c r="E158" s="81"/>
      <c r="F158" s="83"/>
      <c r="G158" s="81"/>
      <c r="H158" s="81"/>
      <c r="I158" s="83"/>
      <c r="J158" s="81"/>
      <c r="K158" s="82"/>
    </row>
    <row r="159" spans="1:11" ht="29.25" customHeight="1">
      <c r="A159" s="120" t="s">
        <v>255</v>
      </c>
      <c r="B159" s="80"/>
      <c r="C159" s="84">
        <v>66.8</v>
      </c>
      <c r="D159" s="84"/>
      <c r="E159" s="84"/>
      <c r="F159" s="84">
        <f>C159+0.5</f>
        <v>67.3</v>
      </c>
      <c r="G159" s="84"/>
      <c r="H159" s="84"/>
      <c r="I159" s="84">
        <f>F159+0.7</f>
        <v>68</v>
      </c>
      <c r="J159" s="81"/>
      <c r="K159" s="82"/>
    </row>
    <row r="160" spans="1:11" ht="29.25" customHeight="1" thickBot="1">
      <c r="A160" s="120" t="s">
        <v>256</v>
      </c>
      <c r="B160" s="80"/>
      <c r="C160" s="84">
        <v>100</v>
      </c>
      <c r="D160" s="81"/>
      <c r="E160" s="81"/>
      <c r="F160" s="84">
        <f>C160</f>
        <v>100</v>
      </c>
      <c r="G160" s="81"/>
      <c r="H160" s="81"/>
      <c r="I160" s="84">
        <f>F160</f>
        <v>100</v>
      </c>
      <c r="J160" s="81"/>
      <c r="K160" s="82"/>
    </row>
    <row r="161" spans="1:11" ht="27.75" customHeight="1" thickBot="1">
      <c r="A161" s="409" t="str">
        <f>'Додаток 2'!A74:K74</f>
        <v>Підпрограма 6. АНАЛІТИЧНА ЗВІТНІСТЬ, ЦЕНТРАЛІЗОВАНИЙ БУХГАЛТЕРСКИЙ ТА ФІНАНСОВИЙ ОБЛІК У  У ГАЛУЗІ "ОХОРОНА ЗДОРОВ'Я"</v>
      </c>
      <c r="B161" s="410"/>
      <c r="C161" s="410"/>
      <c r="D161" s="410"/>
      <c r="E161" s="410"/>
      <c r="F161" s="410"/>
      <c r="G161" s="410"/>
      <c r="H161" s="410"/>
      <c r="I161" s="410"/>
      <c r="J161" s="410"/>
      <c r="K161" s="411"/>
    </row>
    <row r="162" spans="1:11" ht="41.25" customHeight="1" thickBot="1">
      <c r="A162" s="117" t="s">
        <v>120</v>
      </c>
      <c r="B162" s="418" t="s">
        <v>114</v>
      </c>
      <c r="C162" s="418"/>
      <c r="D162" s="418"/>
      <c r="E162" s="418"/>
      <c r="F162" s="418"/>
      <c r="G162" s="418"/>
      <c r="H162" s="418"/>
      <c r="I162" s="418"/>
      <c r="J162" s="418"/>
      <c r="K162" s="419"/>
    </row>
    <row r="163" spans="1:11" ht="34.5" customHeight="1" thickBot="1">
      <c r="A163" s="147" t="s">
        <v>165</v>
      </c>
      <c r="B163" s="388" t="s">
        <v>217</v>
      </c>
      <c r="C163" s="388"/>
      <c r="D163" s="388"/>
      <c r="E163" s="388"/>
      <c r="F163" s="388"/>
      <c r="G163" s="388"/>
      <c r="H163" s="388"/>
      <c r="I163" s="388"/>
      <c r="J163" s="388"/>
      <c r="K163" s="389"/>
    </row>
    <row r="164" spans="1:12" ht="28.5" customHeight="1" thickBot="1">
      <c r="A164" s="76" t="s">
        <v>103</v>
      </c>
      <c r="B164" s="77">
        <f>C164+F164+I164</f>
        <v>10195307.037547441</v>
      </c>
      <c r="C164" s="78">
        <f>D164+E164</f>
        <v>3122962.8</v>
      </c>
      <c r="D164" s="78">
        <f>D165</f>
        <v>3122962.8</v>
      </c>
      <c r="E164" s="78">
        <f>E165</f>
        <v>0</v>
      </c>
      <c r="F164" s="78">
        <f>G164+H164</f>
        <v>3409672.3896000003</v>
      </c>
      <c r="G164" s="78">
        <f>G165</f>
        <v>3409672.3896000003</v>
      </c>
      <c r="H164" s="78">
        <f>H165</f>
        <v>0</v>
      </c>
      <c r="I164" s="78">
        <f>J164+K164</f>
        <v>3662671.8479474406</v>
      </c>
      <c r="J164" s="78">
        <f>J165</f>
        <v>3662671.8479474406</v>
      </c>
      <c r="K164" s="79">
        <f>K165</f>
        <v>0</v>
      </c>
      <c r="L164" s="8">
        <f>B164-'Додаток 2'!G76*1000</f>
        <v>0</v>
      </c>
    </row>
    <row r="165" spans="1:11" ht="23.25" customHeight="1">
      <c r="A165" s="119" t="s">
        <v>85</v>
      </c>
      <c r="B165" s="115"/>
      <c r="C165" s="106">
        <f>E165+D165</f>
        <v>3122962.8</v>
      </c>
      <c r="D165" s="106">
        <f>'Додаток 2'!H75*1000</f>
        <v>3122962.8</v>
      </c>
      <c r="E165" s="106"/>
      <c r="F165" s="106">
        <f>G165+H165</f>
        <v>3409672.3896000003</v>
      </c>
      <c r="G165" s="118">
        <f>'Додаток 2'!I76*1000</f>
        <v>3409672.3896000003</v>
      </c>
      <c r="H165" s="118">
        <f>E165*1.067</f>
        <v>0</v>
      </c>
      <c r="I165" s="118">
        <f>J165+K165</f>
        <v>3662671.8479474406</v>
      </c>
      <c r="J165" s="118">
        <f>'Додаток 2'!J76*1000</f>
        <v>3662671.8479474406</v>
      </c>
      <c r="K165" s="107">
        <f>H165*1.055</f>
        <v>0</v>
      </c>
    </row>
    <row r="166" spans="1:11" ht="23.25" customHeight="1">
      <c r="A166" s="66" t="s">
        <v>104</v>
      </c>
      <c r="B166" s="4"/>
      <c r="C166" s="4"/>
      <c r="D166" s="4"/>
      <c r="E166" s="4"/>
      <c r="F166" s="4"/>
      <c r="G166" s="4"/>
      <c r="H166" s="4"/>
      <c r="I166" s="4"/>
      <c r="J166" s="4"/>
      <c r="K166" s="65"/>
    </row>
    <row r="167" spans="1:11" ht="23.25" customHeight="1">
      <c r="A167" s="67" t="s">
        <v>124</v>
      </c>
      <c r="B167" s="80"/>
      <c r="C167" s="81"/>
      <c r="D167" s="81"/>
      <c r="E167" s="81"/>
      <c r="F167" s="81"/>
      <c r="G167" s="81"/>
      <c r="H167" s="81"/>
      <c r="I167" s="81"/>
      <c r="J167" s="81"/>
      <c r="K167" s="82"/>
    </row>
    <row r="168" spans="1:11" ht="23.25" customHeight="1">
      <c r="A168" s="123" t="s">
        <v>166</v>
      </c>
      <c r="B168" s="80"/>
      <c r="C168" s="83">
        <v>1</v>
      </c>
      <c r="D168" s="83"/>
      <c r="E168" s="83"/>
      <c r="F168" s="83">
        <f>C168</f>
        <v>1</v>
      </c>
      <c r="G168" s="83"/>
      <c r="H168" s="83"/>
      <c r="I168" s="83">
        <f>F168</f>
        <v>1</v>
      </c>
      <c r="J168" s="81"/>
      <c r="K168" s="82"/>
    </row>
    <row r="169" spans="1:11" ht="23.25" customHeight="1">
      <c r="A169" s="123" t="s">
        <v>167</v>
      </c>
      <c r="B169" s="80"/>
      <c r="C169" s="83">
        <f>9+12</f>
        <v>21</v>
      </c>
      <c r="D169" s="83"/>
      <c r="E169" s="83"/>
      <c r="F169" s="83">
        <f>C169</f>
        <v>21</v>
      </c>
      <c r="G169" s="83"/>
      <c r="H169" s="83"/>
      <c r="I169" s="83">
        <f>F169</f>
        <v>21</v>
      </c>
      <c r="J169" s="81"/>
      <c r="K169" s="82"/>
    </row>
    <row r="170" spans="1:11" ht="23.25" customHeight="1">
      <c r="A170" s="67" t="s">
        <v>105</v>
      </c>
      <c r="B170" s="80"/>
      <c r="C170" s="83"/>
      <c r="D170" s="83"/>
      <c r="E170" s="83"/>
      <c r="F170" s="83"/>
      <c r="G170" s="83"/>
      <c r="H170" s="83"/>
      <c r="I170" s="83"/>
      <c r="J170" s="83"/>
      <c r="K170" s="82"/>
    </row>
    <row r="171" spans="1:11" ht="30" customHeight="1">
      <c r="A171" s="123" t="s">
        <v>168</v>
      </c>
      <c r="B171" s="80"/>
      <c r="C171" s="84">
        <v>8</v>
      </c>
      <c r="D171" s="84"/>
      <c r="E171" s="84"/>
      <c r="F171" s="84">
        <f>C171</f>
        <v>8</v>
      </c>
      <c r="G171" s="84"/>
      <c r="H171" s="84"/>
      <c r="I171" s="84">
        <f>F171</f>
        <v>8</v>
      </c>
      <c r="J171" s="83"/>
      <c r="K171" s="82"/>
    </row>
    <row r="172" spans="1:11" ht="15.75">
      <c r="A172" s="70" t="s">
        <v>107</v>
      </c>
      <c r="B172" s="80"/>
      <c r="C172" s="83"/>
      <c r="D172" s="81"/>
      <c r="E172" s="81"/>
      <c r="F172" s="83"/>
      <c r="G172" s="81"/>
      <c r="H172" s="81"/>
      <c r="I172" s="83"/>
      <c r="J172" s="81"/>
      <c r="K172" s="82"/>
    </row>
    <row r="173" spans="1:11" ht="25.5" customHeight="1">
      <c r="A173" s="123" t="s">
        <v>169</v>
      </c>
      <c r="B173" s="80"/>
      <c r="C173" s="146">
        <v>107</v>
      </c>
      <c r="D173" s="81"/>
      <c r="E173" s="81"/>
      <c r="F173" s="84">
        <f>C173</f>
        <v>107</v>
      </c>
      <c r="G173" s="81"/>
      <c r="H173" s="81"/>
      <c r="I173" s="84">
        <f>F173</f>
        <v>107</v>
      </c>
      <c r="J173" s="81"/>
      <c r="K173" s="82"/>
    </row>
    <row r="174" spans="1:11" ht="25.5" customHeight="1">
      <c r="A174" s="123" t="s">
        <v>207</v>
      </c>
      <c r="B174" s="80"/>
      <c r="C174" s="146">
        <v>20</v>
      </c>
      <c r="D174" s="81"/>
      <c r="E174" s="81"/>
      <c r="F174" s="84">
        <f>C174</f>
        <v>20</v>
      </c>
      <c r="G174" s="81"/>
      <c r="H174" s="81"/>
      <c r="I174" s="84">
        <f>F174</f>
        <v>20</v>
      </c>
      <c r="J174" s="81"/>
      <c r="K174" s="82"/>
    </row>
    <row r="175" spans="1:11" ht="25.5" customHeight="1">
      <c r="A175" s="123" t="s">
        <v>210</v>
      </c>
      <c r="B175" s="80"/>
      <c r="C175" s="146">
        <v>15</v>
      </c>
      <c r="D175" s="81"/>
      <c r="E175" s="81"/>
      <c r="F175" s="84">
        <f>C175</f>
        <v>15</v>
      </c>
      <c r="G175" s="81"/>
      <c r="H175" s="81"/>
      <c r="I175" s="84">
        <f>F175</f>
        <v>15</v>
      </c>
      <c r="J175" s="81"/>
      <c r="K175" s="82"/>
    </row>
    <row r="176" spans="1:11" ht="25.5" customHeight="1">
      <c r="A176" s="123" t="s">
        <v>170</v>
      </c>
      <c r="B176" s="7"/>
      <c r="C176" s="146">
        <v>48</v>
      </c>
      <c r="D176" s="7"/>
      <c r="E176" s="7"/>
      <c r="F176" s="84">
        <f>C176</f>
        <v>48</v>
      </c>
      <c r="G176" s="7"/>
      <c r="H176" s="7"/>
      <c r="I176" s="84">
        <f>F176</f>
        <v>48</v>
      </c>
      <c r="J176" s="7"/>
      <c r="K176" s="124"/>
    </row>
    <row r="177" spans="1:11" ht="15.75">
      <c r="A177" s="72" t="s">
        <v>108</v>
      </c>
      <c r="B177" s="7"/>
      <c r="C177" s="7"/>
      <c r="D177" s="7"/>
      <c r="E177" s="7"/>
      <c r="F177" s="7"/>
      <c r="G177" s="7"/>
      <c r="H177" s="7"/>
      <c r="I177" s="7"/>
      <c r="J177" s="7"/>
      <c r="K177" s="124"/>
    </row>
    <row r="178" spans="1:11" ht="27.75" customHeight="1">
      <c r="A178" s="123" t="s">
        <v>208</v>
      </c>
      <c r="B178" s="7"/>
      <c r="C178" s="122">
        <f>C173/9</f>
        <v>11.88888888888889</v>
      </c>
      <c r="D178" s="7"/>
      <c r="E178" s="7"/>
      <c r="F178" s="122">
        <f>C178</f>
        <v>11.88888888888889</v>
      </c>
      <c r="G178" s="7"/>
      <c r="H178" s="7"/>
      <c r="I178" s="122">
        <f>F178</f>
        <v>11.88888888888889</v>
      </c>
      <c r="J178" s="7"/>
      <c r="K178" s="124"/>
    </row>
    <row r="179" spans="1:11" ht="27.75" customHeight="1">
      <c r="A179" s="123" t="s">
        <v>209</v>
      </c>
      <c r="B179" s="142"/>
      <c r="C179" s="144">
        <v>2.4</v>
      </c>
      <c r="D179" s="142"/>
      <c r="E179" s="142"/>
      <c r="F179" s="144">
        <f>C179</f>
        <v>2.4</v>
      </c>
      <c r="G179" s="145"/>
      <c r="H179" s="145"/>
      <c r="I179" s="144">
        <f>F179</f>
        <v>2.4</v>
      </c>
      <c r="J179" s="142"/>
      <c r="K179" s="143"/>
    </row>
    <row r="180" spans="1:11" ht="27.75" customHeight="1">
      <c r="A180" s="141" t="s">
        <v>211</v>
      </c>
      <c r="B180" s="142"/>
      <c r="C180" s="144">
        <v>2.8</v>
      </c>
      <c r="D180" s="142"/>
      <c r="E180" s="142"/>
      <c r="F180" s="144">
        <f>C180</f>
        <v>2.8</v>
      </c>
      <c r="G180" s="145"/>
      <c r="H180" s="145"/>
      <c r="I180" s="144">
        <f>F180</f>
        <v>2.8</v>
      </c>
      <c r="J180" s="142"/>
      <c r="K180" s="143"/>
    </row>
    <row r="181" spans="1:11" ht="27.75" customHeight="1" thickBot="1">
      <c r="A181" s="125" t="s">
        <v>171</v>
      </c>
      <c r="B181" s="126"/>
      <c r="C181" s="127">
        <f>C176/9</f>
        <v>5.333333333333333</v>
      </c>
      <c r="D181" s="126"/>
      <c r="E181" s="126"/>
      <c r="F181" s="127">
        <f>C181</f>
        <v>5.333333333333333</v>
      </c>
      <c r="G181" s="126"/>
      <c r="H181" s="126"/>
      <c r="I181" s="127">
        <f>F181</f>
        <v>5.333333333333333</v>
      </c>
      <c r="J181" s="126"/>
      <c r="K181" s="128"/>
    </row>
    <row r="182" ht="0.75" customHeight="1"/>
    <row r="183" ht="38.25" customHeight="1"/>
    <row r="184" spans="1:16" s="455" customFormat="1" ht="46.5" customHeight="1">
      <c r="A184" s="458" t="s">
        <v>258</v>
      </c>
      <c r="B184" s="458"/>
      <c r="C184" s="457"/>
      <c r="D184" s="463" t="s">
        <v>259</v>
      </c>
      <c r="E184" s="463"/>
      <c r="F184" s="463"/>
      <c r="G184" s="463"/>
      <c r="H184" s="463"/>
      <c r="I184" s="459"/>
      <c r="J184" s="460"/>
      <c r="K184" s="461"/>
      <c r="M184" s="462"/>
      <c r="N184" s="462"/>
      <c r="O184" s="462"/>
      <c r="P184" s="462"/>
    </row>
    <row r="185" spans="1:15" s="22" customFormat="1" ht="36.75" customHeight="1">
      <c r="A185" s="26"/>
      <c r="C185" s="27"/>
      <c r="D185" s="23"/>
      <c r="F185" s="24"/>
      <c r="G185" s="24"/>
      <c r="H185" s="24"/>
      <c r="I185" s="24"/>
      <c r="J185" s="24"/>
      <c r="K185" s="25"/>
      <c r="O185" s="28"/>
    </row>
    <row r="186" spans="4:11" s="22" customFormat="1" ht="31.5" customHeight="1">
      <c r="D186" s="23"/>
      <c r="F186" s="24"/>
      <c r="G186" s="24"/>
      <c r="H186" s="24"/>
      <c r="I186" s="24"/>
      <c r="J186" s="24"/>
      <c r="K186" s="25"/>
    </row>
  </sheetData>
  <sheetProtection/>
  <mergeCells count="36">
    <mergeCell ref="D184:H184"/>
    <mergeCell ref="A184:B184"/>
    <mergeCell ref="B162:K162"/>
    <mergeCell ref="B112:K112"/>
    <mergeCell ref="H1:J1"/>
    <mergeCell ref="H2:K2"/>
    <mergeCell ref="H3:K3"/>
    <mergeCell ref="A5:K5"/>
    <mergeCell ref="A7:A10"/>
    <mergeCell ref="F7:H8"/>
    <mergeCell ref="I7:K8"/>
    <mergeCell ref="C9:C10"/>
    <mergeCell ref="D9:E9"/>
    <mergeCell ref="F9:F10"/>
    <mergeCell ref="G9:H9"/>
    <mergeCell ref="I9:I10"/>
    <mergeCell ref="J9:K9"/>
    <mergeCell ref="A76:K76"/>
    <mergeCell ref="B77:K77"/>
    <mergeCell ref="A13:K13"/>
    <mergeCell ref="B15:K15"/>
    <mergeCell ref="A40:K40"/>
    <mergeCell ref="A14:K14"/>
    <mergeCell ref="B41:K41"/>
    <mergeCell ref="B7:B10"/>
    <mergeCell ref="C7:E8"/>
    <mergeCell ref="B163:K163"/>
    <mergeCell ref="B147:K147"/>
    <mergeCell ref="B16:K16"/>
    <mergeCell ref="B42:K42"/>
    <mergeCell ref="B78:K78"/>
    <mergeCell ref="B113:K113"/>
    <mergeCell ref="A111:K111"/>
    <mergeCell ref="A145:K145"/>
    <mergeCell ref="B146:K146"/>
    <mergeCell ref="A161:K161"/>
  </mergeCells>
  <printOptions/>
  <pageMargins left="0.7086614173228347" right="0.7086614173228347" top="1.141732283464567" bottom="0.35433070866141736" header="0.31496062992125984" footer="0.31496062992125984"/>
  <pageSetup horizontalDpi="600" verticalDpi="600" orientation="landscape" paperSize="9" scale="55" r:id="rId1"/>
  <rowBreaks count="4" manualBreakCount="4">
    <brk id="39" max="10" man="1"/>
    <brk id="75" max="10" man="1"/>
    <brk id="110" max="10" man="1"/>
    <brk id="144"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P26"/>
  <sheetViews>
    <sheetView tabSelected="1" view="pageBreakPreview" zoomScaleSheetLayoutView="100" zoomScalePageLayoutView="0" workbookViewId="0" topLeftCell="A16">
      <selection activeCell="D25" sqref="D25"/>
    </sheetView>
  </sheetViews>
  <sheetFormatPr defaultColWidth="9.140625" defaultRowHeight="12.75"/>
  <cols>
    <col min="1" max="1" width="23.57421875" style="0" customWidth="1"/>
    <col min="2" max="2" width="49.57421875" style="0" customWidth="1"/>
    <col min="3" max="5" width="18.00390625" style="0" customWidth="1"/>
    <col min="6" max="8" width="15.8515625" style="0" customWidth="1"/>
    <col min="9" max="11" width="15.00390625" style="0" customWidth="1"/>
  </cols>
  <sheetData>
    <row r="1" spans="8:11" ht="16.5">
      <c r="H1" s="420" t="s">
        <v>115</v>
      </c>
      <c r="I1" s="420"/>
      <c r="J1" s="420"/>
      <c r="K1" s="29"/>
    </row>
    <row r="2" spans="8:11" ht="37.5" customHeight="1">
      <c r="H2" s="421" t="s">
        <v>86</v>
      </c>
      <c r="I2" s="421"/>
      <c r="J2" s="421"/>
      <c r="K2" s="421"/>
    </row>
    <row r="5" spans="1:11" ht="47.25" customHeight="1">
      <c r="A5" s="427" t="s">
        <v>223</v>
      </c>
      <c r="B5" s="427"/>
      <c r="C5" s="427"/>
      <c r="D5" s="427"/>
      <c r="E5" s="427"/>
      <c r="F5" s="427"/>
      <c r="G5" s="427"/>
      <c r="H5" s="427"/>
      <c r="I5" s="427"/>
      <c r="J5" s="427"/>
      <c r="K5" s="427"/>
    </row>
    <row r="6" ht="28.5" customHeight="1" thickBot="1">
      <c r="K6" s="13"/>
    </row>
    <row r="7" spans="1:11" ht="36" customHeight="1">
      <c r="A7" s="432" t="s">
        <v>32</v>
      </c>
      <c r="B7" s="435" t="s">
        <v>35</v>
      </c>
      <c r="C7" s="438" t="s">
        <v>116</v>
      </c>
      <c r="D7" s="438"/>
      <c r="E7" s="438"/>
      <c r="F7" s="439" t="s">
        <v>117</v>
      </c>
      <c r="G7" s="439"/>
      <c r="H7" s="439"/>
      <c r="I7" s="439" t="s">
        <v>109</v>
      </c>
      <c r="J7" s="439"/>
      <c r="K7" s="440"/>
    </row>
    <row r="8" spans="1:11" ht="18" customHeight="1">
      <c r="A8" s="433"/>
      <c r="B8" s="436"/>
      <c r="C8" s="441" t="s">
        <v>1</v>
      </c>
      <c r="D8" s="441" t="s">
        <v>2</v>
      </c>
      <c r="E8" s="425" t="s">
        <v>3</v>
      </c>
      <c r="F8" s="441" t="s">
        <v>1</v>
      </c>
      <c r="G8" s="441" t="s">
        <v>2</v>
      </c>
      <c r="H8" s="425" t="s">
        <v>3</v>
      </c>
      <c r="I8" s="428" t="s">
        <v>1</v>
      </c>
      <c r="J8" s="428" t="s">
        <v>2</v>
      </c>
      <c r="K8" s="430" t="s">
        <v>3</v>
      </c>
    </row>
    <row r="9" spans="1:11" ht="24" customHeight="1" thickBot="1">
      <c r="A9" s="434"/>
      <c r="B9" s="437"/>
      <c r="C9" s="437"/>
      <c r="D9" s="437"/>
      <c r="E9" s="426"/>
      <c r="F9" s="437"/>
      <c r="G9" s="437"/>
      <c r="H9" s="426"/>
      <c r="I9" s="429"/>
      <c r="J9" s="429"/>
      <c r="K9" s="431"/>
    </row>
    <row r="10" spans="1:11" ht="16.5" customHeight="1" thickBot="1">
      <c r="A10" s="50">
        <v>1</v>
      </c>
      <c r="B10" s="136"/>
      <c r="C10" s="51">
        <v>2</v>
      </c>
      <c r="D10" s="51">
        <v>3</v>
      </c>
      <c r="E10" s="52">
        <v>4</v>
      </c>
      <c r="F10" s="51">
        <v>5</v>
      </c>
      <c r="G10" s="51">
        <v>6</v>
      </c>
      <c r="H10" s="52">
        <v>7</v>
      </c>
      <c r="I10" s="51">
        <v>8</v>
      </c>
      <c r="J10" s="51">
        <v>9</v>
      </c>
      <c r="K10" s="53">
        <v>10</v>
      </c>
    </row>
    <row r="11" spans="1:11" ht="48" customHeight="1">
      <c r="A11" s="47">
        <v>712010</v>
      </c>
      <c r="B11" s="138" t="s">
        <v>202</v>
      </c>
      <c r="C11" s="54">
        <f>235955936.13/1000</f>
        <v>235955.93613</v>
      </c>
      <c r="D11" s="54">
        <f>'[1]0712010'!$J$51/1000</f>
        <v>40649.944</v>
      </c>
      <c r="E11" s="54">
        <f>C11+D11</f>
        <v>276605.88013</v>
      </c>
      <c r="F11" s="54">
        <f>'Додаток 2'!H34+'Додаток 2'!H36-'Додаток 2'!H24</f>
        <v>326373.06959999993</v>
      </c>
      <c r="G11" s="54">
        <f>'Додаток 2'!H35</f>
        <v>30260.2416</v>
      </c>
      <c r="H11" s="54">
        <f>F11+G11</f>
        <v>356633.31119999994</v>
      </c>
      <c r="I11" s="48">
        <f>F11/C11*100-100</f>
        <v>38.31949937474113</v>
      </c>
      <c r="J11" s="48">
        <f>G11/D11*100-100</f>
        <v>-25.558958703608553</v>
      </c>
      <c r="K11" s="49">
        <f>H11/E11*100-100</f>
        <v>28.93193414123678</v>
      </c>
    </row>
    <row r="12" spans="1:11" ht="36" customHeight="1">
      <c r="A12" s="41">
        <v>712030</v>
      </c>
      <c r="B12" s="139" t="s">
        <v>206</v>
      </c>
      <c r="C12" s="55">
        <f>33901542/1000</f>
        <v>33901.542</v>
      </c>
      <c r="D12" s="55">
        <f>'[1]Пологовий'!$J$51/1000</f>
        <v>157.3</v>
      </c>
      <c r="E12" s="55">
        <f aca="true" t="shared" si="0" ref="E12:E20">C12+D12</f>
        <v>34058.842000000004</v>
      </c>
      <c r="F12" s="55">
        <f>'Додаток 2'!H49+'Додаток 2'!H51</f>
        <v>45291.85919999999</v>
      </c>
      <c r="G12" s="55">
        <f>'Додаток 2'!H50</f>
        <v>1244.88</v>
      </c>
      <c r="H12" s="55">
        <f aca="true" t="shared" si="1" ref="H12:H20">F12+G12</f>
        <v>46536.73919999999</v>
      </c>
      <c r="I12" s="40">
        <f aca="true" t="shared" si="2" ref="I12:I20">F12/C12*100-100</f>
        <v>33.598227478856245</v>
      </c>
      <c r="J12" s="40">
        <f aca="true" t="shared" si="3" ref="J12:J20">G12/D12*100-100</f>
        <v>691.404958677686</v>
      </c>
      <c r="K12" s="42">
        <f aca="true" t="shared" si="4" ref="K12:K20">H12/E12*100-100</f>
        <v>36.6362931540655</v>
      </c>
    </row>
    <row r="13" spans="1:11" ht="36" customHeight="1">
      <c r="A13" s="43">
        <v>712100</v>
      </c>
      <c r="B13" s="140" t="s">
        <v>203</v>
      </c>
      <c r="C13" s="55">
        <f>6400304/1000</f>
        <v>6400.304</v>
      </c>
      <c r="D13" s="55">
        <f>'[1]МСП'!$J$51/1000</f>
        <v>5058.989</v>
      </c>
      <c r="E13" s="55">
        <f t="shared" si="0"/>
        <v>11459.293</v>
      </c>
      <c r="F13" s="55">
        <f>'Додаток 2'!H66+'Додаток 2'!H68-'Додаток 2'!H55</f>
        <v>7644.5484000000015</v>
      </c>
      <c r="G13" s="55">
        <f>'Додаток 2'!H67</f>
        <v>9641.292000000001</v>
      </c>
      <c r="H13" s="55">
        <f t="shared" si="1"/>
        <v>17285.8404</v>
      </c>
      <c r="I13" s="40">
        <f t="shared" si="2"/>
        <v>19.440395331221794</v>
      </c>
      <c r="J13" s="40">
        <f t="shared" si="3"/>
        <v>90.57744541448898</v>
      </c>
      <c r="K13" s="42">
        <f t="shared" si="4"/>
        <v>50.84560975969461</v>
      </c>
    </row>
    <row r="14" spans="1:11" ht="36" customHeight="1">
      <c r="A14" s="43">
        <v>712150</v>
      </c>
      <c r="B14" s="140" t="s">
        <v>204</v>
      </c>
      <c r="C14" s="55">
        <f>C15+C16</f>
        <v>5679.098</v>
      </c>
      <c r="D14" s="55">
        <f>D15+D16</f>
        <v>0</v>
      </c>
      <c r="E14" s="55">
        <f t="shared" si="0"/>
        <v>5679.098</v>
      </c>
      <c r="F14" s="55">
        <f>F15+F16</f>
        <v>5437.282799999999</v>
      </c>
      <c r="G14" s="55">
        <f>G15+G16</f>
        <v>0</v>
      </c>
      <c r="H14" s="55">
        <f t="shared" si="1"/>
        <v>5437.282799999999</v>
      </c>
      <c r="I14" s="40">
        <f t="shared" si="2"/>
        <v>-4.257986039332323</v>
      </c>
      <c r="J14" s="59" t="e">
        <f t="shared" si="3"/>
        <v>#DIV/0!</v>
      </c>
      <c r="K14" s="42">
        <f t="shared" si="4"/>
        <v>-4.257986039332323</v>
      </c>
    </row>
    <row r="15" spans="1:11" ht="36" customHeight="1">
      <c r="A15" s="43">
        <v>712151</v>
      </c>
      <c r="B15" s="140" t="s">
        <v>205</v>
      </c>
      <c r="C15" s="55">
        <f>1975455/1000</f>
        <v>1975.455</v>
      </c>
      <c r="D15" s="55">
        <f>'[1]0712151'!$J$51/1000</f>
        <v>0</v>
      </c>
      <c r="E15" s="55">
        <f t="shared" si="0"/>
        <v>1975.455</v>
      </c>
      <c r="F15" s="55">
        <f>'Додаток 2'!H77</f>
        <v>3122.9628</v>
      </c>
      <c r="G15" s="55">
        <v>0</v>
      </c>
      <c r="H15" s="55">
        <f t="shared" si="1"/>
        <v>3122.9628</v>
      </c>
      <c r="I15" s="40">
        <f t="shared" si="2"/>
        <v>58.08827839662254</v>
      </c>
      <c r="J15" s="59" t="e">
        <f t="shared" si="3"/>
        <v>#DIV/0!</v>
      </c>
      <c r="K15" s="42">
        <f t="shared" si="4"/>
        <v>58.08827839662254</v>
      </c>
    </row>
    <row r="16" spans="1:11" ht="36" customHeight="1">
      <c r="A16" s="43">
        <v>712152</v>
      </c>
      <c r="B16" s="140" t="s">
        <v>212</v>
      </c>
      <c r="C16" s="55">
        <f>3703643/1000</f>
        <v>3703.643</v>
      </c>
      <c r="D16" s="55">
        <v>0</v>
      </c>
      <c r="E16" s="55">
        <f t="shared" si="0"/>
        <v>3703.643</v>
      </c>
      <c r="F16" s="55">
        <f>'Додаток 2'!H24+'Додаток 2'!H55</f>
        <v>2314.3199999999997</v>
      </c>
      <c r="G16" s="55">
        <v>0</v>
      </c>
      <c r="H16" s="55">
        <f t="shared" si="1"/>
        <v>2314.3199999999997</v>
      </c>
      <c r="I16" s="40">
        <f t="shared" si="2"/>
        <v>-37.512335827184216</v>
      </c>
      <c r="J16" s="59" t="e">
        <f t="shared" si="3"/>
        <v>#DIV/0!</v>
      </c>
      <c r="K16" s="42">
        <f t="shared" si="4"/>
        <v>-37.512335827184216</v>
      </c>
    </row>
    <row r="17" spans="1:11" ht="36" customHeight="1">
      <c r="A17" s="43">
        <v>712140</v>
      </c>
      <c r="B17" s="140" t="s">
        <v>216</v>
      </c>
      <c r="C17" s="55">
        <f>C18+C19</f>
        <v>15733</v>
      </c>
      <c r="D17" s="55">
        <f>D18+D19</f>
        <v>0</v>
      </c>
      <c r="E17" s="55">
        <f t="shared" si="0"/>
        <v>15733</v>
      </c>
      <c r="F17" s="55">
        <f>F18+F19</f>
        <v>23500</v>
      </c>
      <c r="G17" s="55">
        <f>G18+G19</f>
        <v>0</v>
      </c>
      <c r="H17" s="55">
        <f t="shared" si="1"/>
        <v>23500</v>
      </c>
      <c r="I17" s="40">
        <f t="shared" si="2"/>
        <v>49.36757134685058</v>
      </c>
      <c r="J17" s="59" t="e">
        <f t="shared" si="3"/>
        <v>#DIV/0!</v>
      </c>
      <c r="K17" s="42">
        <f t="shared" si="4"/>
        <v>49.36757134685058</v>
      </c>
    </row>
    <row r="18" spans="1:11" ht="36" customHeight="1">
      <c r="A18" s="43">
        <v>712144</v>
      </c>
      <c r="B18" s="140" t="s">
        <v>213</v>
      </c>
      <c r="C18" s="55">
        <f>8830400/1000</f>
        <v>8830.4</v>
      </c>
      <c r="D18" s="55">
        <f>'[1]інсуліни'!$J$51/1000</f>
        <v>0</v>
      </c>
      <c r="E18" s="55">
        <f t="shared" si="0"/>
        <v>8830.4</v>
      </c>
      <c r="F18" s="55">
        <f>'Додаток 2'!H70</f>
        <v>14500</v>
      </c>
      <c r="G18" s="55">
        <v>0</v>
      </c>
      <c r="H18" s="55">
        <f t="shared" si="1"/>
        <v>14500</v>
      </c>
      <c r="I18" s="40">
        <f t="shared" si="2"/>
        <v>64.20547200579816</v>
      </c>
      <c r="J18" s="59" t="e">
        <f t="shared" si="3"/>
        <v>#DIV/0!</v>
      </c>
      <c r="K18" s="42">
        <f t="shared" si="4"/>
        <v>64.20547200579816</v>
      </c>
    </row>
    <row r="19" spans="1:11" ht="36" customHeight="1">
      <c r="A19" s="43">
        <v>712146</v>
      </c>
      <c r="B19" s="140" t="s">
        <v>214</v>
      </c>
      <c r="C19" s="55">
        <f>6902600/1000</f>
        <v>6902.6</v>
      </c>
      <c r="D19" s="55">
        <f>'[1]доступні ліки'!$J$51/1000</f>
        <v>0</v>
      </c>
      <c r="E19" s="55">
        <f t="shared" si="0"/>
        <v>6902.6</v>
      </c>
      <c r="F19" s="55">
        <f>'Додаток 2'!H71</f>
        <v>9000</v>
      </c>
      <c r="G19" s="55">
        <v>0</v>
      </c>
      <c r="H19" s="55">
        <f t="shared" si="1"/>
        <v>9000</v>
      </c>
      <c r="I19" s="40">
        <f t="shared" si="2"/>
        <v>30.38565178338598</v>
      </c>
      <c r="J19" s="59" t="e">
        <f t="shared" si="3"/>
        <v>#DIV/0!</v>
      </c>
      <c r="K19" s="42">
        <f t="shared" si="4"/>
        <v>30.38565178338598</v>
      </c>
    </row>
    <row r="20" spans="1:11" ht="73.5" customHeight="1" thickBot="1">
      <c r="A20" s="44">
        <v>712111</v>
      </c>
      <c r="B20" s="148" t="s">
        <v>215</v>
      </c>
      <c r="C20" s="56">
        <f>25296899.56/1000</f>
        <v>25296.899559999998</v>
      </c>
      <c r="D20" s="56">
        <f>'[1]0712111'!$J$51/1000+'[1]0712152'!$J$51/1000</f>
        <v>3573.496</v>
      </c>
      <c r="E20" s="56">
        <f t="shared" si="0"/>
        <v>28870.395559999997</v>
      </c>
      <c r="F20" s="56">
        <f>'Додаток 2'!H14+'Додаток 2'!H13+'Додаток 2'!H12</f>
        <v>18576</v>
      </c>
      <c r="G20" s="56">
        <f>'Додаток 2'!H15</f>
        <v>3600</v>
      </c>
      <c r="H20" s="56">
        <f t="shared" si="1"/>
        <v>22176</v>
      </c>
      <c r="I20" s="45">
        <f t="shared" si="2"/>
        <v>-26.568076234240294</v>
      </c>
      <c r="J20" s="45">
        <f t="shared" si="3"/>
        <v>0.7416826547448068</v>
      </c>
      <c r="K20" s="46">
        <f t="shared" si="4"/>
        <v>-23.187751432388055</v>
      </c>
    </row>
    <row r="21" spans="1:11" ht="39.75" customHeight="1" thickBot="1">
      <c r="A21" s="57" t="s">
        <v>118</v>
      </c>
      <c r="B21" s="137"/>
      <c r="C21" s="58">
        <f>C11++C12+C13+C14+C17+C20</f>
        <v>322966.77969</v>
      </c>
      <c r="D21" s="58">
        <f>D11++D12+D13+D14+D17+D20</f>
        <v>49439.72900000001</v>
      </c>
      <c r="E21" s="58">
        <f>E11++E12+E13+E14+E17+E20</f>
        <v>372406.50869</v>
      </c>
      <c r="F21" s="58">
        <f>F11+F12+F13+F14+F17+F20</f>
        <v>426822.75999999995</v>
      </c>
      <c r="G21" s="58">
        <f>G11+G12+G13+G14+G17+G20</f>
        <v>44746.4136</v>
      </c>
      <c r="H21" s="58">
        <f>H11+H12+H13+H14+H17+H20</f>
        <v>471569.1735999999</v>
      </c>
      <c r="I21" s="45">
        <f>F21/C21*100-100</f>
        <v>32.156861584862156</v>
      </c>
      <c r="J21" s="45">
        <f>G21/D21*100-100</f>
        <v>-9.493003895713116</v>
      </c>
      <c r="K21" s="46">
        <f>H21/E21*100-100</f>
        <v>26.627532708496588</v>
      </c>
    </row>
    <row r="22" ht="26.25" customHeight="1"/>
    <row r="23" ht="30" customHeight="1"/>
    <row r="24" spans="1:16" s="153" customFormat="1" ht="25.5" customHeight="1">
      <c r="A24" s="283" t="s">
        <v>258</v>
      </c>
      <c r="B24" s="283"/>
      <c r="C24" s="464"/>
      <c r="D24" s="465" t="s">
        <v>259</v>
      </c>
      <c r="E24" s="465"/>
      <c r="F24" s="465"/>
      <c r="G24" s="465"/>
      <c r="H24" s="465"/>
      <c r="I24" s="172"/>
      <c r="J24" s="173"/>
      <c r="K24" s="176"/>
      <c r="M24" s="245"/>
      <c r="N24" s="245"/>
      <c r="O24" s="245"/>
      <c r="P24" s="245"/>
    </row>
    <row r="25" spans="1:16" s="22" customFormat="1" ht="30" customHeight="1">
      <c r="A25" s="18"/>
      <c r="B25" s="18"/>
      <c r="C25" s="2"/>
      <c r="D25" s="11"/>
      <c r="E25" s="9"/>
      <c r="F25" s="2"/>
      <c r="G25" s="10"/>
      <c r="H25" s="10"/>
      <c r="I25" s="10"/>
      <c r="J25" s="10"/>
      <c r="K25" s="10"/>
      <c r="L25" s="25"/>
      <c r="P25" s="28"/>
    </row>
    <row r="26" spans="1:12" s="22" customFormat="1" ht="31.5" customHeight="1">
      <c r="A26" s="2"/>
      <c r="B26" s="2"/>
      <c r="C26" s="2"/>
      <c r="D26" s="2"/>
      <c r="E26" s="9"/>
      <c r="F26" s="2"/>
      <c r="G26" s="10"/>
      <c r="H26" s="10"/>
      <c r="I26" s="10"/>
      <c r="J26" s="10"/>
      <c r="K26" s="10"/>
      <c r="L26" s="25"/>
    </row>
  </sheetData>
  <sheetProtection/>
  <mergeCells count="19">
    <mergeCell ref="A24:B24"/>
    <mergeCell ref="D24:H24"/>
    <mergeCell ref="H1:J1"/>
    <mergeCell ref="H2:K2"/>
    <mergeCell ref="C7:E7"/>
    <mergeCell ref="F7:H7"/>
    <mergeCell ref="I7:K7"/>
    <mergeCell ref="C8:C9"/>
    <mergeCell ref="D8:D9"/>
    <mergeCell ref="E8:E9"/>
    <mergeCell ref="F8:F9"/>
    <mergeCell ref="G8:G9"/>
    <mergeCell ref="H8:H9"/>
    <mergeCell ref="A5:K5"/>
    <mergeCell ref="I8:I9"/>
    <mergeCell ref="J8:J9"/>
    <mergeCell ref="K8:K9"/>
    <mergeCell ref="A7:A9"/>
    <mergeCell ref="B7:B9"/>
  </mergeCells>
  <printOptions/>
  <pageMargins left="0.7086614173228347" right="0.7086614173228347" top="1.141732283464567" bottom="0.5511811023622047" header="0.31496062992125984" footer="0.31496062992125984"/>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tabColor rgb="FFFFC000"/>
  </sheetPr>
  <dimension ref="A1:C15"/>
  <sheetViews>
    <sheetView zoomScalePageLayoutView="0" workbookViewId="0" topLeftCell="A1">
      <selection activeCell="A1" sqref="A1:C15"/>
    </sheetView>
  </sheetViews>
  <sheetFormatPr defaultColWidth="9.140625" defaultRowHeight="12.75"/>
  <cols>
    <col min="1" max="1" width="4.8515625" style="0" customWidth="1"/>
    <col min="2" max="2" width="45.00390625" style="0" customWidth="1"/>
    <col min="3" max="3" width="50.421875" style="0" customWidth="1"/>
  </cols>
  <sheetData>
    <row r="1" spans="2:3" ht="60.75" customHeight="1">
      <c r="B1" s="449" t="s">
        <v>201</v>
      </c>
      <c r="C1" s="449"/>
    </row>
    <row r="2" spans="1:3" ht="19.5" thickBot="1">
      <c r="A2" s="448"/>
      <c r="B2" s="448"/>
      <c r="C2" s="448"/>
    </row>
    <row r="3" spans="1:3" ht="41.25" customHeight="1" thickBot="1">
      <c r="A3" s="132" t="s">
        <v>180</v>
      </c>
      <c r="B3" s="133" t="s">
        <v>181</v>
      </c>
      <c r="C3" s="133" t="s">
        <v>182</v>
      </c>
    </row>
    <row r="4" spans="1:3" ht="28.5" customHeight="1">
      <c r="A4" s="442" t="s">
        <v>183</v>
      </c>
      <c r="B4" s="444" t="s">
        <v>184</v>
      </c>
      <c r="C4" s="129" t="s">
        <v>185</v>
      </c>
    </row>
    <row r="5" spans="1:3" ht="139.5" customHeight="1" thickBot="1">
      <c r="A5" s="443"/>
      <c r="B5" s="445"/>
      <c r="C5" s="130" t="s">
        <v>186</v>
      </c>
    </row>
    <row r="6" spans="1:3" ht="33.75" customHeight="1" thickBot="1">
      <c r="A6" s="131" t="s">
        <v>173</v>
      </c>
      <c r="B6" s="130" t="s">
        <v>187</v>
      </c>
      <c r="C6" s="134" t="s">
        <v>188</v>
      </c>
    </row>
    <row r="7" spans="1:3" ht="40.5" customHeight="1" thickBot="1">
      <c r="A7" s="131" t="s">
        <v>174</v>
      </c>
      <c r="B7" s="130" t="s">
        <v>189</v>
      </c>
      <c r="C7" s="130" t="s">
        <v>172</v>
      </c>
    </row>
    <row r="8" spans="1:3" ht="18" customHeight="1" thickBot="1">
      <c r="A8" s="131" t="s">
        <v>175</v>
      </c>
      <c r="B8" s="130" t="s">
        <v>190</v>
      </c>
      <c r="C8" s="134" t="s">
        <v>188</v>
      </c>
    </row>
    <row r="9" spans="1:3" ht="45" customHeight="1" thickBot="1">
      <c r="A9" s="131" t="s">
        <v>176</v>
      </c>
      <c r="B9" s="130" t="s">
        <v>191</v>
      </c>
      <c r="C9" s="130" t="s">
        <v>172</v>
      </c>
    </row>
    <row r="10" spans="1:3" ht="36.75" customHeight="1" thickBot="1">
      <c r="A10" s="131" t="s">
        <v>178</v>
      </c>
      <c r="B10" s="130" t="s">
        <v>192</v>
      </c>
      <c r="C10" s="130" t="s">
        <v>193</v>
      </c>
    </row>
    <row r="11" spans="1:3" ht="43.5" customHeight="1" thickBot="1">
      <c r="A11" s="131" t="s">
        <v>179</v>
      </c>
      <c r="B11" s="130" t="s">
        <v>194</v>
      </c>
      <c r="C11" s="130" t="s">
        <v>177</v>
      </c>
    </row>
    <row r="12" spans="1:3" ht="48.75" customHeight="1">
      <c r="A12" s="442" t="s">
        <v>195</v>
      </c>
      <c r="B12" s="444" t="s">
        <v>196</v>
      </c>
      <c r="C12" s="129" t="s">
        <v>197</v>
      </c>
    </row>
    <row r="13" spans="1:3" ht="22.5" customHeight="1">
      <c r="A13" s="446"/>
      <c r="B13" s="447"/>
      <c r="C13" s="129" t="s">
        <v>198</v>
      </c>
    </row>
    <row r="14" spans="1:3" ht="22.5" customHeight="1">
      <c r="A14" s="446"/>
      <c r="B14" s="447"/>
      <c r="C14" s="129" t="s">
        <v>199</v>
      </c>
    </row>
    <row r="15" spans="1:3" ht="22.5" customHeight="1" thickBot="1">
      <c r="A15" s="443"/>
      <c r="B15" s="445"/>
      <c r="C15" s="130" t="s">
        <v>200</v>
      </c>
    </row>
  </sheetData>
  <sheetProtection/>
  <mergeCells count="6">
    <mergeCell ref="A4:A5"/>
    <mergeCell ref="B4:B5"/>
    <mergeCell ref="A12:A15"/>
    <mergeCell ref="B12:B15"/>
    <mergeCell ref="A2:C2"/>
    <mergeCell ref="B1:C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5:G9"/>
  <sheetViews>
    <sheetView zoomScalePageLayoutView="0" workbookViewId="0" topLeftCell="A1">
      <selection activeCell="A5" sqref="A5:G9"/>
    </sheetView>
  </sheetViews>
  <sheetFormatPr defaultColWidth="9.140625" defaultRowHeight="12.75"/>
  <cols>
    <col min="1" max="1" width="18.00390625" style="0" customWidth="1"/>
    <col min="2" max="2" width="9.140625" style="0" hidden="1" customWidth="1"/>
    <col min="3" max="3" width="26.00390625" style="0" customWidth="1"/>
    <col min="4" max="4" width="10.421875" style="0" customWidth="1"/>
    <col min="5" max="7" width="9.7109375" style="0" customWidth="1"/>
  </cols>
  <sheetData>
    <row r="5" ht="13.5" thickBot="1">
      <c r="G5" s="13" t="s">
        <v>250</v>
      </c>
    </row>
    <row r="6" spans="1:7" ht="47.25" customHeight="1" thickBot="1">
      <c r="A6" s="450" t="s">
        <v>113</v>
      </c>
      <c r="B6" s="451"/>
      <c r="C6" s="246"/>
      <c r="D6" s="267">
        <v>1531327.7698415695</v>
      </c>
      <c r="E6" s="267">
        <v>471569.1736</v>
      </c>
      <c r="F6" s="267">
        <v>512130.18667160004</v>
      </c>
      <c r="G6" s="267">
        <v>547628.4095699694</v>
      </c>
    </row>
    <row r="7" spans="1:7" ht="34.5" customHeight="1">
      <c r="A7" s="452" t="s">
        <v>65</v>
      </c>
      <c r="B7" s="452"/>
      <c r="C7" s="271" t="s">
        <v>57</v>
      </c>
      <c r="D7" s="268">
        <v>484199.0546028771</v>
      </c>
      <c r="E7" s="268">
        <v>149803.32</v>
      </c>
      <c r="F7" s="268">
        <v>161979.6129</v>
      </c>
      <c r="G7" s="268">
        <v>172416.12170287705</v>
      </c>
    </row>
    <row r="8" spans="1:7" ht="36.75" customHeight="1">
      <c r="A8" s="452"/>
      <c r="B8" s="452"/>
      <c r="C8" s="272" t="s">
        <v>63</v>
      </c>
      <c r="D8" s="269">
        <v>144362.99588793243</v>
      </c>
      <c r="E8" s="269">
        <v>44746.4136</v>
      </c>
      <c r="F8" s="269">
        <v>48262.9822116</v>
      </c>
      <c r="G8" s="269">
        <v>51353.600076332405</v>
      </c>
    </row>
    <row r="9" spans="1:7" ht="61.5" customHeight="1" thickBot="1">
      <c r="A9" s="452"/>
      <c r="B9" s="452"/>
      <c r="C9" s="273" t="s">
        <v>71</v>
      </c>
      <c r="D9" s="270">
        <v>902765.71935076</v>
      </c>
      <c r="E9" s="270">
        <v>277019.43999999994</v>
      </c>
      <c r="F9" s="270">
        <v>301887.59156000003</v>
      </c>
      <c r="G9" s="270">
        <v>323858.68779075996</v>
      </c>
    </row>
  </sheetData>
  <sheetProtection/>
  <mergeCells count="2">
    <mergeCell ref="A6:B6"/>
    <mergeCell ref="A7:B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2018-12-10T14:02:00Z</cp:lastPrinted>
  <dcterms:created xsi:type="dcterms:W3CDTF">1996-10-08T23:32:33Z</dcterms:created>
  <dcterms:modified xsi:type="dcterms:W3CDTF">2018-12-10T14:04:01Z</dcterms:modified>
  <cp:category/>
  <cp:version/>
  <cp:contentType/>
  <cp:contentStatus/>
</cp:coreProperties>
</file>