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B32" i="2"/>
  <c r="K98" i="1"/>
  <c r="K97"/>
  <c r="I98"/>
  <c r="I97"/>
  <c r="K23"/>
  <c r="I339"/>
  <c r="I73"/>
  <c r="C23" i="2"/>
  <c r="H23" s="1"/>
  <c r="I379" i="1"/>
  <c r="I380" s="1"/>
  <c r="I381" s="1"/>
  <c r="I159"/>
  <c r="I149"/>
  <c r="I240"/>
  <c r="I241"/>
  <c r="I412"/>
  <c r="I414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2"/>
  <c r="I343"/>
  <c r="I344"/>
  <c r="I345"/>
  <c r="I340"/>
  <c r="B10" i="2"/>
  <c r="B9"/>
  <c r="J23" i="1"/>
  <c r="I326"/>
  <c r="I324"/>
  <c r="I323"/>
  <c r="I322"/>
  <c r="I329" s="1"/>
  <c r="I284"/>
  <c r="I285"/>
  <c r="I287" s="1"/>
  <c r="I288" s="1"/>
  <c r="I251"/>
  <c r="I249"/>
  <c r="I255"/>
  <c r="I258" s="1"/>
  <c r="I248"/>
  <c r="I242"/>
  <c r="I202"/>
  <c r="I203" s="1"/>
  <c r="I218"/>
  <c r="I200"/>
  <c r="I201"/>
  <c r="I221"/>
  <c r="I178"/>
  <c r="I179" s="1"/>
  <c r="I176"/>
  <c r="I177" s="1"/>
  <c r="I160"/>
  <c r="I161"/>
  <c r="I150"/>
  <c r="I151"/>
  <c r="I119"/>
  <c r="I115"/>
  <c r="I116" s="1"/>
  <c r="I295"/>
  <c r="I296" s="1"/>
  <c r="I9"/>
  <c r="I369" s="1"/>
  <c r="I252"/>
  <c r="I225"/>
  <c r="I226"/>
  <c r="I169"/>
  <c r="I109"/>
  <c r="I72"/>
  <c r="I71"/>
  <c r="I70"/>
  <c r="I403"/>
  <c r="I405" s="1"/>
  <c r="I347"/>
  <c r="I348"/>
  <c r="I349"/>
  <c r="I356"/>
  <c r="I357"/>
  <c r="I353"/>
  <c r="I223"/>
  <c r="I224" s="1"/>
  <c r="I227" s="1"/>
  <c r="I338"/>
  <c r="I244"/>
  <c r="I110"/>
  <c r="I111" s="1"/>
  <c r="I170"/>
  <c r="I174" s="1"/>
  <c r="I341"/>
  <c r="I222"/>
  <c r="I272"/>
  <c r="I273" s="1"/>
  <c r="I74"/>
  <c r="I75" s="1"/>
  <c r="I254"/>
  <c r="I257" s="1"/>
  <c r="I375"/>
  <c r="I376" s="1"/>
  <c r="I328"/>
  <c r="I331" s="1"/>
  <c r="I198"/>
  <c r="I199" s="1"/>
  <c r="I135"/>
  <c r="I138" s="1"/>
  <c r="I137"/>
  <c r="I415"/>
  <c r="I416"/>
  <c r="I417"/>
  <c r="I418"/>
  <c r="K419" s="1"/>
  <c r="J419" s="1"/>
  <c r="I419" s="1"/>
  <c r="I136"/>
  <c r="I139" s="1"/>
  <c r="I395"/>
  <c r="I396"/>
  <c r="C16" i="2"/>
  <c r="H16" s="1"/>
  <c r="I253" i="1"/>
  <c r="I256"/>
  <c r="I286"/>
  <c r="I382"/>
  <c r="I321"/>
  <c r="I327"/>
  <c r="I336"/>
  <c r="I337"/>
  <c r="I262"/>
  <c r="I330"/>
  <c r="I397"/>
  <c r="I398"/>
  <c r="I399" s="1"/>
  <c r="I400" s="1"/>
  <c r="C20" i="2"/>
  <c r="H20"/>
  <c r="C19"/>
  <c r="H19"/>
  <c r="I162" i="1"/>
  <c r="I163"/>
  <c r="I164" s="1"/>
  <c r="I165" s="1"/>
  <c r="K166" s="1"/>
  <c r="J166" s="1"/>
  <c r="I166" s="1"/>
  <c r="C17" i="2" s="1"/>
  <c r="H17" s="1"/>
  <c r="I152" i="1"/>
  <c r="I153"/>
  <c r="I155" s="1"/>
  <c r="K156" s="1"/>
  <c r="J156" s="1"/>
  <c r="C25" i="2"/>
  <c r="H25"/>
  <c r="I154" i="1"/>
  <c r="C15" i="2"/>
  <c r="H15" s="1"/>
  <c r="I140" i="1" l="1"/>
  <c r="I141" s="1"/>
  <c r="I274"/>
  <c r="I276" s="1"/>
  <c r="I275"/>
  <c r="I112"/>
  <c r="I121"/>
  <c r="I406"/>
  <c r="I407" s="1"/>
  <c r="I297"/>
  <c r="I299" s="1"/>
  <c r="I298"/>
  <c r="C27" i="2"/>
  <c r="H27" s="1"/>
  <c r="I378" i="1"/>
  <c r="I383"/>
  <c r="I377"/>
  <c r="I76"/>
  <c r="I79"/>
  <c r="I183"/>
  <c r="I175"/>
  <c r="I180" s="1"/>
  <c r="I229"/>
  <c r="I228"/>
  <c r="I289"/>
  <c r="I290"/>
  <c r="K291" s="1"/>
  <c r="J291" s="1"/>
  <c r="I332"/>
  <c r="I359"/>
  <c r="I92"/>
  <c r="I93" s="1"/>
  <c r="I96"/>
  <c r="I333"/>
  <c r="I259"/>
  <c r="I204"/>
  <c r="I207"/>
  <c r="C11" i="2"/>
  <c r="I230" i="1"/>
  <c r="I231" s="1"/>
  <c r="I305"/>
  <c r="I142" l="1"/>
  <c r="I143" s="1"/>
  <c r="I232"/>
  <c r="I234" s="1"/>
  <c r="I233"/>
  <c r="I235" s="1"/>
  <c r="I182"/>
  <c r="I184"/>
  <c r="I181"/>
  <c r="I409"/>
  <c r="K410" s="1"/>
  <c r="J410" s="1"/>
  <c r="I410" s="1"/>
  <c r="I408"/>
  <c r="I260"/>
  <c r="I263" s="1"/>
  <c r="I261"/>
  <c r="I78"/>
  <c r="I77"/>
  <c r="I80" s="1"/>
  <c r="I384"/>
  <c r="I385" s="1"/>
  <c r="I300"/>
  <c r="I301" s="1"/>
  <c r="K302" s="1"/>
  <c r="J302" s="1"/>
  <c r="I113"/>
  <c r="I120"/>
  <c r="I122"/>
  <c r="I277"/>
  <c r="I278"/>
  <c r="I279" s="1"/>
  <c r="I306"/>
  <c r="I309" s="1"/>
  <c r="I307"/>
  <c r="I205"/>
  <c r="I208" s="1"/>
  <c r="I206"/>
  <c r="I334"/>
  <c r="I335"/>
  <c r="I94"/>
  <c r="I95"/>
  <c r="I99"/>
  <c r="I209" l="1"/>
  <c r="I211" s="1"/>
  <c r="I310"/>
  <c r="I311" s="1"/>
  <c r="I386"/>
  <c r="I387"/>
  <c r="I264"/>
  <c r="I266" s="1"/>
  <c r="I265"/>
  <c r="I267" s="1"/>
  <c r="I144"/>
  <c r="I145" s="1"/>
  <c r="K146" s="1"/>
  <c r="J146" s="1"/>
  <c r="I81"/>
  <c r="I82"/>
  <c r="I100"/>
  <c r="I101"/>
  <c r="I358"/>
  <c r="I360" s="1"/>
  <c r="I123"/>
  <c r="I124"/>
  <c r="C26" i="2"/>
  <c r="H26" s="1"/>
  <c r="I186" i="1"/>
  <c r="I188" s="1"/>
  <c r="I185"/>
  <c r="I187" s="1"/>
  <c r="I237"/>
  <c r="I238" s="1"/>
  <c r="I236"/>
  <c r="I312" l="1"/>
  <c r="I313" s="1"/>
  <c r="I125"/>
  <c r="I126"/>
  <c r="I361"/>
  <c r="I362"/>
  <c r="I189"/>
  <c r="I190" s="1"/>
  <c r="I191" s="1"/>
  <c r="I102"/>
  <c r="I103"/>
  <c r="I83"/>
  <c r="I84" s="1"/>
  <c r="I268"/>
  <c r="I269"/>
  <c r="I270" s="1"/>
  <c r="I388"/>
  <c r="I389"/>
  <c r="K390" s="1"/>
  <c r="J390" s="1"/>
  <c r="I390" s="1"/>
  <c r="I210"/>
  <c r="I212" s="1"/>
  <c r="I85" l="1"/>
  <c r="I86" s="1"/>
  <c r="I87" s="1"/>
  <c r="I314"/>
  <c r="I315" s="1"/>
  <c r="K316" s="1"/>
  <c r="J316" s="1"/>
  <c r="I316" s="1"/>
  <c r="C21" i="2" s="1"/>
  <c r="H21" s="1"/>
  <c r="I213" i="1"/>
  <c r="I214"/>
  <c r="I215" s="1"/>
  <c r="J280" s="1"/>
  <c r="I280" s="1"/>
  <c r="C18" i="2" s="1"/>
  <c r="H18" s="1"/>
  <c r="C24"/>
  <c r="H24" s="1"/>
  <c r="I104" i="1"/>
  <c r="I105" s="1"/>
  <c r="I106" s="1"/>
  <c r="I364"/>
  <c r="I363"/>
  <c r="I128"/>
  <c r="I129" s="1"/>
  <c r="I127"/>
  <c r="J130" l="1"/>
  <c r="I130" s="1"/>
  <c r="I365"/>
  <c r="I366" s="1"/>
  <c r="K367" s="1"/>
  <c r="J367" s="1"/>
  <c r="I367" s="1"/>
  <c r="C22" i="2" l="1"/>
  <c r="H22" s="1"/>
  <c r="J370" i="1"/>
  <c r="I420"/>
  <c r="C14" i="2"/>
  <c r="C28" l="1"/>
  <c r="H14"/>
  <c r="H28" s="1"/>
</calcChain>
</file>

<file path=xl/sharedStrings.xml><?xml version="1.0" encoding="utf-8"?>
<sst xmlns="http://schemas.openxmlformats.org/spreadsheetml/2006/main" count="905" uniqueCount="372">
  <si>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</si>
  <si>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</si>
  <si>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</si>
  <si>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</si>
  <si>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</si>
  <si>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</si>
  <si>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</si>
  <si>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</si>
  <si>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</si>
  <si>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</si>
  <si>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</si>
  <si>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</si>
  <si>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</si>
  <si>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</si>
  <si>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</si>
  <si>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</si>
  <si>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</si>
  <si>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</si>
  <si>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</si>
  <si>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</si>
  <si>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</si>
  <si>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</si>
  <si>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</si>
  <si>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</si>
  <si>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</si>
  <si>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</si>
  <si>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</si>
  <si>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</si>
  <si>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</si>
  <si>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</si>
  <si>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</si>
  <si>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</si>
  <si>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</si>
  <si>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</si>
  <si>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</si>
  <si>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</si>
  <si>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</si>
  <si>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</si>
  <si>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</si>
  <si>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</si>
  <si>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</si>
  <si>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</si>
  <si>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</si>
  <si>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</si>
  <si>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</si>
  <si>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</si>
  <si>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</si>
  <si>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</si>
  <si>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</si>
  <si>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</si>
  <si>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</si>
  <si>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</si>
  <si>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</si>
  <si>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</si>
  <si>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</si>
  <si>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</si>
  <si>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</si>
  <si>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</si>
  <si>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</si>
  <si>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</si>
  <si>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</si>
  <si>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</si>
  <si>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</si>
  <si>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</si>
  <si>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</si>
  <si>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</si>
  <si>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</si>
  <si>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</si>
  <si>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</si>
  <si>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</si>
  <si>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</si>
  <si>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</si>
  <si>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</si>
  <si>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</si>
  <si>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</si>
  <si>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</si>
  <si>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</si>
  <si>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</si>
  <si>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</si>
  <si>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</si>
  <si>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</si>
  <si>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</si>
  <si>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</si>
  <si>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</si>
  <si>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</si>
  <si>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</si>
  <si>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</si>
  <si>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</si>
  <si>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</si>
  <si>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</si>
  <si>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</si>
  <si>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</si>
  <si>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</si>
  <si>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</si>
  <si>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</si>
  <si>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</si>
  <si>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</si>
  <si>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</si>
  <si>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</si>
  <si>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</si>
  <si>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</si>
  <si>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</si>
  <si>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</si>
  <si>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</si>
  <si>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</si>
  <si>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</si>
  <si>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</si>
  <si>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</si>
  <si>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</si>
  <si>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</si>
  <si>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</si>
  <si>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</si>
  <si>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</si>
  <si>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</si>
  <si>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</si>
  <si>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</si>
  <si>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</si>
  <si>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</si>
  <si>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</si>
  <si>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</si>
  <si>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</si>
  <si>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</si>
  <si>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</si>
  <si>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</si>
  <si>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</si>
  <si>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</si>
  <si>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</si>
  <si>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</si>
  <si>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</si>
  <si>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</si>
  <si>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</si>
  <si>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</si>
  <si>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</si>
  <si>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</si>
  <si>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</si>
  <si>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</si>
  <si>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</si>
  <si>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</si>
  <si>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</si>
  <si>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</si>
  <si>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</si>
  <si>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</si>
  <si>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</si>
  <si>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</si>
  <si>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</si>
  <si>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</si>
  <si>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</si>
  <si>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</si>
  <si>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</si>
  <si>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</si>
  <si>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</si>
  <si>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</si>
  <si>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</si>
  <si>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</si>
  <si>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</si>
  <si>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</si>
  <si>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</si>
  <si>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</si>
  <si>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</si>
  <si>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</si>
  <si>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</si>
  <si>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</si>
  <si>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</si>
  <si>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</si>
  <si>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</si>
  <si>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</si>
  <si>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</si>
  <si>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</si>
  <si>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</si>
  <si>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</si>
  <si>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</si>
  <si>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</si>
  <si>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</si>
  <si>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</si>
  <si>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</si>
  <si>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</si>
  <si>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</si>
  <si>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</si>
  <si>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</si>
  <si>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</si>
  <si>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</si>
  <si>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</si>
  <si>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</si>
  <si>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</si>
  <si>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</si>
  <si>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</si>
  <si>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</si>
  <si>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</si>
  <si>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</si>
  <si>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</si>
  <si>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</si>
  <si>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</si>
  <si>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</si>
  <si>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</si>
  <si>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</si>
  <si>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</si>
  <si>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</si>
  <si>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</si>
  <si>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</si>
  <si>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</si>
  <si>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</si>
  <si>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</si>
  <si>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</si>
  <si>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</si>
  <si>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</si>
  <si>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</si>
  <si>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</si>
  <si>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</si>
  <si>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</si>
  <si>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</si>
  <si>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</si>
  <si>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</si>
  <si>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</si>
  <si>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</si>
  <si>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</si>
  <si>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</si>
  <si>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</si>
  <si>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</si>
  <si>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</si>
  <si>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</si>
  <si>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</si>
  <si>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</si>
  <si>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</si>
  <si>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</si>
  <si>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</si>
  <si>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</si>
  <si>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</si>
  <si>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</si>
  <si>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</si>
  <si>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</si>
  <si>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</si>
  <si>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</si>
  <si>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</si>
  <si>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</si>
  <si>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</si>
  <si>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</si>
  <si>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</si>
  <si>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</si>
  <si>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</si>
  <si>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</si>
  <si>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</si>
  <si>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</si>
  <si>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</si>
  <si>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</si>
  <si>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</si>
  <si>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</si>
  <si>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</si>
  <si>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</si>
  <si>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</si>
  <si>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</si>
  <si>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</si>
  <si>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</si>
  <si>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</si>
  <si>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</si>
  <si>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</si>
  <si>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</si>
  <si>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</si>
  <si>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</si>
  <si>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</si>
  <si>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</si>
  <si>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</si>
  <si>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</si>
  <si>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</si>
  <si>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</si>
  <si>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</si>
  <si>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</si>
  <si>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</si>
  <si>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</si>
  <si>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</si>
  <si>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</si>
  <si>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</si>
  <si>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</si>
  <si>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</si>
  <si>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</si>
  <si>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</si>
  <si>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</si>
  <si>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</si>
  <si>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</si>
  <si>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</si>
  <si>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</si>
  <si>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</si>
  <si>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</si>
  <si>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</si>
  <si>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</si>
  <si>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</si>
  <si>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</si>
  <si>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</si>
  <si>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</si>
  <si>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</si>
  <si>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</si>
  <si>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</si>
  <si>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</si>
  <si>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</si>
  <si>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</si>
  <si>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</si>
  <si>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</si>
  <si>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</si>
  <si>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</si>
  <si>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</si>
  <si>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</si>
  <si>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</si>
  <si>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</si>
  <si>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</si>
  <si>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</si>
  <si>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</si>
  <si>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</si>
  <si>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</si>
  <si>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</si>
  <si>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</si>
  <si>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</si>
  <si>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</si>
  <si>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</si>
  <si>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</si>
  <si>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</si>
  <si>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</si>
  <si>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</si>
  <si>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</si>
  <si>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</si>
  <si>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</si>
  <si>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</si>
  <si>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</si>
  <si>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</si>
  <si>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</si>
  <si>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</si>
  <si>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</si>
  <si>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</si>
  <si>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</si>
  <si>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</si>
  <si>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</si>
  <si>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</si>
  <si>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</si>
  <si>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</si>
  <si>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</si>
  <si>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</si>
  <si>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</si>
  <si>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</si>
  <si>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</si>
  <si>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</si>
  <si>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</si>
  <si>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</si>
  <si>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</si>
  <si>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</si>
  <si>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</si>
  <si>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</si>
  <si>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</si>
  <si>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</si>
  <si>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</si>
  <si>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</si>
  <si>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Загальновиробничі витрати  58%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</si>
  <si>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</si>
  <si>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</si>
  <si>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</si>
  <si>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</si>
  <si>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</si>
  <si>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</si>
  <si>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СУМИ"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</si>
  <si>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</si>
  <si>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Робітнича,94</t>
    </r>
  </si>
  <si>
    <t xml:space="preserve"> 3 дні на тиждень</t>
  </si>
  <si>
    <t>Загальна кількість люд./год. в  рік при періодичності прибирання  3 рази на тиждень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</si>
  <si>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</si>
  <si>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</si>
  <si>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</si>
  <si>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</si>
  <si>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</si>
  <si>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</si>
  <si>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</si>
  <si>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</si>
  <si>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</si>
  <si>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</si>
  <si>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</si>
  <si>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t xml:space="preserve">              Додаток  № 8                                        до рішення виконавчого комітету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</si>
</sst>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371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355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Робітнича,94</v>
      </c>
    </row>
    <row r="11" spans="1:8">
      <c r="B11" s="6" t="s">
        <v>261</v>
      </c>
      <c r="C11" s="66">
        <f>Розрахунок!I9</f>
        <v>3361.07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0.52500000000000002</v>
      </c>
      <c r="D14" s="38" t="str">
        <f>Розрахунок!N70</f>
        <v xml:space="preserve"> 3 дні на тиждень</v>
      </c>
      <c r="E14" s="38" t="s">
        <v>219</v>
      </c>
      <c r="H14" s="69">
        <f>ROUND(C14,3)</f>
        <v>0.52500000000000002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0.66957894736842105</v>
      </c>
      <c r="D18" s="38" t="s">
        <v>239</v>
      </c>
      <c r="E18" s="38" t="s">
        <v>219</v>
      </c>
      <c r="H18" s="69">
        <f t="shared" si="0"/>
        <v>0.67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3.3000000000000002E-2</v>
      </c>
      <c r="D21" s="38" t="s">
        <v>240</v>
      </c>
      <c r="E21" s="38" t="s">
        <v>219</v>
      </c>
      <c r="H21" s="69">
        <f t="shared" si="0"/>
        <v>3.3000000000000002E-2</v>
      </c>
    </row>
    <row r="22" spans="1:8" ht="73.2" customHeight="1">
      <c r="A22" s="22">
        <v>9</v>
      </c>
      <c r="B22" s="37" t="s">
        <v>230</v>
      </c>
      <c r="C22" s="42">
        <f>Розрахунок!I367</f>
        <v>8.2000000000000003E-2</v>
      </c>
      <c r="D22" s="38" t="s">
        <v>240</v>
      </c>
      <c r="E22" s="38" t="s">
        <v>219</v>
      </c>
      <c r="H22" s="69">
        <f t="shared" si="0"/>
        <v>8.2000000000000003E-2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0.85</v>
      </c>
      <c r="D23" s="38" t="s">
        <v>240</v>
      </c>
      <c r="E23" s="38" t="s">
        <v>219</v>
      </c>
      <c r="H23" s="69">
        <f t="shared" si="0"/>
        <v>0.85</v>
      </c>
    </row>
    <row r="24" spans="1:8" ht="43.95" customHeight="1">
      <c r="A24" s="22">
        <v>11</v>
      </c>
      <c r="B24" s="37" t="s">
        <v>232</v>
      </c>
      <c r="C24" s="42">
        <f>Розрахунок!I390</f>
        <v>2.1999999999999999E-2</v>
      </c>
      <c r="D24" s="38" t="s">
        <v>241</v>
      </c>
      <c r="E24" s="38" t="s">
        <v>219</v>
      </c>
      <c r="H24" s="69">
        <f t="shared" si="0"/>
        <v>2.1999999999999999E-2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0.17899999999999999</v>
      </c>
      <c r="D26" s="38" t="s">
        <v>239</v>
      </c>
      <c r="E26" s="38" t="s">
        <v>219</v>
      </c>
      <c r="H26" s="69">
        <f t="shared" si="0"/>
        <v>0.17899999999999999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2.3605789473684204</v>
      </c>
      <c r="D28" s="39"/>
      <c r="E28" s="39"/>
      <c r="H28" s="70">
        <f>SUM(H14:H27)</f>
        <v>2.3609999999999998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B394" zoomScale="81" zoomScaleNormal="81" zoomScaleSheetLayoutView="55" workbookViewId="0">
      <selection activeCell="B1" sqref="A1:I425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269</v>
      </c>
      <c r="D2" s="194"/>
      <c r="E2" s="194"/>
      <c r="F2" s="194"/>
      <c r="G2" s="194"/>
      <c r="H2" s="194"/>
      <c r="I2" s="194"/>
    </row>
    <row r="3" spans="1:14" ht="16.2">
      <c r="C3" s="194" t="s">
        <v>356</v>
      </c>
      <c r="D3" s="194"/>
      <c r="E3" s="194"/>
      <c r="F3" s="194"/>
      <c r="G3" s="194"/>
      <c r="H3" s="194"/>
      <c r="I3" s="194"/>
    </row>
    <row r="4" spans="1:14" ht="16.2">
      <c r="C4" s="194" t="s">
        <v>357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6" t="s">
        <v>14</v>
      </c>
      <c r="H8" s="77" t="s">
        <v>14</v>
      </c>
      <c r="I8" s="18">
        <v>70</v>
      </c>
      <c r="J8" s="62"/>
      <c r="K8" s="62"/>
      <c r="L8" s="63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6" t="s">
        <v>278</v>
      </c>
      <c r="H9" s="77" t="s">
        <v>28</v>
      </c>
      <c r="I9" s="78">
        <f>I10+I11</f>
        <v>3361.07</v>
      </c>
      <c r="J9" s="62"/>
      <c r="K9" s="62"/>
      <c r="L9" s="63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6" t="s">
        <v>278</v>
      </c>
      <c r="H10" s="77" t="s">
        <v>28</v>
      </c>
      <c r="I10" s="78">
        <v>3361.07</v>
      </c>
      <c r="J10" s="62"/>
      <c r="K10" s="62"/>
      <c r="L10" s="63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73" t="s">
        <v>353</v>
      </c>
      <c r="D13" s="174"/>
      <c r="E13" s="174"/>
      <c r="F13" s="174"/>
      <c r="G13" s="76" t="s">
        <v>278</v>
      </c>
      <c r="H13" s="77" t="s">
        <v>28</v>
      </c>
      <c r="I13" s="79">
        <f>I14+I15+I16</f>
        <v>4460</v>
      </c>
      <c r="J13" s="62"/>
      <c r="K13" s="62"/>
      <c r="L13" s="63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6" t="s">
        <v>278</v>
      </c>
      <c r="H14" s="77" t="s">
        <v>28</v>
      </c>
      <c r="I14" s="79">
        <v>522</v>
      </c>
      <c r="J14" s="80"/>
      <c r="K14" s="62"/>
      <c r="L14" s="63"/>
      <c r="M14" s="9"/>
      <c r="N14" s="9"/>
    </row>
    <row r="15" spans="1:14" ht="18">
      <c r="A15" s="21"/>
      <c r="B15" s="21"/>
      <c r="C15" s="175" t="s">
        <v>264</v>
      </c>
      <c r="D15" s="176"/>
      <c r="E15" s="176"/>
      <c r="F15" s="176"/>
      <c r="G15" s="76" t="s">
        <v>278</v>
      </c>
      <c r="H15" s="77" t="s">
        <v>28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75" t="s">
        <v>263</v>
      </c>
      <c r="D16" s="176"/>
      <c r="E16" s="176"/>
      <c r="F16" s="176"/>
      <c r="G16" s="76" t="s">
        <v>278</v>
      </c>
      <c r="H16" s="77" t="s">
        <v>28</v>
      </c>
      <c r="I16" s="79">
        <v>3938</v>
      </c>
      <c r="J16" s="80"/>
      <c r="K16" s="62"/>
      <c r="L16" s="63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6" t="s">
        <v>278</v>
      </c>
      <c r="H17" s="77" t="s">
        <v>28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6" t="s">
        <v>278</v>
      </c>
      <c r="H18" s="77" t="s">
        <v>28</v>
      </c>
      <c r="I18" s="78">
        <v>1069</v>
      </c>
      <c r="J18" s="62"/>
      <c r="K18" s="62"/>
      <c r="L18" s="63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6" t="s">
        <v>278</v>
      </c>
      <c r="H19" s="77" t="s">
        <v>28</v>
      </c>
      <c r="I19" s="78">
        <v>1073</v>
      </c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278</v>
      </c>
      <c r="H21" s="77" t="s">
        <v>28</v>
      </c>
      <c r="I21" s="78">
        <v>578.70000000000005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6" t="s">
        <v>14</v>
      </c>
      <c r="H23" s="77" t="s">
        <v>14</v>
      </c>
      <c r="I23" s="67">
        <v>40</v>
      </c>
      <c r="J23" s="62">
        <f>2*I7*I6</f>
        <v>40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6" t="s">
        <v>21</v>
      </c>
      <c r="H24" s="77" t="s">
        <v>21</v>
      </c>
      <c r="I24" s="18">
        <v>16</v>
      </c>
      <c r="J24" s="62"/>
      <c r="K24" s="62"/>
      <c r="L24" s="63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6" t="s">
        <v>14</v>
      </c>
      <c r="H25" s="77" t="s">
        <v>14</v>
      </c>
      <c r="I25" s="18">
        <v>20</v>
      </c>
      <c r="J25" s="62"/>
      <c r="K25" s="62"/>
      <c r="L25" s="63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6" t="s">
        <v>14</v>
      </c>
      <c r="H26" s="77" t="s">
        <v>14</v>
      </c>
      <c r="I26" s="18">
        <v>7</v>
      </c>
      <c r="J26" s="62"/>
      <c r="K26" s="62"/>
      <c r="L26" s="63"/>
      <c r="M26" s="9"/>
      <c r="N26" s="9"/>
    </row>
    <row r="27" spans="1:14" ht="16.2">
      <c r="A27" s="21"/>
      <c r="B27" s="21"/>
      <c r="C27" s="179" t="s">
        <v>352</v>
      </c>
      <c r="D27" s="180"/>
      <c r="E27" s="180"/>
      <c r="F27" s="180"/>
      <c r="G27" s="76" t="s">
        <v>14</v>
      </c>
      <c r="H27" s="77" t="s">
        <v>14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6" t="s">
        <v>21</v>
      </c>
      <c r="H28" s="77" t="s">
        <v>21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6" t="s">
        <v>14</v>
      </c>
      <c r="H30" s="77" t="s">
        <v>14</v>
      </c>
      <c r="I30" s="18">
        <v>21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6" t="s">
        <v>14</v>
      </c>
      <c r="H31" s="77" t="s">
        <v>14</v>
      </c>
      <c r="I31" s="18">
        <v>20</v>
      </c>
      <c r="J31" s="62">
        <f>I6*I7</f>
        <v>20</v>
      </c>
      <c r="K31" s="62"/>
      <c r="L31" s="63"/>
      <c r="M31" s="9"/>
      <c r="N31" s="9"/>
    </row>
    <row r="32" spans="1:14" ht="16.2">
      <c r="A32" s="21"/>
      <c r="B32" s="21"/>
      <c r="C32" s="179" t="s">
        <v>247</v>
      </c>
      <c r="D32" s="180"/>
      <c r="E32" s="180"/>
      <c r="F32" s="180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9" t="s">
        <v>259</v>
      </c>
      <c r="D33" s="180"/>
      <c r="E33" s="180"/>
      <c r="F33" s="180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6" t="s">
        <v>14</v>
      </c>
      <c r="H36" s="77" t="s">
        <v>14</v>
      </c>
      <c r="I36" s="67">
        <v>210</v>
      </c>
      <c r="J36" s="62"/>
      <c r="K36" s="62"/>
      <c r="L36" s="63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6" t="s">
        <v>21</v>
      </c>
      <c r="H37" s="77" t="s">
        <v>21</v>
      </c>
      <c r="I37" s="72">
        <v>924</v>
      </c>
      <c r="J37" s="62">
        <f>I36*3</f>
        <v>630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2" t="s">
        <v>11</v>
      </c>
      <c r="H38" s="83" t="s">
        <v>11</v>
      </c>
      <c r="I38" s="18">
        <v>342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2" t="s">
        <v>11</v>
      </c>
      <c r="H40" s="83" t="s">
        <v>11</v>
      </c>
      <c r="I40" s="18">
        <v>1524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70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260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v>24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/>
      <c r="J45" s="62"/>
      <c r="K45" s="62"/>
      <c r="L45" s="63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v>193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2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286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2" t="s">
        <v>11</v>
      </c>
      <c r="H51" s="83" t="s">
        <v>11</v>
      </c>
      <c r="I51" s="67">
        <v>270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2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2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8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8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9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80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277</v>
      </c>
      <c r="D60" s="130"/>
      <c r="E60" s="130"/>
      <c r="F60" s="130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12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80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85" t="s">
        <v>255</v>
      </c>
      <c r="D64" s="185"/>
      <c r="E64" s="185"/>
      <c r="F64" s="179"/>
      <c r="G64" s="76"/>
      <c r="H64" s="77" t="s">
        <v>254</v>
      </c>
      <c r="I64" s="72">
        <v>417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85" t="s">
        <v>256</v>
      </c>
      <c r="D65" s="185"/>
      <c r="E65" s="185"/>
      <c r="F65" s="179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2"/>
      <c r="K66" s="62"/>
      <c r="L66" s="63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2" t="s">
        <v>262</v>
      </c>
      <c r="D69" s="162"/>
      <c r="E69" s="162"/>
      <c r="F69" s="162"/>
      <c r="G69" s="162"/>
      <c r="H69" s="162"/>
      <c r="I69" s="163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6" t="s">
        <v>279</v>
      </c>
      <c r="D70" s="127"/>
      <c r="E70" s="127"/>
      <c r="F70" s="127"/>
      <c r="G70" s="127"/>
      <c r="H70" s="128"/>
      <c r="I70" s="78">
        <f>I14*J70*M70/K70</f>
        <v>125.28</v>
      </c>
      <c r="J70" s="62">
        <v>0.25</v>
      </c>
      <c r="K70" s="62">
        <v>100</v>
      </c>
      <c r="L70" s="63"/>
      <c r="M70" s="65">
        <v>96</v>
      </c>
      <c r="N70" s="9" t="s">
        <v>358</v>
      </c>
    </row>
    <row r="71" spans="1:14" ht="16.95" customHeight="1">
      <c r="A71" s="21"/>
      <c r="B71" s="21" t="s">
        <v>120</v>
      </c>
      <c r="C71" s="126" t="s">
        <v>280</v>
      </c>
      <c r="D71" s="127"/>
      <c r="E71" s="127"/>
      <c r="F71" s="127" t="s">
        <v>74</v>
      </c>
      <c r="G71" s="127"/>
      <c r="H71" s="128"/>
      <c r="I71" s="78">
        <f>I15*J71*M71/K71</f>
        <v>0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8">
        <f>I16*J72*M72/K72</f>
        <v>491.4624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26" t="s">
        <v>274</v>
      </c>
      <c r="D73" s="127"/>
      <c r="E73" s="127"/>
      <c r="F73" s="127" t="s">
        <v>74</v>
      </c>
      <c r="G73" s="127"/>
      <c r="H73" s="128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26" t="s">
        <v>359</v>
      </c>
      <c r="D74" s="127"/>
      <c r="E74" s="127"/>
      <c r="F74" s="127" t="s">
        <v>70</v>
      </c>
      <c r="G74" s="127"/>
      <c r="H74" s="128"/>
      <c r="I74" s="78">
        <f>I70+I71+I72+I73</f>
        <v>629.87519999999995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6" t="s">
        <v>271</v>
      </c>
      <c r="D75" s="127"/>
      <c r="E75" s="127"/>
      <c r="F75" s="127" t="s">
        <v>42</v>
      </c>
      <c r="G75" s="127"/>
      <c r="H75" s="128"/>
      <c r="I75" s="87">
        <f>I74/J74</f>
        <v>0.31446590114827755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8">
        <f>I75*J76*K76*L76</f>
        <v>656.60480159760357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6" t="s">
        <v>268</v>
      </c>
      <c r="D77" s="127"/>
      <c r="E77" s="127"/>
      <c r="F77" s="127" t="s">
        <v>18</v>
      </c>
      <c r="G77" s="127"/>
      <c r="H77" s="128"/>
      <c r="I77" s="78">
        <f>I76*0.22</f>
        <v>144.45305635147278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44" t="s">
        <v>360</v>
      </c>
      <c r="D78" s="145"/>
      <c r="E78" s="145"/>
      <c r="F78" s="145" t="s">
        <v>18</v>
      </c>
      <c r="G78" s="145"/>
      <c r="H78" s="146"/>
      <c r="I78" s="72">
        <f>I76*J78</f>
        <v>223.24563254318522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337</v>
      </c>
      <c r="D79" s="154"/>
      <c r="E79" s="134" t="s">
        <v>338</v>
      </c>
      <c r="F79" s="152"/>
      <c r="G79" s="152"/>
      <c r="H79" s="135"/>
      <c r="I79" s="72">
        <f>I75*J79</f>
        <v>66.956079672491256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281</v>
      </c>
      <c r="D80" s="205"/>
      <c r="E80" s="205"/>
      <c r="F80" s="205"/>
      <c r="G80" s="205"/>
      <c r="H80" s="154"/>
      <c r="I80" s="72">
        <f>SUM(I76:I79)</f>
        <v>1091.2595701647529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361</v>
      </c>
      <c r="D81" s="205"/>
      <c r="E81" s="205"/>
      <c r="F81" s="205"/>
      <c r="G81" s="205"/>
      <c r="H81" s="154"/>
      <c r="I81" s="72">
        <f>I80*J81</f>
        <v>218.25191403295059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205"/>
      <c r="E82" s="205"/>
      <c r="F82" s="205"/>
      <c r="G82" s="205"/>
      <c r="H82" s="154"/>
      <c r="I82" s="72">
        <f>I80+I81</f>
        <v>1309.5114841977033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5" t="s">
        <v>46</v>
      </c>
      <c r="D83" s="156"/>
      <c r="E83" s="157"/>
      <c r="F83" s="134" t="s">
        <v>18</v>
      </c>
      <c r="G83" s="135"/>
      <c r="H83" s="90">
        <v>0.05</v>
      </c>
      <c r="I83" s="72">
        <f>I82*J83</f>
        <v>65.475574209885167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8">
        <f>I82+I83</f>
        <v>1374.9870584075884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2">
        <v>0.05</v>
      </c>
      <c r="I85" s="78">
        <f>I84*J85/K85</f>
        <v>72.367739916188867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8">
        <f>I84+I85</f>
        <v>1447.3547983237772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0.43062322365311556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6" t="s">
        <v>282</v>
      </c>
      <c r="D89" s="127"/>
      <c r="E89" s="127"/>
      <c r="F89" s="127"/>
      <c r="G89" s="127"/>
      <c r="H89" s="12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339</v>
      </c>
      <c r="D90" s="127"/>
      <c r="E90" s="127"/>
      <c r="F90" s="127" t="s">
        <v>283</v>
      </c>
      <c r="G90" s="127"/>
      <c r="H90" s="12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6" t="s">
        <v>284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44" t="s">
        <v>268</v>
      </c>
      <c r="D94" s="145"/>
      <c r="E94" s="145"/>
      <c r="F94" s="145" t="s">
        <v>18</v>
      </c>
      <c r="G94" s="145"/>
      <c r="H94" s="14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44" t="s">
        <v>362</v>
      </c>
      <c r="D95" s="145"/>
      <c r="E95" s="145"/>
      <c r="F95" s="145" t="s">
        <v>18</v>
      </c>
      <c r="G95" s="145"/>
      <c r="H95" s="14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285</v>
      </c>
      <c r="D96" s="205"/>
      <c r="E96" s="154"/>
      <c r="F96" s="134" t="s">
        <v>18</v>
      </c>
      <c r="G96" s="135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275</v>
      </c>
      <c r="D97" s="205"/>
      <c r="E97" s="154"/>
      <c r="F97" s="134" t="s">
        <v>18</v>
      </c>
      <c r="G97" s="135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276</v>
      </c>
      <c r="D98" s="205"/>
      <c r="E98" s="154"/>
      <c r="F98" s="134" t="s">
        <v>18</v>
      </c>
      <c r="G98" s="135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44" t="s">
        <v>286</v>
      </c>
      <c r="D99" s="145"/>
      <c r="E99" s="145"/>
      <c r="F99" s="145" t="s">
        <v>18</v>
      </c>
      <c r="G99" s="145"/>
      <c r="H99" s="14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44" t="s">
        <v>363</v>
      </c>
      <c r="D100" s="145"/>
      <c r="E100" s="145"/>
      <c r="F100" s="145" t="s">
        <v>18</v>
      </c>
      <c r="G100" s="145"/>
      <c r="H100" s="14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2.277468768159371E-2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9" t="s">
        <v>132</v>
      </c>
      <c r="D107" s="140"/>
      <c r="E107" s="140"/>
      <c r="F107" s="140"/>
      <c r="G107" s="140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6" t="s">
        <v>287</v>
      </c>
      <c r="D108" s="137"/>
      <c r="E108" s="137"/>
      <c r="F108" s="137"/>
      <c r="G108" s="137"/>
      <c r="H108" s="138"/>
      <c r="I108" s="78">
        <f>J108*I16/K108</f>
        <v>11.026400000000001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6" t="s">
        <v>288</v>
      </c>
      <c r="D109" s="137"/>
      <c r="E109" s="137"/>
      <c r="F109" s="137" t="s">
        <v>70</v>
      </c>
      <c r="G109" s="137"/>
      <c r="H109" s="138"/>
      <c r="I109" s="78">
        <f>J109*I16/K109</f>
        <v>4.3318000000000003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46.074600000000004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6" t="s">
        <v>289</v>
      </c>
      <c r="D111" s="127"/>
      <c r="E111" s="127"/>
      <c r="F111" s="127" t="s">
        <v>42</v>
      </c>
      <c r="G111" s="127"/>
      <c r="H111" s="128"/>
      <c r="I111" s="16">
        <f>I110/J111</f>
        <v>2.3002795806290565E-2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6" t="s">
        <v>96</v>
      </c>
      <c r="D112" s="137"/>
      <c r="E112" s="137"/>
      <c r="F112" s="137" t="s">
        <v>18</v>
      </c>
      <c r="G112" s="137"/>
      <c r="H112" s="138"/>
      <c r="I112" s="78">
        <f>J112*K112*L112*I111</f>
        <v>48.029837643534698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6" t="s">
        <v>268</v>
      </c>
      <c r="D113" s="127"/>
      <c r="E113" s="127"/>
      <c r="F113" s="127" t="s">
        <v>18</v>
      </c>
      <c r="G113" s="127"/>
      <c r="H113" s="128"/>
      <c r="I113" s="78">
        <f>I112*J113</f>
        <v>10.566564281577634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6" t="s">
        <v>134</v>
      </c>
      <c r="D114" s="137"/>
      <c r="E114" s="137"/>
      <c r="F114" s="137"/>
      <c r="G114" s="137"/>
      <c r="H114" s="138"/>
      <c r="I114" s="78">
        <f>0.26*I16/100</f>
        <v>10.238799999999999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6" t="s">
        <v>135</v>
      </c>
      <c r="D115" s="137"/>
      <c r="E115" s="137"/>
      <c r="F115" s="137"/>
      <c r="G115" s="137"/>
      <c r="H115" s="138"/>
      <c r="I115" s="78">
        <f>I114*3</f>
        <v>30.7164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6" t="s">
        <v>136</v>
      </c>
      <c r="D116" s="137"/>
      <c r="E116" s="137"/>
      <c r="F116" s="137"/>
      <c r="G116" s="137"/>
      <c r="H116" s="138"/>
      <c r="I116" s="78">
        <f>I115/12</f>
        <v>2.5596999999999999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205"/>
      <c r="E117" s="205"/>
      <c r="F117" s="205"/>
      <c r="G117" s="205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340</v>
      </c>
      <c r="D118" s="205"/>
      <c r="E118" s="205"/>
      <c r="F118" s="205" t="s">
        <v>18</v>
      </c>
      <c r="G118" s="205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205"/>
      <c r="E119" s="205"/>
      <c r="F119" s="205" t="s">
        <v>18</v>
      </c>
      <c r="G119" s="205"/>
      <c r="H119" s="154"/>
      <c r="I119" s="72">
        <f>I118*I16/100*3/12</f>
        <v>99.4345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362</v>
      </c>
      <c r="D120" s="205"/>
      <c r="E120" s="205"/>
      <c r="F120" s="205" t="s">
        <v>18</v>
      </c>
      <c r="G120" s="205"/>
      <c r="H120" s="154"/>
      <c r="I120" s="72">
        <f>I112*J120</f>
        <v>16.330144798801797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205"/>
      <c r="E121" s="154"/>
      <c r="F121" s="134" t="s">
        <v>18</v>
      </c>
      <c r="G121" s="135"/>
      <c r="H121" s="93">
        <v>212.92</v>
      </c>
      <c r="I121" s="72">
        <f>J121*I111</f>
        <v>4.8977552830753872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281</v>
      </c>
      <c r="D122" s="205"/>
      <c r="E122" s="205"/>
      <c r="F122" s="205" t="s">
        <v>18</v>
      </c>
      <c r="G122" s="205"/>
      <c r="H122" s="154"/>
      <c r="I122" s="72">
        <f>SUM(I119:I121)+I112+I113</f>
        <v>179.2588020069895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363</v>
      </c>
      <c r="D123" s="205"/>
      <c r="E123" s="205"/>
      <c r="F123" s="205" t="s">
        <v>18</v>
      </c>
      <c r="G123" s="205"/>
      <c r="H123" s="154"/>
      <c r="I123" s="72">
        <f>I122*J123</f>
        <v>35.851760401397904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205"/>
      <c r="E124" s="205"/>
      <c r="F124" s="205" t="s">
        <v>18</v>
      </c>
      <c r="G124" s="205"/>
      <c r="H124" s="154"/>
      <c r="I124" s="72">
        <f>SUM(I122:I123)</f>
        <v>215.11056240838741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5" t="s">
        <v>46</v>
      </c>
      <c r="D125" s="156"/>
      <c r="E125" s="157"/>
      <c r="F125" s="134" t="s">
        <v>18</v>
      </c>
      <c r="G125" s="135"/>
      <c r="H125" s="90">
        <v>0.05</v>
      </c>
      <c r="I125" s="72">
        <f>I124*J125</f>
        <v>10.75552812041937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6" t="s">
        <v>47</v>
      </c>
      <c r="D126" s="137"/>
      <c r="E126" s="137"/>
      <c r="F126" s="137" t="s">
        <v>18</v>
      </c>
      <c r="G126" s="137"/>
      <c r="H126" s="138"/>
      <c r="I126" s="78">
        <f>I124+I125</f>
        <v>225.86609052880678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1" t="s">
        <v>48</v>
      </c>
      <c r="D127" s="142"/>
      <c r="E127" s="143"/>
      <c r="F127" s="147" t="s">
        <v>18</v>
      </c>
      <c r="G127" s="148"/>
      <c r="H127" s="92">
        <v>0.05</v>
      </c>
      <c r="I127" s="78">
        <f>I126*J127/K127</f>
        <v>11.887688975200358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6" t="s">
        <v>49</v>
      </c>
      <c r="D128" s="137"/>
      <c r="E128" s="137"/>
      <c r="F128" s="137" t="s">
        <v>18</v>
      </c>
      <c r="G128" s="137"/>
      <c r="H128" s="138"/>
      <c r="I128" s="78">
        <f>I126+I127</f>
        <v>237.75377950400713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49" t="s">
        <v>95</v>
      </c>
      <c r="D129" s="150"/>
      <c r="E129" s="150"/>
      <c r="F129" s="150"/>
      <c r="G129" s="150"/>
      <c r="H129" s="151"/>
      <c r="I129" s="14">
        <f>I128/I9</f>
        <v>7.0737526889950858E-2</v>
      </c>
      <c r="J129" s="62"/>
      <c r="K129" s="62"/>
      <c r="L129" s="63"/>
      <c r="M129" s="54"/>
      <c r="N129" s="54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0.52500000000000002</v>
      </c>
      <c r="J130" s="97">
        <f>ROUND(I87,3)+ROUND(I106,3)+ROUND(I129,3)</f>
        <v>0.52500000000000002</v>
      </c>
      <c r="K130" s="62"/>
      <c r="L130" s="63"/>
      <c r="M130" s="54"/>
      <c r="N130" s="54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5"/>
      <c r="K132" s="55"/>
      <c r="L132" s="54"/>
      <c r="M132" s="54"/>
      <c r="N132" s="54"/>
    </row>
    <row r="133" spans="1:14" s="6" customFormat="1" ht="69" customHeight="1">
      <c r="A133" s="53"/>
      <c r="B133" s="212"/>
      <c r="C133" s="126" t="s">
        <v>290</v>
      </c>
      <c r="D133" s="127"/>
      <c r="E133" s="127"/>
      <c r="F133" s="127"/>
      <c r="G133" s="127"/>
      <c r="H133" s="128"/>
      <c r="I133" s="98">
        <f>I21*K133*J133/100</f>
        <v>5.9027399999999997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6" t="s">
        <v>291</v>
      </c>
      <c r="D134" s="127"/>
      <c r="E134" s="127"/>
      <c r="F134" s="127" t="s">
        <v>42</v>
      </c>
      <c r="G134" s="127"/>
      <c r="H134" s="128"/>
      <c r="I134" s="99">
        <f>I133/J134</f>
        <v>2.9469495756365449E-3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6" t="s">
        <v>140</v>
      </c>
      <c r="D135" s="127"/>
      <c r="E135" s="127"/>
      <c r="F135" s="127" t="s">
        <v>18</v>
      </c>
      <c r="G135" s="127"/>
      <c r="H135" s="128"/>
      <c r="I135" s="100">
        <f>(J135*K135*L135)*I134</f>
        <v>6.1532307139291058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44" t="s">
        <v>268</v>
      </c>
      <c r="D136" s="145"/>
      <c r="E136" s="145"/>
      <c r="F136" s="145" t="s">
        <v>18</v>
      </c>
      <c r="G136" s="145"/>
      <c r="H136" s="146"/>
      <c r="I136" s="101">
        <f>I135*J136</f>
        <v>1.3537107570644034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292</v>
      </c>
      <c r="D137" s="154"/>
      <c r="E137" s="134" t="s">
        <v>341</v>
      </c>
      <c r="F137" s="152"/>
      <c r="G137" s="152"/>
      <c r="H137" s="135"/>
      <c r="I137" s="101">
        <f>I134*J137</f>
        <v>0.6274645036445331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44" t="s">
        <v>362</v>
      </c>
      <c r="D138" s="145"/>
      <c r="E138" s="145"/>
      <c r="F138" s="145" t="s">
        <v>18</v>
      </c>
      <c r="G138" s="145"/>
      <c r="H138" s="146"/>
      <c r="I138" s="101">
        <f>I135*J138</f>
        <v>2.092098442735896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44" t="s">
        <v>286</v>
      </c>
      <c r="D139" s="145"/>
      <c r="E139" s="145"/>
      <c r="F139" s="145" t="s">
        <v>18</v>
      </c>
      <c r="G139" s="145"/>
      <c r="H139" s="146"/>
      <c r="I139" s="72">
        <f>SUM(I135:I138)</f>
        <v>10.226504417373938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44" t="s">
        <v>364</v>
      </c>
      <c r="D140" s="145"/>
      <c r="E140" s="145"/>
      <c r="F140" s="145" t="s">
        <v>78</v>
      </c>
      <c r="G140" s="145"/>
      <c r="H140" s="146"/>
      <c r="I140" s="101">
        <f>I139*J140</f>
        <v>2.0453008834747877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44" t="s">
        <v>79</v>
      </c>
      <c r="D141" s="145"/>
      <c r="E141" s="145"/>
      <c r="F141" s="145" t="s">
        <v>78</v>
      </c>
      <c r="G141" s="145"/>
      <c r="H141" s="146"/>
      <c r="I141" s="101">
        <f>SUM(I139:I140)</f>
        <v>12.271805300848726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5" t="s">
        <v>46</v>
      </c>
      <c r="D142" s="156"/>
      <c r="E142" s="157"/>
      <c r="F142" s="134" t="s">
        <v>18</v>
      </c>
      <c r="G142" s="135"/>
      <c r="H142" s="90">
        <v>0.05</v>
      </c>
      <c r="I142" s="101">
        <f>I141*J142</f>
        <v>0.6135902650424363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44" t="s">
        <v>47</v>
      </c>
      <c r="D143" s="145"/>
      <c r="E143" s="145"/>
      <c r="F143" s="145" t="s">
        <v>18</v>
      </c>
      <c r="G143" s="145"/>
      <c r="H143" s="146"/>
      <c r="I143" s="72">
        <f>I141+I142</f>
        <v>12.885395565891162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1" t="s">
        <v>48</v>
      </c>
      <c r="D144" s="142"/>
      <c r="E144" s="143"/>
      <c r="F144" s="147" t="s">
        <v>18</v>
      </c>
      <c r="G144" s="148"/>
      <c r="H144" s="92">
        <v>0.05</v>
      </c>
      <c r="I144" s="78">
        <f>I143*J144/K144</f>
        <v>0.67817871399427176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6" t="s">
        <v>49</v>
      </c>
      <c r="D145" s="127"/>
      <c r="E145" s="127"/>
      <c r="F145" s="127" t="s">
        <v>18</v>
      </c>
      <c r="G145" s="127"/>
      <c r="H145" s="128"/>
      <c r="I145" s="78">
        <f>I143+I144</f>
        <v>13.563574279885435</v>
      </c>
      <c r="J145" s="62"/>
      <c r="K145" s="62"/>
      <c r="L145" s="54"/>
      <c r="M145" s="54"/>
      <c r="N145" s="54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7">
        <f>ROUND(K146,3)</f>
        <v>4.0000000000000001E-3</v>
      </c>
      <c r="K146" s="97">
        <f>I145/I9</f>
        <v>4.0354929471523755E-3</v>
      </c>
      <c r="L146" s="63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1"/>
      <c r="K147" s="55"/>
      <c r="L147" s="63"/>
      <c r="M147" s="9"/>
      <c r="N147" s="9"/>
    </row>
    <row r="148" spans="1:14">
      <c r="A148" s="53"/>
      <c r="B148" s="53"/>
      <c r="C148" s="126" t="s">
        <v>342</v>
      </c>
      <c r="D148" s="127"/>
      <c r="E148" s="127"/>
      <c r="F148" s="127"/>
      <c r="G148" s="127"/>
      <c r="H148" s="128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6" t="s">
        <v>142</v>
      </c>
      <c r="D149" s="127"/>
      <c r="E149" s="127"/>
      <c r="F149" s="127"/>
      <c r="G149" s="127"/>
      <c r="H149" s="128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44" t="s">
        <v>361</v>
      </c>
      <c r="D150" s="145"/>
      <c r="E150" s="145"/>
      <c r="F150" s="145" t="s">
        <v>18</v>
      </c>
      <c r="G150" s="145"/>
      <c r="H150" s="14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6" t="s">
        <v>45</v>
      </c>
      <c r="D151" s="127"/>
      <c r="E151" s="127"/>
      <c r="F151" s="127" t="s">
        <v>18</v>
      </c>
      <c r="G151" s="127"/>
      <c r="H151" s="128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1" t="s">
        <v>46</v>
      </c>
      <c r="D152" s="142"/>
      <c r="E152" s="143"/>
      <c r="F152" s="147" t="s">
        <v>18</v>
      </c>
      <c r="G152" s="148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6" t="s">
        <v>47</v>
      </c>
      <c r="D153" s="127"/>
      <c r="E153" s="127"/>
      <c r="F153" s="127" t="s">
        <v>18</v>
      </c>
      <c r="G153" s="127"/>
      <c r="H153" s="128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1" t="s">
        <v>48</v>
      </c>
      <c r="D154" s="142"/>
      <c r="E154" s="143"/>
      <c r="F154" s="147" t="s">
        <v>18</v>
      </c>
      <c r="G154" s="148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6" t="s">
        <v>49</v>
      </c>
      <c r="D155" s="127"/>
      <c r="E155" s="127"/>
      <c r="F155" s="127" t="s">
        <v>18</v>
      </c>
      <c r="G155" s="127"/>
      <c r="H155" s="128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49" t="s">
        <v>143</v>
      </c>
      <c r="D156" s="150"/>
      <c r="E156" s="150"/>
      <c r="F156" s="150"/>
      <c r="G156" s="150"/>
      <c r="H156" s="151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6" t="s">
        <v>343</v>
      </c>
      <c r="D158" s="127"/>
      <c r="E158" s="127"/>
      <c r="F158" s="127"/>
      <c r="G158" s="127"/>
      <c r="H158" s="128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6" t="s">
        <v>145</v>
      </c>
      <c r="D159" s="127"/>
      <c r="E159" s="127"/>
      <c r="F159" s="127"/>
      <c r="G159" s="127"/>
      <c r="H159" s="128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44" t="s">
        <v>361</v>
      </c>
      <c r="D160" s="145"/>
      <c r="E160" s="145"/>
      <c r="F160" s="145" t="s">
        <v>18</v>
      </c>
      <c r="G160" s="145"/>
      <c r="H160" s="14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6" t="s">
        <v>45</v>
      </c>
      <c r="D161" s="127"/>
      <c r="E161" s="127"/>
      <c r="F161" s="127" t="s">
        <v>18</v>
      </c>
      <c r="G161" s="127"/>
      <c r="H161" s="128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1" t="s">
        <v>46</v>
      </c>
      <c r="D162" s="142"/>
      <c r="E162" s="143"/>
      <c r="F162" s="147" t="s">
        <v>18</v>
      </c>
      <c r="G162" s="148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6" t="s">
        <v>47</v>
      </c>
      <c r="D163" s="127"/>
      <c r="E163" s="127"/>
      <c r="F163" s="127" t="s">
        <v>18</v>
      </c>
      <c r="G163" s="127"/>
      <c r="H163" s="128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1" t="s">
        <v>48</v>
      </c>
      <c r="D164" s="142"/>
      <c r="E164" s="143"/>
      <c r="F164" s="147" t="s">
        <v>18</v>
      </c>
      <c r="G164" s="148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6" t="s">
        <v>49</v>
      </c>
      <c r="D165" s="127"/>
      <c r="E165" s="127"/>
      <c r="F165" s="127" t="s">
        <v>18</v>
      </c>
      <c r="G165" s="127"/>
      <c r="H165" s="128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4" t="s">
        <v>102</v>
      </c>
      <c r="D168" s="165"/>
      <c r="E168" s="165"/>
      <c r="F168" s="165"/>
      <c r="G168" s="165"/>
      <c r="H168" s="165"/>
      <c r="I168" s="166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6" t="s">
        <v>293</v>
      </c>
      <c r="D169" s="127"/>
      <c r="E169" s="127"/>
      <c r="F169" s="127"/>
      <c r="G169" s="127"/>
      <c r="H169" s="128"/>
      <c r="I169" s="87">
        <f>($I$38*L169)*J169/K169/M169</f>
        <v>4.0978532201697455E-3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6" t="s">
        <v>294</v>
      </c>
      <c r="D170" s="127"/>
      <c r="E170" s="127"/>
      <c r="F170" s="127" t="s">
        <v>12</v>
      </c>
      <c r="G170" s="127"/>
      <c r="H170" s="128"/>
      <c r="I170" s="87">
        <f>($I$38*L170)*J170/K170/M170</f>
        <v>3.7563654518222669E-3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6" t="s">
        <v>295</v>
      </c>
      <c r="D171" s="127"/>
      <c r="E171" s="127"/>
      <c r="F171" s="127" t="s">
        <v>12</v>
      </c>
      <c r="G171" s="127"/>
      <c r="H171" s="128"/>
      <c r="I171" s="103">
        <f>I59*L171*J171/M171</f>
        <v>0.17813280079880181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6" t="s">
        <v>296</v>
      </c>
      <c r="D172" s="127"/>
      <c r="E172" s="127"/>
      <c r="F172" s="127" t="s">
        <v>158</v>
      </c>
      <c r="G172" s="127"/>
      <c r="H172" s="128"/>
      <c r="I172" s="105">
        <f>I52*J172/L172/M172</f>
        <v>2.7625228823431521E-4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6" t="s">
        <v>297</v>
      </c>
      <c r="D173" s="127"/>
      <c r="E173" s="127"/>
      <c r="F173" s="127"/>
      <c r="G173" s="127"/>
      <c r="H173" s="128"/>
      <c r="I173" s="105">
        <f>I55*J173/M173</f>
        <v>2.196704942586121E-3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6" t="s">
        <v>103</v>
      </c>
      <c r="D174" s="127"/>
      <c r="E174" s="127"/>
      <c r="F174" s="127" t="s">
        <v>42</v>
      </c>
      <c r="G174" s="127"/>
      <c r="H174" s="128"/>
      <c r="I174" s="103">
        <f>I169+I170+I172</f>
        <v>8.130470960226328E-3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6" t="s">
        <v>106</v>
      </c>
      <c r="D175" s="127"/>
      <c r="E175" s="127"/>
      <c r="F175" s="127" t="s">
        <v>18</v>
      </c>
      <c r="G175" s="127"/>
      <c r="H175" s="128"/>
      <c r="I175" s="106">
        <f>I174*J175*K175*L175*M175</f>
        <v>22.918171542685975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6" t="s">
        <v>104</v>
      </c>
      <c r="D176" s="127"/>
      <c r="E176" s="127"/>
      <c r="F176" s="127" t="s">
        <v>42</v>
      </c>
      <c r="G176" s="127"/>
      <c r="H176" s="128"/>
      <c r="I176" s="87">
        <f>I171</f>
        <v>0.17813280079880181</v>
      </c>
      <c r="J176" s="48"/>
      <c r="K176" s="48"/>
      <c r="L176" s="88"/>
    </row>
    <row r="177" spans="1:13" s="49" customFormat="1" ht="15" customHeight="1">
      <c r="A177" s="47"/>
      <c r="B177" s="47"/>
      <c r="C177" s="126" t="s">
        <v>107</v>
      </c>
      <c r="D177" s="127"/>
      <c r="E177" s="127"/>
      <c r="F177" s="127" t="s">
        <v>18</v>
      </c>
      <c r="G177" s="127"/>
      <c r="H177" s="128"/>
      <c r="I177" s="78">
        <f>I176*J177*K177*L177*M177</f>
        <v>446.32954568147784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6" t="s">
        <v>105</v>
      </c>
      <c r="D178" s="127"/>
      <c r="E178" s="127"/>
      <c r="F178" s="127" t="s">
        <v>42</v>
      </c>
      <c r="G178" s="127"/>
      <c r="H178" s="128"/>
      <c r="I178" s="87">
        <f>I173</f>
        <v>2.196704942586121E-3</v>
      </c>
      <c r="J178" s="48"/>
      <c r="K178" s="48"/>
      <c r="L178" s="88"/>
    </row>
    <row r="179" spans="1:13" s="49" customFormat="1" ht="15" customHeight="1">
      <c r="A179" s="47"/>
      <c r="B179" s="47"/>
      <c r="C179" s="126" t="s">
        <v>108</v>
      </c>
      <c r="D179" s="127"/>
      <c r="E179" s="127"/>
      <c r="F179" s="127" t="s">
        <v>18</v>
      </c>
      <c r="G179" s="127"/>
      <c r="H179" s="128"/>
      <c r="I179" s="78">
        <f>I178*J179*K179*L179*M179</f>
        <v>4.9536575137294054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44" t="s">
        <v>86</v>
      </c>
      <c r="D180" s="145"/>
      <c r="E180" s="145"/>
      <c r="F180" s="145" t="s">
        <v>18</v>
      </c>
      <c r="G180" s="145"/>
      <c r="H180" s="146"/>
      <c r="I180" s="72">
        <f>I179+I177+I175</f>
        <v>474.20137473789322</v>
      </c>
      <c r="J180" s="48"/>
      <c r="K180" s="48"/>
      <c r="L180" s="88"/>
    </row>
    <row r="181" spans="1:13" s="49" customFormat="1" ht="15" customHeight="1">
      <c r="A181" s="47"/>
      <c r="B181" s="47"/>
      <c r="C181" s="144" t="s">
        <v>268</v>
      </c>
      <c r="D181" s="145"/>
      <c r="E181" s="145"/>
      <c r="F181" s="145" t="s">
        <v>18</v>
      </c>
      <c r="G181" s="145"/>
      <c r="H181" s="146"/>
      <c r="I181" s="72">
        <f>I180*0.22</f>
        <v>104.3243024423365</v>
      </c>
      <c r="J181" s="48"/>
      <c r="K181" s="48"/>
      <c r="L181" s="88"/>
    </row>
    <row r="182" spans="1:13" s="49" customFormat="1" ht="15" customHeight="1">
      <c r="A182" s="47"/>
      <c r="B182" s="47"/>
      <c r="C182" s="144" t="s">
        <v>365</v>
      </c>
      <c r="D182" s="145"/>
      <c r="E182" s="145"/>
      <c r="F182" s="145" t="s">
        <v>18</v>
      </c>
      <c r="G182" s="145"/>
      <c r="H182" s="146"/>
      <c r="I182" s="101">
        <f>I180*J182</f>
        <v>161.2284674108837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44" t="s">
        <v>344</v>
      </c>
      <c r="D183" s="145"/>
      <c r="E183" s="167" t="s">
        <v>345</v>
      </c>
      <c r="F183" s="167"/>
      <c r="G183" s="167"/>
      <c r="H183" s="167"/>
      <c r="I183" s="101">
        <f>J183*(I174+I176+I178)</f>
        <v>34.386407348976533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44" t="s">
        <v>87</v>
      </c>
      <c r="D184" s="145"/>
      <c r="E184" s="145"/>
      <c r="F184" s="145" t="s">
        <v>18</v>
      </c>
      <c r="G184" s="145"/>
      <c r="H184" s="146"/>
      <c r="I184" s="101">
        <f>I180+I181+I182+I183</f>
        <v>774.14055194008995</v>
      </c>
      <c r="J184" s="48"/>
      <c r="K184" s="48"/>
      <c r="L184" s="88"/>
    </row>
    <row r="185" spans="1:13" s="49" customFormat="1" ht="15" customHeight="1">
      <c r="A185" s="47"/>
      <c r="B185" s="47"/>
      <c r="C185" s="144" t="s">
        <v>363</v>
      </c>
      <c r="D185" s="145"/>
      <c r="E185" s="145"/>
      <c r="F185" s="145" t="s">
        <v>18</v>
      </c>
      <c r="G185" s="145"/>
      <c r="H185" s="146"/>
      <c r="I185" s="72">
        <f>I184*J185</f>
        <v>154.82811038801799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6" t="s">
        <v>45</v>
      </c>
      <c r="D186" s="127"/>
      <c r="E186" s="127"/>
      <c r="F186" s="127" t="s">
        <v>18</v>
      </c>
      <c r="G186" s="127"/>
      <c r="H186" s="128"/>
      <c r="I186" s="78">
        <f>SUM(I184:I185)</f>
        <v>928.96866232810794</v>
      </c>
      <c r="J186" s="48"/>
      <c r="K186" s="48"/>
      <c r="L186" s="88"/>
    </row>
    <row r="187" spans="1:13" s="49" customFormat="1" ht="15" customHeight="1">
      <c r="A187" s="47"/>
      <c r="B187" s="47"/>
      <c r="C187" s="141" t="s">
        <v>46</v>
      </c>
      <c r="D187" s="142"/>
      <c r="E187" s="143"/>
      <c r="F187" s="147" t="s">
        <v>18</v>
      </c>
      <c r="G187" s="148"/>
      <c r="H187" s="92">
        <v>0.05</v>
      </c>
      <c r="I187" s="78">
        <f>I185*J187</f>
        <v>7.7414055194008995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6" t="s">
        <v>47</v>
      </c>
      <c r="D188" s="127"/>
      <c r="E188" s="127"/>
      <c r="F188" s="127" t="s">
        <v>18</v>
      </c>
      <c r="G188" s="127"/>
      <c r="H188" s="128"/>
      <c r="I188" s="78">
        <f>I186+I187</f>
        <v>936.71006784750887</v>
      </c>
      <c r="J188" s="48"/>
      <c r="K188" s="48"/>
      <c r="L188" s="88"/>
    </row>
    <row r="189" spans="1:13" s="49" customFormat="1" ht="15" customHeight="1">
      <c r="A189" s="47"/>
      <c r="B189" s="47"/>
      <c r="C189" s="141" t="s">
        <v>48</v>
      </c>
      <c r="D189" s="142"/>
      <c r="E189" s="143"/>
      <c r="F189" s="147" t="s">
        <v>18</v>
      </c>
      <c r="G189" s="148"/>
      <c r="H189" s="92">
        <v>0.05</v>
      </c>
      <c r="I189" s="78">
        <f>I188*J189/K189</f>
        <v>49.300529886710997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6" t="s">
        <v>49</v>
      </c>
      <c r="D190" s="127"/>
      <c r="E190" s="127"/>
      <c r="F190" s="127" t="s">
        <v>18</v>
      </c>
      <c r="G190" s="127"/>
      <c r="H190" s="128"/>
      <c r="I190" s="78">
        <f>I188+I189</f>
        <v>986.01059773421991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49" t="s">
        <v>95</v>
      </c>
      <c r="D191" s="150"/>
      <c r="E191" s="150"/>
      <c r="F191" s="150"/>
      <c r="G191" s="150"/>
      <c r="H191" s="151"/>
      <c r="I191" s="10">
        <f>I190/I9</f>
        <v>0.29336211317652411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4" t="s">
        <v>109</v>
      </c>
      <c r="D192" s="165"/>
      <c r="E192" s="165"/>
      <c r="F192" s="165"/>
      <c r="G192" s="165"/>
      <c r="H192" s="165"/>
      <c r="I192" s="166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6" t="s">
        <v>298</v>
      </c>
      <c r="D193" s="127"/>
      <c r="E193" s="127"/>
      <c r="F193" s="127" t="s">
        <v>12</v>
      </c>
      <c r="G193" s="127"/>
      <c r="H193" s="128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6" t="s">
        <v>299</v>
      </c>
      <c r="D194" s="127"/>
      <c r="E194" s="127"/>
      <c r="F194" s="127" t="s">
        <v>12</v>
      </c>
      <c r="G194" s="127"/>
      <c r="H194" s="128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6" t="s">
        <v>300</v>
      </c>
      <c r="D195" s="127"/>
      <c r="E195" s="127"/>
      <c r="F195" s="127" t="s">
        <v>12</v>
      </c>
      <c r="G195" s="127"/>
      <c r="H195" s="128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6" t="s">
        <v>301</v>
      </c>
      <c r="D196" s="127"/>
      <c r="E196" s="127"/>
      <c r="F196" s="127" t="s">
        <v>158</v>
      </c>
      <c r="G196" s="127"/>
      <c r="H196" s="128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6" t="s">
        <v>297</v>
      </c>
      <c r="D197" s="127"/>
      <c r="E197" s="127"/>
      <c r="F197" s="127"/>
      <c r="G197" s="127"/>
      <c r="H197" s="128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6" t="s">
        <v>103</v>
      </c>
      <c r="D198" s="127"/>
      <c r="E198" s="127"/>
      <c r="F198" s="127" t="s">
        <v>42</v>
      </c>
      <c r="G198" s="127"/>
      <c r="H198" s="128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6" t="s">
        <v>106</v>
      </c>
      <c r="D199" s="127"/>
      <c r="E199" s="127"/>
      <c r="F199" s="127" t="s">
        <v>18</v>
      </c>
      <c r="G199" s="127"/>
      <c r="H199" s="128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6" t="s">
        <v>107</v>
      </c>
      <c r="D201" s="127"/>
      <c r="E201" s="127"/>
      <c r="F201" s="127" t="s">
        <v>18</v>
      </c>
      <c r="G201" s="127"/>
      <c r="H201" s="128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6" t="s">
        <v>108</v>
      </c>
      <c r="D203" s="127"/>
      <c r="E203" s="127"/>
      <c r="F203" s="127" t="s">
        <v>18</v>
      </c>
      <c r="G203" s="127"/>
      <c r="H203" s="128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44" t="s">
        <v>86</v>
      </c>
      <c r="D204" s="145"/>
      <c r="E204" s="145"/>
      <c r="F204" s="145" t="s">
        <v>18</v>
      </c>
      <c r="G204" s="145"/>
      <c r="H204" s="14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44" t="s">
        <v>268</v>
      </c>
      <c r="D205" s="145"/>
      <c r="E205" s="145"/>
      <c r="F205" s="145" t="s">
        <v>18</v>
      </c>
      <c r="G205" s="145"/>
      <c r="H205" s="14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44" t="s">
        <v>366</v>
      </c>
      <c r="D206" s="145"/>
      <c r="E206" s="145"/>
      <c r="F206" s="145" t="s">
        <v>18</v>
      </c>
      <c r="G206" s="145"/>
      <c r="H206" s="14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44" t="s">
        <v>344</v>
      </c>
      <c r="D207" s="145"/>
      <c r="E207" s="167" t="s">
        <v>345</v>
      </c>
      <c r="F207" s="167"/>
      <c r="G207" s="167"/>
      <c r="H207" s="167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44" t="s">
        <v>87</v>
      </c>
      <c r="D208" s="145"/>
      <c r="E208" s="145"/>
      <c r="F208" s="145" t="s">
        <v>18</v>
      </c>
      <c r="G208" s="145"/>
      <c r="H208" s="14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44" t="s">
        <v>367</v>
      </c>
      <c r="D209" s="145"/>
      <c r="E209" s="145"/>
      <c r="F209" s="145" t="s">
        <v>18</v>
      </c>
      <c r="G209" s="145"/>
      <c r="H209" s="14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44" t="s">
        <v>45</v>
      </c>
      <c r="D210" s="145"/>
      <c r="E210" s="145"/>
      <c r="F210" s="145" t="s">
        <v>18</v>
      </c>
      <c r="G210" s="145"/>
      <c r="H210" s="14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55" t="s">
        <v>46</v>
      </c>
      <c r="D211" s="156"/>
      <c r="E211" s="157"/>
      <c r="F211" s="134" t="s">
        <v>18</v>
      </c>
      <c r="G211" s="135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44" t="s">
        <v>47</v>
      </c>
      <c r="D212" s="145"/>
      <c r="E212" s="145"/>
      <c r="F212" s="145" t="s">
        <v>18</v>
      </c>
      <c r="G212" s="145"/>
      <c r="H212" s="14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55" t="s">
        <v>48</v>
      </c>
      <c r="D213" s="156"/>
      <c r="E213" s="157"/>
      <c r="F213" s="134" t="s">
        <v>18</v>
      </c>
      <c r="G213" s="135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44" t="s">
        <v>49</v>
      </c>
      <c r="D214" s="145"/>
      <c r="E214" s="145"/>
      <c r="F214" s="145" t="s">
        <v>18</v>
      </c>
      <c r="G214" s="145"/>
      <c r="H214" s="14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4" t="s">
        <v>110</v>
      </c>
      <c r="D216" s="165"/>
      <c r="E216" s="165"/>
      <c r="F216" s="165"/>
      <c r="G216" s="165"/>
      <c r="H216" s="165"/>
      <c r="I216" s="166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6" t="s">
        <v>302</v>
      </c>
      <c r="D217" s="127"/>
      <c r="E217" s="127"/>
      <c r="F217" s="127"/>
      <c r="G217" s="127"/>
      <c r="H217" s="128"/>
      <c r="I217" s="87">
        <f>($I$51*L217)*J217/K217/M217</f>
        <v>5.931103344982527E-3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6" t="s">
        <v>303</v>
      </c>
      <c r="D218" s="127"/>
      <c r="E218" s="127"/>
      <c r="F218" s="127"/>
      <c r="G218" s="127"/>
      <c r="H218" s="128"/>
      <c r="I218" s="103">
        <f>I61*L218*J218/M218</f>
        <v>1.677483774338492E-2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6" t="s">
        <v>304</v>
      </c>
      <c r="D219" s="127"/>
      <c r="E219" s="127"/>
      <c r="F219" s="127"/>
      <c r="G219" s="127"/>
      <c r="H219" s="128"/>
      <c r="I219" s="105">
        <f>I61/L219*J219/M219</f>
        <v>1.597603594608088E-3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6" t="s">
        <v>305</v>
      </c>
      <c r="D220" s="127"/>
      <c r="E220" s="127"/>
      <c r="F220" s="127"/>
      <c r="G220" s="127"/>
      <c r="H220" s="128"/>
      <c r="I220" s="105">
        <f>I57*J220/M220</f>
        <v>2.196704942586121E-3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6" t="s">
        <v>111</v>
      </c>
      <c r="D221" s="127"/>
      <c r="E221" s="127"/>
      <c r="F221" s="127" t="s">
        <v>42</v>
      </c>
      <c r="G221" s="127"/>
      <c r="H221" s="128"/>
      <c r="I221" s="103">
        <f>I217</f>
        <v>5.931103344982527E-3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6" t="s">
        <v>106</v>
      </c>
      <c r="D222" s="127"/>
      <c r="E222" s="127"/>
      <c r="F222" s="127" t="s">
        <v>18</v>
      </c>
      <c r="G222" s="127"/>
      <c r="H222" s="128"/>
      <c r="I222" s="106">
        <f>I221*J222*K222*L222*M222</f>
        <v>16.718594108836747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6" t="s">
        <v>112</v>
      </c>
      <c r="D223" s="127"/>
      <c r="E223" s="127"/>
      <c r="F223" s="127" t="s">
        <v>42</v>
      </c>
      <c r="G223" s="127"/>
      <c r="H223" s="128"/>
      <c r="I223" s="87">
        <f>I218+I219</f>
        <v>1.8372441337993008E-2</v>
      </c>
      <c r="J223" s="48"/>
      <c r="K223" s="48"/>
      <c r="L223" s="88"/>
    </row>
    <row r="224" spans="1:13" s="49" customFormat="1" ht="15" customHeight="1">
      <c r="A224" s="47"/>
      <c r="B224" s="47"/>
      <c r="C224" s="126" t="s">
        <v>107</v>
      </c>
      <c r="D224" s="127"/>
      <c r="E224" s="127"/>
      <c r="F224" s="127" t="s">
        <v>18</v>
      </c>
      <c r="G224" s="127"/>
      <c r="H224" s="128"/>
      <c r="I224" s="78">
        <f>I223*J224*K224*L224*M224</f>
        <v>46.033989016475282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6" t="s">
        <v>113</v>
      </c>
      <c r="D225" s="127"/>
      <c r="E225" s="127"/>
      <c r="F225" s="127" t="s">
        <v>42</v>
      </c>
      <c r="G225" s="127"/>
      <c r="H225" s="128"/>
      <c r="I225" s="87">
        <f>I220</f>
        <v>2.196704942586121E-3</v>
      </c>
      <c r="J225" s="48"/>
      <c r="K225" s="48"/>
      <c r="L225" s="88"/>
    </row>
    <row r="226" spans="1:14" s="49" customFormat="1" ht="15" customHeight="1">
      <c r="A226" s="47"/>
      <c r="B226" s="47"/>
      <c r="C226" s="126" t="s">
        <v>108</v>
      </c>
      <c r="D226" s="127"/>
      <c r="E226" s="127"/>
      <c r="F226" s="127" t="s">
        <v>18</v>
      </c>
      <c r="G226" s="127"/>
      <c r="H226" s="128"/>
      <c r="I226" s="78">
        <f>I225*J226*K226*L226*M226</f>
        <v>4.9536575137294054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6" t="s">
        <v>86</v>
      </c>
      <c r="D227" s="127"/>
      <c r="E227" s="127"/>
      <c r="F227" s="127" t="s">
        <v>18</v>
      </c>
      <c r="G227" s="127"/>
      <c r="H227" s="128"/>
      <c r="I227" s="78">
        <f>I226+I224+I222</f>
        <v>67.706240639041425</v>
      </c>
      <c r="J227" s="48"/>
      <c r="K227" s="48"/>
      <c r="L227" s="88"/>
    </row>
    <row r="228" spans="1:14" s="49" customFormat="1" ht="15" customHeight="1">
      <c r="A228" s="47"/>
      <c r="B228" s="47"/>
      <c r="C228" s="144" t="s">
        <v>268</v>
      </c>
      <c r="D228" s="145"/>
      <c r="E228" s="145"/>
      <c r="F228" s="145" t="s">
        <v>18</v>
      </c>
      <c r="G228" s="145"/>
      <c r="H228" s="146"/>
      <c r="I228" s="72">
        <f>I227*0.22</f>
        <v>14.895372940589114</v>
      </c>
      <c r="J228" s="48"/>
      <c r="K228" s="48"/>
      <c r="L228" s="88"/>
    </row>
    <row r="229" spans="1:14" s="49" customFormat="1" ht="15" customHeight="1">
      <c r="A229" s="47"/>
      <c r="B229" s="47"/>
      <c r="C229" s="144" t="s">
        <v>365</v>
      </c>
      <c r="D229" s="145"/>
      <c r="E229" s="145"/>
      <c r="F229" s="145" t="s">
        <v>18</v>
      </c>
      <c r="G229" s="145"/>
      <c r="H229" s="146"/>
      <c r="I229" s="101">
        <f>I227*J229</f>
        <v>23.020121817274088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44" t="s">
        <v>270</v>
      </c>
      <c r="D230" s="145"/>
      <c r="E230" s="167" t="s">
        <v>345</v>
      </c>
      <c r="F230" s="167"/>
      <c r="G230" s="167"/>
      <c r="H230" s="167"/>
      <c r="I230" s="101">
        <f>J230*(I221+I223+I225)</f>
        <v>4.8352355466799795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44" t="s">
        <v>87</v>
      </c>
      <c r="D231" s="145"/>
      <c r="E231" s="145"/>
      <c r="F231" s="145" t="s">
        <v>18</v>
      </c>
      <c r="G231" s="145"/>
      <c r="H231" s="146"/>
      <c r="I231" s="101">
        <f>I227+I228+I229+I230</f>
        <v>110.45697094358461</v>
      </c>
      <c r="J231" s="48"/>
      <c r="K231" s="48"/>
      <c r="L231" s="88"/>
    </row>
    <row r="232" spans="1:14" s="49" customFormat="1" ht="15" customHeight="1">
      <c r="A232" s="47"/>
      <c r="B232" s="47"/>
      <c r="C232" s="144" t="s">
        <v>361</v>
      </c>
      <c r="D232" s="145"/>
      <c r="E232" s="145"/>
      <c r="F232" s="145" t="s">
        <v>18</v>
      </c>
      <c r="G232" s="145"/>
      <c r="H232" s="146"/>
      <c r="I232" s="72">
        <f>I231*J232</f>
        <v>22.091394188716922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44" t="s">
        <v>45</v>
      </c>
      <c r="D233" s="145"/>
      <c r="E233" s="145"/>
      <c r="F233" s="145" t="s">
        <v>18</v>
      </c>
      <c r="G233" s="145"/>
      <c r="H233" s="146"/>
      <c r="I233" s="72">
        <f>SUM(I231:I232)</f>
        <v>132.54836513230154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1" t="s">
        <v>46</v>
      </c>
      <c r="D234" s="142"/>
      <c r="E234" s="143"/>
      <c r="F234" s="147" t="s">
        <v>18</v>
      </c>
      <c r="G234" s="148"/>
      <c r="H234" s="92">
        <v>0.05</v>
      </c>
      <c r="I234" s="78">
        <f>I232*J234</f>
        <v>1.1045697094358462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6" t="s">
        <v>47</v>
      </c>
      <c r="D235" s="127"/>
      <c r="E235" s="127"/>
      <c r="F235" s="127" t="s">
        <v>18</v>
      </c>
      <c r="G235" s="127"/>
      <c r="H235" s="128"/>
      <c r="I235" s="78">
        <f>I233+I234</f>
        <v>133.65293484173739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1" t="s">
        <v>48</v>
      </c>
      <c r="D236" s="142"/>
      <c r="E236" s="143"/>
      <c r="F236" s="147" t="s">
        <v>18</v>
      </c>
      <c r="G236" s="148"/>
      <c r="H236" s="92">
        <v>0.05</v>
      </c>
      <c r="I236" s="78">
        <f>I235*J236/K236</f>
        <v>7.0343649916703903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6" t="s">
        <v>49</v>
      </c>
      <c r="D237" s="127"/>
      <c r="E237" s="127"/>
      <c r="F237" s="127" t="s">
        <v>18</v>
      </c>
      <c r="G237" s="127"/>
      <c r="H237" s="128"/>
      <c r="I237" s="78">
        <f>I235+I236</f>
        <v>140.68729983340779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49" t="s">
        <v>95</v>
      </c>
      <c r="D238" s="150"/>
      <c r="E238" s="150"/>
      <c r="F238" s="150"/>
      <c r="G238" s="150"/>
      <c r="H238" s="151"/>
      <c r="I238" s="10">
        <f>I237/I9</f>
        <v>4.1857890443640799E-2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4" t="s">
        <v>114</v>
      </c>
      <c r="D239" s="165"/>
      <c r="E239" s="165"/>
      <c r="F239" s="165"/>
      <c r="G239" s="165"/>
      <c r="H239" s="165"/>
      <c r="I239" s="166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6" t="s">
        <v>306</v>
      </c>
      <c r="D240" s="127"/>
      <c r="E240" s="127"/>
      <c r="F240" s="127" t="s">
        <v>12</v>
      </c>
      <c r="G240" s="127"/>
      <c r="H240" s="128"/>
      <c r="I240" s="87">
        <f>$I$40*L240*J240/K240/M240*N240</f>
        <v>1.8260609086370447E-3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6" t="s">
        <v>307</v>
      </c>
      <c r="D241" s="127"/>
      <c r="E241" s="127"/>
      <c r="F241" s="127" t="s">
        <v>12</v>
      </c>
      <c r="G241" s="127"/>
      <c r="H241" s="128"/>
      <c r="I241" s="87">
        <f>$I$40*L241*J241/K241/M241*N241</f>
        <v>1.673889166250624E-3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6" t="s">
        <v>308</v>
      </c>
      <c r="D242" s="127"/>
      <c r="E242" s="127"/>
      <c r="F242" s="127" t="s">
        <v>15</v>
      </c>
      <c r="G242" s="127"/>
      <c r="H242" s="128"/>
      <c r="I242" s="87">
        <f>((I47+I48)*L242)*J242/K242/M242</f>
        <v>2.5701447828257611E-2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6" t="s">
        <v>309</v>
      </c>
      <c r="D244" s="127"/>
      <c r="E244" s="127"/>
      <c r="F244" s="127"/>
      <c r="G244" s="127"/>
      <c r="H244" s="128"/>
      <c r="I244" s="87">
        <f>I40*J244*K244/L244/M244</f>
        <v>1.673889166250624E-2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310</v>
      </c>
      <c r="D245" s="127"/>
      <c r="E245" s="127"/>
      <c r="F245" s="127"/>
      <c r="G245" s="127"/>
      <c r="H245" s="128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6" t="s">
        <v>311</v>
      </c>
      <c r="D247" s="127"/>
      <c r="E247" s="127"/>
      <c r="F247" s="127"/>
      <c r="G247" s="127"/>
      <c r="H247" s="128"/>
      <c r="I247" s="87">
        <f>I40*J247/K247/L247/M247</f>
        <v>1.5978032950574136E-2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312</v>
      </c>
      <c r="D248" s="127"/>
      <c r="E248" s="127"/>
      <c r="F248" s="127" t="s">
        <v>171</v>
      </c>
      <c r="G248" s="127"/>
      <c r="H248" s="128"/>
      <c r="I248" s="105">
        <f>I54*J248/L248/M248</f>
        <v>2.7625228823431521E-4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297</v>
      </c>
      <c r="D249" s="127"/>
      <c r="E249" s="127"/>
      <c r="F249" s="127"/>
      <c r="G249" s="127"/>
      <c r="H249" s="128"/>
      <c r="I249" s="105">
        <f>I58*J249/M249</f>
        <v>2.4712930604093861E-3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313</v>
      </c>
      <c r="D250" s="127"/>
      <c r="E250" s="127"/>
      <c r="F250" s="127"/>
      <c r="G250" s="127"/>
      <c r="H250" s="128"/>
      <c r="I250" s="105">
        <f>I62*K250*J250/M250</f>
        <v>7.1892161757363951E-3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314</v>
      </c>
      <c r="D251" s="127"/>
      <c r="E251" s="127"/>
      <c r="F251" s="127"/>
      <c r="G251" s="127"/>
      <c r="H251" s="128"/>
      <c r="I251" s="87">
        <f>I49*K251*J251/M251</f>
        <v>1.7134298552171742E-2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315</v>
      </c>
      <c r="D252" s="127"/>
      <c r="E252" s="127"/>
      <c r="F252" s="127"/>
      <c r="G252" s="127"/>
      <c r="H252" s="128"/>
      <c r="I252" s="87">
        <f>I40*L252*J252/K252/M252</f>
        <v>1.2554168746879681E-2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6.2194574804459973E-2</v>
      </c>
      <c r="J253" s="81"/>
      <c r="K253" s="81"/>
      <c r="L253" s="63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3.6877683474787815E-2</v>
      </c>
      <c r="J254" s="81"/>
      <c r="K254" s="81"/>
      <c r="L254" s="63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2.4712930604093861E-3</v>
      </c>
      <c r="J255" s="81"/>
      <c r="K255" s="81"/>
      <c r="L255" s="63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8">
        <f>J256*K256*M256*N256*I253</f>
        <v>175.31406745881176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8">
        <f>J257*K257*M257*N257*I254</f>
        <v>92.400723714428338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8">
        <f>J258*K258*M258*N258*I255</f>
        <v>5.5728647029455818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9">
        <f>SUM(I256:I258)</f>
        <v>273.28765587618568</v>
      </c>
      <c r="J259" s="62"/>
      <c r="K259" s="62"/>
      <c r="L259" s="63"/>
    </row>
    <row r="260" spans="1:14" s="49" customFormat="1" ht="15" customHeight="1">
      <c r="A260" s="47"/>
      <c r="B260" s="47"/>
      <c r="C260" s="144" t="s">
        <v>268</v>
      </c>
      <c r="D260" s="145"/>
      <c r="E260" s="145"/>
      <c r="F260" s="145" t="s">
        <v>18</v>
      </c>
      <c r="G260" s="145"/>
      <c r="H260" s="146"/>
      <c r="I260" s="72">
        <f>I259*J260</f>
        <v>60.12328429276085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44" t="s">
        <v>365</v>
      </c>
      <c r="D261" s="145"/>
      <c r="E261" s="145"/>
      <c r="F261" s="145" t="s">
        <v>18</v>
      </c>
      <c r="G261" s="145"/>
      <c r="H261" s="146"/>
      <c r="I261" s="72">
        <f>I259*J261</f>
        <v>92.917802997903138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44" t="s">
        <v>270</v>
      </c>
      <c r="D262" s="145"/>
      <c r="E262" s="167" t="s">
        <v>345</v>
      </c>
      <c r="F262" s="167"/>
      <c r="G262" s="167"/>
      <c r="H262" s="167"/>
      <c r="I262" s="72">
        <f>(I253+I254+I255)*J262</f>
        <v>18.527636377433847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44" t="s">
        <v>87</v>
      </c>
      <c r="D263" s="145"/>
      <c r="E263" s="145"/>
      <c r="F263" s="145" t="s">
        <v>18</v>
      </c>
      <c r="G263" s="145"/>
      <c r="H263" s="146"/>
      <c r="I263" s="72">
        <f>SUM(I259:I262)</f>
        <v>444.85637954428353</v>
      </c>
      <c r="J263" s="91"/>
      <c r="K263" s="81"/>
      <c r="L263" s="88"/>
    </row>
    <row r="264" spans="1:14" s="49" customFormat="1" ht="15" customHeight="1">
      <c r="A264" s="47"/>
      <c r="B264" s="47"/>
      <c r="C264" s="144" t="s">
        <v>363</v>
      </c>
      <c r="D264" s="145"/>
      <c r="E264" s="145"/>
      <c r="F264" s="145" t="s">
        <v>18</v>
      </c>
      <c r="G264" s="145"/>
      <c r="H264" s="146"/>
      <c r="I264" s="72">
        <f>I263*J264</f>
        <v>88.971275908856711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44" t="s">
        <v>45</v>
      </c>
      <c r="D265" s="145"/>
      <c r="E265" s="145"/>
      <c r="F265" s="145" t="s">
        <v>18</v>
      </c>
      <c r="G265" s="145"/>
      <c r="H265" s="146"/>
      <c r="I265" s="72">
        <f>SUM(I263:I264)</f>
        <v>533.82765545314021</v>
      </c>
      <c r="J265" s="91"/>
      <c r="K265" s="81"/>
      <c r="L265" s="88"/>
    </row>
    <row r="266" spans="1:14" s="49" customFormat="1" ht="15" customHeight="1">
      <c r="A266" s="47"/>
      <c r="B266" s="47"/>
      <c r="C266" s="155" t="s">
        <v>46</v>
      </c>
      <c r="D266" s="156"/>
      <c r="E266" s="157"/>
      <c r="F266" s="134" t="s">
        <v>18</v>
      </c>
      <c r="G266" s="135"/>
      <c r="H266" s="90">
        <v>0.05</v>
      </c>
      <c r="I266" s="72">
        <f>I264*J266</f>
        <v>4.4485637954428361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8">
        <f>I265+I266</f>
        <v>538.27621924858306</v>
      </c>
      <c r="J267" s="80"/>
      <c r="K267" s="62"/>
      <c r="L267" s="63"/>
    </row>
    <row r="268" spans="1:14" s="54" customFormat="1" ht="15" customHeight="1">
      <c r="A268" s="53"/>
      <c r="B268" s="53"/>
      <c r="C268" s="141" t="s">
        <v>48</v>
      </c>
      <c r="D268" s="142"/>
      <c r="E268" s="143"/>
      <c r="F268" s="147" t="s">
        <v>18</v>
      </c>
      <c r="G268" s="148"/>
      <c r="H268" s="92">
        <v>0.05</v>
      </c>
      <c r="I268" s="78">
        <f>I267*J268/K268</f>
        <v>28.330327328872794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8">
        <f>I267+I268</f>
        <v>566.6065465774559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0.1685792163142856</v>
      </c>
      <c r="J270" s="62"/>
      <c r="K270" s="62"/>
      <c r="L270" s="63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2"/>
      <c r="K271" s="62"/>
      <c r="L271" s="63"/>
    </row>
    <row r="272" spans="1:14" s="49" customFormat="1" ht="16.95" customHeight="1">
      <c r="A272" s="47"/>
      <c r="B272" s="47"/>
      <c r="C272" s="144" t="s">
        <v>346</v>
      </c>
      <c r="D272" s="145"/>
      <c r="E272" s="145"/>
      <c r="F272" s="145" t="s">
        <v>18</v>
      </c>
      <c r="G272" s="145"/>
      <c r="H272" s="146"/>
      <c r="I272" s="72">
        <f>J272*I9</f>
        <v>436.93910000000005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44" t="s">
        <v>361</v>
      </c>
      <c r="D273" s="145"/>
      <c r="E273" s="145"/>
      <c r="F273" s="145" t="s">
        <v>18</v>
      </c>
      <c r="G273" s="145"/>
      <c r="H273" s="146"/>
      <c r="I273" s="72">
        <f>I272*J273</f>
        <v>87.387820000000019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8">
        <f>SUM(I272:I273)</f>
        <v>524.32692000000009</v>
      </c>
      <c r="J274" s="62"/>
      <c r="K274" s="62"/>
      <c r="L274" s="63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2">
        <v>0.05</v>
      </c>
      <c r="I275" s="78">
        <f>I273*J275</f>
        <v>4.3693910000000011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8">
        <f>I274+I275</f>
        <v>528.69631100000004</v>
      </c>
      <c r="J276" s="62"/>
      <c r="K276" s="62"/>
      <c r="L276" s="63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2">
        <v>0.05</v>
      </c>
      <c r="I277" s="78">
        <f>I276*J277/K277</f>
        <v>27.826121631578953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8">
        <f>I276+I277</f>
        <v>556.52243263157902</v>
      </c>
      <c r="J278" s="62"/>
      <c r="K278" s="62"/>
      <c r="L278" s="63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49" t="s">
        <v>245</v>
      </c>
      <c r="D280" s="150"/>
      <c r="E280" s="150"/>
      <c r="F280" s="150"/>
      <c r="G280" s="150"/>
      <c r="H280" s="151"/>
      <c r="I280" s="12">
        <f>J280</f>
        <v>0.66957894736842105</v>
      </c>
      <c r="J280" s="97">
        <f>ROUND(I191,3)+ROUND(I215,3)+ROUND(I238,3)+ROUND(I270,3)+I279</f>
        <v>0.66957894736842105</v>
      </c>
      <c r="K280" s="62"/>
      <c r="L280" s="63"/>
    </row>
    <row r="281" spans="1:12" s="9" customFormat="1" ht="16.2">
      <c r="A281" s="131" t="s">
        <v>227</v>
      </c>
      <c r="B281" s="132"/>
      <c r="C281" s="132"/>
      <c r="D281" s="132"/>
      <c r="E281" s="132"/>
      <c r="F281" s="132"/>
      <c r="G281" s="132"/>
      <c r="H281" s="132"/>
      <c r="I281" s="133"/>
      <c r="J281" s="62"/>
      <c r="K281" s="62"/>
      <c r="L281" s="63"/>
    </row>
    <row r="282" spans="1:12" s="9" customFormat="1" ht="15" customHeight="1">
      <c r="A282" s="21"/>
      <c r="B282" s="21"/>
      <c r="C282" s="126" t="s">
        <v>316</v>
      </c>
      <c r="D282" s="127"/>
      <c r="E282" s="127"/>
      <c r="F282" s="127" t="s">
        <v>18</v>
      </c>
      <c r="G282" s="127"/>
      <c r="H282" s="12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6" t="s">
        <v>265</v>
      </c>
      <c r="D283" s="127"/>
      <c r="E283" s="127"/>
      <c r="F283" s="127" t="s">
        <v>18</v>
      </c>
      <c r="G283" s="127"/>
      <c r="H283" s="128"/>
      <c r="I283" s="110">
        <f>I282*J283*I21/12</f>
        <v>62.210250000000002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10">
        <f>SUM(I283)</f>
        <v>62.210250000000002</v>
      </c>
      <c r="J284" s="62"/>
      <c r="K284" s="62"/>
      <c r="L284" s="63"/>
    </row>
    <row r="285" spans="1:12" s="49" customFormat="1" ht="15" customHeight="1">
      <c r="A285" s="47"/>
      <c r="B285" s="47"/>
      <c r="C285" s="144" t="s">
        <v>368</v>
      </c>
      <c r="D285" s="145"/>
      <c r="E285" s="145"/>
      <c r="F285" s="145" t="s">
        <v>18</v>
      </c>
      <c r="G285" s="145"/>
      <c r="H285" s="146"/>
      <c r="I285" s="101">
        <f>I284*J285</f>
        <v>12.442050000000002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100">
        <f>SUM(I284:I285)</f>
        <v>74.652299999999997</v>
      </c>
      <c r="J286" s="80"/>
      <c r="K286" s="62"/>
      <c r="L286" s="63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2">
        <v>0.05</v>
      </c>
      <c r="I287" s="78">
        <f>I285*J287</f>
        <v>0.62210250000000011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8">
        <f>I286+I287</f>
        <v>75.274402499999994</v>
      </c>
      <c r="J288" s="80"/>
      <c r="K288" s="62"/>
      <c r="L288" s="63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2">
        <v>0.05</v>
      </c>
      <c r="I289" s="78">
        <f>I288*J289/K289</f>
        <v>3.9618106578947367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8">
        <f>I288+I289</f>
        <v>79.236213157894724</v>
      </c>
      <c r="J290" s="80"/>
      <c r="K290" s="80"/>
      <c r="L290" s="63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7">
        <f>ROUND(K291,3)</f>
        <v>2.4E-2</v>
      </c>
      <c r="K291" s="97">
        <f>I290/I9</f>
        <v>2.3574698878004539E-2</v>
      </c>
      <c r="L291" s="63"/>
    </row>
    <row r="292" spans="1:14" s="9" customFormat="1" ht="16.2">
      <c r="A292" s="131" t="s">
        <v>226</v>
      </c>
      <c r="B292" s="132"/>
      <c r="C292" s="132"/>
      <c r="D292" s="132"/>
      <c r="E292" s="132"/>
      <c r="F292" s="132"/>
      <c r="G292" s="132"/>
      <c r="H292" s="132"/>
      <c r="I292" s="133"/>
      <c r="J292" s="62"/>
      <c r="K292" s="62"/>
      <c r="L292" s="63"/>
    </row>
    <row r="293" spans="1:14" s="9" customFormat="1" ht="15" customHeight="1">
      <c r="A293" s="21"/>
      <c r="B293" s="21"/>
      <c r="C293" s="126" t="s">
        <v>316</v>
      </c>
      <c r="D293" s="127"/>
      <c r="E293" s="127"/>
      <c r="F293" s="127" t="s">
        <v>18</v>
      </c>
      <c r="G293" s="127"/>
      <c r="H293" s="12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6" t="s">
        <v>266</v>
      </c>
      <c r="D294" s="127"/>
      <c r="E294" s="127"/>
      <c r="F294" s="127" t="s">
        <v>18</v>
      </c>
      <c r="G294" s="127"/>
      <c r="H294" s="128"/>
      <c r="I294" s="110">
        <f>I293*J294*I21/12</f>
        <v>71.373000000000005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10">
        <f>SUM(I294)</f>
        <v>71.373000000000005</v>
      </c>
      <c r="J295" s="62"/>
      <c r="K295" s="62"/>
      <c r="L295" s="63"/>
    </row>
    <row r="296" spans="1:14" s="49" customFormat="1" ht="15" customHeight="1">
      <c r="A296" s="47"/>
      <c r="B296" s="47"/>
      <c r="C296" s="144" t="s">
        <v>369</v>
      </c>
      <c r="D296" s="145"/>
      <c r="E296" s="145"/>
      <c r="F296" s="145" t="s">
        <v>18</v>
      </c>
      <c r="G296" s="145"/>
      <c r="H296" s="146"/>
      <c r="I296" s="101">
        <f>I295*J296</f>
        <v>14.274600000000001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100">
        <f>SUM(I295:I296)</f>
        <v>85.647600000000011</v>
      </c>
      <c r="J297" s="62"/>
      <c r="K297" s="62"/>
      <c r="L297" s="63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2">
        <v>0.05</v>
      </c>
      <c r="I298" s="78">
        <f>I296*J298</f>
        <v>0.71373000000000009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8">
        <f>I297+I298</f>
        <v>86.361330000000009</v>
      </c>
      <c r="J299" s="62"/>
      <c r="K299" s="62"/>
      <c r="L299" s="63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2">
        <v>0.05</v>
      </c>
      <c r="I300" s="78">
        <f>I299*J300/K300</f>
        <v>4.5453331578947376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8">
        <f>I299+I300</f>
        <v>90.906663157894741</v>
      </c>
      <c r="J301" s="95"/>
      <c r="K301" s="62"/>
      <c r="L301" s="63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7">
        <f>ROUND(K302,3)</f>
        <v>2.7E-2</v>
      </c>
      <c r="K302" s="97">
        <f>I301/I9</f>
        <v>2.7046941348408314E-2</v>
      </c>
      <c r="L302" s="63"/>
    </row>
    <row r="303" spans="1:14" s="9" customFormat="1" ht="15.75" customHeight="1">
      <c r="A303" s="208" t="s">
        <v>228</v>
      </c>
      <c r="B303" s="209"/>
      <c r="C303" s="209"/>
      <c r="D303" s="209"/>
      <c r="E303" s="209"/>
      <c r="F303" s="209"/>
      <c r="G303" s="209"/>
      <c r="H303" s="209"/>
      <c r="I303" s="210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6" t="s">
        <v>317</v>
      </c>
      <c r="D304" s="127"/>
      <c r="E304" s="127"/>
      <c r="F304" s="127" t="s">
        <v>70</v>
      </c>
      <c r="G304" s="127"/>
      <c r="H304" s="128"/>
      <c r="I304" s="13">
        <f>I37*J304*M304/K304/L304*N304</f>
        <v>2.075886170743884E-2</v>
      </c>
      <c r="J304" s="81">
        <v>1.8</v>
      </c>
      <c r="K304" s="62">
        <v>10</v>
      </c>
      <c r="L304" s="63">
        <v>2003</v>
      </c>
      <c r="M304" s="56">
        <v>1</v>
      </c>
      <c r="N304" s="52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52.013403894158756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268</v>
      </c>
      <c r="D306" s="127"/>
      <c r="E306" s="127"/>
      <c r="F306" s="127" t="s">
        <v>18</v>
      </c>
      <c r="G306" s="127"/>
      <c r="H306" s="128"/>
      <c r="I306" s="78">
        <f>I305*J306</f>
        <v>11.442948856714926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44" t="s">
        <v>365</v>
      </c>
      <c r="D307" s="145"/>
      <c r="E307" s="145"/>
      <c r="F307" s="145" t="s">
        <v>18</v>
      </c>
      <c r="G307" s="145"/>
      <c r="H307" s="146"/>
      <c r="I307" s="72">
        <f>I305*J307</f>
        <v>17.68455732401398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44" t="s">
        <v>347</v>
      </c>
      <c r="D308" s="145"/>
      <c r="E308" s="145"/>
      <c r="F308" s="145" t="s">
        <v>18</v>
      </c>
      <c r="G308" s="145"/>
      <c r="H308" s="146"/>
      <c r="I308" s="72">
        <f>I304*J308</f>
        <v>1.5523476784822765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44" t="s">
        <v>286</v>
      </c>
      <c r="D309" s="145"/>
      <c r="E309" s="145"/>
      <c r="F309" s="145" t="s">
        <v>18</v>
      </c>
      <c r="G309" s="145"/>
      <c r="H309" s="146"/>
      <c r="I309" s="72">
        <f>SUM(I305:I308)</f>
        <v>82.693257753369949</v>
      </c>
      <c r="J309" s="102"/>
      <c r="K309" s="81"/>
      <c r="L309" s="88"/>
    </row>
    <row r="310" spans="1:14" s="49" customFormat="1" ht="15.75" customHeight="1">
      <c r="A310" s="47"/>
      <c r="B310" s="47"/>
      <c r="C310" s="144" t="s">
        <v>369</v>
      </c>
      <c r="D310" s="145"/>
      <c r="E310" s="145"/>
      <c r="F310" s="145" t="s">
        <v>18</v>
      </c>
      <c r="G310" s="145"/>
      <c r="H310" s="146"/>
      <c r="I310" s="72">
        <f>I309*J310</f>
        <v>16.53865155067399</v>
      </c>
      <c r="J310" s="91">
        <v>0.2</v>
      </c>
      <c r="K310" s="81"/>
      <c r="L310" s="88"/>
    </row>
    <row r="311" spans="1:14" s="49" customFormat="1">
      <c r="A311" s="47"/>
      <c r="B311" s="47"/>
      <c r="C311" s="144" t="s">
        <v>45</v>
      </c>
      <c r="D311" s="145"/>
      <c r="E311" s="145"/>
      <c r="F311" s="145" t="s">
        <v>18</v>
      </c>
      <c r="G311" s="145"/>
      <c r="H311" s="146"/>
      <c r="I311" s="72">
        <f>SUM(I309:I310)</f>
        <v>99.231909304043938</v>
      </c>
      <c r="J311" s="81"/>
      <c r="K311" s="81"/>
      <c r="L311" s="88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2">
        <v>0.05</v>
      </c>
      <c r="I312" s="78">
        <f>I311*J312</f>
        <v>4.9615954652021976</v>
      </c>
      <c r="J312" s="80">
        <v>0.05</v>
      </c>
      <c r="K312" s="62"/>
      <c r="L312" s="63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8">
        <f>I311+I312</f>
        <v>104.19350476924613</v>
      </c>
      <c r="J313" s="62"/>
      <c r="K313" s="62"/>
      <c r="L313" s="63"/>
    </row>
    <row r="314" spans="1:14" s="54" customFormat="1">
      <c r="A314" s="53"/>
      <c r="B314" s="53"/>
      <c r="C314" s="141" t="s">
        <v>48</v>
      </c>
      <c r="D314" s="142"/>
      <c r="E314" s="143"/>
      <c r="F314" s="147" t="s">
        <v>18</v>
      </c>
      <c r="G314" s="148"/>
      <c r="H314" s="92">
        <v>0.05</v>
      </c>
      <c r="I314" s="78">
        <f>I313*J314/K314</f>
        <v>5.4838686720655865</v>
      </c>
      <c r="J314" s="80">
        <v>0.05</v>
      </c>
      <c r="K314" s="80">
        <v>0.95</v>
      </c>
    </row>
    <row r="315" spans="1:14" s="57" customFormat="1">
      <c r="A315" s="53"/>
      <c r="B315" s="53"/>
      <c r="C315" s="126" t="s">
        <v>49</v>
      </c>
      <c r="D315" s="127"/>
      <c r="E315" s="127"/>
      <c r="F315" s="127" t="s">
        <v>18</v>
      </c>
      <c r="G315" s="127"/>
      <c r="H315" s="128"/>
      <c r="I315" s="78">
        <f>I313+I314</f>
        <v>109.67737344131172</v>
      </c>
      <c r="J315" s="62"/>
      <c r="K315" s="62"/>
      <c r="L315" s="54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3.3000000000000002E-2</v>
      </c>
      <c r="J316" s="97">
        <f>ROUND(K316,3)</f>
        <v>3.3000000000000002E-2</v>
      </c>
      <c r="K316" s="97">
        <f>I315/I10</f>
        <v>3.2631683791563906E-2</v>
      </c>
      <c r="L316" s="63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6" t="s">
        <v>318</v>
      </c>
      <c r="D318" s="127"/>
      <c r="E318" s="127"/>
      <c r="F318" s="127" t="s">
        <v>12</v>
      </c>
      <c r="G318" s="127"/>
      <c r="H318" s="128"/>
      <c r="I318" s="87">
        <f>I31*J318*K318/M318</f>
        <v>2.596105841238143E-3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319</v>
      </c>
      <c r="D319" s="127"/>
      <c r="E319" s="127"/>
      <c r="F319" s="127" t="s">
        <v>12</v>
      </c>
      <c r="G319" s="127"/>
      <c r="H319" s="12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320</v>
      </c>
      <c r="D320" s="127"/>
      <c r="E320" s="127"/>
      <c r="F320" s="127"/>
      <c r="G320" s="127"/>
      <c r="H320" s="128"/>
      <c r="I320" s="87">
        <f>(I24+I28)*J320/K320/M320</f>
        <v>3.594608087868198E-3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321</v>
      </c>
      <c r="D321" s="127"/>
      <c r="E321" s="127"/>
      <c r="F321" s="127"/>
      <c r="G321" s="127"/>
      <c r="H321" s="128"/>
      <c r="I321" s="87">
        <f>I23*J321/M321</f>
        <v>1.99700449326011E-3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322</v>
      </c>
      <c r="D322" s="127"/>
      <c r="E322" s="127"/>
      <c r="F322" s="127" t="s">
        <v>16</v>
      </c>
      <c r="G322" s="127"/>
      <c r="H322" s="128"/>
      <c r="I322" s="87">
        <f>I25*J322/K322/M322</f>
        <v>2.596105841238143E-3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323</v>
      </c>
      <c r="D323" s="127"/>
      <c r="E323" s="127"/>
      <c r="F323" s="127" t="s">
        <v>16</v>
      </c>
      <c r="G323" s="127"/>
      <c r="H323" s="128"/>
      <c r="I323" s="87">
        <f>I26*J323/M323</f>
        <v>1.9221168247628561E-3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324</v>
      </c>
      <c r="D324" s="127"/>
      <c r="E324" s="127"/>
      <c r="F324" s="127" t="s">
        <v>16</v>
      </c>
      <c r="G324" s="127"/>
      <c r="H324" s="128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325</v>
      </c>
      <c r="D325" s="127"/>
      <c r="E325" s="127"/>
      <c r="F325" s="127" t="s">
        <v>16</v>
      </c>
      <c r="G325" s="127"/>
      <c r="H325" s="128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326</v>
      </c>
      <c r="D326" s="127"/>
      <c r="E326" s="127"/>
      <c r="F326" s="127" t="s">
        <v>16</v>
      </c>
      <c r="G326" s="127"/>
      <c r="H326" s="128"/>
      <c r="I326" s="87">
        <f>I30*J326/K326/M326</f>
        <v>5.8711932101847232E-3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7">
        <f>I318+I321</f>
        <v>4.593110334498253E-3</v>
      </c>
      <c r="J327" s="81"/>
      <c r="K327" s="81"/>
      <c r="L327" s="63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7">
        <f>I319+I320+I323+I324+I325+I326</f>
        <v>1.6050923614578133E-2</v>
      </c>
      <c r="J328" s="81"/>
      <c r="K328" s="81"/>
      <c r="L328" s="63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7">
        <f>I322</f>
        <v>2.596105841238143E-3</v>
      </c>
      <c r="J329" s="81"/>
      <c r="K329" s="81"/>
      <c r="L329" s="63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8">
        <f>I327*J330*K330*M330*N330</f>
        <v>12.947059410883675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8">
        <f>I328*J331*K331*M331*N331</f>
        <v>40.217194208686969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8">
        <f>I329*J332*K332*M332*N332</f>
        <v>5.854322516225662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8">
        <f>SUM(I330:I332)</f>
        <v>59.018576135796309</v>
      </c>
      <c r="J333" s="81"/>
      <c r="K333" s="81"/>
      <c r="L333" s="63"/>
    </row>
    <row r="334" spans="1:14" s="49" customFormat="1" ht="15" customHeight="1">
      <c r="A334" s="47"/>
      <c r="B334" s="47"/>
      <c r="C334" s="144" t="s">
        <v>268</v>
      </c>
      <c r="D334" s="145"/>
      <c r="E334" s="145"/>
      <c r="F334" s="145" t="s">
        <v>18</v>
      </c>
      <c r="G334" s="145"/>
      <c r="H334" s="146"/>
      <c r="I334" s="72">
        <f>I333*J334</f>
        <v>12.984086749875187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44" t="s">
        <v>362</v>
      </c>
      <c r="D335" s="145"/>
      <c r="E335" s="145"/>
      <c r="F335" s="145" t="s">
        <v>42</v>
      </c>
      <c r="G335" s="145"/>
      <c r="H335" s="146"/>
      <c r="I335" s="111">
        <f>I333*J335</f>
        <v>20.066315886170745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44" t="s">
        <v>327</v>
      </c>
      <c r="D336" s="145"/>
      <c r="E336" s="145"/>
      <c r="F336" s="145" t="s">
        <v>14</v>
      </c>
      <c r="G336" s="145"/>
      <c r="H336" s="146"/>
      <c r="I336" s="67">
        <f>I23</f>
        <v>40</v>
      </c>
      <c r="J336" s="91"/>
      <c r="K336" s="81"/>
      <c r="L336" s="88"/>
    </row>
    <row r="337" spans="1:12" s="49" customFormat="1" ht="15" customHeight="1">
      <c r="A337" s="47"/>
      <c r="B337" s="47"/>
      <c r="C337" s="144" t="s">
        <v>242</v>
      </c>
      <c r="D337" s="145"/>
      <c r="E337" s="145"/>
      <c r="F337" s="145" t="s">
        <v>18</v>
      </c>
      <c r="G337" s="145"/>
      <c r="H337" s="146"/>
      <c r="I337" s="72">
        <f>I336*J337/K337</f>
        <v>18.3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44" t="s">
        <v>328</v>
      </c>
      <c r="D338" s="145"/>
      <c r="E338" s="145"/>
      <c r="F338" s="145" t="s">
        <v>53</v>
      </c>
      <c r="G338" s="145"/>
      <c r="H338" s="146"/>
      <c r="I338" s="72">
        <f>I339+I340</f>
        <v>36.72</v>
      </c>
      <c r="J338" s="81"/>
      <c r="K338" s="81"/>
      <c r="L338" s="88"/>
    </row>
    <row r="339" spans="1:12" s="49" customFormat="1" ht="15" customHeight="1">
      <c r="A339" s="47"/>
      <c r="B339" s="47"/>
      <c r="C339" s="144" t="s">
        <v>243</v>
      </c>
      <c r="D339" s="145"/>
      <c r="E339" s="145"/>
      <c r="F339" s="145" t="s">
        <v>53</v>
      </c>
      <c r="G339" s="145"/>
      <c r="H339" s="146"/>
      <c r="I339" s="72">
        <f>I24*J339*K339</f>
        <v>16.32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44" t="s">
        <v>244</v>
      </c>
      <c r="D340" s="145"/>
      <c r="E340" s="145"/>
      <c r="F340" s="145" t="s">
        <v>53</v>
      </c>
      <c r="G340" s="145"/>
      <c r="H340" s="146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44" t="s">
        <v>100</v>
      </c>
      <c r="D341" s="145"/>
      <c r="E341" s="145"/>
      <c r="F341" s="145" t="s">
        <v>18</v>
      </c>
      <c r="G341" s="145"/>
      <c r="H341" s="146"/>
      <c r="I341" s="72">
        <f>(I339*J341+I340*L341)/K341</f>
        <v>6.2560000000000002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44" t="s">
        <v>329</v>
      </c>
      <c r="D342" s="145"/>
      <c r="E342" s="145"/>
      <c r="F342" s="145" t="s">
        <v>55</v>
      </c>
      <c r="G342" s="145"/>
      <c r="H342" s="146"/>
      <c r="I342" s="67">
        <f>I25</f>
        <v>20</v>
      </c>
      <c r="J342" s="81"/>
      <c r="K342" s="81"/>
      <c r="L342" s="88"/>
    </row>
    <row r="343" spans="1:12" s="49" customFormat="1" ht="15" customHeight="1">
      <c r="A343" s="47"/>
      <c r="B343" s="47"/>
      <c r="C343" s="144" t="s">
        <v>54</v>
      </c>
      <c r="D343" s="145"/>
      <c r="E343" s="145"/>
      <c r="F343" s="145" t="s">
        <v>18</v>
      </c>
      <c r="G343" s="145"/>
      <c r="H343" s="146"/>
      <c r="I343" s="72">
        <f>I342*J343/K343</f>
        <v>18.416666666666668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44" t="s">
        <v>56</v>
      </c>
      <c r="D344" s="145"/>
      <c r="E344" s="145"/>
      <c r="F344" s="145" t="s">
        <v>55</v>
      </c>
      <c r="G344" s="145"/>
      <c r="H344" s="146"/>
      <c r="I344" s="72">
        <f>I25*J344*K344</f>
        <v>0.2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44" t="s">
        <v>57</v>
      </c>
      <c r="D345" s="145"/>
      <c r="E345" s="145"/>
      <c r="F345" s="145" t="s">
        <v>18</v>
      </c>
      <c r="G345" s="145"/>
      <c r="H345" s="146"/>
      <c r="I345" s="72">
        <f>I344*J345/K345</f>
        <v>4.7666666666666663E-2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44" t="s">
        <v>330</v>
      </c>
      <c r="D346" s="145"/>
      <c r="E346" s="145"/>
      <c r="F346" s="145" t="s">
        <v>14</v>
      </c>
      <c r="G346" s="145"/>
      <c r="H346" s="146"/>
      <c r="I346" s="67">
        <f>I26</f>
        <v>7</v>
      </c>
      <c r="J346" s="81"/>
      <c r="K346" s="81"/>
      <c r="L346" s="88"/>
    </row>
    <row r="347" spans="1:12" s="49" customFormat="1" ht="15" customHeight="1">
      <c r="A347" s="47"/>
      <c r="B347" s="47"/>
      <c r="C347" s="144" t="s">
        <v>58</v>
      </c>
      <c r="D347" s="145"/>
      <c r="E347" s="145"/>
      <c r="F347" s="145" t="s">
        <v>18</v>
      </c>
      <c r="G347" s="145"/>
      <c r="H347" s="146"/>
      <c r="I347" s="72">
        <f>I346*J347/K347</f>
        <v>14.408333333333333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44" t="s">
        <v>59</v>
      </c>
      <c r="D348" s="145"/>
      <c r="E348" s="145"/>
      <c r="F348" s="145" t="s">
        <v>16</v>
      </c>
      <c r="G348" s="145"/>
      <c r="H348" s="146"/>
      <c r="I348" s="72">
        <f>I26*J348*K348</f>
        <v>3.5000000000000003E-2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44" t="s">
        <v>62</v>
      </c>
      <c r="D349" s="145"/>
      <c r="E349" s="145"/>
      <c r="F349" s="145" t="s">
        <v>18</v>
      </c>
      <c r="G349" s="145"/>
      <c r="H349" s="146"/>
      <c r="I349" s="111">
        <f>I348*J349/K349</f>
        <v>8.3416666666666674E-3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44" t="s">
        <v>331</v>
      </c>
      <c r="D350" s="145"/>
      <c r="E350" s="145"/>
      <c r="F350" s="145" t="s">
        <v>14</v>
      </c>
      <c r="G350" s="145"/>
      <c r="H350" s="14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44" t="s">
        <v>60</v>
      </c>
      <c r="D351" s="145"/>
      <c r="E351" s="145"/>
      <c r="F351" s="145" t="s">
        <v>18</v>
      </c>
      <c r="G351" s="145"/>
      <c r="H351" s="14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44" t="s">
        <v>61</v>
      </c>
      <c r="D352" s="145"/>
      <c r="E352" s="145"/>
      <c r="F352" s="145" t="s">
        <v>16</v>
      </c>
      <c r="G352" s="145"/>
      <c r="H352" s="14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44" t="s">
        <v>63</v>
      </c>
      <c r="D353" s="145"/>
      <c r="E353" s="145"/>
      <c r="F353" s="145" t="s">
        <v>18</v>
      </c>
      <c r="G353" s="145"/>
      <c r="H353" s="14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44" t="s">
        <v>332</v>
      </c>
      <c r="D354" s="145"/>
      <c r="E354" s="145"/>
      <c r="F354" s="145" t="s">
        <v>16</v>
      </c>
      <c r="G354" s="145"/>
      <c r="H354" s="146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44" t="s">
        <v>64</v>
      </c>
      <c r="D355" s="145"/>
      <c r="E355" s="145"/>
      <c r="F355" s="145" t="s">
        <v>18</v>
      </c>
      <c r="G355" s="145"/>
      <c r="H355" s="146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44" t="s">
        <v>66</v>
      </c>
      <c r="D356" s="145"/>
      <c r="E356" s="145"/>
      <c r="F356" s="145" t="s">
        <v>16</v>
      </c>
      <c r="G356" s="145"/>
      <c r="H356" s="146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44" t="s">
        <v>65</v>
      </c>
      <c r="D357" s="145"/>
      <c r="E357" s="145"/>
      <c r="F357" s="145" t="s">
        <v>18</v>
      </c>
      <c r="G357" s="145"/>
      <c r="H357" s="146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44" t="s">
        <v>67</v>
      </c>
      <c r="D358" s="145"/>
      <c r="E358" s="145"/>
      <c r="F358" s="145" t="s">
        <v>18</v>
      </c>
      <c r="G358" s="145"/>
      <c r="H358" s="146"/>
      <c r="I358" s="72">
        <f>I334+I335+I341+I343+I345+I347+I349+I351+I353+I355+I357+I337</f>
        <v>112.8574243027126</v>
      </c>
      <c r="J358" s="81"/>
      <c r="K358" s="81"/>
      <c r="L358" s="88"/>
    </row>
    <row r="359" spans="1:13" s="49" customFormat="1" ht="15" customHeight="1">
      <c r="A359" s="47"/>
      <c r="B359" s="47"/>
      <c r="C359" s="144" t="s">
        <v>351</v>
      </c>
      <c r="D359" s="145"/>
      <c r="E359" s="145"/>
      <c r="F359" s="145" t="s">
        <v>18</v>
      </c>
      <c r="G359" s="145"/>
      <c r="H359" s="146"/>
      <c r="I359" s="72">
        <f>(I327+I328+I329)*J359</f>
        <v>2.5687326510234647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44" t="s">
        <v>286</v>
      </c>
      <c r="D360" s="145"/>
      <c r="E360" s="145"/>
      <c r="F360" s="145" t="s">
        <v>18</v>
      </c>
      <c r="G360" s="145"/>
      <c r="H360" s="146"/>
      <c r="I360" s="72">
        <f>I333+I334+I335+I358+I359</f>
        <v>207.49513572557831</v>
      </c>
      <c r="J360" s="81"/>
      <c r="K360" s="81"/>
      <c r="L360" s="88"/>
    </row>
    <row r="361" spans="1:13" s="49" customFormat="1" ht="15" customHeight="1">
      <c r="A361" s="47"/>
      <c r="B361" s="47"/>
      <c r="C361" s="144" t="s">
        <v>370</v>
      </c>
      <c r="D361" s="145"/>
      <c r="E361" s="145"/>
      <c r="F361" s="145" t="s">
        <v>18</v>
      </c>
      <c r="G361" s="145"/>
      <c r="H361" s="146"/>
      <c r="I361" s="72">
        <f>I360*J361</f>
        <v>41.499027145115662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44" t="s">
        <v>45</v>
      </c>
      <c r="D362" s="145"/>
      <c r="E362" s="145"/>
      <c r="F362" s="145" t="s">
        <v>18</v>
      </c>
      <c r="G362" s="145"/>
      <c r="H362" s="146"/>
      <c r="I362" s="72">
        <f>SUM(I360:I361)</f>
        <v>248.99416287069397</v>
      </c>
      <c r="J362" s="81"/>
      <c r="K362" s="81"/>
      <c r="L362" s="88"/>
    </row>
    <row r="363" spans="1:13" s="49" customFormat="1" ht="15" customHeight="1">
      <c r="A363" s="47"/>
      <c r="B363" s="47"/>
      <c r="C363" s="155" t="s">
        <v>46</v>
      </c>
      <c r="D363" s="156"/>
      <c r="E363" s="157"/>
      <c r="F363" s="134" t="s">
        <v>18</v>
      </c>
      <c r="G363" s="135"/>
      <c r="H363" s="90">
        <v>0.05</v>
      </c>
      <c r="I363" s="72">
        <f>I362*J363</f>
        <v>12.4497081435347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44" t="s">
        <v>47</v>
      </c>
      <c r="D364" s="145"/>
      <c r="E364" s="145"/>
      <c r="F364" s="145" t="s">
        <v>18</v>
      </c>
      <c r="G364" s="145"/>
      <c r="H364" s="146"/>
      <c r="I364" s="72">
        <f>I362+I363</f>
        <v>261.44387101422865</v>
      </c>
      <c r="J364" s="81"/>
      <c r="K364" s="81"/>
      <c r="L364" s="88"/>
    </row>
    <row r="365" spans="1:13" s="74" customFormat="1" ht="15" customHeight="1">
      <c r="A365" s="60"/>
      <c r="B365" s="60"/>
      <c r="C365" s="155" t="s">
        <v>48</v>
      </c>
      <c r="D365" s="156"/>
      <c r="E365" s="157"/>
      <c r="F365" s="134" t="s">
        <v>18</v>
      </c>
      <c r="G365" s="135"/>
      <c r="H365" s="90">
        <v>0.05</v>
      </c>
      <c r="I365" s="72">
        <f>I364*J365/K365</f>
        <v>13.760203737590983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44" t="s">
        <v>49</v>
      </c>
      <c r="D366" s="145"/>
      <c r="E366" s="145"/>
      <c r="F366" s="145" t="s">
        <v>18</v>
      </c>
      <c r="G366" s="145"/>
      <c r="H366" s="146"/>
      <c r="I366" s="72">
        <f>I364+I365</f>
        <v>275.20407475181963</v>
      </c>
      <c r="J366" s="81"/>
      <c r="K366" s="81"/>
      <c r="L366" s="88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8.2000000000000003E-2</v>
      </c>
      <c r="J367" s="97">
        <f>ROUND(K367,3)</f>
        <v>8.2000000000000003E-2</v>
      </c>
      <c r="K367" s="97">
        <f>I366/I9</f>
        <v>8.1879899779480819E-2</v>
      </c>
      <c r="L367" s="63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2"/>
      <c r="K368" s="62"/>
      <c r="L368" s="63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8">
        <f>I9*I370</f>
        <v>2856.9095000000002</v>
      </c>
      <c r="J369" s="62"/>
      <c r="K369" s="62"/>
      <c r="L369" s="63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v>0.85</v>
      </c>
      <c r="J370" s="112">
        <f>2.6-I419-I410-I401-I390-I367-I316-I302-I291-I280-I166-I156-I146-I130</f>
        <v>1.0894210526315797</v>
      </c>
      <c r="K370" s="62"/>
      <c r="L370" s="63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6" t="s">
        <v>333</v>
      </c>
      <c r="D372" s="127"/>
      <c r="E372" s="127"/>
      <c r="F372" s="127"/>
      <c r="G372" s="127"/>
      <c r="H372" s="128"/>
      <c r="I372" s="87">
        <f>I14*N372*J372/K372*L372/M372</f>
        <v>2.2933599600599105E-3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6" t="s">
        <v>334</v>
      </c>
      <c r="D373" s="127"/>
      <c r="E373" s="127"/>
      <c r="F373" s="127" t="s">
        <v>115</v>
      </c>
      <c r="G373" s="127"/>
      <c r="H373" s="128"/>
      <c r="I373" s="87">
        <f>I14*N373*J373/K373*L373/M373</f>
        <v>6.6715926110833754E-3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6" t="s">
        <v>335</v>
      </c>
      <c r="D374" s="127"/>
      <c r="E374" s="127"/>
      <c r="F374" s="127" t="s">
        <v>41</v>
      </c>
      <c r="G374" s="127"/>
      <c r="H374" s="128"/>
      <c r="I374" s="114">
        <f>I14*N374*J374/K374*L374/M374</f>
        <v>2.5018472291562658E-3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7">
        <f>SUM(I372:I374)</f>
        <v>1.1466799800299552E-2</v>
      </c>
      <c r="J375" s="62"/>
      <c r="K375" s="62"/>
      <c r="L375" s="63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8">
        <f>J376*K376*L376*I375</f>
        <v>23.942677983025465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44" t="s">
        <v>268</v>
      </c>
      <c r="D377" s="145"/>
      <c r="E377" s="145"/>
      <c r="F377" s="145" t="s">
        <v>18</v>
      </c>
      <c r="G377" s="145"/>
      <c r="H377" s="146"/>
      <c r="I377" s="72">
        <f>I376*J377</f>
        <v>5.2673891562656028</v>
      </c>
      <c r="J377" s="96">
        <v>0.22</v>
      </c>
      <c r="K377" s="81"/>
      <c r="L377" s="88"/>
    </row>
    <row r="378" spans="1:14" s="49" customFormat="1">
      <c r="A378" s="47"/>
      <c r="B378" s="47"/>
      <c r="C378" s="144" t="s">
        <v>348</v>
      </c>
      <c r="D378" s="145"/>
      <c r="E378" s="145"/>
      <c r="F378" s="145" t="s">
        <v>18</v>
      </c>
      <c r="G378" s="145"/>
      <c r="H378" s="146"/>
      <c r="I378" s="72">
        <f>I376*J378</f>
        <v>13.886753230154769</v>
      </c>
      <c r="J378" s="96">
        <v>0.57999999999999996</v>
      </c>
      <c r="K378" s="81"/>
      <c r="L378" s="88"/>
    </row>
    <row r="379" spans="1:14" s="49" customFormat="1">
      <c r="A379" s="47"/>
      <c r="B379" s="47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2">
        <f>I14*N374*J379*M379/L379</f>
        <v>0.567936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44" t="s">
        <v>201</v>
      </c>
      <c r="D380" s="145"/>
      <c r="E380" s="145"/>
      <c r="F380" s="145" t="s">
        <v>41</v>
      </c>
      <c r="G380" s="145"/>
      <c r="H380" s="146"/>
      <c r="I380" s="116">
        <f>I379*J380/K380</f>
        <v>70.992000000000004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44" t="s">
        <v>43</v>
      </c>
      <c r="D381" s="145"/>
      <c r="E381" s="145"/>
      <c r="F381" s="145" t="s">
        <v>18</v>
      </c>
      <c r="G381" s="145"/>
      <c r="H381" s="146"/>
      <c r="I381" s="72">
        <f>I380*J381</f>
        <v>10.6488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349</v>
      </c>
      <c r="D382" s="154"/>
      <c r="E382" s="134">
        <v>212.92</v>
      </c>
      <c r="F382" s="152"/>
      <c r="G382" s="152"/>
      <c r="H382" s="135"/>
      <c r="I382" s="72">
        <f>I375*J382</f>
        <v>2.4415110134797806</v>
      </c>
      <c r="J382" s="81">
        <v>212.92</v>
      </c>
      <c r="K382" s="81"/>
      <c r="L382" s="88"/>
    </row>
    <row r="383" spans="1:14" s="49" customFormat="1">
      <c r="A383" s="47"/>
      <c r="B383" s="47"/>
      <c r="C383" s="144" t="s">
        <v>336</v>
      </c>
      <c r="D383" s="145"/>
      <c r="E383" s="145"/>
      <c r="F383" s="145" t="s">
        <v>18</v>
      </c>
      <c r="G383" s="145"/>
      <c r="H383" s="146"/>
      <c r="I383" s="101">
        <f>I376+I377+I378+I381+I382</f>
        <v>56.187131382925621</v>
      </c>
      <c r="J383" s="81"/>
      <c r="K383" s="81"/>
      <c r="L383" s="88"/>
    </row>
    <row r="384" spans="1:14" s="49" customFormat="1">
      <c r="A384" s="47"/>
      <c r="B384" s="47"/>
      <c r="C384" s="144" t="s">
        <v>370</v>
      </c>
      <c r="D384" s="145"/>
      <c r="E384" s="145"/>
      <c r="F384" s="145" t="s">
        <v>18</v>
      </c>
      <c r="G384" s="145"/>
      <c r="H384" s="146"/>
      <c r="I384" s="72">
        <f>I383*J384</f>
        <v>11.237426276585126</v>
      </c>
      <c r="J384" s="91">
        <v>0.2</v>
      </c>
      <c r="K384" s="81"/>
      <c r="L384" s="88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8">
        <f>SUM(I383:I384)</f>
        <v>67.424557659510754</v>
      </c>
      <c r="J385" s="62"/>
      <c r="K385" s="62"/>
      <c r="L385" s="63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2">
        <v>0.05</v>
      </c>
      <c r="I386" s="78">
        <f>I385*J386</f>
        <v>3.3712278829755378</v>
      </c>
      <c r="J386" s="80">
        <v>0.05</v>
      </c>
      <c r="K386" s="62"/>
      <c r="L386" s="63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8">
        <f>I385+I386</f>
        <v>70.795785542486286</v>
      </c>
      <c r="J387" s="62"/>
      <c r="K387" s="62"/>
      <c r="L387" s="63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2">
        <v>0.05</v>
      </c>
      <c r="I388" s="78">
        <f>I387*J388/K388</f>
        <v>3.7260939759203313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8">
        <f>I387+I388</f>
        <v>74.521879518406621</v>
      </c>
      <c r="J389" s="62"/>
      <c r="K389" s="62"/>
      <c r="L389" s="54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2.1999999999999999E-2</v>
      </c>
      <c r="J390" s="97">
        <f>ROUND(K390,3)</f>
        <v>2.1999999999999999E-2</v>
      </c>
      <c r="K390" s="97">
        <f>I389/I9</f>
        <v>2.2172070060548162E-2</v>
      </c>
      <c r="L390" s="63"/>
      <c r="M390" s="54"/>
    </row>
    <row r="391" spans="1:13" s="9" customFormat="1" ht="16.2">
      <c r="A391" s="131" t="s">
        <v>249</v>
      </c>
      <c r="B391" s="132"/>
      <c r="C391" s="132"/>
      <c r="D391" s="132"/>
      <c r="E391" s="132"/>
      <c r="F391" s="132"/>
      <c r="G391" s="132"/>
      <c r="H391" s="132"/>
      <c r="I391" s="133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6" t="s">
        <v>350</v>
      </c>
      <c r="D393" s="127"/>
      <c r="E393" s="127"/>
      <c r="F393" s="127" t="s">
        <v>18</v>
      </c>
      <c r="G393" s="127"/>
      <c r="H393" s="12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6" t="s">
        <v>253</v>
      </c>
      <c r="D394" s="127"/>
      <c r="E394" s="127"/>
      <c r="F394" s="127" t="s">
        <v>18</v>
      </c>
      <c r="G394" s="127"/>
      <c r="H394" s="12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44" t="s">
        <v>369</v>
      </c>
      <c r="D395" s="145"/>
      <c r="E395" s="145"/>
      <c r="F395" s="145" t="s">
        <v>18</v>
      </c>
      <c r="G395" s="145"/>
      <c r="H395" s="14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48</v>
      </c>
      <c r="D399" s="143"/>
      <c r="E399" s="92">
        <v>0.05</v>
      </c>
      <c r="F399" s="147" t="s">
        <v>18</v>
      </c>
      <c r="G399" s="148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6" t="s">
        <v>49</v>
      </c>
      <c r="D400" s="127"/>
      <c r="E400" s="127"/>
      <c r="F400" s="127" t="s">
        <v>18</v>
      </c>
      <c r="G400" s="127"/>
      <c r="H400" s="12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v>0</v>
      </c>
      <c r="J401" s="62"/>
      <c r="K401" s="62"/>
      <c r="L401" s="63"/>
      <c r="M401" s="54"/>
    </row>
    <row r="402" spans="1:13" s="9" customFormat="1" ht="16.2">
      <c r="A402" s="131" t="s">
        <v>251</v>
      </c>
      <c r="B402" s="132"/>
      <c r="C402" s="132"/>
      <c r="D402" s="132"/>
      <c r="E402" s="132"/>
      <c r="F402" s="132"/>
      <c r="G402" s="132"/>
      <c r="H402" s="132"/>
      <c r="I402" s="133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417</v>
      </c>
      <c r="J403" s="62"/>
      <c r="K403" s="62"/>
      <c r="L403" s="63"/>
    </row>
    <row r="404" spans="1:13" s="9" customFormat="1">
      <c r="A404" s="21"/>
      <c r="B404" s="21"/>
      <c r="C404" s="126" t="s">
        <v>248</v>
      </c>
      <c r="D404" s="127"/>
      <c r="E404" s="127"/>
      <c r="F404" s="127" t="s">
        <v>18</v>
      </c>
      <c r="G404" s="127"/>
      <c r="H404" s="12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8">
        <f>I403*I404</f>
        <v>475.37999999999994</v>
      </c>
      <c r="J405" s="62"/>
      <c r="K405" s="62"/>
      <c r="L405" s="63"/>
    </row>
    <row r="406" spans="1:13" s="49" customFormat="1">
      <c r="A406" s="47"/>
      <c r="B406" s="47"/>
      <c r="C406" s="144" t="s">
        <v>369</v>
      </c>
      <c r="D406" s="145"/>
      <c r="E406" s="145"/>
      <c r="F406" s="145" t="s">
        <v>18</v>
      </c>
      <c r="G406" s="145"/>
      <c r="H406" s="146"/>
      <c r="I406" s="72">
        <f>I405*J406</f>
        <v>95.075999999999993</v>
      </c>
      <c r="J406" s="91">
        <v>0.2</v>
      </c>
      <c r="K406" s="81"/>
      <c r="L406" s="88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8">
        <f>I405+I406</f>
        <v>570.4559999999999</v>
      </c>
      <c r="J407" s="62"/>
      <c r="K407" s="62"/>
      <c r="L407" s="63"/>
    </row>
    <row r="408" spans="1:13" s="54" customFormat="1">
      <c r="A408" s="53"/>
      <c r="B408" s="53"/>
      <c r="C408" s="142" t="s">
        <v>48</v>
      </c>
      <c r="D408" s="143"/>
      <c r="E408" s="92">
        <v>0.05</v>
      </c>
      <c r="F408" s="147" t="s">
        <v>18</v>
      </c>
      <c r="G408" s="148"/>
      <c r="H408" s="89"/>
      <c r="I408" s="78">
        <f>I407*J408/K408</f>
        <v>30.023999999999997</v>
      </c>
      <c r="J408" s="80">
        <v>0.05</v>
      </c>
      <c r="K408" s="80">
        <v>0.95</v>
      </c>
    </row>
    <row r="409" spans="1:13" s="54" customFormat="1">
      <c r="A409" s="53"/>
      <c r="B409" s="53"/>
      <c r="C409" s="126" t="s">
        <v>49</v>
      </c>
      <c r="D409" s="127"/>
      <c r="E409" s="127"/>
      <c r="F409" s="127" t="s">
        <v>18</v>
      </c>
      <c r="G409" s="127"/>
      <c r="H409" s="128"/>
      <c r="I409" s="78">
        <f>SUM(I407:I408)</f>
        <v>600.4799999999999</v>
      </c>
      <c r="J409" s="62"/>
      <c r="K409" s="62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0.17899999999999999</v>
      </c>
      <c r="J410" s="97">
        <f>ROUND(K410,3)</f>
        <v>0.17899999999999999</v>
      </c>
      <c r="K410" s="97">
        <f>I409/I10</f>
        <v>0.1786573918424787</v>
      </c>
      <c r="L410" s="63"/>
    </row>
    <row r="411" spans="1:13" s="9" customFormat="1" ht="16.2">
      <c r="A411" s="131" t="s">
        <v>252</v>
      </c>
      <c r="B411" s="132"/>
      <c r="C411" s="132"/>
      <c r="D411" s="132"/>
      <c r="E411" s="132"/>
      <c r="F411" s="132"/>
      <c r="G411" s="132"/>
      <c r="H411" s="132"/>
      <c r="I411" s="133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44" t="s">
        <v>369</v>
      </c>
      <c r="D415" s="145"/>
      <c r="E415" s="145"/>
      <c r="F415" s="145" t="s">
        <v>18</v>
      </c>
      <c r="G415" s="145"/>
      <c r="H415" s="14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2" t="s">
        <v>48</v>
      </c>
      <c r="D417" s="143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0</v>
      </c>
      <c r="J418" s="63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2.3605789473684204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354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2016-08-17T08:46:21Z</cp:lastPrinted>
  <dcterms:created xsi:type="dcterms:W3CDTF">2015-07-15T06:34:41Z</dcterms:created>
  <dcterms:modified xsi:type="dcterms:W3CDTF">2016-08-18T15:41:43Z</dcterms:modified>
</cp:coreProperties>
</file>