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60" yWindow="72" windowWidth="7020" windowHeight="9312"/>
  </bookViews>
  <sheets>
    <sheet name="Титулка" sheetId="2" r:id="rId1"/>
    <sheet name="Розрахунок" sheetId="1" r:id="rId2"/>
  </sheets>
  <definedNames>
    <definedName name="_xlnm.Print_Area" localSheetId="1">Розрахунок!$A$1:$M$427</definedName>
    <definedName name="_xlnm.Print_Area" localSheetId="0">Титулка!$A$1:$E$33</definedName>
  </definedNames>
  <calcPr calcId="125725"/>
</workbook>
</file>

<file path=xl/calcChain.xml><?xml version="1.0" encoding="utf-8"?>
<calcChain xmlns="http://schemas.openxmlformats.org/spreadsheetml/2006/main">
  <c r="I320" i="1"/>
  <c r="I319"/>
  <c r="I304"/>
  <c r="I70"/>
  <c r="I108"/>
  <c r="I9"/>
  <c r="I72"/>
  <c r="I159"/>
  <c r="I47"/>
  <c r="I44"/>
  <c r="B32" i="2"/>
  <c r="K98" i="1"/>
  <c r="K97"/>
  <c r="I98"/>
  <c r="I97"/>
  <c r="K23"/>
  <c r="I339"/>
  <c r="I73"/>
  <c r="C23" i="2"/>
  <c r="I379" i="1"/>
  <c r="I380"/>
  <c r="I381" s="1"/>
  <c r="I149"/>
  <c r="I240"/>
  <c r="I241"/>
  <c r="I412"/>
  <c r="I414"/>
  <c r="I372"/>
  <c r="I325"/>
  <c r="I294"/>
  <c r="I283"/>
  <c r="I245"/>
  <c r="I220"/>
  <c r="I217"/>
  <c r="I197"/>
  <c r="I196"/>
  <c r="I195"/>
  <c r="I194"/>
  <c r="I193"/>
  <c r="I172"/>
  <c r="I171"/>
  <c r="I173"/>
  <c r="I133"/>
  <c r="I134" s="1"/>
  <c r="I114"/>
  <c r="I89"/>
  <c r="I374"/>
  <c r="I373"/>
  <c r="I247"/>
  <c r="I308"/>
  <c r="D14" i="2"/>
  <c r="I90" i="1"/>
  <c r="I91" s="1"/>
  <c r="I250"/>
  <c r="I219"/>
  <c r="I393"/>
  <c r="I394"/>
  <c r="J37"/>
  <c r="J31"/>
  <c r="I352"/>
  <c r="I354"/>
  <c r="I355" s="1"/>
  <c r="I350"/>
  <c r="I351" s="1"/>
  <c r="I346"/>
  <c r="I342"/>
  <c r="I343"/>
  <c r="I344"/>
  <c r="I345"/>
  <c r="I340"/>
  <c r="B10" i="2"/>
  <c r="B9"/>
  <c r="J23" i="1"/>
  <c r="I326"/>
  <c r="I324"/>
  <c r="I323"/>
  <c r="I322"/>
  <c r="I329" s="1"/>
  <c r="I332" s="1"/>
  <c r="I305"/>
  <c r="I307"/>
  <c r="I284"/>
  <c r="I285"/>
  <c r="I251"/>
  <c r="I249"/>
  <c r="I255" s="1"/>
  <c r="I258" s="1"/>
  <c r="I248"/>
  <c r="I253" s="1"/>
  <c r="I242"/>
  <c r="I202"/>
  <c r="I203" s="1"/>
  <c r="I218"/>
  <c r="I223" s="1"/>
  <c r="I200"/>
  <c r="I201"/>
  <c r="I221"/>
  <c r="I178"/>
  <c r="I179"/>
  <c r="I176"/>
  <c r="I160"/>
  <c r="I161" s="1"/>
  <c r="I150"/>
  <c r="I151" s="1"/>
  <c r="I119"/>
  <c r="I115"/>
  <c r="I116"/>
  <c r="I295"/>
  <c r="I296"/>
  <c r="I369"/>
  <c r="I252"/>
  <c r="I225"/>
  <c r="I226"/>
  <c r="I169"/>
  <c r="I109"/>
  <c r="I71"/>
  <c r="I403"/>
  <c r="I405"/>
  <c r="I347"/>
  <c r="I348"/>
  <c r="I349" s="1"/>
  <c r="I356"/>
  <c r="I357" s="1"/>
  <c r="I353"/>
  <c r="I338"/>
  <c r="I244"/>
  <c r="I110"/>
  <c r="I111" s="1"/>
  <c r="I170"/>
  <c r="H23" i="2"/>
  <c r="I341" i="1"/>
  <c r="I306"/>
  <c r="I177"/>
  <c r="I180" s="1"/>
  <c r="I222"/>
  <c r="I272"/>
  <c r="I273"/>
  <c r="C11" i="2"/>
  <c r="I254" i="1"/>
  <c r="I257" s="1"/>
  <c r="I375"/>
  <c r="I376" s="1"/>
  <c r="I328"/>
  <c r="I331" s="1"/>
  <c r="I198"/>
  <c r="I199" s="1"/>
  <c r="I174"/>
  <c r="I183" s="1"/>
  <c r="I207"/>
  <c r="I298"/>
  <c r="I297"/>
  <c r="I299" s="1"/>
  <c r="I415"/>
  <c r="I416" s="1"/>
  <c r="I417"/>
  <c r="I418" s="1"/>
  <c r="K419" s="1"/>
  <c r="J419" s="1"/>
  <c r="I419" s="1"/>
  <c r="I406"/>
  <c r="I407"/>
  <c r="I408" s="1"/>
  <c r="I409" s="1"/>
  <c r="K410" s="1"/>
  <c r="J410" s="1"/>
  <c r="I410" s="1"/>
  <c r="C26" i="2" s="1"/>
  <c r="H26" s="1"/>
  <c r="I175" i="1"/>
  <c r="I321"/>
  <c r="I327" s="1"/>
  <c r="I336"/>
  <c r="I337"/>
  <c r="C20" i="2"/>
  <c r="H20" s="1"/>
  <c r="I74" i="1"/>
  <c r="I75" s="1"/>
  <c r="I395"/>
  <c r="I396" s="1"/>
  <c r="I287"/>
  <c r="I286"/>
  <c r="I288"/>
  <c r="I290" s="1"/>
  <c r="K291" s="1"/>
  <c r="J291" s="1"/>
  <c r="I289"/>
  <c r="C19" i="2"/>
  <c r="H19" s="1"/>
  <c r="C15"/>
  <c r="H15" s="1"/>
  <c r="I309" i="1"/>
  <c r="I382"/>
  <c r="I275"/>
  <c r="I274"/>
  <c r="I310"/>
  <c r="I311" s="1"/>
  <c r="I276"/>
  <c r="I277" s="1"/>
  <c r="I76" l="1"/>
  <c r="I79"/>
  <c r="I330"/>
  <c r="I333" s="1"/>
  <c r="I359"/>
  <c r="I313"/>
  <c r="I312"/>
  <c r="I398"/>
  <c r="I397"/>
  <c r="I112"/>
  <c r="I121"/>
  <c r="I162"/>
  <c r="I163" s="1"/>
  <c r="I256"/>
  <c r="I259" s="1"/>
  <c r="I262"/>
  <c r="I204"/>
  <c r="C27" i="2"/>
  <c r="H27" s="1"/>
  <c r="I300" i="1"/>
  <c r="I301" s="1"/>
  <c r="K302" s="1"/>
  <c r="J302" s="1"/>
  <c r="I377"/>
  <c r="I378"/>
  <c r="I383" s="1"/>
  <c r="I182"/>
  <c r="I181"/>
  <c r="I184"/>
  <c r="I152"/>
  <c r="I153" s="1"/>
  <c r="I224"/>
  <c r="I227" s="1"/>
  <c r="I230"/>
  <c r="I92"/>
  <c r="I93" s="1"/>
  <c r="I96"/>
  <c r="I137"/>
  <c r="I135"/>
  <c r="I278"/>
  <c r="I279" s="1"/>
  <c r="I154" l="1"/>
  <c r="I155" s="1"/>
  <c r="K156" s="1"/>
  <c r="J156" s="1"/>
  <c r="I156" s="1"/>
  <c r="C16" i="2" s="1"/>
  <c r="H16" s="1"/>
  <c r="I384" i="1"/>
  <c r="I385" s="1"/>
  <c r="I229"/>
  <c r="I228"/>
  <c r="I231"/>
  <c r="I164"/>
  <c r="I165"/>
  <c r="K166" s="1"/>
  <c r="J166" s="1"/>
  <c r="I166" s="1"/>
  <c r="C17" i="2" s="1"/>
  <c r="H17" s="1"/>
  <c r="I136" i="1"/>
  <c r="I138"/>
  <c r="I139" s="1"/>
  <c r="I94"/>
  <c r="I95"/>
  <c r="I99"/>
  <c r="I260"/>
  <c r="I263"/>
  <c r="I261"/>
  <c r="I113"/>
  <c r="I120"/>
  <c r="I122"/>
  <c r="I399"/>
  <c r="I400"/>
  <c r="I401" s="1"/>
  <c r="I314"/>
  <c r="I315" s="1"/>
  <c r="K316" s="1"/>
  <c r="J316" s="1"/>
  <c r="I316" s="1"/>
  <c r="C21" i="2" s="1"/>
  <c r="H21" s="1"/>
  <c r="I335" i="1"/>
  <c r="I360"/>
  <c r="I334"/>
  <c r="I358" s="1"/>
  <c r="I77"/>
  <c r="I80" s="1"/>
  <c r="I78"/>
  <c r="I185"/>
  <c r="I187" s="1"/>
  <c r="I186"/>
  <c r="I188" s="1"/>
  <c r="I205"/>
  <c r="I208" s="1"/>
  <c r="I206"/>
  <c r="I209" l="1"/>
  <c r="I211" s="1"/>
  <c r="I81"/>
  <c r="I82"/>
  <c r="I140"/>
  <c r="I141"/>
  <c r="I386"/>
  <c r="I387"/>
  <c r="I189"/>
  <c r="I190" s="1"/>
  <c r="I191" s="1"/>
  <c r="I361"/>
  <c r="I362" s="1"/>
  <c r="C25" i="2"/>
  <c r="H25" s="1"/>
  <c r="I123" i="1"/>
  <c r="I124" s="1"/>
  <c r="I264"/>
  <c r="I266" s="1"/>
  <c r="I101"/>
  <c r="I100"/>
  <c r="I232"/>
  <c r="I234" s="1"/>
  <c r="I125" l="1"/>
  <c r="I126" s="1"/>
  <c r="I363"/>
  <c r="I364" s="1"/>
  <c r="I102"/>
  <c r="I103"/>
  <c r="I388"/>
  <c r="I389" s="1"/>
  <c r="K390" s="1"/>
  <c r="J390" s="1"/>
  <c r="I390" s="1"/>
  <c r="I142"/>
  <c r="I143"/>
  <c r="I83"/>
  <c r="I84" s="1"/>
  <c r="I233"/>
  <c r="I235" s="1"/>
  <c r="I265"/>
  <c r="I267" s="1"/>
  <c r="I210"/>
  <c r="I212" s="1"/>
  <c r="C24" i="2" l="1"/>
  <c r="H24" s="1"/>
  <c r="I127" i="1"/>
  <c r="I128"/>
  <c r="I129" s="1"/>
  <c r="I85"/>
  <c r="I86" s="1"/>
  <c r="I87" s="1"/>
  <c r="J130" s="1"/>
  <c r="I130" s="1"/>
  <c r="I365"/>
  <c r="I366" s="1"/>
  <c r="K367" s="1"/>
  <c r="J367" s="1"/>
  <c r="I367" s="1"/>
  <c r="I268"/>
  <c r="I269" s="1"/>
  <c r="I270" s="1"/>
  <c r="I144"/>
  <c r="I145"/>
  <c r="K146" s="1"/>
  <c r="J146" s="1"/>
  <c r="I104"/>
  <c r="I105"/>
  <c r="I106" s="1"/>
  <c r="I213"/>
  <c r="I214" s="1"/>
  <c r="I215" s="1"/>
  <c r="I236"/>
  <c r="I237" s="1"/>
  <c r="I238" s="1"/>
  <c r="C22" i="2" l="1"/>
  <c r="H22" s="1"/>
  <c r="J280" i="1"/>
  <c r="I280" s="1"/>
  <c r="C18" i="2" s="1"/>
  <c r="H18" s="1"/>
  <c r="C14"/>
  <c r="H14" l="1"/>
  <c r="H28" s="1"/>
  <c r="I420" i="1"/>
  <c r="J370"/>
</calcChain>
</file>

<file path=xl/sharedStrings.xml><?xml version="1.0" encoding="utf-8"?>
<sst xmlns="http://schemas.openxmlformats.org/spreadsheetml/2006/main" count="911" uniqueCount="372">
  <si>
    <t>Аварійне обслуговування</t>
  </si>
  <si>
    <t>Оплата праці (з/пл.відповідно галузевої угоди*люд.год)</t>
  </si>
  <si>
    <t>Ǿ 20</t>
  </si>
  <si>
    <t>Ǿ 100</t>
  </si>
  <si>
    <t>Кіл-ть поверхів</t>
  </si>
  <si>
    <t>Матеріал покрівлі</t>
  </si>
  <si>
    <t>Кількість димовентканалів, шт</t>
  </si>
  <si>
    <t>Кіл-ть під'їздів</t>
  </si>
  <si>
    <t>рубероїд</t>
  </si>
  <si>
    <t>протяжність трубопроводу гарячого водопостачання</t>
  </si>
  <si>
    <t>протяжність трубопроводу централізованого опалення</t>
  </si>
  <si>
    <t>пог.м.</t>
  </si>
  <si>
    <t>2р./рік</t>
  </si>
  <si>
    <t>елеваторний вузол</t>
  </si>
  <si>
    <t>шт.</t>
  </si>
  <si>
    <t>3р./рік</t>
  </si>
  <si>
    <t>1р./рік</t>
  </si>
  <si>
    <t>квартирні радіатори</t>
  </si>
  <si>
    <t>грн.</t>
  </si>
  <si>
    <t>Запобіжник, 100А</t>
  </si>
  <si>
    <t>Протяжність вентиляційних каналів</t>
  </si>
  <si>
    <t>м</t>
  </si>
  <si>
    <t>протяжність трубопроводу холодного водопостачання:</t>
  </si>
  <si>
    <t>Холодне водопостачання, запірна арматура</t>
  </si>
  <si>
    <t>Теплопостачання, запірна арматура</t>
  </si>
  <si>
    <t>Розрахунок тарифу на послуги з утримання будинків і споруд та прибудинкових території</t>
  </si>
  <si>
    <t>Ø15</t>
  </si>
  <si>
    <t>Ø100</t>
  </si>
  <si>
    <t>м2</t>
  </si>
  <si>
    <t>Загальна площа квартир</t>
  </si>
  <si>
    <t>Кіл-ть квартир</t>
  </si>
  <si>
    <t>Загальна площа будинку</t>
  </si>
  <si>
    <t>площа сходів на ганках</t>
  </si>
  <si>
    <t>Площа покрівлі</t>
  </si>
  <si>
    <t>Площа покрівлі з козирками входу</t>
  </si>
  <si>
    <t>АПВ 4</t>
  </si>
  <si>
    <t>Ел. Патрон</t>
  </si>
  <si>
    <t>Ел. Вимикач</t>
  </si>
  <si>
    <t>АППВ-2*2,5</t>
  </si>
  <si>
    <t>РОЗРАХУНОК ТАРИФУ</t>
  </si>
  <si>
    <t>1. Прибирання прибудинкової території</t>
  </si>
  <si>
    <t>8р./міс.(4 зимових міс.)</t>
  </si>
  <si>
    <t>чол.</t>
  </si>
  <si>
    <t>Витрати на пісок на місяць</t>
  </si>
  <si>
    <t>Разом заробітна плата робітників</t>
  </si>
  <si>
    <t>Всього собівартість</t>
  </si>
  <si>
    <t>Рентабельність</t>
  </si>
  <si>
    <t>Разом з рентабельністю</t>
  </si>
  <si>
    <t>Єдиний податок</t>
  </si>
  <si>
    <t xml:space="preserve">ВСЬОГО витрати </t>
  </si>
  <si>
    <t>Тариф на 1 м.кв.</t>
  </si>
  <si>
    <t>грн./м2</t>
  </si>
  <si>
    <t>Для технічного обслуговування елетромереж:</t>
  </si>
  <si>
    <t>м.пог.</t>
  </si>
  <si>
    <t>Витрати на патрон електричний на міс.</t>
  </si>
  <si>
    <t>2р./рік.</t>
  </si>
  <si>
    <t>Потреба в папері шліфувальному для заміни патрону, 0,005/м.кв</t>
  </si>
  <si>
    <t>Витрати на папір шліфувальний для заміни патрону на місяць</t>
  </si>
  <si>
    <t>Витрати на вимикач на місяць</t>
  </si>
  <si>
    <t>Потреба в папері шліфувальному для заміни вимикача, 0,005/м.кв</t>
  </si>
  <si>
    <t>Витрати на запобіжники на місяць</t>
  </si>
  <si>
    <t>Потреба в папері шліфувальному для заміни запобіжника, 0,006/м.кв</t>
  </si>
  <si>
    <t>Витрати на папір шліфувальний для заміни вимикача на місяць</t>
  </si>
  <si>
    <t>Витрати на папір шліфувальний для заміни запобіжника на місяць</t>
  </si>
  <si>
    <t>Витрати на автоматичний вимикач на місяць</t>
  </si>
  <si>
    <t>Витрати на папір шліфувальний для заміни автомату40А на місяць</t>
  </si>
  <si>
    <t>Потреба в папері шліфувальному для заміни автомату40А, 0,005/м.кв</t>
  </si>
  <si>
    <t>Всього витрати на матеріали на місяць</t>
  </si>
  <si>
    <t>Вартість електроенергії на комунальні потреби будинку</t>
  </si>
  <si>
    <t>ТАРИФ разом на 1 м.кв.</t>
  </si>
  <si>
    <t>люд./год.</t>
  </si>
  <si>
    <t>Площа орендарів</t>
  </si>
  <si>
    <t>територія з удосконаленим покриттям (площа асфальтових покрить)</t>
  </si>
  <si>
    <t>Площа підвального приміщення,м.кв.</t>
  </si>
  <si>
    <t xml:space="preserve"> (щоденно в робочі дні)  26р./міс.  (8літніх міс.)</t>
  </si>
  <si>
    <t>Заробітна плата двірників (з-та згідно галузевої угода* потребу двірників)</t>
  </si>
  <si>
    <t>2.Прибирання підвалу,технічних поверхів та покрівлі</t>
  </si>
  <si>
    <t>Прибирання горищ,підвалів та інших приміщень загального користування,вільних від обладнання,до яких не передбачений вільний доступ.</t>
  </si>
  <si>
    <t>грн</t>
  </si>
  <si>
    <t xml:space="preserve">Всього собівартість </t>
  </si>
  <si>
    <t>загальна чисельність слюсарів-сантехніка 4 розряду</t>
  </si>
  <si>
    <t>загальна чисельність слюсарів-сантехніка 3 розряду</t>
  </si>
  <si>
    <t>загальна чисельність слюсарів-сантехніка 2 розряду</t>
  </si>
  <si>
    <t>Оплата праці слюсарю-сантехніка 4 розряду (з/плата згідно галузевої угоди * чисельність нормат) Додаток 2</t>
  </si>
  <si>
    <t>Оплата праці слюсарю-сантехніка 3 розряду (з/плата згідно галузевої угоди * чисельність нормат) Додаток 2</t>
  </si>
  <si>
    <t>Оплата праці слюсарю-сантехніка 2 розряду (з/плата згідно галузевої угоди * чисельність нормат) Додаток 2</t>
  </si>
  <si>
    <t>Заробітна плата основних робітників всього</t>
  </si>
  <si>
    <t>Разом прямі витрати</t>
  </si>
  <si>
    <t>Всього собівартісь</t>
  </si>
  <si>
    <t>загальна чисельність електромонтерів  4 розряду</t>
  </si>
  <si>
    <t>загальна чисельність електромонтерів 3 розряду</t>
  </si>
  <si>
    <t>загальна чисельність електромонтерів 2 розряду</t>
  </si>
  <si>
    <t>Оплата праці електромонтера  4 розряду (з/плата згідно галузевої угоди * чисельність нормат) Додаток 2</t>
  </si>
  <si>
    <t>Оплата праці електромонтера 3 розряду (з/плата згідно галузевої угоди * чисельність нормат) Додаток 2</t>
  </si>
  <si>
    <t>Оплата праці електромонтера  2 розряду (з/плата згідно галузевої угоди * чисельність нормат) Додаток 2</t>
  </si>
  <si>
    <t>разом на 1 м2 загальної площі</t>
  </si>
  <si>
    <t>Заробітна плата садівників (з-та згідно галузевої угода* потребу садівників)</t>
  </si>
  <si>
    <t>Витрати матеріалів для тримеру:</t>
  </si>
  <si>
    <t xml:space="preserve">спецодяг, інструменти, інвентар садівника </t>
  </si>
  <si>
    <t>Лампа розжарювання</t>
  </si>
  <si>
    <t>Витрати на  ізольоваий провід</t>
  </si>
  <si>
    <t>Ø 20</t>
  </si>
  <si>
    <t>систем холодного водопостачання</t>
  </si>
  <si>
    <t>Потреби  слючаря-сантехніка - 4 розряду</t>
  </si>
  <si>
    <t>Потреби  слючаря-сантехніка - 3 розряду</t>
  </si>
  <si>
    <t>Потреби  слючаря-сантехніка - 2 розряду</t>
  </si>
  <si>
    <t>Заробітна плата слюсарів-сантехніків 4 розряду (з/плата згідно галузевої угоди * чисельність нормат)</t>
  </si>
  <si>
    <t>Заробітна плата слюсарів-сантехніків 3 розряду (з/плата згідно галузевої угоди * чисельність нормат)</t>
  </si>
  <si>
    <t>Заробітна плата слюсарів-сантехніків 2 розряду (з/плата згідно галузевої угоди * чисельність нормат)</t>
  </si>
  <si>
    <t>систем гарячого водопостачання</t>
  </si>
  <si>
    <t>систем водовідведення</t>
  </si>
  <si>
    <t>Потреби  слюсаря-сантехніка - 4 розряду</t>
  </si>
  <si>
    <t>Потреби  слюсаря-сантехніка - 3 розряду</t>
  </si>
  <si>
    <t>Потреби  слюсаря-сантехніка - 2 розряду</t>
  </si>
  <si>
    <t>систем централізованого опалення</t>
  </si>
  <si>
    <t>2р./міс.(4 зимових міс.)</t>
  </si>
  <si>
    <t>Всього люд./год.</t>
  </si>
  <si>
    <t>вар піску за 1кг</t>
  </si>
  <si>
    <t>,</t>
  </si>
  <si>
    <t>1-21-2</t>
  </si>
  <si>
    <t>1-21-5</t>
  </si>
  <si>
    <t>1-34-3</t>
  </si>
  <si>
    <t xml:space="preserve"> - прибирання газонів від випадкового сміття, 0,13люд./год./100м2        </t>
  </si>
  <si>
    <t>1-55-3</t>
  </si>
  <si>
    <t>1-39-1</t>
  </si>
  <si>
    <t>1.1</t>
  </si>
  <si>
    <t>Підмітіння території та прибирання газонів</t>
  </si>
  <si>
    <t>1.2</t>
  </si>
  <si>
    <t>прибирання та вивезення лисття</t>
  </si>
  <si>
    <t>1.3</t>
  </si>
  <si>
    <t>1-28-4</t>
  </si>
  <si>
    <t>1-40-1</t>
  </si>
  <si>
    <t>скошування трави</t>
  </si>
  <si>
    <t>Загальна к-ть люд./год. при періодичності косіння 1 раз на місяць*3 рази на рік</t>
  </si>
  <si>
    <t>мотокоса (тример) (витрати 0,26 маш./год на 100м2)</t>
  </si>
  <si>
    <t>Загальна кількість маш./год. в  рік при періодичностікосіння  3 рази на рік</t>
  </si>
  <si>
    <t>Кількість машино-годин на місяць</t>
  </si>
  <si>
    <t>Загальні витрати на матеріали на місяць (при періодичності косіння 1 раз на місяць*3 літні місяці = 3 рази на рік)</t>
  </si>
  <si>
    <t>Тариф на 1 м.кв.(прибирання+скошування+вивіз листя)</t>
  </si>
  <si>
    <t>1-56-2</t>
  </si>
  <si>
    <t>Заробітна плата (з/пл.відповідно галузевої угоди*потребу робітників з компл. обслу-ня)</t>
  </si>
  <si>
    <t>3. Технічне обслуговування ліфтів</t>
  </si>
  <si>
    <t>Вартість на ТО ліфтів по будинку</t>
  </si>
  <si>
    <t>разом на 1 м2 загальної площі (без урахування 1-х поверхів)</t>
  </si>
  <si>
    <t>4. Обслуговування систем диспетчеризації</t>
  </si>
  <si>
    <t>Вартість обслуговуванн системи диспетчеризації по будинку</t>
  </si>
  <si>
    <t>5. Технічне обслуговування внутрішньобудинкових систем</t>
  </si>
  <si>
    <t>5.1</t>
  </si>
  <si>
    <t>5.2</t>
  </si>
  <si>
    <t>5.3</t>
  </si>
  <si>
    <t>5.4</t>
  </si>
  <si>
    <t>1-75-1</t>
  </si>
  <si>
    <t>1-76-1</t>
  </si>
  <si>
    <t>1-91-1</t>
  </si>
  <si>
    <t>Кількість стояків холодного водопостачання</t>
  </si>
  <si>
    <t>Кількість стояків водовідведення</t>
  </si>
  <si>
    <t>Кількість стояків централізованого опалення</t>
  </si>
  <si>
    <t>1-92-7</t>
  </si>
  <si>
    <t>1  раз на 3 роки</t>
  </si>
  <si>
    <t>1-100-3</t>
  </si>
  <si>
    <t>Планова кількість свищів Г/В</t>
  </si>
  <si>
    <t>Планова кількість свищів Х/В</t>
  </si>
  <si>
    <t>Планова кількість свищів системи водовідведення</t>
  </si>
  <si>
    <t>Планова кількість свищів Ц/О</t>
  </si>
  <si>
    <t>Планова кількість прокладок у фланцевих з'єднаннях Х/В</t>
  </si>
  <si>
    <t>Планова кількість прокладок у фланцевих з'єднаннях Г/В</t>
  </si>
  <si>
    <t>Планова кількість прокладок у фланцевих з'єднаннях Ц/О</t>
  </si>
  <si>
    <t>1-95-1</t>
  </si>
  <si>
    <t>1-79-1</t>
  </si>
  <si>
    <t>1-91-5</t>
  </si>
  <si>
    <t>1-78-1</t>
  </si>
  <si>
    <t>1 раз на 3 рок</t>
  </si>
  <si>
    <t>1-101-1</t>
  </si>
  <si>
    <t>1-101-2</t>
  </si>
  <si>
    <t>1-106-1</t>
  </si>
  <si>
    <t>Гідравлічні випробовування внутрішньобудинкових мереж</t>
  </si>
  <si>
    <t>1-82-1</t>
  </si>
  <si>
    <t>1-82-2</t>
  </si>
  <si>
    <t>Промивання систем централізованого опалення</t>
  </si>
  <si>
    <t>1-83-2</t>
  </si>
  <si>
    <t>1-114-1</t>
  </si>
  <si>
    <t>9. 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</si>
  <si>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1-120-1</t>
  </si>
  <si>
    <t>1-120-5</t>
  </si>
  <si>
    <t>1-121-3</t>
  </si>
  <si>
    <t>1-122-1</t>
  </si>
  <si>
    <t>1-123-1</t>
  </si>
  <si>
    <t>1-124-2</t>
  </si>
  <si>
    <t>1-125-1</t>
  </si>
  <si>
    <t>1-125-2</t>
  </si>
  <si>
    <t>1-131-1</t>
  </si>
  <si>
    <t>Кількість ввідно-розподільних пристроїв</t>
  </si>
  <si>
    <t>Кількість світильників зовнішнього освітлення</t>
  </si>
  <si>
    <t>Кількість ділянок для вимірювання опору електроізоляції</t>
  </si>
  <si>
    <t>10. 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</si>
  <si>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ВСЬОГО витрат на будинок, грн.</t>
  </si>
  <si>
    <t>11.Прибирання і вивезеня снігу, посипання частини прибудинкової території, призначеної для проходу та проїзду протиожеледними сумішами</t>
  </si>
  <si>
    <t>1-1-2</t>
  </si>
  <si>
    <t>1-8-2</t>
  </si>
  <si>
    <t>1-20-2</t>
  </si>
  <si>
    <t>Потреба піску, м3 ( на 100 м2 - 0,017м3)</t>
  </si>
  <si>
    <t>Потреба піску на місяць, кг ( 1м3=1500кг)</t>
  </si>
  <si>
    <t>Тариф на 1кВт електроенергії (без ПДВ),  грн.</t>
  </si>
  <si>
    <t>Середньомісячне споживання електроенергії, що використовується для роботи 1 ліфта в розрахунку на місяць , кВТ</t>
  </si>
  <si>
    <t>Кількість ліфтів в будинку</t>
  </si>
  <si>
    <t>Вартість електроенергії, що використовується для роботи ліфтів у будинку</t>
  </si>
  <si>
    <t>Загальна площа квартир ( без урахування квартир 1-го поверху)</t>
  </si>
  <si>
    <t>Кількість лічильників</t>
  </si>
  <si>
    <t>квартірні             Ø15</t>
  </si>
  <si>
    <t>засувки               Ø100</t>
  </si>
  <si>
    <t>кран шаровий      Ø20</t>
  </si>
  <si>
    <t>протяжність трубопроводу водовідведення, Ǿ 100</t>
  </si>
  <si>
    <t>Кількість вузлів управління централізованого опалення</t>
  </si>
  <si>
    <t>№п/п</t>
  </si>
  <si>
    <t>Перелік послуг</t>
  </si>
  <si>
    <t>Тариф (грн/м2)</t>
  </si>
  <si>
    <t>Періодичність надання</t>
  </si>
  <si>
    <t>Строк надання</t>
  </si>
  <si>
    <t>Прибирання прибудинкової території</t>
  </si>
  <si>
    <t>рік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</si>
  <si>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</si>
  <si>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</si>
  <si>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</si>
  <si>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внутрішньобуднкових систем</t>
  </si>
  <si>
    <t>Дератизація</t>
  </si>
  <si>
    <t>Дезінсекція</t>
  </si>
  <si>
    <t>7. Дезінсекція</t>
  </si>
  <si>
    <t>6.  Дератизація</t>
  </si>
  <si>
    <t>8.Обслуговування димових та вентиляційних каналів</t>
  </si>
  <si>
    <t>Обслуговування димових та вентиляційних каналів</t>
  </si>
  <si>
    <t>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</si>
  <si>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</si>
  <si>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Прибирання і вивезення снігу, посипання частини прибудинкової території для проходу та проїзду протиожеледними сумішами</t>
  </si>
  <si>
    <t>Освітлення місць загального користування і підвальних приміщень та підкачування води</t>
  </si>
  <si>
    <t>Енергопостачання ліфтів</t>
  </si>
  <si>
    <t>____________</t>
  </si>
  <si>
    <t>РАЗОМ:</t>
  </si>
  <si>
    <t>Тариф</t>
  </si>
  <si>
    <t>на послуги з утримання будинків і споруд та прибудинкових територій</t>
  </si>
  <si>
    <t>щоденно</t>
  </si>
  <si>
    <t>відповідно графіку</t>
  </si>
  <si>
    <t>зимовий період</t>
  </si>
  <si>
    <t>Витрати на  лампи розжарювання</t>
  </si>
  <si>
    <t>АПВ 4, 1м проводу</t>
  </si>
  <si>
    <t>АППВ-2*2,5,/1м проводу</t>
  </si>
  <si>
    <t>Тариф на 1 м.кв. (ХВ+ГВ+ЦО+аварійка)</t>
  </si>
  <si>
    <t>Середньомісячне споживання електроенергії, що використовується для освітлення місць загального користування підвальних приміщень та підкачування води. кВт</t>
  </si>
  <si>
    <t>Кількість  електрощитків</t>
  </si>
  <si>
    <t>Тариф на 1кВт електроенергії (з ПДВ),  грн.</t>
  </si>
  <si>
    <t>12. Експлуатація номерних знаків</t>
  </si>
  <si>
    <t>Кількість номерних знаків</t>
  </si>
  <si>
    <t>13. Освітлення місць загального користування і підвальних приміщень та підкачування води</t>
  </si>
  <si>
    <t>14. Енергопостачання ліфтів</t>
  </si>
  <si>
    <t>Всього прямі витрати</t>
  </si>
  <si>
    <t>кВт\</t>
  </si>
  <si>
    <t>Середньомісячні обсяги споживання електроенергії на освітлення місць загального користування,підвальних приміщень та підкачування води</t>
  </si>
  <si>
    <t>Середньомісячні обсяги споживання електроенергії , що використовується для роботи ліфтів</t>
  </si>
  <si>
    <t>!!!!!!!</t>
  </si>
  <si>
    <t>Експлуатація номерних знаків</t>
  </si>
  <si>
    <t>Планова протяжність електричних мереждля заміни</t>
  </si>
  <si>
    <t xml:space="preserve">кран шаровий    </t>
  </si>
  <si>
    <t>загальна площа будинку,м2:</t>
  </si>
  <si>
    <t>Наказ Міністерсва регіонального розвитку,будівництва  та житлово-комунального господарства України від 25.12.2013 року  №603 (зі змінами)</t>
  </si>
  <si>
    <t>площа газонів</t>
  </si>
  <si>
    <t xml:space="preserve">територія без покриття </t>
  </si>
  <si>
    <r>
      <t>категорія будинку: 9</t>
    </r>
    <r>
      <rPr>
        <b/>
        <i/>
        <sz val="12"/>
        <rFont val="Times New Roman"/>
        <family val="1"/>
        <charset val="204"/>
      </rPr>
      <t>-ти поверховий</t>
    </r>
  </si>
  <si>
    <t>Загальна вартість обслуговування на місяць з урахуванням періодичності 2 рази на рік (1,29*S підвалу/12)</t>
  </si>
  <si>
    <t>Загальна вартість обслуговування на місяць з урахуванням періодичності 2 рази на рік (1,48*S підвалу/12)</t>
  </si>
  <si>
    <t>І.М.Босенко</t>
  </si>
  <si>
    <t>Нарахування на заробітну плату, 22%</t>
  </si>
  <si>
    <t>ТОВ "Коменерго-Суми"</t>
  </si>
  <si>
    <t>спецодяг, інструменти, інвентар монтажника сан-тех систем (додаток 1)</t>
  </si>
  <si>
    <t>Потреба двірників  (Всього люд.год/2003 год норма тривалості робочого часу в 2016 році)</t>
  </si>
  <si>
    <t>320 грн/год.</t>
  </si>
  <si>
    <t>300 грн/год.</t>
  </si>
  <si>
    <t xml:space="preserve"> - навантаження сміття на транспортний засіб або ємкість вручну, 0,38люд./год./ 1 куб (берем 0,36 куб додаток 8 ) </t>
  </si>
  <si>
    <t>надання послуги з транспортування лисття автомобілем КАМАЗ</t>
  </si>
  <si>
    <t>надання послуги з навантаження листя  навантажувачем</t>
  </si>
  <si>
    <t>Кількість стояків гарячого водопостачання</t>
  </si>
  <si>
    <r>
      <t>м</t>
    </r>
    <r>
      <rPr>
        <b/>
        <vertAlign val="superscript"/>
        <sz val="12"/>
        <rFont val="Times New Roman"/>
        <family val="1"/>
        <charset val="204"/>
      </rPr>
      <t>2</t>
    </r>
  </si>
  <si>
    <t xml:space="preserve"> - підмітання території, 0,25люд./год./100м2 , територія  з удосконаленим покриттям (клас території 2)</t>
  </si>
  <si>
    <t xml:space="preserve"> - підмітання території, 0,33люд./год./100м2 , територія без покриття (клас території 1)</t>
  </si>
  <si>
    <t>Всього  витрат ( прямі та загальновиробничі витрати)</t>
  </si>
  <si>
    <r>
      <t xml:space="preserve"> - прибирання листя в осінній період вручну (витрати праці двірника  3,8 люд-год. на 1м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) в середньому за сезон прибирається  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лисття</t>
    </r>
  </si>
  <si>
    <r>
      <t>в серед.2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1 осінн міс</t>
    </r>
  </si>
  <si>
    <t>Потреба двірників для прибирання лисття (Всього люд.год/2003 год. норма тривалості робочого часу в 2016р.)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</si>
  <si>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</si>
  <si>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r>
      <rPr>
        <b/>
        <sz val="12"/>
        <color indexed="8"/>
        <rFont val="Times New Roman"/>
        <family val="1"/>
        <charset val="204"/>
      </rPr>
      <t>Всього  витрат ( прямі та загальновиробничі витрати)</t>
    </r>
  </si>
  <si>
    <t>на газонах комбінованого типу мотокосами (тримером) (витрати садівника 0,28 год/100м2)  (1-28-4)</t>
  </si>
  <si>
    <t>прибирання скошеної трави з газонів граблями до кучі (витрати садівника 0,11 люд/100м2) (1-40-1)</t>
  </si>
  <si>
    <t>Потреба садівників для покосу трави (Всього люд.год/2003 год. норма тривалості робочого часу в 2016р.)</t>
  </si>
  <si>
    <r>
      <t xml:space="preserve"> - підмітання,прибирання і транспортування сміття у сміттєзбірник або контейнер для сміття. Витрати праці робітника з комплексного прибирання та утримання будинків з прилеглими територіями 0,51 люд-год.на 100 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>, ступінь наповненості понад 0,2 до 0,5, періодичність прибирання 2 рази на рік (S підвалу* періодичність прибирання на рік*норма часу по типовим нормам на одиницю виміру /100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)</t>
    </r>
  </si>
  <si>
    <t>Потреба робітників з комплексного обсуговування (Всього люд.год/2003 год.), чол.</t>
  </si>
  <si>
    <r>
      <t xml:space="preserve">спецодяг, інструменти, інвентар робітника з комплексного прибирання </t>
    </r>
    <r>
      <rPr>
        <b/>
        <sz val="12"/>
        <rFont val="Times New Roman"/>
        <family val="1"/>
        <charset val="204"/>
      </rPr>
      <t>(додаток 1)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</si>
  <si>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</si>
  <si>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холодного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</si>
  <si>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холодного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год.),чол. 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</si>
  <si>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 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</si>
  <si>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</si>
  <si>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гарячого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</si>
  <si>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гарячого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</si>
  <si>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гарячого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</si>
  <si>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</si>
  <si>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системи водовідведення</t>
    </r>
    <r>
      <rPr>
        <b/>
        <sz val="12"/>
        <rFont val="Times New Roman"/>
        <family val="1"/>
        <charset val="204"/>
      </rPr>
      <t xml:space="preserve">, (слюсар-сантехнік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2,2 люд.-год  на 100 пог.м 2 рази на рік (довжина системи водовідведення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</si>
  <si>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водовідведення (витрати праці слюса-сантех.</t>
    </r>
    <r>
      <rPr>
        <b/>
        <sz val="12"/>
        <color indexed="10"/>
        <rFont val="Times New Roman"/>
        <family val="1"/>
        <charset val="204"/>
      </rPr>
      <t>3 розряда</t>
    </r>
    <r>
      <rPr>
        <b/>
        <sz val="12"/>
        <rFont val="Times New Roman"/>
        <family val="1"/>
        <charset val="204"/>
      </rPr>
      <t xml:space="preserve"> 1,40 люд/год  на 1 операцію, періодичність проведення 2 рази на рік  (періодичність проведення на рік *кількість стояків*норму часу по типовим нормам на од.виміру; річний фонд робочого часу слюсаря-сантехніка 2003 год.),чол.</t>
    </r>
  </si>
  <si>
    <r>
      <rPr>
        <b/>
        <i/>
        <u/>
        <sz val="12"/>
        <rFont val="Times New Roman"/>
        <family val="1"/>
        <charset val="204"/>
      </rPr>
      <t>.-закарбування розтруба</t>
    </r>
    <r>
      <rPr>
        <b/>
        <sz val="12"/>
        <rFont val="Times New Roman"/>
        <family val="1"/>
        <charset val="204"/>
      </rPr>
      <t xml:space="preserve"> на стояку системи водовідведення ( очищення розтруба від старого ущільнення, встановлення нового з китуванням мастикою,  слюсар-сантехнік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На 1 операцію 0,80 люд-год, періодичніть операцій 1 раз на 3 роки.  ( період-сть проведення*к-ть стояків*норму часу/річний фонд робочого часу 2003),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</si>
  <si>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 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</si>
  <si>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1,2 люд.-год  на 100 пог.м 2 рази на рік (довжина системи централізованого опалення* періодичність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</si>
  <si>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централізованого опалення (перевірка стану ізоляції,покритя ізоляції,опор,кріплень) 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</si>
  <si>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запірної та регулювальної арматури</t>
    </r>
    <r>
      <rPr>
        <b/>
        <sz val="12"/>
        <rFont val="Times New Roman"/>
        <family val="1"/>
        <charset val="204"/>
      </rPr>
      <t xml:space="preserve"> системи централізованого опалення у горишних та підвальних приміщенях,витрати праці слюс.-сантех.</t>
    </r>
    <r>
      <rPr>
        <b/>
        <sz val="12"/>
        <color indexed="10"/>
        <rFont val="Times New Roman"/>
        <family val="1"/>
        <charset val="204"/>
      </rPr>
      <t>4 роз</t>
    </r>
    <r>
      <rPr>
        <b/>
        <sz val="12"/>
        <rFont val="Times New Roman"/>
        <family val="1"/>
        <charset val="204"/>
      </rPr>
      <t>.  8,8 люд.-год. на 100 шт. період-сть огляу 3 рази на рік  ( к-ть запірної арматури*періодичність проведення* норму часу по типовим нормам на одиницю виміру/100/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</si>
  <si>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трубопроводів </t>
    </r>
    <r>
      <rPr>
        <b/>
        <sz val="12"/>
        <rFont val="Times New Roman"/>
        <family val="1"/>
        <charset val="204"/>
      </rPr>
      <t>(під'єднання до системи гідравлічного преса, заповнення системи водою, випробування, від'єднання гідравлічного преса), витрати праці слюсаря-сантехніка 4,5 розряду 2,2 люд/год. на 100 м.пог., періодичність проведення випробовувань 1 раз на рік ( протяжність трубопроводу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</si>
  <si>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вузлів управління </t>
    </r>
    <r>
      <rPr>
        <b/>
        <sz val="12"/>
        <rFont val="Times New Roman"/>
        <family val="1"/>
        <charset val="204"/>
      </rPr>
      <t>(під'єднання до системи гідравлічного преса, перекривання засувок(вентилів), випробування, від'єднання гідравлічного преса), витрати праці слюсаря-сантехніка 4,5 розряду 1,5 люд/год. на 1шт., періодичність проведення випробовувань 1 раз на рік ( к-ть вузлів управління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</si>
  <si>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промивання трубопроводів,діаметр умовного проходу до 100 мм </t>
    </r>
    <r>
      <rPr>
        <b/>
        <sz val="12"/>
        <rFont val="Times New Roman"/>
        <family val="1"/>
        <charset val="204"/>
      </rPr>
      <t>(заповнення системи водою з мийними засобами, промивання, зливання розчину, промивання чистою водою), витрати праці слюсаря-сантехніка 4,5 розряду 8,4 люд/год. на 100м.пог., періодичність проведення випробовувань 1 раз на 4 роки ( протяжність трубопроводу централізованого опалення *періодичність проведення на рік*норму часу по типовим нормам на одиницю виміру /100 / річний фонд робочого часу слюсаря-сантехніка (2003 год)),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</si>
  <si>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 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прокладки,гумові прокладки діаметром до 100 мм,витрати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періодичність проведення заміни 1 раз на 3 роки( к-ть заміни прокладок у розрахунку на рік*норму часу: річний фонд робочого часу 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</si>
  <si>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стояку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на 1 опер. 0,6 люд/год,період.операцій на рік= кількість стояків в будинку (періодичність операцій*норму часу по типовим нормам на одиницю виміру/річний фонд робочого часу слюсара-сантехніка (2003 год.)),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</si>
  <si>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опалювальному приладі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розряд</t>
    </r>
    <r>
      <rPr>
        <b/>
        <sz val="12"/>
        <rFont val="Times New Roman"/>
        <family val="1"/>
        <charset val="204"/>
      </rPr>
      <t>у на 1 опер. 0,4 люд/год,період.операцій на рік= кількість опалювальних присторії в будинку (періодичність операцій*норму часу по типовим нормам на одиницю виміру/річний фонд робочого часу слюсара-сантех.2003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</si>
  <si>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відновлювання ізоляції опалювальних труб (</t>
    </r>
    <r>
      <rPr>
        <b/>
        <sz val="12"/>
        <rFont val="Times New Roman"/>
        <family val="1"/>
        <charset val="204"/>
      </rPr>
      <t xml:space="preserve">очищення труби від бруду та іржі; нанесення мастикової ізоляції,витрати праці слюсаря-сантехніка </t>
    </r>
    <r>
      <rPr>
        <b/>
        <sz val="12"/>
        <color indexed="10"/>
        <rFont val="Times New Roman"/>
        <family val="1"/>
        <charset val="204"/>
      </rPr>
      <t>2,5 р.</t>
    </r>
    <r>
      <rPr>
        <b/>
        <sz val="12"/>
        <rFont val="Times New Roman"/>
        <family val="1"/>
        <charset val="204"/>
      </rPr>
      <t xml:space="preserve"> 3,3 люд./год на 10 м.трубопроводу,період.операц на рік =5% протяжності мереж опалення в підвалі та на горищі житлового будинку(періодичність операцій*норму часу по типовим нормам на один.виміру/10/річний фонд роб.часу слюсаря-сантехніка (2003 год) ), чол.</t>
    </r>
  </si>
  <si>
    <r>
      <t>Вартість обслуговування 1м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 xml:space="preserve"> підвального приміщення без ПДВ (постанова КМУ №662 від 11.05.06р.)</t>
    </r>
  </si>
  <si>
    <t xml:space="preserve">  Потреба пічників 3 розряду (Прочищення засмічених вентиляційних каналів,витрати праці пічника 3 роз. 1,80 люд.-год. на 10 метрів,1 раз на рік (протяжність димовивентиляційних каналів* к-ть разів прочищення *норму часу по типовим нормам :10 : 2003 річний фонд робочого часу)</t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</si>
  <si>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ввідно-розподільчого пристрою</t>
    </r>
    <r>
      <rPr>
        <b/>
        <sz val="12"/>
        <rFont val="Times New Roman"/>
        <family val="1"/>
        <charset val="204"/>
      </rPr>
      <t xml:space="preserve">,витрати праці електромонтерів 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 0,13люд./год./1щиток ,період.првед 2 рази на рік (кількість ввідно-розподільних пристроїв* періодичність проведення оглядів на рік*норму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</si>
  <si>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електрощитової</t>
    </r>
    <r>
      <rPr>
        <b/>
        <sz val="12"/>
        <rFont val="Times New Roman"/>
        <family val="1"/>
        <charset val="204"/>
      </rPr>
      <t xml:space="preserve">, 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роз. 0,3люд./год./1шт, періодичність проведення огляду 2 рази на рік (кількість електрощитових*періодичність огляду*норму часу/річний фонд робочого часу електромонтера (2003 годин))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</si>
  <si>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пошкоджених ділянок електромереж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0,2 люд./год./1м проводу (довжина проводу для заміни*витрати праці:річний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</si>
  <si>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перегорілої лампи розжарювання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</t>
    </r>
    <r>
      <rPr>
        <b/>
        <sz val="12"/>
        <rFont val="Times New Roman"/>
        <family val="1"/>
        <charset val="204"/>
      </rPr>
      <t>. 0,1 люд./год./1шт.(к-ть ламп для заміни*витрати праці/річний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</si>
  <si>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стінного або стельового патрону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2 р.</t>
    </r>
    <r>
      <rPr>
        <b/>
        <sz val="12"/>
        <rFont val="Times New Roman"/>
        <family val="1"/>
        <charset val="204"/>
      </rPr>
      <t xml:space="preserve"> 2,6люд./год./10шт. (кількість патронів на рік*норму часу по типовим нормам на одиницю виміру/10 шт./річний фонд робочого часу електромонтера (2003 годин),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</si>
  <si>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заміна вимикача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0,55люд./год./1шт.(кіл-ть вимикачів на рік*норму часу/річний фонд робочого часу електромонтера (2003 годин).,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</si>
  <si>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запобіжників</t>
    </r>
    <r>
      <rPr>
        <b/>
        <sz val="12"/>
        <rFont val="Times New Roman"/>
        <family val="1"/>
        <charset val="204"/>
      </rPr>
      <t xml:space="preserve">, знімання запобіжника,зачищення контактів затискачів,встановлення нового запобіжника ,витрати праці електромонтера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з ремонту та обслуговування електроустаткування 0,75 люд./год. на 10шт.(кілікість запобіжників*норму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</si>
  <si>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заміна автоматичних вимикачі </t>
    </r>
    <r>
      <rPr>
        <b/>
        <sz val="12"/>
        <rFont val="Times New Roman"/>
        <family val="1"/>
        <charset val="204"/>
      </rPr>
      <t xml:space="preserve">витрати праці електромонтера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10,60 люд.-год на10 шт.(кількість вимикачів*норми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</si>
  <si>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вимірювання опору ізоляції,</t>
    </r>
    <r>
      <rPr>
        <b/>
        <sz val="12"/>
        <rFont val="Times New Roman"/>
        <family val="1"/>
        <charset val="204"/>
      </rPr>
      <t xml:space="preserve">  витрати праці електромонтеру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5,6люд./год./10ділянок,  (кількість ділянок для вимірювання опору електроізоляції на рік*норму часу/10/річний фонд робочого часу електромонтера (2003 годин), чол.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</si>
  <si>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ламп розжарювання</t>
    </r>
    <r>
      <rPr>
        <b/>
        <sz val="12"/>
        <rFont val="Times New Roman"/>
        <family val="1"/>
        <charset val="204"/>
      </rPr>
      <t xml:space="preserve"> для заміни пошкоджених (неробочих):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</si>
  <si>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проводу ізольованого</t>
    </r>
    <r>
      <rPr>
        <b/>
        <sz val="12"/>
        <rFont val="Times New Roman"/>
        <family val="1"/>
        <charset val="204"/>
      </rPr>
      <t xml:space="preserve"> для заміни пошкоджених електромереж: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</si>
  <si>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патроні електричному</t>
    </r>
    <r>
      <rPr>
        <b/>
        <sz val="12"/>
        <rFont val="Times New Roman"/>
        <family val="1"/>
        <charset val="204"/>
      </rPr>
      <t>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</si>
  <si>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вимикачі</t>
    </r>
    <r>
      <rPr>
        <b/>
        <sz val="12"/>
        <rFont val="Times New Roman"/>
        <family val="1"/>
        <charset val="204"/>
      </rPr>
      <t xml:space="preserve"> для заміни</t>
    </r>
  </si>
  <si>
    <r>
      <t>Потреба в</t>
    </r>
    <r>
      <rPr>
        <b/>
        <u/>
        <sz val="12"/>
        <rFont val="Times New Roman"/>
        <family val="1"/>
        <charset val="204"/>
      </rPr>
      <t xml:space="preserve"> запобіжниках </t>
    </r>
    <r>
      <rPr>
        <b/>
        <sz val="12"/>
        <rFont val="Times New Roman"/>
        <family val="1"/>
        <charset val="204"/>
      </rPr>
      <t>для заміни,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</si>
  <si>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автоматичному вимикачі</t>
    </r>
    <r>
      <rPr>
        <b/>
        <sz val="12"/>
        <rFont val="Times New Roman"/>
        <family val="1"/>
        <charset val="204"/>
      </rPr>
      <t xml:space="preserve"> для заміни, 10шт.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</si>
  <si>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підмітання снігу, згрібання докупи або у вали </t>
    </r>
    <r>
      <rPr>
        <b/>
        <sz val="12"/>
        <rFont val="Times New Roman"/>
        <family val="1"/>
        <charset val="204"/>
      </rPr>
      <t>товщиною шару до 2 см, витрати праці двірника 0,22 люд.-год. на 100 м2, 2 клас території (площа*норму  часу ;100кв.м *кільк-сть приб.(5р.м*4 зимов.міс):річний фонд робочого часу двірника  (2003 годин), чол.</t>
    </r>
  </si>
  <si>
    <r>
      <t xml:space="preserve"> -</t>
    </r>
    <r>
      <rPr>
        <b/>
        <i/>
        <sz val="12"/>
        <rFont val="Times New Roman"/>
        <family val="1"/>
        <charset val="204"/>
      </rPr>
      <t xml:space="preserve"> </t>
    </r>
    <r>
      <rPr>
        <b/>
        <i/>
        <u/>
        <sz val="12"/>
        <rFont val="Times New Roman"/>
        <family val="1"/>
        <charset val="204"/>
      </rPr>
      <t>очищення  території від  ущільненого снігу</t>
    </r>
    <r>
      <rPr>
        <b/>
        <u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скребком,згрібання снігу у вали або докупи,витрати праці двірника 0,32 люд./год./10м2 (площа*норму  часу /10 *кільк-сть приб.(1р.м*4 зимов.міс):річний фонд робочого часу двірника  (2003 годин),чол.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</si>
  <si>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посипання територій піском,</t>
    </r>
    <r>
      <rPr>
        <b/>
        <sz val="12"/>
        <rFont val="Times New Roman"/>
        <family val="1"/>
        <charset val="204"/>
      </rPr>
      <t xml:space="preserve"> витрати праці двірника 0,24люд./год./100м2 (площа*норму часу/100м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* кратність :річний фонд роболчого двірника  2003 год.), чол.</t>
    </r>
  </si>
  <si>
    <t>Разом прямі витрати з урахуванням загальновиробничих</t>
  </si>
  <si>
    <t>Загальна кількість люд./год. в  рік при періодичності прибирання  5 разів на тиждень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</si>
  <si>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</si>
  <si>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t>212,921 грн./чол. міс</t>
  </si>
  <si>
    <r>
      <t xml:space="preserve"> - навантаження сміття на транспортний засіб або ємкість вручну, 0,38люд./год./ 1 куб (берем 0,50 куб                           </t>
    </r>
    <r>
      <rPr>
        <b/>
        <sz val="12"/>
        <color indexed="10"/>
        <rFont val="Times New Roman"/>
        <family val="1"/>
        <charset val="204"/>
      </rPr>
      <t xml:space="preserve">( </t>
    </r>
    <r>
      <rPr>
        <b/>
        <sz val="12"/>
        <color indexed="10"/>
        <rFont val="Times New Roman"/>
        <family val="1"/>
        <charset val="204"/>
      </rPr>
      <t>додаток 13)</t>
    </r>
  </si>
  <si>
    <r>
      <t>витрати на матеріали  на 100м2 (</t>
    </r>
    <r>
      <rPr>
        <b/>
        <sz val="12"/>
        <rFont val="Times New Roman"/>
        <family val="1"/>
        <charset val="204"/>
      </rPr>
      <t xml:space="preserve"> додаток 5</t>
    </r>
    <r>
      <rPr>
        <b/>
        <sz val="12"/>
        <color indexed="8"/>
        <rFont val="Times New Roman"/>
        <family val="1"/>
        <charset val="204"/>
      </rPr>
      <t xml:space="preserve">) </t>
    </r>
  </si>
  <si>
    <t>212,92 грн./міс./чол.</t>
  </si>
  <si>
    <r>
      <t xml:space="preserve">Вартість на ТО 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</si>
  <si>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Вартість обслуговуванн системи диспетчеризації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</si>
  <si>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спецодяг, інструменти, інвентар монтажника сан-тех систем </t>
    </r>
    <r>
      <rPr>
        <b/>
        <sz val="12"/>
        <color indexed="10"/>
        <rFont val="Times New Roman"/>
        <family val="1"/>
        <charset val="204"/>
      </rPr>
      <t>(додаток 1)</t>
    </r>
  </si>
  <si>
    <t>182,46 грн./чол. міс.</t>
  </si>
  <si>
    <r>
      <t xml:space="preserve">витрати на утримання аварійної служби </t>
    </r>
    <r>
      <rPr>
        <b/>
        <sz val="12"/>
        <color indexed="10"/>
        <rFont val="Times New Roman"/>
        <family val="1"/>
        <charset val="204"/>
      </rPr>
      <t>(додаток 8)</t>
    </r>
  </si>
  <si>
    <r>
      <t xml:space="preserve">спецодяг,інструменти,інвентар пічника,74,78 грн/чол,/міс </t>
    </r>
    <r>
      <rPr>
        <b/>
        <sz val="12"/>
        <color indexed="10"/>
        <rFont val="Times New Roman"/>
        <family val="1"/>
        <charset val="204"/>
      </rPr>
      <t>(додаток 1)</t>
    </r>
  </si>
  <si>
    <r>
      <t xml:space="preserve">спецодяг, інструменти, інвентар двірника  </t>
    </r>
    <r>
      <rPr>
        <b/>
        <sz val="12"/>
        <color indexed="10"/>
        <rFont val="Times New Roman"/>
        <family val="1"/>
        <charset val="204"/>
      </rPr>
      <t>(додаток 1)</t>
    </r>
  </si>
  <si>
    <t>спецодяг, інструменти, інвентар електромонтера, 110,53грн./1люд/міс. (додаток 1)</t>
  </si>
  <si>
    <t>Автомат 16-25А</t>
  </si>
  <si>
    <t xml:space="preserve">Площа прибудинкової тер-рії, в т.ч.:акт обстеження прибудинкової території </t>
  </si>
  <si>
    <t>Директор ТОВ "КОМЕНЕРГО СУМИ"</t>
  </si>
  <si>
    <t>ТОВ "КОМЕНЕРГО  СУМИ"</t>
  </si>
  <si>
    <t>Вартість експлуатації 1 номерного  знаку=150грн. (термін експлуатації 60 місяців)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</si>
  <si>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</si>
  <si>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t>Адміністративні витрати 20% (до прямих витрат з урахуванням загальновиробничих)(додаток 2)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</si>
  <si>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</si>
  <si>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r>
      <t>Адміністративні витрати 20% (до прямих витрат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</si>
  <si>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r>
      <t>Адміністративні витрати 20% (до прямих витрат 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</si>
  <si>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t>Загальновиробничі витрати 34% (додаток 3)</t>
  </si>
  <si>
    <r>
      <t>Загальновиробничі витрати 34%</t>
    </r>
    <r>
      <rPr>
        <b/>
        <sz val="12"/>
        <color indexed="10"/>
        <rFont val="Times New Roman"/>
        <family val="1"/>
        <charset val="204"/>
      </rPr>
      <t xml:space="preserve"> (додаток 3)</t>
    </r>
  </si>
  <si>
    <r>
      <t>Адміністративні витрати 20% (до прямих витрат з урахуванням загальновиробничих</t>
    </r>
    <r>
      <rPr>
        <b/>
        <sz val="12"/>
        <color indexed="10"/>
        <rFont val="Times New Roman"/>
        <family val="1"/>
        <charset val="204"/>
      </rPr>
      <t>)(додаток 2)</t>
    </r>
  </si>
  <si>
    <r>
      <t>Адміністративні витрати 20% (до прямих витрат)</t>
    </r>
    <r>
      <rPr>
        <b/>
        <sz val="12"/>
        <color indexed="10"/>
        <rFont val="Times New Roman"/>
        <family val="1"/>
        <charset val="204"/>
      </rPr>
      <t xml:space="preserve"> (додаток 2)</t>
    </r>
  </si>
  <si>
    <t>Адміністративні витрати 20% (до прямих витрат) (додаток 2)</t>
  </si>
  <si>
    <r>
      <t xml:space="preserve">Адміністративні витрати 20% (до прямих витрат) </t>
    </r>
    <r>
      <rPr>
        <b/>
        <sz val="12"/>
        <color indexed="10"/>
        <rFont val="Times New Roman"/>
        <family val="1"/>
        <charset val="204"/>
      </rPr>
      <t>(додаток 2)</t>
    </r>
  </si>
  <si>
    <r>
      <t xml:space="preserve">Загальновиробничі витрати  34% </t>
    </r>
    <r>
      <rPr>
        <b/>
        <sz val="12"/>
        <color indexed="10"/>
        <rFont val="Times New Roman"/>
        <family val="1"/>
        <charset val="204"/>
      </rPr>
      <t>(додаток 3)</t>
    </r>
  </si>
  <si>
    <t xml:space="preserve"> 3 дні на тиждень</t>
  </si>
  <si>
    <r>
      <t xml:space="preserve">за адресою: </t>
    </r>
    <r>
      <rPr>
        <b/>
        <i/>
        <u/>
        <sz val="12"/>
        <rFont val="Times New Roman"/>
        <family val="1"/>
        <charset val="204"/>
      </rPr>
      <t>вулиця Лермонтова,13</t>
    </r>
  </si>
  <si>
    <t xml:space="preserve">              Додаток  № 6                                        до рішення виконавчого комітету                             від "___" ________ 201__р.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</si>
</sst>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%"/>
  </numFmts>
  <fonts count="3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i/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19">
    <xf numFmtId="0" fontId="0" fillId="0" borderId="0" xfId="0"/>
    <xf numFmtId="0" fontId="0" fillId="0" borderId="0" xfId="0" applyBorder="1"/>
    <xf numFmtId="0" fontId="21" fillId="0" borderId="0" xfId="0" applyFont="1" applyBorder="1"/>
    <xf numFmtId="2" fontId="21" fillId="0" borderId="0" xfId="0" applyNumberFormat="1" applyFont="1" applyBorder="1" applyAlignment="1">
      <alignment horizontal="center" vertical="center"/>
    </xf>
    <xf numFmtId="0" fontId="19" fillId="0" borderId="0" xfId="0" applyFont="1" applyBorder="1"/>
    <xf numFmtId="2" fontId="19" fillId="0" borderId="0" xfId="0" applyNumberFormat="1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Border="1"/>
    <xf numFmtId="0" fontId="25" fillId="0" borderId="0" xfId="0" applyFont="1"/>
    <xf numFmtId="0" fontId="24" fillId="0" borderId="0" xfId="0" applyFont="1"/>
    <xf numFmtId="165" fontId="22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65" fontId="22" fillId="0" borderId="11" xfId="0" applyNumberFormat="1" applyFont="1" applyBorder="1" applyAlignment="1">
      <alignment horizontal="center" vertical="center"/>
    </xf>
    <xf numFmtId="165" fontId="22" fillId="24" borderId="10" xfId="0" applyNumberFormat="1" applyFont="1" applyFill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0" fontId="23" fillId="0" borderId="0" xfId="0" applyFont="1" applyFill="1"/>
    <xf numFmtId="165" fontId="19" fillId="0" borderId="10" xfId="0" applyNumberFormat="1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22" fillId="26" borderId="1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9" fillId="27" borderId="0" xfId="0" applyFont="1" applyFill="1" applyBorder="1"/>
    <xf numFmtId="0" fontId="21" fillId="27" borderId="0" xfId="0" applyFont="1" applyFill="1" applyBorder="1" applyAlignment="1">
      <alignment horizontal="center" vertical="center"/>
    </xf>
    <xf numFmtId="0" fontId="21" fillId="27" borderId="0" xfId="0" applyFont="1" applyFill="1" applyBorder="1"/>
    <xf numFmtId="0" fontId="19" fillId="27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2" fillId="0" borderId="12" xfId="0" applyFont="1" applyFill="1" applyBorder="1" applyAlignment="1">
      <alignment horizontal="left" wrapText="1"/>
    </xf>
    <xf numFmtId="0" fontId="25" fillId="0" borderId="0" xfId="0" applyFont="1" applyFill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/>
    </xf>
    <xf numFmtId="0" fontId="25" fillId="0" borderId="10" xfId="0" applyFont="1" applyBorder="1"/>
    <xf numFmtId="0" fontId="25" fillId="0" borderId="10" xfId="0" applyFont="1" applyBorder="1" applyAlignment="1">
      <alignment wrapText="1"/>
    </xf>
    <xf numFmtId="165" fontId="25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29" fillId="0" borderId="0" xfId="0" applyFont="1" applyFill="1" applyBorder="1"/>
    <xf numFmtId="0" fontId="24" fillId="0" borderId="0" xfId="0" applyFont="1" applyFill="1"/>
    <xf numFmtId="0" fontId="24" fillId="0" borderId="0" xfId="0" applyFont="1" applyFill="1" applyBorder="1"/>
    <xf numFmtId="9" fontId="29" fillId="0" borderId="0" xfId="0" applyNumberFormat="1" applyFont="1" applyFill="1" applyBorder="1"/>
    <xf numFmtId="9" fontId="24" fillId="0" borderId="0" xfId="0" applyNumberFormat="1" applyFont="1"/>
    <xf numFmtId="0" fontId="29" fillId="0" borderId="10" xfId="0" applyFont="1" applyBorder="1" applyAlignment="1">
      <alignment horizontal="center"/>
    </xf>
    <xf numFmtId="0" fontId="29" fillId="0" borderId="0" xfId="0" applyFont="1"/>
    <xf numFmtId="0" fontId="29" fillId="0" borderId="0" xfId="0" applyFont="1" applyBorder="1"/>
    <xf numFmtId="1" fontId="24" fillId="0" borderId="0" xfId="0" applyNumberFormat="1" applyFont="1"/>
    <xf numFmtId="0" fontId="30" fillId="0" borderId="0" xfId="0" applyFont="1"/>
    <xf numFmtId="49" fontId="28" fillId="0" borderId="10" xfId="0" applyNumberFormat="1" applyFont="1" applyBorder="1" applyAlignment="1">
      <alignment horizontal="center"/>
    </xf>
    <xf numFmtId="0" fontId="24" fillId="28" borderId="0" xfId="0" applyFont="1" applyFill="1"/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Border="1"/>
    <xf numFmtId="0" fontId="28" fillId="0" borderId="0" xfId="0" applyFont="1"/>
    <xf numFmtId="165" fontId="31" fillId="0" borderId="10" xfId="0" applyNumberFormat="1" applyFont="1" applyBorder="1" applyAlignment="1">
      <alignment horizontal="center" vertical="center"/>
    </xf>
    <xf numFmtId="0" fontId="24" fillId="29" borderId="0" xfId="0" applyFont="1" applyFill="1"/>
    <xf numFmtId="2" fontId="0" fillId="0" borderId="0" xfId="0" applyNumberFormat="1" applyAlignment="1">
      <alignment horizontal="left"/>
    </xf>
    <xf numFmtId="1" fontId="19" fillId="0" borderId="10" xfId="0" applyNumberFormat="1" applyFont="1" applyFill="1" applyBorder="1" applyAlignment="1">
      <alignment horizontal="center" vertical="center"/>
    </xf>
    <xf numFmtId="9" fontId="24" fillId="29" borderId="0" xfId="0" applyNumberFormat="1" applyFont="1" applyFill="1"/>
    <xf numFmtId="165" fontId="0" fillId="0" borderId="0" xfId="0" applyNumberFormat="1"/>
    <xf numFmtId="165" fontId="25" fillId="0" borderId="0" xfId="0" applyNumberFormat="1" applyFont="1"/>
    <xf numFmtId="0" fontId="0" fillId="0" borderId="0" xfId="0" applyFill="1"/>
    <xf numFmtId="2" fontId="19" fillId="0" borderId="10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2" fillId="26" borderId="13" xfId="0" applyFont="1" applyFill="1" applyBorder="1" applyAlignment="1">
      <alignment horizontal="left" wrapText="1"/>
    </xf>
    <xf numFmtId="0" fontId="19" fillId="27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center" vertical="center"/>
    </xf>
    <xf numFmtId="9" fontId="28" fillId="0" borderId="0" xfId="0" applyNumberFormat="1" applyFont="1" applyBorder="1"/>
    <xf numFmtId="0" fontId="28" fillId="0" borderId="0" xfId="0" applyFont="1" applyFill="1" applyBorder="1"/>
    <xf numFmtId="2" fontId="20" fillId="27" borderId="10" xfId="36" applyNumberFormat="1" applyFont="1" applyFill="1" applyBorder="1" applyAlignment="1">
      <alignment horizontal="center" vertical="center" wrapText="1"/>
    </xf>
    <xf numFmtId="2" fontId="20" fillId="0" borderId="10" xfId="36" applyNumberFormat="1" applyFont="1" applyFill="1" applyBorder="1" applyAlignment="1">
      <alignment horizontal="center" vertical="center" wrapText="1"/>
    </xf>
    <xf numFmtId="9" fontId="20" fillId="27" borderId="10" xfId="36" applyNumberFormat="1" applyFont="1" applyFill="1" applyBorder="1" applyAlignment="1">
      <alignment horizontal="center" vertical="center" wrapText="1"/>
    </xf>
    <xf numFmtId="9" fontId="20" fillId="0" borderId="10" xfId="36" applyNumberFormat="1" applyFont="1" applyFill="1" applyBorder="1" applyAlignment="1">
      <alignment horizontal="center" vertical="center" wrapText="1"/>
    </xf>
    <xf numFmtId="0" fontId="32" fillId="27" borderId="10" xfId="36" applyFont="1" applyFill="1" applyBorder="1" applyAlignment="1">
      <alignment horizontal="left" vertical="center" wrapText="1"/>
    </xf>
    <xf numFmtId="166" fontId="19" fillId="0" borderId="10" xfId="0" applyNumberFormat="1" applyFont="1" applyBorder="1" applyAlignment="1">
      <alignment horizontal="center" vertical="center"/>
    </xf>
    <xf numFmtId="0" fontId="28" fillId="0" borderId="0" xfId="0" applyFont="1" applyFill="1"/>
    <xf numFmtId="0" fontId="19" fillId="0" borderId="11" xfId="0" applyFont="1" applyFill="1" applyBorder="1" applyAlignment="1">
      <alignment horizontal="center"/>
    </xf>
    <xf numFmtId="9" fontId="19" fillId="0" borderId="10" xfId="0" applyNumberFormat="1" applyFont="1" applyFill="1" applyBorder="1"/>
    <xf numFmtId="9" fontId="28" fillId="0" borderId="0" xfId="0" applyNumberFormat="1" applyFont="1" applyFill="1" applyBorder="1"/>
    <xf numFmtId="9" fontId="19" fillId="0" borderId="10" xfId="0" applyNumberFormat="1" applyFont="1" applyBorder="1"/>
    <xf numFmtId="0" fontId="19" fillId="0" borderId="10" xfId="0" applyFont="1" applyFill="1" applyBorder="1"/>
    <xf numFmtId="167" fontId="28" fillId="0" borderId="0" xfId="0" applyNumberFormat="1" applyFont="1" applyBorder="1"/>
    <xf numFmtId="10" fontId="28" fillId="0" borderId="0" xfId="0" applyNumberFormat="1" applyFont="1" applyBorder="1"/>
    <xf numFmtId="10" fontId="28" fillId="0" borderId="0" xfId="0" applyNumberFormat="1" applyFont="1" applyFill="1" applyBorder="1"/>
    <xf numFmtId="165" fontId="28" fillId="30" borderId="0" xfId="0" applyNumberFormat="1" applyFont="1" applyFill="1" applyBorder="1"/>
    <xf numFmtId="165" fontId="19" fillId="0" borderId="11" xfId="0" applyNumberFormat="1" applyFont="1" applyBorder="1" applyAlignment="1">
      <alignment horizontal="center" vertical="center"/>
    </xf>
    <xf numFmtId="166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/>
    <xf numFmtId="166" fontId="19" fillId="0" borderId="10" xfId="0" applyNumberFormat="1" applyFont="1" applyBorder="1" applyAlignment="1">
      <alignment horizontal="center"/>
    </xf>
    <xf numFmtId="0" fontId="28" fillId="29" borderId="0" xfId="0" applyFont="1" applyFill="1" applyBorder="1"/>
    <xf numFmtId="166" fontId="19" fillId="24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9" fontId="28" fillId="29" borderId="0" xfId="0" applyNumberFormat="1" applyFont="1" applyFill="1" applyBorder="1"/>
    <xf numFmtId="9" fontId="28" fillId="0" borderId="0" xfId="0" applyNumberFormat="1" applyFont="1"/>
    <xf numFmtId="2" fontId="19" fillId="0" borderId="11" xfId="0" applyNumberFormat="1" applyFont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0" fontId="28" fillId="29" borderId="0" xfId="0" applyFont="1" applyFill="1"/>
    <xf numFmtId="166" fontId="19" fillId="31" borderId="10" xfId="0" applyNumberFormat="1" applyFont="1" applyFill="1" applyBorder="1" applyAlignment="1">
      <alignment horizontal="center" vertical="center"/>
    </xf>
    <xf numFmtId="0" fontId="28" fillId="28" borderId="0" xfId="0" applyFont="1" applyFill="1" applyBorder="1"/>
    <xf numFmtId="164" fontId="19" fillId="0" borderId="10" xfId="0" applyNumberFormat="1" applyFont="1" applyFill="1" applyBorder="1" applyAlignment="1">
      <alignment horizontal="center" vertical="center"/>
    </xf>
    <xf numFmtId="1" fontId="19" fillId="24" borderId="10" xfId="0" applyNumberFormat="1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wrapText="1"/>
    </xf>
    <xf numFmtId="0" fontId="19" fillId="27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27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/>
    </xf>
    <xf numFmtId="0" fontId="22" fillId="28" borderId="13" xfId="0" applyFont="1" applyFill="1" applyBorder="1" applyAlignment="1">
      <alignment horizontal="left"/>
    </xf>
    <xf numFmtId="0" fontId="22" fillId="28" borderId="12" xfId="0" applyFont="1" applyFill="1" applyBorder="1" applyAlignment="1">
      <alignment horizontal="left"/>
    </xf>
    <xf numFmtId="0" fontId="22" fillId="28" borderId="11" xfId="0" applyFont="1" applyFill="1" applyBorder="1" applyAlignment="1">
      <alignment horizontal="left"/>
    </xf>
    <xf numFmtId="0" fontId="32" fillId="0" borderId="11" xfId="36" applyFont="1" applyFill="1" applyBorder="1" applyAlignment="1">
      <alignment horizontal="left" vertical="center" wrapText="1"/>
    </xf>
    <xf numFmtId="0" fontId="32" fillId="0" borderId="10" xfId="36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20" fillId="0" borderId="13" xfId="36" applyNumberFormat="1" applyFont="1" applyBorder="1" applyAlignment="1">
      <alignment horizontal="left" vertical="center" wrapText="1"/>
    </xf>
    <xf numFmtId="2" fontId="20" fillId="0" borderId="12" xfId="36" applyNumberFormat="1" applyFont="1" applyBorder="1" applyAlignment="1">
      <alignment horizontal="left" vertical="center" wrapText="1"/>
    </xf>
    <xf numFmtId="2" fontId="20" fillId="0" borderId="11" xfId="36" applyNumberFormat="1" applyFont="1" applyBorder="1" applyAlignment="1">
      <alignment horizontal="left" vertical="center" wrapText="1"/>
    </xf>
    <xf numFmtId="0" fontId="22" fillId="26" borderId="13" xfId="0" applyFont="1" applyFill="1" applyBorder="1" applyAlignment="1">
      <alignment horizontal="left" wrapText="1"/>
    </xf>
    <xf numFmtId="0" fontId="22" fillId="26" borderId="12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19" fillId="27" borderId="13" xfId="0" applyFont="1" applyFill="1" applyBorder="1" applyAlignment="1">
      <alignment horizontal="center"/>
    </xf>
    <xf numFmtId="0" fontId="19" fillId="27" borderId="11" xfId="0" applyFont="1" applyFill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3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2" xfId="0" applyFont="1" applyFill="1" applyBorder="1" applyAlignment="1">
      <alignment horizontal="center"/>
    </xf>
    <xf numFmtId="2" fontId="20" fillId="0" borderId="13" xfId="36" applyNumberFormat="1" applyFont="1" applyFill="1" applyBorder="1" applyAlignment="1">
      <alignment horizontal="left" vertical="center" wrapText="1"/>
    </xf>
    <xf numFmtId="2" fontId="20" fillId="0" borderId="11" xfId="36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6" fillId="0" borderId="13" xfId="0" applyFont="1" applyBorder="1" applyAlignment="1">
      <alignment horizontal="left" vertical="distributed" wrapText="1"/>
    </xf>
    <xf numFmtId="0" fontId="26" fillId="0" borderId="12" xfId="0" applyFont="1" applyBorder="1" applyAlignment="1">
      <alignment horizontal="left" vertical="distributed" wrapText="1"/>
    </xf>
    <xf numFmtId="0" fontId="26" fillId="0" borderId="11" xfId="0" applyFont="1" applyBorder="1" applyAlignment="1">
      <alignment horizontal="left" vertical="distributed" wrapText="1"/>
    </xf>
    <xf numFmtId="0" fontId="19" fillId="25" borderId="13" xfId="0" applyFont="1" applyFill="1" applyBorder="1" applyAlignment="1">
      <alignment horizontal="left" wrapText="1"/>
    </xf>
    <xf numFmtId="0" fontId="19" fillId="25" borderId="12" xfId="0" applyFont="1" applyFill="1" applyBorder="1" applyAlignment="1">
      <alignment horizontal="left" wrapText="1"/>
    </xf>
    <xf numFmtId="0" fontId="19" fillId="25" borderId="11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wrapText="1"/>
    </xf>
    <xf numFmtId="0" fontId="22" fillId="0" borderId="13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6" fillId="0" borderId="13" xfId="0" applyFont="1" applyFill="1" applyBorder="1" applyAlignment="1">
      <alignment horizontal="left" vertical="distributed" wrapText="1"/>
    </xf>
    <xf numFmtId="0" fontId="26" fillId="0" borderId="12" xfId="0" applyFont="1" applyFill="1" applyBorder="1" applyAlignment="1">
      <alignment horizontal="left" vertical="distributed" wrapText="1"/>
    </xf>
    <xf numFmtId="0" fontId="26" fillId="0" borderId="11" xfId="0" applyFont="1" applyFill="1" applyBorder="1" applyAlignment="1">
      <alignment horizontal="left" vertical="distributed" wrapText="1"/>
    </xf>
    <xf numFmtId="0" fontId="19" fillId="0" borderId="0" xfId="0" applyFont="1" applyBorder="1" applyAlignment="1">
      <alignment horizontal="center"/>
    </xf>
    <xf numFmtId="0" fontId="32" fillId="0" borderId="11" xfId="36" applyFont="1" applyBorder="1" applyAlignment="1">
      <alignment horizontal="left" vertical="center" wrapText="1"/>
    </xf>
    <xf numFmtId="0" fontId="32" fillId="0" borderId="10" xfId="36" applyFont="1" applyBorder="1" applyAlignment="1">
      <alignment horizontal="left" vertical="center" wrapText="1"/>
    </xf>
    <xf numFmtId="0" fontId="22" fillId="0" borderId="12" xfId="36" applyNumberFormat="1" applyFont="1" applyFill="1" applyBorder="1" applyAlignment="1">
      <alignment horizontal="left" vertical="center" wrapText="1"/>
    </xf>
    <xf numFmtId="0" fontId="22" fillId="0" borderId="11" xfId="36" applyNumberFormat="1" applyFont="1" applyFill="1" applyBorder="1" applyAlignment="1">
      <alignment horizontal="left" vertical="center" wrapText="1"/>
    </xf>
    <xf numFmtId="0" fontId="32" fillId="0" borderId="12" xfId="36" applyFont="1" applyBorder="1" applyAlignment="1">
      <alignment horizontal="left" vertical="center" wrapText="1"/>
    </xf>
    <xf numFmtId="2" fontId="22" fillId="0" borderId="11" xfId="36" applyNumberFormat="1" applyFont="1" applyBorder="1" applyAlignment="1">
      <alignment horizontal="left" vertical="center" wrapText="1"/>
    </xf>
    <xf numFmtId="2" fontId="22" fillId="0" borderId="10" xfId="36" applyNumberFormat="1" applyFont="1" applyBorder="1" applyAlignment="1">
      <alignment horizontal="left" vertical="center" wrapText="1"/>
    </xf>
    <xf numFmtId="0" fontId="22" fillId="0" borderId="10" xfId="36" applyNumberFormat="1" applyFont="1" applyFill="1" applyBorder="1" applyAlignment="1">
      <alignment horizontal="left" vertical="center" wrapText="1"/>
    </xf>
    <xf numFmtId="0" fontId="34" fillId="0" borderId="11" xfId="36" applyFont="1" applyBorder="1" applyAlignment="1">
      <alignment horizontal="left" vertical="center" wrapText="1"/>
    </xf>
    <xf numFmtId="0" fontId="34" fillId="0" borderId="10" xfId="36" applyFont="1" applyBorder="1" applyAlignment="1">
      <alignment horizontal="left" vertical="center" wrapText="1"/>
    </xf>
    <xf numFmtId="2" fontId="32" fillId="0" borderId="11" xfId="36" applyNumberFormat="1" applyFont="1" applyFill="1" applyBorder="1" applyAlignment="1">
      <alignment horizontal="left" vertical="center" wrapText="1"/>
    </xf>
    <xf numFmtId="2" fontId="32" fillId="0" borderId="10" xfId="36" applyNumberFormat="1" applyFont="1" applyFill="1" applyBorder="1" applyAlignment="1">
      <alignment horizontal="left" vertical="center" wrapText="1"/>
    </xf>
    <xf numFmtId="2" fontId="32" fillId="25" borderId="11" xfId="36" applyNumberFormat="1" applyFont="1" applyFill="1" applyBorder="1" applyAlignment="1">
      <alignment horizontal="left" vertical="center" wrapText="1"/>
    </xf>
    <xf numFmtId="2" fontId="32" fillId="25" borderId="10" xfId="36" applyNumberFormat="1" applyFont="1" applyFill="1" applyBorder="1" applyAlignment="1">
      <alignment horizontal="left" vertical="center" wrapText="1"/>
    </xf>
    <xf numFmtId="2" fontId="32" fillId="0" borderId="11" xfId="36" applyNumberFormat="1" applyFont="1" applyFill="1" applyBorder="1" applyAlignment="1">
      <alignment vertical="center" wrapText="1"/>
    </xf>
    <xf numFmtId="2" fontId="32" fillId="0" borderId="10" xfId="36" applyNumberFormat="1" applyFont="1" applyFill="1" applyBorder="1" applyAlignment="1">
      <alignment vertical="center" wrapText="1"/>
    </xf>
    <xf numFmtId="164" fontId="22" fillId="0" borderId="11" xfId="36" applyNumberFormat="1" applyFont="1" applyBorder="1" applyAlignment="1">
      <alignment horizontal="left" vertical="center" wrapText="1"/>
    </xf>
    <xf numFmtId="164" fontId="22" fillId="0" borderId="10" xfId="36" applyNumberFormat="1" applyFont="1" applyBorder="1" applyAlignment="1">
      <alignment horizontal="left" vertical="center" wrapText="1"/>
    </xf>
    <xf numFmtId="164" fontId="22" fillId="0" borderId="11" xfId="36" applyNumberFormat="1" applyFont="1" applyFill="1" applyBorder="1" applyAlignment="1">
      <alignment horizontal="left" vertical="center" wrapText="1"/>
    </xf>
    <xf numFmtId="164" fontId="22" fillId="0" borderId="10" xfId="36" applyNumberFormat="1" applyFont="1" applyFill="1" applyBorder="1" applyAlignment="1">
      <alignment horizontal="left" vertical="center" wrapText="1"/>
    </xf>
    <xf numFmtId="0" fontId="32" fillId="0" borderId="11" xfId="36" applyNumberFormat="1" applyFont="1" applyFill="1" applyBorder="1" applyAlignment="1">
      <alignment horizontal="left" vertical="center" wrapText="1"/>
    </xf>
    <xf numFmtId="0" fontId="32" fillId="0" borderId="10" xfId="36" applyNumberFormat="1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2" fontId="22" fillId="0" borderId="11" xfId="36" applyNumberFormat="1" applyFont="1" applyFill="1" applyBorder="1" applyAlignment="1">
      <alignment horizontal="left" vertical="center" wrapText="1"/>
    </xf>
    <xf numFmtId="2" fontId="22" fillId="0" borderId="10" xfId="36" applyNumberFormat="1" applyFont="1" applyFill="1" applyBorder="1" applyAlignment="1">
      <alignment horizontal="left" vertical="center" wrapText="1"/>
    </xf>
    <xf numFmtId="0" fontId="32" fillId="0" borderId="13" xfId="36" applyNumberFormat="1" applyFont="1" applyFill="1" applyBorder="1" applyAlignment="1">
      <alignment horizontal="left" vertical="center" wrapText="1"/>
    </xf>
    <xf numFmtId="0" fontId="32" fillId="0" borderId="12" xfId="36" applyNumberFormat="1" applyFont="1" applyFill="1" applyBorder="1" applyAlignment="1">
      <alignment horizontal="left" vertical="center" wrapText="1"/>
    </xf>
    <xf numFmtId="0" fontId="22" fillId="0" borderId="12" xfId="36" applyFont="1" applyBorder="1" applyAlignment="1">
      <alignment horizontal="left" vertical="center" wrapText="1"/>
    </xf>
    <xf numFmtId="0" fontId="22" fillId="0" borderId="11" xfId="36" applyFont="1" applyBorder="1" applyAlignment="1">
      <alignment horizontal="left" vertical="center" wrapText="1"/>
    </xf>
    <xf numFmtId="0" fontId="22" fillId="0" borderId="10" xfId="36" applyFont="1" applyBorder="1" applyAlignment="1">
      <alignment horizontal="left" vertical="center" wrapText="1"/>
    </xf>
    <xf numFmtId="2" fontId="20" fillId="0" borderId="12" xfId="36" applyNumberFormat="1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2" fillId="28" borderId="13" xfId="0" applyFont="1" applyFill="1" applyBorder="1" applyAlignment="1">
      <alignment horizontal="left" wrapText="1"/>
    </xf>
    <xf numFmtId="0" fontId="22" fillId="28" borderId="12" xfId="0" applyFont="1" applyFill="1" applyBorder="1" applyAlignment="1">
      <alignment horizontal="left" wrapText="1"/>
    </xf>
    <xf numFmtId="0" fontId="22" fillId="28" borderId="11" xfId="0" applyFont="1" applyFill="1" applyBorder="1" applyAlignment="1">
      <alignment horizontal="left" wrapText="1"/>
    </xf>
    <xf numFmtId="0" fontId="22" fillId="27" borderId="13" xfId="0" applyFont="1" applyFill="1" applyBorder="1" applyAlignment="1">
      <alignment horizontal="center"/>
    </xf>
    <xf numFmtId="0" fontId="22" fillId="27" borderId="11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left" wrapText="1"/>
    </xf>
    <xf numFmtId="0" fontId="19" fillId="24" borderId="12" xfId="0" applyFont="1" applyFill="1" applyBorder="1" applyAlignment="1">
      <alignment horizontal="left" wrapText="1"/>
    </xf>
    <xf numFmtId="0" fontId="19" fillId="24" borderId="11" xfId="0" applyFont="1" applyFill="1" applyBorder="1" applyAlignment="1">
      <alignment horizontal="left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Normal="60" zoomScaleSheetLayoutView="100" workbookViewId="0">
      <selection activeCell="C1" sqref="C1:E1"/>
    </sheetView>
  </sheetViews>
  <sheetFormatPr defaultRowHeight="13.2"/>
  <cols>
    <col min="1" max="1" width="5.44140625" customWidth="1"/>
    <col min="2" max="2" width="50" customWidth="1"/>
    <col min="3" max="3" width="14.88671875" customWidth="1"/>
    <col min="4" max="4" width="14.109375" style="19" customWidth="1"/>
    <col min="5" max="5" width="11.109375" style="19" customWidth="1"/>
  </cols>
  <sheetData>
    <row r="1" spans="1:8" ht="38.4" customHeight="1">
      <c r="C1" s="124" t="s">
        <v>371</v>
      </c>
      <c r="D1" s="124"/>
      <c r="E1" s="124"/>
    </row>
    <row r="4" spans="1:8">
      <c r="B4" s="125" t="s">
        <v>237</v>
      </c>
      <c r="C4" s="125"/>
      <c r="D4" s="125"/>
      <c r="E4" s="125"/>
    </row>
    <row r="5" spans="1:8">
      <c r="B5" s="124" t="s">
        <v>238</v>
      </c>
      <c r="C5" s="124"/>
      <c r="D5" s="124"/>
      <c r="E5" s="124"/>
    </row>
    <row r="6" spans="1:8">
      <c r="B6" s="124" t="s">
        <v>355</v>
      </c>
      <c r="C6" s="124"/>
      <c r="D6" s="124"/>
      <c r="E6" s="124"/>
    </row>
    <row r="7" spans="1:8">
      <c r="B7" s="46"/>
      <c r="C7" s="46"/>
      <c r="D7" s="46"/>
      <c r="E7" s="46"/>
    </row>
    <row r="8" spans="1:8">
      <c r="B8" s="46"/>
      <c r="C8" s="46"/>
      <c r="D8" s="46"/>
      <c r="E8" s="46"/>
    </row>
    <row r="9" spans="1:8" ht="15" customHeight="1">
      <c r="B9" s="6" t="str">
        <f>Розрахунок!C3</f>
        <v>категорія будинку: 9-ти поверховий</v>
      </c>
    </row>
    <row r="10" spans="1:8">
      <c r="B10" s="6" t="str">
        <f>Розрахунок!C4</f>
        <v>за адресою: вулиця Лермонтова,13</v>
      </c>
    </row>
    <row r="11" spans="1:8">
      <c r="B11" s="6" t="s">
        <v>261</v>
      </c>
      <c r="C11" s="66">
        <f>Розрахунок!I9</f>
        <v>7724</v>
      </c>
    </row>
    <row r="12" spans="1:8">
      <c r="B12" s="6"/>
    </row>
    <row r="13" spans="1:8" ht="25.95" customHeight="1">
      <c r="A13" s="40" t="s">
        <v>213</v>
      </c>
      <c r="B13" s="40" t="s">
        <v>214</v>
      </c>
      <c r="C13" s="41" t="s">
        <v>215</v>
      </c>
      <c r="D13" s="41" t="s">
        <v>216</v>
      </c>
      <c r="E13" s="41" t="s">
        <v>217</v>
      </c>
    </row>
    <row r="14" spans="1:8" ht="25.2" customHeight="1">
      <c r="A14" s="40">
        <v>1</v>
      </c>
      <c r="B14" s="36" t="s">
        <v>218</v>
      </c>
      <c r="C14" s="42">
        <f>Розрахунок!I130</f>
        <v>0.249</v>
      </c>
      <c r="D14" s="38" t="str">
        <f>Розрахунок!N70</f>
        <v xml:space="preserve"> 3 дні на тиждень</v>
      </c>
      <c r="E14" s="38" t="s">
        <v>219</v>
      </c>
      <c r="H14" s="69">
        <f>ROUND(C14,3)</f>
        <v>0.249</v>
      </c>
    </row>
    <row r="15" spans="1:8" ht="25.2" customHeight="1">
      <c r="A15" s="22">
        <v>2</v>
      </c>
      <c r="B15" s="36" t="s">
        <v>220</v>
      </c>
      <c r="C15" s="42">
        <f>Розрахунок!I146</f>
        <v>0</v>
      </c>
      <c r="D15" s="38"/>
      <c r="E15" s="38"/>
      <c r="H15" s="69">
        <f t="shared" ref="H15:H27" si="0">ROUND(C15,3)</f>
        <v>0</v>
      </c>
    </row>
    <row r="16" spans="1:8" ht="25.2" customHeight="1">
      <c r="A16" s="22">
        <v>3</v>
      </c>
      <c r="B16" s="36" t="s">
        <v>221</v>
      </c>
      <c r="C16" s="42">
        <f>Розрахунок!I156</f>
        <v>0.57999999999999996</v>
      </c>
      <c r="D16" s="38" t="s">
        <v>239</v>
      </c>
      <c r="E16" s="38" t="s">
        <v>219</v>
      </c>
      <c r="H16" s="69">
        <f t="shared" si="0"/>
        <v>0.57999999999999996</v>
      </c>
    </row>
    <row r="17" spans="1:8" ht="25.2" customHeight="1">
      <c r="A17" s="22">
        <v>4</v>
      </c>
      <c r="B17" s="36" t="s">
        <v>222</v>
      </c>
      <c r="C17" s="42">
        <f>Розрахунок!I166</f>
        <v>4.5999999999999999E-2</v>
      </c>
      <c r="D17" s="38" t="s">
        <v>239</v>
      </c>
      <c r="E17" s="38" t="s">
        <v>219</v>
      </c>
      <c r="H17" s="69">
        <f t="shared" si="0"/>
        <v>4.5999999999999999E-2</v>
      </c>
    </row>
    <row r="18" spans="1:8" ht="25.2" customHeight="1">
      <c r="A18" s="22">
        <v>5</v>
      </c>
      <c r="B18" s="36" t="s">
        <v>223</v>
      </c>
      <c r="C18" s="42">
        <f>Розрахунок!I280</f>
        <v>0.48257894736842105</v>
      </c>
      <c r="D18" s="38" t="s">
        <v>239</v>
      </c>
      <c r="E18" s="38" t="s">
        <v>219</v>
      </c>
      <c r="H18" s="69">
        <f t="shared" si="0"/>
        <v>0.48299999999999998</v>
      </c>
    </row>
    <row r="19" spans="1:8" ht="25.2" customHeight="1">
      <c r="A19" s="22">
        <v>6</v>
      </c>
      <c r="B19" s="36" t="s">
        <v>224</v>
      </c>
      <c r="C19" s="42">
        <f>Розрахунок!I291</f>
        <v>0</v>
      </c>
      <c r="D19" s="38"/>
      <c r="E19" s="38"/>
      <c r="H19" s="69">
        <f t="shared" si="0"/>
        <v>0</v>
      </c>
    </row>
    <row r="20" spans="1:8" ht="25.2" customHeight="1">
      <c r="A20" s="22">
        <v>7</v>
      </c>
      <c r="B20" s="36" t="s">
        <v>225</v>
      </c>
      <c r="C20" s="42">
        <f>Розрахунок!I302</f>
        <v>0</v>
      </c>
      <c r="D20" s="38"/>
      <c r="E20" s="38"/>
      <c r="H20" s="69">
        <f t="shared" si="0"/>
        <v>0</v>
      </c>
    </row>
    <row r="21" spans="1:8" ht="25.2" customHeight="1">
      <c r="A21" s="22">
        <v>8</v>
      </c>
      <c r="B21" s="36" t="s">
        <v>229</v>
      </c>
      <c r="C21" s="42">
        <f>Розрахунок!I316</f>
        <v>4.5999999999999999E-2</v>
      </c>
      <c r="D21" s="38" t="s">
        <v>240</v>
      </c>
      <c r="E21" s="38" t="s">
        <v>219</v>
      </c>
      <c r="H21" s="69">
        <f t="shared" si="0"/>
        <v>4.5999999999999999E-2</v>
      </c>
    </row>
    <row r="22" spans="1:8" ht="73.2" customHeight="1">
      <c r="A22" s="22">
        <v>9</v>
      </c>
      <c r="B22" s="37" t="s">
        <v>230</v>
      </c>
      <c r="C22" s="42">
        <f>Розрахунок!I367</f>
        <v>4.3999999999999997E-2</v>
      </c>
      <c r="D22" s="38" t="s">
        <v>240</v>
      </c>
      <c r="E22" s="38" t="s">
        <v>219</v>
      </c>
      <c r="H22" s="69">
        <f t="shared" si="0"/>
        <v>4.3999999999999997E-2</v>
      </c>
    </row>
    <row r="23" spans="1:8" ht="106.95" customHeight="1">
      <c r="A23" s="22">
        <v>10</v>
      </c>
      <c r="B23" s="37" t="s">
        <v>231</v>
      </c>
      <c r="C23" s="42">
        <f>Розрахунок!I370</f>
        <v>0.85499999999999998</v>
      </c>
      <c r="D23" s="38" t="s">
        <v>240</v>
      </c>
      <c r="E23" s="38" t="s">
        <v>219</v>
      </c>
      <c r="H23" s="69">
        <f t="shared" si="0"/>
        <v>0.85499999999999998</v>
      </c>
    </row>
    <row r="24" spans="1:8" ht="43.95" customHeight="1">
      <c r="A24" s="22">
        <v>11</v>
      </c>
      <c r="B24" s="37" t="s">
        <v>232</v>
      </c>
      <c r="C24" s="42">
        <f>Розрахунок!I390</f>
        <v>2.4E-2</v>
      </c>
      <c r="D24" s="38" t="s">
        <v>241</v>
      </c>
      <c r="E24" s="38" t="s">
        <v>219</v>
      </c>
      <c r="H24" s="69">
        <f t="shared" si="0"/>
        <v>2.4E-2</v>
      </c>
    </row>
    <row r="25" spans="1:8" ht="43.95" customHeight="1">
      <c r="A25" s="22">
        <v>12</v>
      </c>
      <c r="B25" s="37" t="s">
        <v>258</v>
      </c>
      <c r="C25" s="42">
        <f>Розрахунок!I401</f>
        <v>4.2928398157485897E-4</v>
      </c>
      <c r="D25" s="38"/>
      <c r="E25" s="38"/>
      <c r="H25" s="69">
        <f t="shared" si="0"/>
        <v>0</v>
      </c>
    </row>
    <row r="26" spans="1:8" ht="26.25" customHeight="1">
      <c r="A26" s="22">
        <v>13</v>
      </c>
      <c r="B26" s="37" t="s">
        <v>233</v>
      </c>
      <c r="C26" s="42">
        <f>Розрахунок!I410</f>
        <v>0.14899999999999999</v>
      </c>
      <c r="D26" s="38" t="s">
        <v>239</v>
      </c>
      <c r="E26" s="38" t="s">
        <v>219</v>
      </c>
      <c r="H26" s="69">
        <f t="shared" si="0"/>
        <v>0.14899999999999999</v>
      </c>
    </row>
    <row r="27" spans="1:8" ht="25.2" customHeight="1">
      <c r="A27" s="22">
        <v>14</v>
      </c>
      <c r="B27" s="37" t="s">
        <v>234</v>
      </c>
      <c r="C27" s="42">
        <f>Розрахунок!I419</f>
        <v>0.124</v>
      </c>
      <c r="D27" s="38" t="s">
        <v>239</v>
      </c>
      <c r="E27" s="38" t="s">
        <v>219</v>
      </c>
      <c r="H27" s="69">
        <f t="shared" si="0"/>
        <v>0.124</v>
      </c>
    </row>
    <row r="28" spans="1:8" s="8" customFormat="1" ht="25.2" customHeight="1">
      <c r="A28" s="43"/>
      <c r="B28" s="44" t="s">
        <v>236</v>
      </c>
      <c r="C28" s="45">
        <v>2.6</v>
      </c>
      <c r="D28" s="39"/>
      <c r="E28" s="39"/>
      <c r="H28" s="70">
        <f>SUM(H14:H27)</f>
        <v>2.6</v>
      </c>
    </row>
    <row r="32" spans="1:8" s="8" customFormat="1">
      <c r="B32" s="8" t="str">
        <f>Розрахунок!C425</f>
        <v>Директор ТОВ "КОМЕНЕРГО СУМИ"</v>
      </c>
      <c r="C32" s="8" t="s">
        <v>235</v>
      </c>
      <c r="D32" s="123" t="s">
        <v>268</v>
      </c>
      <c r="E32" s="123"/>
    </row>
    <row r="33" spans="2:2">
      <c r="B33" s="8"/>
    </row>
  </sheetData>
  <mergeCells count="5">
    <mergeCell ref="D32:E32"/>
    <mergeCell ref="B5:E5"/>
    <mergeCell ref="B4:E4"/>
    <mergeCell ref="B6:E6"/>
    <mergeCell ref="C1:E1"/>
  </mergeCells>
  <phoneticPr fontId="18" type="noConversion"/>
  <pageMargins left="0.70866141732283472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7"/>
  <sheetViews>
    <sheetView topLeftCell="C391" zoomScale="81" zoomScaleNormal="81" zoomScaleSheetLayoutView="55" workbookViewId="0">
      <selection activeCell="I420" sqref="I420"/>
    </sheetView>
  </sheetViews>
  <sheetFormatPr defaultRowHeight="15.6"/>
  <cols>
    <col min="1" max="1" width="8.88671875" style="19" customWidth="1"/>
    <col min="2" max="2" width="10.33203125" style="20" customWidth="1"/>
    <col min="3" max="3" width="46.5546875" style="2" customWidth="1"/>
    <col min="4" max="4" width="56.109375" style="2" customWidth="1"/>
    <col min="5" max="5" width="10.5546875" style="2" customWidth="1"/>
    <col min="6" max="6" width="9" style="31" hidden="1" customWidth="1"/>
    <col min="7" max="7" width="0.44140625" style="30" hidden="1" customWidth="1"/>
    <col min="8" max="8" width="13.6640625" style="26" customWidth="1"/>
    <col min="9" max="9" width="17.33203125" style="3" customWidth="1"/>
    <col min="10" max="10" width="11.109375" style="1" customWidth="1"/>
    <col min="11" max="11" width="9.88671875" style="1" customWidth="1"/>
    <col min="12" max="12" width="8.33203125" customWidth="1"/>
    <col min="13" max="13" width="9" customWidth="1"/>
  </cols>
  <sheetData>
    <row r="1" spans="1:14">
      <c r="C1" s="171" t="s">
        <v>25</v>
      </c>
      <c r="D1" s="171"/>
      <c r="E1" s="171"/>
      <c r="F1" s="171"/>
      <c r="G1" s="171"/>
      <c r="H1" s="171"/>
      <c r="I1" s="171"/>
    </row>
    <row r="2" spans="1:14">
      <c r="C2" s="171" t="s">
        <v>270</v>
      </c>
      <c r="D2" s="171"/>
      <c r="E2" s="171"/>
      <c r="F2" s="171"/>
      <c r="G2" s="171"/>
      <c r="H2" s="171"/>
      <c r="I2" s="171"/>
    </row>
    <row r="3" spans="1:14" ht="16.2">
      <c r="C3" s="171" t="s">
        <v>265</v>
      </c>
      <c r="D3" s="171"/>
      <c r="E3" s="171"/>
      <c r="F3" s="171"/>
      <c r="G3" s="171"/>
      <c r="H3" s="171"/>
      <c r="I3" s="171"/>
    </row>
    <row r="4" spans="1:14" ht="16.2">
      <c r="C4" s="171" t="s">
        <v>370</v>
      </c>
      <c r="D4" s="171"/>
      <c r="E4" s="171"/>
      <c r="F4" s="171"/>
      <c r="G4" s="171"/>
      <c r="H4" s="171"/>
      <c r="I4" s="171"/>
    </row>
    <row r="5" spans="1:14">
      <c r="C5" s="4"/>
      <c r="D5" s="4"/>
      <c r="E5" s="4"/>
      <c r="F5" s="29"/>
      <c r="I5" s="5"/>
    </row>
    <row r="6" spans="1:14" ht="16.2">
      <c r="A6" s="21"/>
      <c r="B6" s="21"/>
      <c r="C6" s="172" t="s">
        <v>4</v>
      </c>
      <c r="D6" s="173"/>
      <c r="E6" s="173"/>
      <c r="F6" s="173"/>
      <c r="G6" s="76" t="s">
        <v>14</v>
      </c>
      <c r="H6" s="77" t="s">
        <v>14</v>
      </c>
      <c r="I6" s="18">
        <v>9</v>
      </c>
      <c r="J6" s="62"/>
      <c r="K6" s="62"/>
      <c r="L6" s="63"/>
      <c r="M6" s="9"/>
      <c r="N6" s="9"/>
    </row>
    <row r="7" spans="1:14" ht="19.95" customHeight="1">
      <c r="A7" s="21"/>
      <c r="B7" s="21"/>
      <c r="C7" s="172" t="s">
        <v>7</v>
      </c>
      <c r="D7" s="173"/>
      <c r="E7" s="173"/>
      <c r="F7" s="173"/>
      <c r="G7" s="76" t="s">
        <v>14</v>
      </c>
      <c r="H7" s="77" t="s">
        <v>14</v>
      </c>
      <c r="I7" s="18">
        <v>4</v>
      </c>
      <c r="J7" s="62"/>
      <c r="K7" s="62"/>
      <c r="L7" s="63"/>
      <c r="M7" s="9"/>
      <c r="N7" s="9"/>
    </row>
    <row r="8" spans="1:14" ht="16.2">
      <c r="A8" s="21"/>
      <c r="B8" s="21"/>
      <c r="C8" s="172" t="s">
        <v>30</v>
      </c>
      <c r="D8" s="173"/>
      <c r="E8" s="173"/>
      <c r="F8" s="173"/>
      <c r="G8" s="76" t="s">
        <v>14</v>
      </c>
      <c r="H8" s="77" t="s">
        <v>14</v>
      </c>
      <c r="I8" s="18">
        <v>145</v>
      </c>
      <c r="J8" s="62"/>
      <c r="K8" s="62"/>
      <c r="L8" s="63"/>
      <c r="M8" s="9"/>
      <c r="N8" s="9"/>
    </row>
    <row r="9" spans="1:14" ht="18">
      <c r="A9" s="21"/>
      <c r="B9" s="21"/>
      <c r="C9" s="190" t="s">
        <v>31</v>
      </c>
      <c r="D9" s="191"/>
      <c r="E9" s="191"/>
      <c r="F9" s="191"/>
      <c r="G9" s="76" t="s">
        <v>279</v>
      </c>
      <c r="H9" s="77" t="s">
        <v>28</v>
      </c>
      <c r="I9" s="78">
        <f>I10+I11</f>
        <v>7724</v>
      </c>
      <c r="J9" s="62"/>
      <c r="K9" s="62"/>
      <c r="L9" s="63"/>
      <c r="M9" s="9"/>
      <c r="N9" s="9"/>
    </row>
    <row r="10" spans="1:14" ht="18">
      <c r="A10" s="21"/>
      <c r="B10" s="21"/>
      <c r="C10" s="188" t="s">
        <v>29</v>
      </c>
      <c r="D10" s="189"/>
      <c r="E10" s="189"/>
      <c r="F10" s="189"/>
      <c r="G10" s="76" t="s">
        <v>279</v>
      </c>
      <c r="H10" s="77" t="s">
        <v>28</v>
      </c>
      <c r="I10" s="78">
        <v>7724</v>
      </c>
      <c r="J10" s="62"/>
      <c r="K10" s="62"/>
      <c r="L10" s="63"/>
      <c r="M10" s="9"/>
      <c r="N10" s="9"/>
    </row>
    <row r="11" spans="1:14" ht="18">
      <c r="A11" s="21"/>
      <c r="B11" s="21"/>
      <c r="C11" s="176" t="s">
        <v>71</v>
      </c>
      <c r="D11" s="176"/>
      <c r="E11" s="176"/>
      <c r="F11" s="172"/>
      <c r="G11" s="76" t="s">
        <v>279</v>
      </c>
      <c r="H11" s="77" t="s">
        <v>28</v>
      </c>
      <c r="I11" s="78">
        <v>0</v>
      </c>
      <c r="J11" s="62"/>
      <c r="K11" s="62"/>
      <c r="L11" s="63"/>
      <c r="M11" s="9"/>
      <c r="N11" s="9"/>
    </row>
    <row r="12" spans="1:14" ht="18">
      <c r="A12" s="21"/>
      <c r="B12" s="21"/>
      <c r="C12" s="188" t="s">
        <v>206</v>
      </c>
      <c r="D12" s="189"/>
      <c r="E12" s="189"/>
      <c r="F12" s="189"/>
      <c r="G12" s="76" t="s">
        <v>279</v>
      </c>
      <c r="H12" s="77" t="s">
        <v>28</v>
      </c>
      <c r="I12" s="78">
        <v>6903</v>
      </c>
      <c r="J12" s="62"/>
      <c r="K12" s="62"/>
      <c r="L12" s="63"/>
      <c r="M12" s="9"/>
      <c r="N12" s="9"/>
    </row>
    <row r="13" spans="1:14" ht="18">
      <c r="A13" s="21"/>
      <c r="B13" s="21"/>
      <c r="C13" s="188" t="s">
        <v>353</v>
      </c>
      <c r="D13" s="189"/>
      <c r="E13" s="189"/>
      <c r="F13" s="189"/>
      <c r="G13" s="76" t="s">
        <v>279</v>
      </c>
      <c r="H13" s="77" t="s">
        <v>28</v>
      </c>
      <c r="I13" s="79">
        <v>4206</v>
      </c>
      <c r="J13" s="62"/>
      <c r="K13" s="62"/>
      <c r="L13" s="63"/>
      <c r="M13" s="9"/>
      <c r="N13" s="9"/>
    </row>
    <row r="14" spans="1:14" ht="18">
      <c r="A14" s="21"/>
      <c r="B14" s="21"/>
      <c r="C14" s="177" t="s">
        <v>72</v>
      </c>
      <c r="D14" s="178"/>
      <c r="E14" s="178"/>
      <c r="F14" s="178"/>
      <c r="G14" s="76" t="s">
        <v>279</v>
      </c>
      <c r="H14" s="77" t="s">
        <v>28</v>
      </c>
      <c r="I14" s="79">
        <v>1450</v>
      </c>
      <c r="J14" s="80"/>
      <c r="K14" s="62"/>
      <c r="L14" s="63"/>
      <c r="M14" s="9"/>
      <c r="N14" s="9"/>
    </row>
    <row r="15" spans="1:14" ht="18">
      <c r="A15" s="21"/>
      <c r="B15" s="21"/>
      <c r="C15" s="177" t="s">
        <v>264</v>
      </c>
      <c r="D15" s="178"/>
      <c r="E15" s="178"/>
      <c r="F15" s="178"/>
      <c r="G15" s="76" t="s">
        <v>279</v>
      </c>
      <c r="H15" s="77" t="s">
        <v>28</v>
      </c>
      <c r="I15" s="79"/>
      <c r="J15" s="80"/>
      <c r="K15" s="62"/>
      <c r="L15" s="63"/>
      <c r="M15" s="9"/>
      <c r="N15" s="9"/>
    </row>
    <row r="16" spans="1:14" ht="18">
      <c r="A16" s="21"/>
      <c r="B16" s="21"/>
      <c r="C16" s="177" t="s">
        <v>263</v>
      </c>
      <c r="D16" s="178"/>
      <c r="E16" s="178"/>
      <c r="F16" s="178"/>
      <c r="G16" s="76" t="s">
        <v>279</v>
      </c>
      <c r="H16" s="77" t="s">
        <v>28</v>
      </c>
      <c r="I16" s="79">
        <v>2920</v>
      </c>
      <c r="J16" s="80"/>
      <c r="K16" s="62"/>
      <c r="L16" s="63"/>
      <c r="M16" s="9"/>
      <c r="N16" s="9"/>
    </row>
    <row r="17" spans="1:14" ht="18">
      <c r="A17" s="21"/>
      <c r="B17" s="21"/>
      <c r="C17" s="177" t="s">
        <v>32</v>
      </c>
      <c r="D17" s="178"/>
      <c r="E17" s="178"/>
      <c r="F17" s="178"/>
      <c r="G17" s="76" t="s">
        <v>279</v>
      </c>
      <c r="H17" s="77" t="s">
        <v>28</v>
      </c>
      <c r="I17" s="79"/>
      <c r="J17" s="80"/>
      <c r="K17" s="81"/>
      <c r="L17" s="63"/>
      <c r="M17" s="9"/>
      <c r="N17" s="9"/>
    </row>
    <row r="18" spans="1:14" ht="18">
      <c r="A18" s="21"/>
      <c r="B18" s="21"/>
      <c r="C18" s="188" t="s">
        <v>33</v>
      </c>
      <c r="D18" s="189"/>
      <c r="E18" s="189"/>
      <c r="F18" s="189"/>
      <c r="G18" s="76" t="s">
        <v>279</v>
      </c>
      <c r="H18" s="77" t="s">
        <v>28</v>
      </c>
      <c r="I18" s="78">
        <v>1298</v>
      </c>
      <c r="J18" s="62"/>
      <c r="K18" s="62"/>
      <c r="L18" s="63"/>
      <c r="M18" s="9"/>
      <c r="N18" s="9"/>
    </row>
    <row r="19" spans="1:14" ht="18">
      <c r="A19" s="21"/>
      <c r="B19" s="21"/>
      <c r="C19" s="188" t="s">
        <v>34</v>
      </c>
      <c r="D19" s="189"/>
      <c r="E19" s="189"/>
      <c r="F19" s="189"/>
      <c r="G19" s="76" t="s">
        <v>279</v>
      </c>
      <c r="H19" s="77" t="s">
        <v>28</v>
      </c>
      <c r="I19" s="78"/>
      <c r="J19" s="62"/>
      <c r="K19" s="62"/>
      <c r="L19" s="63"/>
      <c r="M19" s="9"/>
      <c r="N19" s="9"/>
    </row>
    <row r="20" spans="1:14" ht="16.2">
      <c r="A20" s="21"/>
      <c r="B20" s="21"/>
      <c r="C20" s="203" t="s">
        <v>5</v>
      </c>
      <c r="D20" s="204"/>
      <c r="E20" s="204"/>
      <c r="F20" s="204"/>
      <c r="G20" s="76"/>
      <c r="H20" s="77"/>
      <c r="I20" s="78" t="s">
        <v>8</v>
      </c>
      <c r="J20" s="62"/>
      <c r="K20" s="62"/>
      <c r="L20" s="63"/>
      <c r="M20" s="9"/>
      <c r="N20" s="9"/>
    </row>
    <row r="21" spans="1:14" ht="18">
      <c r="A21" s="21"/>
      <c r="B21" s="21"/>
      <c r="C21" s="202" t="s">
        <v>73</v>
      </c>
      <c r="D21" s="202"/>
      <c r="E21" s="202"/>
      <c r="F21" s="203"/>
      <c r="G21" s="76" t="s">
        <v>279</v>
      </c>
      <c r="H21" s="77" t="s">
        <v>28</v>
      </c>
      <c r="I21" s="78">
        <v>720</v>
      </c>
      <c r="J21" s="62"/>
      <c r="K21" s="62" t="s">
        <v>118</v>
      </c>
      <c r="L21" s="63"/>
      <c r="M21" s="9"/>
      <c r="N21" s="9"/>
    </row>
    <row r="22" spans="1:14" ht="16.2">
      <c r="A22" s="21"/>
      <c r="B22" s="21"/>
      <c r="C22" s="180" t="s">
        <v>52</v>
      </c>
      <c r="D22" s="181"/>
      <c r="E22" s="181"/>
      <c r="F22" s="181"/>
      <c r="G22" s="76"/>
      <c r="H22" s="77"/>
      <c r="I22" s="78"/>
      <c r="J22" s="62"/>
      <c r="K22" s="62"/>
      <c r="L22" s="63"/>
      <c r="M22" s="9"/>
      <c r="N22" s="9"/>
    </row>
    <row r="23" spans="1:14" ht="16.2">
      <c r="A23" s="21"/>
      <c r="B23" s="21"/>
      <c r="C23" s="175" t="s">
        <v>99</v>
      </c>
      <c r="D23" s="179"/>
      <c r="E23" s="179"/>
      <c r="F23" s="179"/>
      <c r="G23" s="76" t="s">
        <v>14</v>
      </c>
      <c r="H23" s="77" t="s">
        <v>14</v>
      </c>
      <c r="I23" s="67">
        <v>72</v>
      </c>
      <c r="J23" s="62">
        <f>2*I7*I6</f>
        <v>72</v>
      </c>
      <c r="K23" s="62">
        <f>I7*2</f>
        <v>8</v>
      </c>
      <c r="L23" s="63"/>
      <c r="M23" s="9"/>
      <c r="N23" s="9"/>
    </row>
    <row r="24" spans="1:14" ht="16.2">
      <c r="A24" s="21"/>
      <c r="B24" s="21"/>
      <c r="C24" s="175" t="s">
        <v>35</v>
      </c>
      <c r="D24" s="179"/>
      <c r="E24" s="179"/>
      <c r="F24" s="179"/>
      <c r="G24" s="76" t="s">
        <v>21</v>
      </c>
      <c r="H24" s="77" t="s">
        <v>21</v>
      </c>
      <c r="I24" s="18">
        <v>20</v>
      </c>
      <c r="J24" s="62"/>
      <c r="K24" s="62"/>
      <c r="L24" s="63"/>
      <c r="M24" s="9"/>
      <c r="N24" s="9"/>
    </row>
    <row r="25" spans="1:14" ht="16.2">
      <c r="A25" s="21"/>
      <c r="B25" s="21"/>
      <c r="C25" s="175" t="s">
        <v>36</v>
      </c>
      <c r="D25" s="179"/>
      <c r="E25" s="179"/>
      <c r="F25" s="179"/>
      <c r="G25" s="76" t="s">
        <v>14</v>
      </c>
      <c r="H25" s="77" t="s">
        <v>14</v>
      </c>
      <c r="I25" s="18">
        <v>45</v>
      </c>
      <c r="J25" s="62"/>
      <c r="K25" s="62"/>
      <c r="L25" s="63"/>
      <c r="M25" s="9"/>
      <c r="N25" s="9"/>
    </row>
    <row r="26" spans="1:14" ht="16.2">
      <c r="A26" s="21"/>
      <c r="B26" s="21"/>
      <c r="C26" s="175" t="s">
        <v>37</v>
      </c>
      <c r="D26" s="179"/>
      <c r="E26" s="179"/>
      <c r="F26" s="179"/>
      <c r="G26" s="76" t="s">
        <v>14</v>
      </c>
      <c r="H26" s="77" t="s">
        <v>14</v>
      </c>
      <c r="I26" s="18">
        <v>5</v>
      </c>
      <c r="J26" s="62"/>
      <c r="K26" s="62"/>
      <c r="L26" s="63"/>
      <c r="M26" s="9"/>
      <c r="N26" s="9"/>
    </row>
    <row r="27" spans="1:14" ht="16.2">
      <c r="A27" s="21"/>
      <c r="B27" s="21"/>
      <c r="C27" s="175" t="s">
        <v>352</v>
      </c>
      <c r="D27" s="179"/>
      <c r="E27" s="179"/>
      <c r="F27" s="179"/>
      <c r="G27" s="76" t="s">
        <v>14</v>
      </c>
      <c r="H27" s="77" t="s">
        <v>14</v>
      </c>
      <c r="I27" s="18">
        <v>3</v>
      </c>
      <c r="J27" s="62"/>
      <c r="K27" s="62"/>
      <c r="L27" s="63"/>
      <c r="M27" s="9"/>
      <c r="N27" s="9"/>
    </row>
    <row r="28" spans="1:14" ht="16.2">
      <c r="A28" s="21"/>
      <c r="B28" s="21"/>
      <c r="C28" s="175" t="s">
        <v>38</v>
      </c>
      <c r="D28" s="179"/>
      <c r="E28" s="179"/>
      <c r="F28" s="179"/>
      <c r="G28" s="76" t="s">
        <v>21</v>
      </c>
      <c r="H28" s="77" t="s">
        <v>21</v>
      </c>
      <c r="I28" s="18">
        <v>20</v>
      </c>
      <c r="J28" s="62"/>
      <c r="K28" s="62"/>
      <c r="L28" s="63"/>
      <c r="M28" s="9"/>
      <c r="N28" s="9"/>
    </row>
    <row r="29" spans="1:14" ht="16.2">
      <c r="A29" s="21"/>
      <c r="B29" s="21"/>
      <c r="C29" s="175" t="s">
        <v>19</v>
      </c>
      <c r="D29" s="179"/>
      <c r="E29" s="179"/>
      <c r="F29" s="179"/>
      <c r="G29" s="76" t="s">
        <v>14</v>
      </c>
      <c r="H29" s="77" t="s">
        <v>14</v>
      </c>
      <c r="I29" s="18">
        <v>2</v>
      </c>
      <c r="J29" s="62"/>
      <c r="K29" s="62"/>
      <c r="L29" s="63"/>
      <c r="M29" s="9"/>
      <c r="N29" s="9"/>
    </row>
    <row r="30" spans="1:14" ht="16.2">
      <c r="A30" s="21"/>
      <c r="B30" s="21"/>
      <c r="C30" s="192" t="s">
        <v>193</v>
      </c>
      <c r="D30" s="193"/>
      <c r="E30" s="193"/>
      <c r="F30" s="193"/>
      <c r="G30" s="76" t="s">
        <v>14</v>
      </c>
      <c r="H30" s="77" t="s">
        <v>14</v>
      </c>
      <c r="I30" s="18">
        <v>37</v>
      </c>
      <c r="J30" s="62"/>
      <c r="K30" s="62"/>
      <c r="L30" s="63"/>
      <c r="M30" s="9"/>
      <c r="N30" s="9"/>
    </row>
    <row r="31" spans="1:14" ht="16.2">
      <c r="A31" s="21"/>
      <c r="B31" s="21"/>
      <c r="C31" s="200" t="s">
        <v>191</v>
      </c>
      <c r="D31" s="201"/>
      <c r="E31" s="201"/>
      <c r="F31" s="192"/>
      <c r="G31" s="76" t="s">
        <v>14</v>
      </c>
      <c r="H31" s="77" t="s">
        <v>14</v>
      </c>
      <c r="I31" s="18">
        <v>36</v>
      </c>
      <c r="J31" s="62">
        <f>I6*I7</f>
        <v>36</v>
      </c>
      <c r="K31" s="62"/>
      <c r="L31" s="63"/>
      <c r="M31" s="9"/>
      <c r="N31" s="9"/>
    </row>
    <row r="32" spans="1:14" ht="16.2">
      <c r="A32" s="21"/>
      <c r="B32" s="21"/>
      <c r="C32" s="175" t="s">
        <v>247</v>
      </c>
      <c r="D32" s="179"/>
      <c r="E32" s="179"/>
      <c r="F32" s="179"/>
      <c r="G32" s="76" t="s">
        <v>14</v>
      </c>
      <c r="H32" s="77" t="s">
        <v>14</v>
      </c>
      <c r="I32" s="18">
        <v>1</v>
      </c>
      <c r="J32" s="62"/>
      <c r="K32" s="62"/>
      <c r="L32" s="63"/>
      <c r="M32" s="9"/>
      <c r="N32" s="9"/>
    </row>
    <row r="33" spans="1:14" ht="16.2" hidden="1">
      <c r="A33" s="21"/>
      <c r="B33" s="21"/>
      <c r="C33" s="175" t="s">
        <v>259</v>
      </c>
      <c r="D33" s="179"/>
      <c r="E33" s="179"/>
      <c r="F33" s="179"/>
      <c r="G33" s="76" t="s">
        <v>53</v>
      </c>
      <c r="H33" s="77" t="s">
        <v>53</v>
      </c>
      <c r="I33" s="18"/>
      <c r="J33" s="62"/>
      <c r="K33" s="62"/>
      <c r="L33" s="63"/>
      <c r="M33" s="9"/>
      <c r="N33" s="9"/>
    </row>
    <row r="34" spans="1:14" ht="16.2">
      <c r="A34" s="21"/>
      <c r="B34" s="21"/>
      <c r="C34" s="175" t="s">
        <v>192</v>
      </c>
      <c r="D34" s="179"/>
      <c r="E34" s="179"/>
      <c r="F34" s="179"/>
      <c r="G34" s="76" t="s">
        <v>14</v>
      </c>
      <c r="H34" s="77" t="s">
        <v>14</v>
      </c>
      <c r="I34" s="18">
        <v>4</v>
      </c>
      <c r="J34" s="62"/>
      <c r="K34" s="62"/>
      <c r="L34" s="63"/>
      <c r="M34" s="9"/>
      <c r="N34" s="9"/>
    </row>
    <row r="35" spans="1:14" ht="16.2">
      <c r="A35" s="21"/>
      <c r="B35" s="21"/>
      <c r="C35" s="175" t="s">
        <v>207</v>
      </c>
      <c r="D35" s="179"/>
      <c r="E35" s="179"/>
      <c r="F35" s="179"/>
      <c r="G35" s="76" t="s">
        <v>14</v>
      </c>
      <c r="H35" s="77" t="s">
        <v>14</v>
      </c>
      <c r="I35" s="18">
        <v>1</v>
      </c>
      <c r="J35" s="62"/>
      <c r="K35" s="62"/>
      <c r="L35" s="63"/>
      <c r="M35" s="9"/>
      <c r="N35" s="9"/>
    </row>
    <row r="36" spans="1:14" ht="16.2">
      <c r="A36" s="21"/>
      <c r="B36" s="21"/>
      <c r="C36" s="198" t="s">
        <v>6</v>
      </c>
      <c r="D36" s="199"/>
      <c r="E36" s="199"/>
      <c r="F36" s="199"/>
      <c r="G36" s="76" t="s">
        <v>14</v>
      </c>
      <c r="H36" s="77" t="s">
        <v>14</v>
      </c>
      <c r="I36" s="67">
        <v>284</v>
      </c>
      <c r="J36" s="62"/>
      <c r="K36" s="62"/>
      <c r="L36" s="63"/>
      <c r="M36" s="9"/>
      <c r="N36" s="9"/>
    </row>
    <row r="37" spans="1:14" ht="16.2">
      <c r="A37" s="21"/>
      <c r="B37" s="21"/>
      <c r="C37" s="198" t="s">
        <v>20</v>
      </c>
      <c r="D37" s="199"/>
      <c r="E37" s="199"/>
      <c r="F37" s="199"/>
      <c r="G37" s="76" t="s">
        <v>21</v>
      </c>
      <c r="H37" s="77" t="s">
        <v>21</v>
      </c>
      <c r="I37" s="72">
        <v>750</v>
      </c>
      <c r="J37" s="62">
        <f>I36*3</f>
        <v>852</v>
      </c>
      <c r="K37" s="62"/>
      <c r="L37" s="63"/>
      <c r="M37" s="9"/>
      <c r="N37" s="9"/>
    </row>
    <row r="38" spans="1:14" ht="15.6" customHeight="1">
      <c r="A38" s="21"/>
      <c r="B38" s="21"/>
      <c r="C38" s="184" t="s">
        <v>22</v>
      </c>
      <c r="D38" s="185"/>
      <c r="E38" s="185"/>
      <c r="F38" s="185"/>
      <c r="G38" s="82" t="s">
        <v>11</v>
      </c>
      <c r="H38" s="83" t="s">
        <v>11</v>
      </c>
      <c r="I38" s="18">
        <v>845</v>
      </c>
      <c r="J38" s="62"/>
      <c r="K38" s="62"/>
      <c r="L38" s="63"/>
      <c r="M38" s="9"/>
      <c r="N38" s="9"/>
    </row>
    <row r="39" spans="1:14" ht="15.6" customHeight="1">
      <c r="A39" s="21"/>
      <c r="B39" s="21"/>
      <c r="C39" s="184" t="s">
        <v>9</v>
      </c>
      <c r="D39" s="185"/>
      <c r="E39" s="185"/>
      <c r="F39" s="185"/>
      <c r="G39" s="82" t="s">
        <v>11</v>
      </c>
      <c r="H39" s="83" t="s">
        <v>11</v>
      </c>
      <c r="I39" s="18">
        <v>960</v>
      </c>
      <c r="J39" s="62"/>
      <c r="K39" s="62"/>
      <c r="L39" s="63"/>
      <c r="M39" s="9"/>
      <c r="N39" s="9"/>
    </row>
    <row r="40" spans="1:14" ht="15.6" customHeight="1">
      <c r="A40" s="21"/>
      <c r="B40" s="21"/>
      <c r="C40" s="184" t="s">
        <v>10</v>
      </c>
      <c r="D40" s="185"/>
      <c r="E40" s="185"/>
      <c r="F40" s="185"/>
      <c r="G40" s="82" t="s">
        <v>11</v>
      </c>
      <c r="H40" s="83" t="s">
        <v>11</v>
      </c>
      <c r="I40" s="18">
        <v>4300</v>
      </c>
      <c r="J40" s="62"/>
      <c r="K40" s="62"/>
      <c r="L40" s="63"/>
      <c r="M40" s="9"/>
      <c r="N40" s="9"/>
    </row>
    <row r="41" spans="1:14" ht="15.6" customHeight="1">
      <c r="A41" s="21"/>
      <c r="B41" s="21"/>
      <c r="C41" s="182" t="s">
        <v>13</v>
      </c>
      <c r="D41" s="183"/>
      <c r="E41" s="183"/>
      <c r="F41" s="183"/>
      <c r="G41" s="84" t="s">
        <v>14</v>
      </c>
      <c r="H41" s="85" t="s">
        <v>14</v>
      </c>
      <c r="I41" s="18"/>
      <c r="J41" s="62"/>
      <c r="K41" s="62"/>
      <c r="L41" s="63"/>
      <c r="M41" s="9"/>
      <c r="N41" s="9"/>
    </row>
    <row r="42" spans="1:14" ht="15.6" customHeight="1">
      <c r="A42" s="21"/>
      <c r="B42" s="21"/>
      <c r="C42" s="186" t="s">
        <v>23</v>
      </c>
      <c r="D42" s="187"/>
      <c r="E42" s="187"/>
      <c r="F42" s="187"/>
      <c r="G42" s="76"/>
      <c r="H42" s="77"/>
      <c r="I42" s="18"/>
      <c r="J42" s="62"/>
      <c r="K42" s="62"/>
      <c r="L42" s="63"/>
      <c r="M42" s="9"/>
      <c r="N42" s="9"/>
    </row>
    <row r="43" spans="1:14" ht="15.6" customHeight="1">
      <c r="A43" s="21"/>
      <c r="B43" s="21"/>
      <c r="C43" s="129" t="s">
        <v>208</v>
      </c>
      <c r="D43" s="130"/>
      <c r="E43" s="130"/>
      <c r="F43" s="86" t="s">
        <v>26</v>
      </c>
      <c r="G43" s="84" t="s">
        <v>14</v>
      </c>
      <c r="H43" s="85" t="s">
        <v>14</v>
      </c>
      <c r="I43" s="18">
        <v>142</v>
      </c>
      <c r="J43" s="62"/>
      <c r="K43" s="62"/>
      <c r="L43" s="63"/>
      <c r="M43" s="9"/>
      <c r="N43" s="9"/>
    </row>
    <row r="44" spans="1:14" ht="15.6" customHeight="1">
      <c r="A44" s="21"/>
      <c r="B44" s="21"/>
      <c r="C44" s="129" t="s">
        <v>260</v>
      </c>
      <c r="D44" s="130"/>
      <c r="E44" s="130"/>
      <c r="F44" s="86" t="s">
        <v>101</v>
      </c>
      <c r="G44" s="84" t="s">
        <v>14</v>
      </c>
      <c r="H44" s="85" t="s">
        <v>14</v>
      </c>
      <c r="I44" s="18">
        <f>24+24</f>
        <v>48</v>
      </c>
      <c r="J44" s="62"/>
      <c r="K44" s="62"/>
      <c r="L44" s="63"/>
      <c r="M44" s="9"/>
      <c r="N44" s="9"/>
    </row>
    <row r="45" spans="1:14" ht="15.6" customHeight="1">
      <c r="A45" s="21"/>
      <c r="B45" s="21"/>
      <c r="C45" s="129" t="s">
        <v>209</v>
      </c>
      <c r="D45" s="130"/>
      <c r="E45" s="130"/>
      <c r="F45" s="86" t="s">
        <v>27</v>
      </c>
      <c r="G45" s="84" t="s">
        <v>14</v>
      </c>
      <c r="H45" s="85" t="s">
        <v>14</v>
      </c>
      <c r="I45" s="18">
        <v>1</v>
      </c>
      <c r="J45" s="62"/>
      <c r="K45" s="62"/>
      <c r="L45" s="63"/>
      <c r="M45" s="9"/>
      <c r="N45" s="9"/>
    </row>
    <row r="46" spans="1:14" ht="15.6" customHeight="1">
      <c r="A46" s="21"/>
      <c r="B46" s="21"/>
      <c r="C46" s="182" t="s">
        <v>24</v>
      </c>
      <c r="D46" s="183"/>
      <c r="E46" s="183"/>
      <c r="F46" s="183"/>
      <c r="G46" s="76"/>
      <c r="H46" s="77"/>
      <c r="I46" s="18"/>
      <c r="J46" s="62"/>
      <c r="K46" s="62"/>
      <c r="L46" s="63"/>
      <c r="M46" s="9"/>
      <c r="N46" s="9"/>
    </row>
    <row r="47" spans="1:14" ht="15.6" customHeight="1">
      <c r="A47" s="21"/>
      <c r="B47" s="21"/>
      <c r="C47" s="129" t="s">
        <v>210</v>
      </c>
      <c r="D47" s="130"/>
      <c r="E47" s="130"/>
      <c r="F47" s="86" t="s">
        <v>2</v>
      </c>
      <c r="G47" s="84" t="s">
        <v>14</v>
      </c>
      <c r="H47" s="85" t="s">
        <v>14</v>
      </c>
      <c r="I47" s="18">
        <f>196+10</f>
        <v>206</v>
      </c>
      <c r="J47" s="62"/>
      <c r="K47" s="62"/>
      <c r="L47" s="63"/>
      <c r="M47" s="9"/>
      <c r="N47" s="9"/>
    </row>
    <row r="48" spans="1:14" ht="15.6" customHeight="1">
      <c r="A48" s="21"/>
      <c r="B48" s="21"/>
      <c r="C48" s="129" t="s">
        <v>209</v>
      </c>
      <c r="D48" s="130"/>
      <c r="E48" s="130"/>
      <c r="F48" s="86" t="s">
        <v>3</v>
      </c>
      <c r="G48" s="84" t="s">
        <v>14</v>
      </c>
      <c r="H48" s="85" t="s">
        <v>14</v>
      </c>
      <c r="I48" s="18">
        <v>10</v>
      </c>
      <c r="J48" s="62"/>
      <c r="K48" s="62"/>
      <c r="L48" s="63"/>
      <c r="M48" s="9"/>
      <c r="N48" s="9"/>
    </row>
    <row r="49" spans="1:14" ht="15.6" customHeight="1">
      <c r="A49" s="21"/>
      <c r="B49" s="21"/>
      <c r="C49" s="129" t="s">
        <v>17</v>
      </c>
      <c r="D49" s="130"/>
      <c r="E49" s="130"/>
      <c r="F49" s="130"/>
      <c r="G49" s="84" t="s">
        <v>14</v>
      </c>
      <c r="H49" s="85" t="s">
        <v>14</v>
      </c>
      <c r="I49" s="18">
        <v>864</v>
      </c>
      <c r="J49" s="62"/>
      <c r="K49" s="62"/>
      <c r="L49" s="63"/>
      <c r="M49" s="9"/>
      <c r="N49" s="9"/>
    </row>
    <row r="50" spans="1:14" ht="15.6" customHeight="1">
      <c r="A50" s="21"/>
      <c r="B50" s="21"/>
      <c r="C50" s="129" t="s">
        <v>212</v>
      </c>
      <c r="D50" s="130"/>
      <c r="E50" s="130"/>
      <c r="F50" s="130"/>
      <c r="G50" s="84" t="s">
        <v>14</v>
      </c>
      <c r="H50" s="85" t="s">
        <v>14</v>
      </c>
      <c r="I50" s="67"/>
      <c r="J50" s="62"/>
      <c r="K50" s="62"/>
      <c r="L50" s="63"/>
      <c r="M50" s="9"/>
      <c r="N50" s="9"/>
    </row>
    <row r="51" spans="1:14" ht="15.6" customHeight="1">
      <c r="A51" s="21"/>
      <c r="B51" s="21"/>
      <c r="C51" s="184" t="s">
        <v>211</v>
      </c>
      <c r="D51" s="185"/>
      <c r="E51" s="185"/>
      <c r="F51" s="185"/>
      <c r="G51" s="82" t="s">
        <v>11</v>
      </c>
      <c r="H51" s="83" t="s">
        <v>11</v>
      </c>
      <c r="I51" s="67">
        <v>720</v>
      </c>
      <c r="J51" s="62"/>
      <c r="K51" s="62"/>
      <c r="L51" s="63"/>
      <c r="M51" s="9"/>
      <c r="N51" s="9"/>
    </row>
    <row r="52" spans="1:14" ht="15.6" customHeight="1">
      <c r="A52" s="21"/>
      <c r="B52" s="21"/>
      <c r="C52" s="129" t="s">
        <v>164</v>
      </c>
      <c r="D52" s="130"/>
      <c r="E52" s="130"/>
      <c r="F52" s="130"/>
      <c r="G52" s="82" t="s">
        <v>14</v>
      </c>
      <c r="H52" s="83" t="s">
        <v>14</v>
      </c>
      <c r="I52" s="18">
        <v>9</v>
      </c>
      <c r="J52" s="62"/>
      <c r="K52" s="62"/>
      <c r="L52" s="63"/>
      <c r="M52" s="9"/>
      <c r="N52" s="9"/>
    </row>
    <row r="53" spans="1:14" ht="15.6" customHeight="1">
      <c r="A53" s="21"/>
      <c r="B53" s="21"/>
      <c r="C53" s="129" t="s">
        <v>165</v>
      </c>
      <c r="D53" s="130"/>
      <c r="E53" s="130"/>
      <c r="F53" s="130"/>
      <c r="G53" s="82" t="s">
        <v>14</v>
      </c>
      <c r="H53" s="83" t="s">
        <v>14</v>
      </c>
      <c r="I53" s="18">
        <v>8</v>
      </c>
      <c r="J53" s="62"/>
      <c r="K53" s="62"/>
      <c r="L53" s="63"/>
      <c r="M53" s="9"/>
      <c r="N53" s="9"/>
    </row>
    <row r="54" spans="1:14" ht="15.6" customHeight="1">
      <c r="A54" s="21"/>
      <c r="B54" s="21"/>
      <c r="C54" s="129" t="s">
        <v>166</v>
      </c>
      <c r="D54" s="130"/>
      <c r="E54" s="130"/>
      <c r="F54" s="130"/>
      <c r="G54" s="82" t="s">
        <v>14</v>
      </c>
      <c r="H54" s="83" t="s">
        <v>14</v>
      </c>
      <c r="I54" s="18">
        <v>9</v>
      </c>
      <c r="J54" s="62"/>
      <c r="K54" s="62"/>
      <c r="L54" s="63"/>
      <c r="M54" s="9"/>
      <c r="N54" s="9"/>
    </row>
    <row r="55" spans="1:14" ht="15.6" customHeight="1">
      <c r="A55" s="21"/>
      <c r="B55" s="21"/>
      <c r="C55" s="129" t="s">
        <v>161</v>
      </c>
      <c r="D55" s="130"/>
      <c r="E55" s="130"/>
      <c r="F55" s="130"/>
      <c r="G55" s="82" t="s">
        <v>14</v>
      </c>
      <c r="H55" s="83" t="s">
        <v>14</v>
      </c>
      <c r="I55" s="18">
        <v>6</v>
      </c>
      <c r="J55" s="62"/>
      <c r="K55" s="62"/>
      <c r="L55" s="63"/>
      <c r="M55" s="9"/>
      <c r="N55" s="9"/>
    </row>
    <row r="56" spans="1:14" ht="15.6" customHeight="1">
      <c r="A56" s="21"/>
      <c r="B56" s="21"/>
      <c r="C56" s="129" t="s">
        <v>160</v>
      </c>
      <c r="D56" s="130"/>
      <c r="E56" s="130"/>
      <c r="F56" s="130"/>
      <c r="G56" s="82" t="s">
        <v>14</v>
      </c>
      <c r="H56" s="83" t="s">
        <v>14</v>
      </c>
      <c r="I56" s="18">
        <v>6</v>
      </c>
      <c r="J56" s="62"/>
      <c r="K56" s="62"/>
      <c r="L56" s="63"/>
      <c r="M56" s="9"/>
      <c r="N56" s="9"/>
    </row>
    <row r="57" spans="1:14" ht="15.6" customHeight="1">
      <c r="A57" s="21"/>
      <c r="B57" s="21"/>
      <c r="C57" s="129" t="s">
        <v>162</v>
      </c>
      <c r="D57" s="130"/>
      <c r="E57" s="130"/>
      <c r="F57" s="130"/>
      <c r="G57" s="82" t="s">
        <v>14</v>
      </c>
      <c r="H57" s="83" t="s">
        <v>14</v>
      </c>
      <c r="I57" s="18">
        <v>8</v>
      </c>
      <c r="J57" s="62"/>
      <c r="K57" s="62"/>
      <c r="L57" s="63"/>
      <c r="M57" s="9"/>
      <c r="N57" s="9"/>
    </row>
    <row r="58" spans="1:14" ht="15.6" customHeight="1">
      <c r="A58" s="21"/>
      <c r="B58" s="21"/>
      <c r="C58" s="129" t="s">
        <v>163</v>
      </c>
      <c r="D58" s="130"/>
      <c r="E58" s="130"/>
      <c r="F58" s="130"/>
      <c r="G58" s="82" t="s">
        <v>14</v>
      </c>
      <c r="H58" s="83" t="s">
        <v>14</v>
      </c>
      <c r="I58" s="18">
        <v>5</v>
      </c>
      <c r="J58" s="62"/>
      <c r="K58" s="62"/>
      <c r="L58" s="63"/>
      <c r="M58" s="9"/>
      <c r="N58" s="9"/>
    </row>
    <row r="59" spans="1:14" ht="15.6" customHeight="1">
      <c r="A59" s="21"/>
      <c r="B59" s="21"/>
      <c r="C59" s="129" t="s">
        <v>154</v>
      </c>
      <c r="D59" s="130"/>
      <c r="E59" s="130"/>
      <c r="F59" s="130"/>
      <c r="G59" s="82" t="s">
        <v>14</v>
      </c>
      <c r="H59" s="83" t="s">
        <v>14</v>
      </c>
      <c r="I59" s="18">
        <v>24</v>
      </c>
      <c r="J59" s="62"/>
      <c r="K59" s="62"/>
      <c r="L59" s="63"/>
      <c r="M59" s="9"/>
      <c r="N59" s="9"/>
    </row>
    <row r="60" spans="1:14" ht="15.6" customHeight="1">
      <c r="A60" s="21"/>
      <c r="B60" s="21"/>
      <c r="C60" s="129" t="s">
        <v>278</v>
      </c>
      <c r="D60" s="130"/>
      <c r="E60" s="130"/>
      <c r="F60" s="130"/>
      <c r="G60" s="82" t="s">
        <v>14</v>
      </c>
      <c r="H60" s="83" t="s">
        <v>14</v>
      </c>
      <c r="I60" s="18">
        <v>24</v>
      </c>
      <c r="J60" s="62"/>
      <c r="K60" s="62"/>
      <c r="L60" s="63"/>
      <c r="M60" s="9"/>
      <c r="N60" s="9"/>
    </row>
    <row r="61" spans="1:14" ht="15.6" customHeight="1">
      <c r="A61" s="21"/>
      <c r="B61" s="21"/>
      <c r="C61" s="129" t="s">
        <v>155</v>
      </c>
      <c r="D61" s="130"/>
      <c r="E61" s="130"/>
      <c r="F61" s="130"/>
      <c r="G61" s="82" t="s">
        <v>14</v>
      </c>
      <c r="H61" s="83" t="s">
        <v>14</v>
      </c>
      <c r="I61" s="18">
        <v>24</v>
      </c>
      <c r="J61" s="62"/>
      <c r="K61" s="62"/>
      <c r="L61" s="63"/>
      <c r="M61" s="9"/>
      <c r="N61" s="9"/>
    </row>
    <row r="62" spans="1:14" ht="15.6" customHeight="1">
      <c r="A62" s="21"/>
      <c r="B62" s="21"/>
      <c r="C62" s="129" t="s">
        <v>156</v>
      </c>
      <c r="D62" s="130"/>
      <c r="E62" s="130"/>
      <c r="F62" s="130"/>
      <c r="G62" s="82" t="s">
        <v>14</v>
      </c>
      <c r="H62" s="83" t="s">
        <v>14</v>
      </c>
      <c r="I62" s="18">
        <v>196</v>
      </c>
      <c r="J62" s="62"/>
      <c r="K62" s="62"/>
      <c r="L62" s="63"/>
      <c r="M62" s="9"/>
      <c r="N62" s="9"/>
    </row>
    <row r="63" spans="1:14" ht="15.6" customHeight="1">
      <c r="A63" s="21"/>
      <c r="B63" s="21"/>
      <c r="C63" s="194" t="s">
        <v>204</v>
      </c>
      <c r="D63" s="195"/>
      <c r="E63" s="195"/>
      <c r="F63" s="195"/>
      <c r="G63" s="82" t="s">
        <v>14</v>
      </c>
      <c r="H63" s="83" t="s">
        <v>14</v>
      </c>
      <c r="I63" s="77">
        <v>4</v>
      </c>
      <c r="J63" s="62"/>
      <c r="K63" s="62"/>
      <c r="L63" s="63"/>
      <c r="M63" s="9"/>
      <c r="N63" s="9"/>
    </row>
    <row r="64" spans="1:14" ht="32.4" customHeight="1">
      <c r="A64" s="21"/>
      <c r="B64" s="21"/>
      <c r="C64" s="174" t="s">
        <v>255</v>
      </c>
      <c r="D64" s="174"/>
      <c r="E64" s="174"/>
      <c r="F64" s="175"/>
      <c r="G64" s="76"/>
      <c r="H64" s="77" t="s">
        <v>254</v>
      </c>
      <c r="I64" s="72">
        <v>800</v>
      </c>
      <c r="J64" s="62"/>
      <c r="K64" s="62"/>
      <c r="L64" s="63"/>
      <c r="M64" s="9"/>
      <c r="N64" s="9"/>
    </row>
    <row r="65" spans="1:14" ht="16.2" customHeight="1">
      <c r="A65" s="21"/>
      <c r="B65" s="21"/>
      <c r="C65" s="174" t="s">
        <v>256</v>
      </c>
      <c r="D65" s="174"/>
      <c r="E65" s="174"/>
      <c r="F65" s="175"/>
      <c r="G65" s="76"/>
      <c r="H65" s="77" t="s">
        <v>254</v>
      </c>
      <c r="I65" s="72">
        <v>800</v>
      </c>
      <c r="J65" s="62"/>
      <c r="K65" s="62"/>
      <c r="L65" s="63"/>
      <c r="M65" s="9"/>
      <c r="N65" s="9"/>
    </row>
    <row r="66" spans="1:14">
      <c r="A66" s="21"/>
      <c r="B66" s="21"/>
      <c r="C66" s="196" t="s">
        <v>39</v>
      </c>
      <c r="D66" s="197"/>
      <c r="E66" s="197"/>
      <c r="F66" s="197"/>
      <c r="G66" s="197"/>
      <c r="H66" s="197"/>
      <c r="I66" s="197"/>
      <c r="J66" s="62"/>
      <c r="K66" s="62"/>
      <c r="L66" s="63"/>
      <c r="M66" s="9"/>
      <c r="N66" s="9"/>
    </row>
    <row r="67" spans="1:14" ht="16.2">
      <c r="A67" s="126" t="s">
        <v>40</v>
      </c>
      <c r="B67" s="127"/>
      <c r="C67" s="127"/>
      <c r="D67" s="127"/>
      <c r="E67" s="127"/>
      <c r="F67" s="127"/>
      <c r="G67" s="127"/>
      <c r="H67" s="127"/>
      <c r="I67" s="128"/>
      <c r="J67" s="62"/>
      <c r="K67" s="62"/>
      <c r="L67" s="63"/>
      <c r="M67" s="9"/>
      <c r="N67" s="9"/>
    </row>
    <row r="68" spans="1:14" ht="16.95" customHeight="1">
      <c r="A68" s="58" t="s">
        <v>125</v>
      </c>
      <c r="B68" s="21"/>
      <c r="C68" s="136" t="s">
        <v>126</v>
      </c>
      <c r="D68" s="137"/>
      <c r="E68" s="137"/>
      <c r="F68" s="137"/>
      <c r="G68" s="137"/>
      <c r="H68" s="34"/>
      <c r="I68" s="75"/>
      <c r="J68" s="62"/>
      <c r="K68" s="62"/>
      <c r="L68" s="63"/>
      <c r="M68" s="9"/>
      <c r="N68" s="9"/>
    </row>
    <row r="69" spans="1:14" ht="31.5" customHeight="1">
      <c r="A69" s="21"/>
      <c r="B69" s="21"/>
      <c r="C69" s="166" t="s">
        <v>262</v>
      </c>
      <c r="D69" s="166"/>
      <c r="E69" s="166"/>
      <c r="F69" s="166"/>
      <c r="G69" s="166"/>
      <c r="H69" s="166"/>
      <c r="I69" s="167"/>
      <c r="J69" s="62"/>
      <c r="K69" s="62"/>
      <c r="L69" s="63"/>
      <c r="M69" s="9"/>
      <c r="N69" s="9"/>
    </row>
    <row r="70" spans="1:14" ht="16.95" customHeight="1">
      <c r="A70" s="21"/>
      <c r="B70" s="21" t="s">
        <v>119</v>
      </c>
      <c r="C70" s="146" t="s">
        <v>280</v>
      </c>
      <c r="D70" s="147"/>
      <c r="E70" s="147"/>
      <c r="F70" s="147"/>
      <c r="G70" s="147"/>
      <c r="H70" s="148"/>
      <c r="I70" s="78">
        <f>I14*J70*M70/K70</f>
        <v>348</v>
      </c>
      <c r="J70" s="62">
        <v>0.25</v>
      </c>
      <c r="K70" s="62">
        <v>100</v>
      </c>
      <c r="L70" s="63"/>
      <c r="M70" s="65">
        <v>96</v>
      </c>
      <c r="N70" s="9" t="s">
        <v>369</v>
      </c>
    </row>
    <row r="71" spans="1:14" ht="16.95" customHeight="1">
      <c r="A71" s="21"/>
      <c r="B71" s="21" t="s">
        <v>120</v>
      </c>
      <c r="C71" s="146" t="s">
        <v>281</v>
      </c>
      <c r="D71" s="147"/>
      <c r="E71" s="147"/>
      <c r="F71" s="147" t="s">
        <v>74</v>
      </c>
      <c r="G71" s="147"/>
      <c r="H71" s="148"/>
      <c r="I71" s="78">
        <f>I15*J71*M71/K71</f>
        <v>0</v>
      </c>
      <c r="J71" s="62">
        <v>0.33</v>
      </c>
      <c r="K71" s="62">
        <v>100</v>
      </c>
      <c r="L71" s="63"/>
      <c r="M71" s="65">
        <v>96</v>
      </c>
      <c r="N71" s="9"/>
    </row>
    <row r="72" spans="1:14" ht="16.95" customHeight="1">
      <c r="A72" s="21"/>
      <c r="B72" s="21" t="s">
        <v>121</v>
      </c>
      <c r="C72" s="146" t="s">
        <v>122</v>
      </c>
      <c r="D72" s="147"/>
      <c r="E72" s="147"/>
      <c r="F72" s="147" t="s">
        <v>74</v>
      </c>
      <c r="G72" s="147"/>
      <c r="H72" s="148"/>
      <c r="I72" s="78">
        <f>I16*J72*M72/K72</f>
        <v>364.41600000000005</v>
      </c>
      <c r="J72" s="62">
        <v>0.13</v>
      </c>
      <c r="K72" s="62">
        <v>100</v>
      </c>
      <c r="L72" s="63"/>
      <c r="M72" s="65">
        <v>96</v>
      </c>
      <c r="N72" s="9"/>
    </row>
    <row r="73" spans="1:14" ht="16.95" customHeight="1">
      <c r="A73" s="21"/>
      <c r="B73" s="21" t="s">
        <v>123</v>
      </c>
      <c r="C73" s="146" t="s">
        <v>275</v>
      </c>
      <c r="D73" s="147"/>
      <c r="E73" s="147"/>
      <c r="F73" s="147" t="s">
        <v>74</v>
      </c>
      <c r="G73" s="147"/>
      <c r="H73" s="148"/>
      <c r="I73" s="78">
        <f>J73*0.36*M73</f>
        <v>13.1328</v>
      </c>
      <c r="J73" s="81">
        <v>0.38</v>
      </c>
      <c r="K73" s="81">
        <v>2</v>
      </c>
      <c r="L73" s="63"/>
      <c r="M73" s="65">
        <v>96</v>
      </c>
      <c r="N73" s="9"/>
    </row>
    <row r="74" spans="1:14" ht="16.95" customHeight="1">
      <c r="A74" s="21"/>
      <c r="B74" s="21"/>
      <c r="C74" s="146" t="s">
        <v>338</v>
      </c>
      <c r="D74" s="147"/>
      <c r="E74" s="147"/>
      <c r="F74" s="147" t="s">
        <v>70</v>
      </c>
      <c r="G74" s="147"/>
      <c r="H74" s="148"/>
      <c r="I74" s="78">
        <f>I70+I71+I72+I73</f>
        <v>725.54880000000003</v>
      </c>
      <c r="J74" s="62">
        <v>2003</v>
      </c>
      <c r="K74" s="62"/>
      <c r="L74" s="63"/>
      <c r="M74" s="65" t="s">
        <v>257</v>
      </c>
      <c r="N74" s="9"/>
    </row>
    <row r="75" spans="1:14" ht="16.95" customHeight="1">
      <c r="A75" s="21"/>
      <c r="B75" s="21"/>
      <c r="C75" s="146" t="s">
        <v>272</v>
      </c>
      <c r="D75" s="147"/>
      <c r="E75" s="147"/>
      <c r="F75" s="147" t="s">
        <v>42</v>
      </c>
      <c r="G75" s="147"/>
      <c r="H75" s="148"/>
      <c r="I75" s="87">
        <f>I74/J74</f>
        <v>0.36223105341987022</v>
      </c>
      <c r="J75" s="81"/>
      <c r="K75" s="81"/>
      <c r="L75" s="63"/>
      <c r="M75" s="9"/>
      <c r="N75" s="9"/>
    </row>
    <row r="76" spans="1:14" ht="18.600000000000001" customHeight="1">
      <c r="A76" s="21"/>
      <c r="B76" s="21"/>
      <c r="C76" s="146" t="s">
        <v>75</v>
      </c>
      <c r="D76" s="147"/>
      <c r="E76" s="147"/>
      <c r="F76" s="147" t="s">
        <v>18</v>
      </c>
      <c r="G76" s="147"/>
      <c r="H76" s="148"/>
      <c r="I76" s="78">
        <f>I75*J76*K76*L76</f>
        <v>756.33843954068891</v>
      </c>
      <c r="J76" s="81">
        <v>1450</v>
      </c>
      <c r="K76" s="81">
        <v>1.2</v>
      </c>
      <c r="L76" s="63">
        <v>1.2</v>
      </c>
      <c r="M76" s="9"/>
      <c r="N76" s="9"/>
    </row>
    <row r="77" spans="1:14" ht="15" customHeight="1">
      <c r="A77" s="21"/>
      <c r="B77" s="21"/>
      <c r="C77" s="146" t="s">
        <v>269</v>
      </c>
      <c r="D77" s="147"/>
      <c r="E77" s="147"/>
      <c r="F77" s="147" t="s">
        <v>18</v>
      </c>
      <c r="G77" s="147"/>
      <c r="H77" s="148"/>
      <c r="I77" s="78">
        <f>I76*0.22</f>
        <v>166.39445669895156</v>
      </c>
      <c r="J77" s="81"/>
      <c r="K77" s="81"/>
      <c r="L77" s="63"/>
      <c r="M77" s="9"/>
      <c r="N77" s="9"/>
    </row>
    <row r="78" spans="1:14" s="71" customFormat="1" ht="15" customHeight="1">
      <c r="A78" s="47"/>
      <c r="B78" s="47"/>
      <c r="C78" s="138" t="s">
        <v>357</v>
      </c>
      <c r="D78" s="139"/>
      <c r="E78" s="139"/>
      <c r="F78" s="139" t="s">
        <v>18</v>
      </c>
      <c r="G78" s="139"/>
      <c r="H78" s="140"/>
      <c r="I78" s="72">
        <f>I76*J78</f>
        <v>257.15506944383424</v>
      </c>
      <c r="J78" s="51">
        <v>0.34</v>
      </c>
      <c r="K78" s="81"/>
      <c r="L78" s="88"/>
      <c r="M78" s="49"/>
      <c r="N78" s="49"/>
    </row>
    <row r="79" spans="1:14" s="71" customFormat="1" ht="16.95" customHeight="1">
      <c r="A79" s="47"/>
      <c r="B79" s="47"/>
      <c r="C79" s="150" t="s">
        <v>339</v>
      </c>
      <c r="D79" s="151"/>
      <c r="E79" s="131" t="s">
        <v>340</v>
      </c>
      <c r="F79" s="149"/>
      <c r="G79" s="149"/>
      <c r="H79" s="132"/>
      <c r="I79" s="72">
        <f>I75*J79</f>
        <v>77.126235894158768</v>
      </c>
      <c r="J79" s="81">
        <v>212.92</v>
      </c>
      <c r="K79" s="81"/>
      <c r="L79" s="88"/>
      <c r="M79" s="49"/>
      <c r="N79" s="49"/>
    </row>
    <row r="80" spans="1:14" s="71" customFormat="1" ht="15" customHeight="1">
      <c r="A80" s="47"/>
      <c r="B80" s="47"/>
      <c r="C80" s="150" t="s">
        <v>282</v>
      </c>
      <c r="D80" s="205"/>
      <c r="E80" s="205"/>
      <c r="F80" s="205"/>
      <c r="G80" s="205"/>
      <c r="H80" s="151"/>
      <c r="I80" s="72">
        <f>SUM(I76:I79)</f>
        <v>1257.0142015776335</v>
      </c>
      <c r="J80" s="81"/>
      <c r="K80" s="81"/>
      <c r="L80" s="88"/>
      <c r="M80" s="49"/>
      <c r="N80" s="49"/>
    </row>
    <row r="81" spans="1:14" s="71" customFormat="1" ht="16.2" customHeight="1">
      <c r="A81" s="47"/>
      <c r="B81" s="47"/>
      <c r="C81" s="150" t="s">
        <v>358</v>
      </c>
      <c r="D81" s="205"/>
      <c r="E81" s="205"/>
      <c r="F81" s="205"/>
      <c r="G81" s="205"/>
      <c r="H81" s="151"/>
      <c r="I81" s="72">
        <f>I80*J81</f>
        <v>251.4028403155267</v>
      </c>
      <c r="J81" s="51">
        <v>0.2</v>
      </c>
      <c r="K81" s="81"/>
      <c r="L81" s="88"/>
      <c r="M81" s="49"/>
      <c r="N81" s="49"/>
    </row>
    <row r="82" spans="1:14" s="71" customFormat="1" ht="15" customHeight="1">
      <c r="A82" s="47"/>
      <c r="B82" s="47"/>
      <c r="C82" s="150" t="s">
        <v>45</v>
      </c>
      <c r="D82" s="205"/>
      <c r="E82" s="205"/>
      <c r="F82" s="205"/>
      <c r="G82" s="205"/>
      <c r="H82" s="151"/>
      <c r="I82" s="72">
        <f>I80+I81</f>
        <v>1508.4170418931601</v>
      </c>
      <c r="J82" s="81"/>
      <c r="K82" s="81"/>
      <c r="L82" s="88"/>
      <c r="M82" s="49"/>
      <c r="N82" s="49"/>
    </row>
    <row r="83" spans="1:14" s="71" customFormat="1" ht="15" customHeight="1">
      <c r="A83" s="47"/>
      <c r="B83" s="47"/>
      <c r="C83" s="152" t="s">
        <v>46</v>
      </c>
      <c r="D83" s="153"/>
      <c r="E83" s="154"/>
      <c r="F83" s="131" t="s">
        <v>18</v>
      </c>
      <c r="G83" s="132"/>
      <c r="H83" s="90">
        <v>0.05</v>
      </c>
      <c r="I83" s="72">
        <f>I82*J83</f>
        <v>75.420852094658002</v>
      </c>
      <c r="J83" s="91">
        <v>0.05</v>
      </c>
      <c r="K83" s="81"/>
      <c r="L83" s="88"/>
      <c r="M83" s="49"/>
      <c r="N83" s="49"/>
    </row>
    <row r="84" spans="1:14" ht="15" customHeight="1">
      <c r="A84" s="21"/>
      <c r="B84" s="21"/>
      <c r="C84" s="133" t="s">
        <v>47</v>
      </c>
      <c r="D84" s="134"/>
      <c r="E84" s="134"/>
      <c r="F84" s="134" t="s">
        <v>18</v>
      </c>
      <c r="G84" s="134"/>
      <c r="H84" s="135"/>
      <c r="I84" s="78">
        <f>I82+I83</f>
        <v>1583.837893987818</v>
      </c>
      <c r="J84" s="81"/>
      <c r="K84" s="81"/>
      <c r="L84" s="63"/>
      <c r="M84" s="9"/>
      <c r="N84" s="9"/>
    </row>
    <row r="85" spans="1:14" ht="15" customHeight="1">
      <c r="A85" s="21"/>
      <c r="B85" s="21"/>
      <c r="C85" s="143" t="s">
        <v>48</v>
      </c>
      <c r="D85" s="144"/>
      <c r="E85" s="145"/>
      <c r="F85" s="141" t="s">
        <v>18</v>
      </c>
      <c r="G85" s="142"/>
      <c r="H85" s="92">
        <v>0.05</v>
      </c>
      <c r="I85" s="78">
        <f>I84*J85/K85</f>
        <v>83.359889157253576</v>
      </c>
      <c r="J85" s="80">
        <v>0.05</v>
      </c>
      <c r="K85" s="80">
        <v>0.95</v>
      </c>
      <c r="L85" s="63"/>
      <c r="M85" s="9"/>
      <c r="N85" s="9"/>
    </row>
    <row r="86" spans="1:14" ht="15" customHeight="1">
      <c r="A86" s="21"/>
      <c r="B86" s="21"/>
      <c r="C86" s="133" t="s">
        <v>49</v>
      </c>
      <c r="D86" s="134"/>
      <c r="E86" s="134"/>
      <c r="F86" s="134" t="s">
        <v>18</v>
      </c>
      <c r="G86" s="134"/>
      <c r="H86" s="135"/>
      <c r="I86" s="78">
        <f>I84+I85</f>
        <v>1667.1977831450715</v>
      </c>
      <c r="J86" s="81"/>
      <c r="K86" s="81"/>
      <c r="L86" s="63"/>
      <c r="M86" s="9"/>
      <c r="N86" s="9"/>
    </row>
    <row r="87" spans="1:14" ht="15" customHeight="1">
      <c r="A87" s="21"/>
      <c r="B87" s="21"/>
      <c r="C87" s="158" t="s">
        <v>95</v>
      </c>
      <c r="D87" s="159"/>
      <c r="E87" s="159"/>
      <c r="F87" s="159"/>
      <c r="G87" s="159"/>
      <c r="H87" s="160"/>
      <c r="I87" s="14">
        <f>I86/I9</f>
        <v>0.2158464245397555</v>
      </c>
      <c r="J87" s="81"/>
      <c r="K87" s="81"/>
      <c r="L87" s="63"/>
      <c r="M87" s="9"/>
      <c r="N87" s="9"/>
    </row>
    <row r="88" spans="1:14" ht="18" customHeight="1">
      <c r="A88" s="58" t="s">
        <v>127</v>
      </c>
      <c r="B88" s="21"/>
      <c r="C88" s="136" t="s">
        <v>128</v>
      </c>
      <c r="D88" s="137"/>
      <c r="E88" s="137"/>
      <c r="F88" s="137"/>
      <c r="G88" s="137"/>
      <c r="H88" s="34"/>
      <c r="I88" s="78"/>
      <c r="J88" s="81"/>
      <c r="K88" s="81"/>
      <c r="L88" s="63"/>
      <c r="M88" s="9"/>
      <c r="N88" s="9"/>
    </row>
    <row r="89" spans="1:14" ht="32.4" customHeight="1">
      <c r="A89" s="21"/>
      <c r="B89" s="21" t="s">
        <v>124</v>
      </c>
      <c r="C89" s="146" t="s">
        <v>283</v>
      </c>
      <c r="D89" s="147"/>
      <c r="E89" s="147"/>
      <c r="F89" s="147"/>
      <c r="G89" s="147"/>
      <c r="H89" s="148"/>
      <c r="I89" s="78">
        <f>J89*L89</f>
        <v>7.6</v>
      </c>
      <c r="J89" s="81">
        <v>3.8</v>
      </c>
      <c r="K89" s="81"/>
      <c r="L89" s="63">
        <v>2</v>
      </c>
      <c r="M89" s="9"/>
      <c r="N89" s="9"/>
    </row>
    <row r="90" spans="1:14" ht="29.25" customHeight="1">
      <c r="A90" s="21"/>
      <c r="B90" s="21" t="s">
        <v>123</v>
      </c>
      <c r="C90" s="146" t="s">
        <v>341</v>
      </c>
      <c r="D90" s="147"/>
      <c r="E90" s="147"/>
      <c r="F90" s="147" t="s">
        <v>284</v>
      </c>
      <c r="G90" s="147"/>
      <c r="H90" s="148"/>
      <c r="I90" s="78">
        <f>J90*L90*K90</f>
        <v>0.38</v>
      </c>
      <c r="J90" s="81">
        <v>0.38</v>
      </c>
      <c r="K90" s="81">
        <v>0.5</v>
      </c>
      <c r="L90" s="63">
        <v>2</v>
      </c>
      <c r="M90" s="9"/>
      <c r="N90" s="9"/>
    </row>
    <row r="91" spans="1:14" ht="15" customHeight="1">
      <c r="A91" s="21"/>
      <c r="B91" s="21"/>
      <c r="C91" s="146" t="s">
        <v>285</v>
      </c>
      <c r="D91" s="147"/>
      <c r="E91" s="147"/>
      <c r="F91" s="147" t="s">
        <v>42</v>
      </c>
      <c r="G91" s="147"/>
      <c r="H91" s="148"/>
      <c r="I91" s="16">
        <f>(I89+I90)/J91</f>
        <v>3.9840239640539189E-3</v>
      </c>
      <c r="J91" s="62">
        <v>2003</v>
      </c>
      <c r="K91" s="62"/>
      <c r="L91" s="63"/>
      <c r="M91" s="9"/>
      <c r="N91" s="9"/>
    </row>
    <row r="92" spans="1:14" ht="15" customHeight="1">
      <c r="A92" s="21"/>
      <c r="B92" s="21"/>
      <c r="C92" s="146" t="s">
        <v>75</v>
      </c>
      <c r="D92" s="147"/>
      <c r="E92" s="147"/>
      <c r="F92" s="147" t="s">
        <v>18</v>
      </c>
      <c r="G92" s="147"/>
      <c r="H92" s="148"/>
      <c r="I92" s="78">
        <f>J92*K92*L92*I91</f>
        <v>8.318642036944583</v>
      </c>
      <c r="J92" s="81">
        <v>1450</v>
      </c>
      <c r="K92" s="81">
        <v>1.2</v>
      </c>
      <c r="L92" s="63">
        <v>1.2</v>
      </c>
      <c r="M92" s="9"/>
      <c r="N92" s="9"/>
    </row>
    <row r="93" spans="1:14" ht="15" customHeight="1">
      <c r="A93" s="21"/>
      <c r="B93" s="21"/>
      <c r="C93" s="146" t="s">
        <v>44</v>
      </c>
      <c r="D93" s="147"/>
      <c r="E93" s="147"/>
      <c r="F93" s="147" t="s">
        <v>18</v>
      </c>
      <c r="G93" s="147"/>
      <c r="H93" s="148"/>
      <c r="I93" s="78">
        <f>SUM(I92:I92)</f>
        <v>8.318642036944583</v>
      </c>
      <c r="J93" s="62"/>
      <c r="K93" s="62"/>
      <c r="L93" s="63"/>
      <c r="M93" s="9"/>
      <c r="N93" s="9"/>
    </row>
    <row r="94" spans="1:14" s="71" customFormat="1" ht="15" customHeight="1">
      <c r="A94" s="47"/>
      <c r="B94" s="47"/>
      <c r="C94" s="138" t="s">
        <v>269</v>
      </c>
      <c r="D94" s="139"/>
      <c r="E94" s="139"/>
      <c r="F94" s="139" t="s">
        <v>18</v>
      </c>
      <c r="G94" s="139"/>
      <c r="H94" s="140"/>
      <c r="I94" s="72">
        <f>I93*J94</f>
        <v>1.8301012481278083</v>
      </c>
      <c r="J94" s="91">
        <v>0.22</v>
      </c>
      <c r="K94" s="81"/>
      <c r="L94" s="88"/>
      <c r="M94" s="49"/>
      <c r="N94" s="49"/>
    </row>
    <row r="95" spans="1:14" s="71" customFormat="1" ht="15" customHeight="1">
      <c r="A95" s="47"/>
      <c r="B95" s="47"/>
      <c r="C95" s="138" t="s">
        <v>359</v>
      </c>
      <c r="D95" s="139"/>
      <c r="E95" s="139"/>
      <c r="F95" s="139" t="s">
        <v>18</v>
      </c>
      <c r="G95" s="139"/>
      <c r="H95" s="140"/>
      <c r="I95" s="72">
        <f>I93*J95</f>
        <v>2.8283382925611584</v>
      </c>
      <c r="J95" s="51">
        <v>0.34</v>
      </c>
      <c r="K95" s="81"/>
      <c r="L95" s="88"/>
      <c r="M95" s="49"/>
      <c r="N95" s="49"/>
    </row>
    <row r="96" spans="1:14" s="71" customFormat="1" ht="15" customHeight="1">
      <c r="A96" s="47"/>
      <c r="B96" s="47"/>
      <c r="C96" s="150" t="s">
        <v>286</v>
      </c>
      <c r="D96" s="205"/>
      <c r="E96" s="151"/>
      <c r="F96" s="131" t="s">
        <v>18</v>
      </c>
      <c r="G96" s="132"/>
      <c r="H96" s="93">
        <v>212.92</v>
      </c>
      <c r="I96" s="72">
        <f>J96*I91</f>
        <v>0.84827838242636033</v>
      </c>
      <c r="J96" s="81">
        <v>212.92</v>
      </c>
      <c r="K96" s="81"/>
      <c r="L96" s="88"/>
      <c r="M96" s="49"/>
      <c r="N96" s="49"/>
    </row>
    <row r="97" spans="1:14" s="71" customFormat="1" ht="15" customHeight="1">
      <c r="A97" s="47"/>
      <c r="B97" s="47"/>
      <c r="C97" s="150" t="s">
        <v>276</v>
      </c>
      <c r="D97" s="205"/>
      <c r="E97" s="151"/>
      <c r="F97" s="131" t="s">
        <v>18</v>
      </c>
      <c r="G97" s="132"/>
      <c r="H97" s="93" t="s">
        <v>273</v>
      </c>
      <c r="I97" s="72">
        <f>J97*K97/12</f>
        <v>35.55555555555555</v>
      </c>
      <c r="J97" s="81">
        <v>320</v>
      </c>
      <c r="K97" s="81">
        <f>L89/6+1</f>
        <v>1.3333333333333333</v>
      </c>
      <c r="L97" s="88"/>
      <c r="M97" s="49"/>
      <c r="N97" s="49"/>
    </row>
    <row r="98" spans="1:14" s="71" customFormat="1" ht="15" customHeight="1">
      <c r="A98" s="47"/>
      <c r="B98" s="47"/>
      <c r="C98" s="150" t="s">
        <v>277</v>
      </c>
      <c r="D98" s="205"/>
      <c r="E98" s="151"/>
      <c r="F98" s="131" t="s">
        <v>18</v>
      </c>
      <c r="G98" s="132"/>
      <c r="H98" s="93" t="s">
        <v>274</v>
      </c>
      <c r="I98" s="72">
        <f>J98/12*K98</f>
        <v>8.3333333333333321</v>
      </c>
      <c r="J98" s="81">
        <v>300</v>
      </c>
      <c r="K98" s="81">
        <f>L90/6</f>
        <v>0.33333333333333331</v>
      </c>
      <c r="L98" s="88"/>
      <c r="M98" s="49"/>
      <c r="N98" s="49"/>
    </row>
    <row r="99" spans="1:14" s="71" customFormat="1" ht="15" customHeight="1">
      <c r="A99" s="47"/>
      <c r="B99" s="47"/>
      <c r="C99" s="138" t="s">
        <v>287</v>
      </c>
      <c r="D99" s="139"/>
      <c r="E99" s="139"/>
      <c r="F99" s="139" t="s">
        <v>18</v>
      </c>
      <c r="G99" s="139"/>
      <c r="H99" s="140"/>
      <c r="I99" s="72">
        <f>SUM(I93:I98)</f>
        <v>57.714248848948785</v>
      </c>
      <c r="J99" s="81"/>
      <c r="K99" s="81"/>
      <c r="L99" s="88"/>
      <c r="M99" s="49"/>
      <c r="N99" s="49"/>
    </row>
    <row r="100" spans="1:14" s="71" customFormat="1" ht="15" customHeight="1">
      <c r="A100" s="47"/>
      <c r="B100" s="47"/>
      <c r="C100" s="138" t="s">
        <v>360</v>
      </c>
      <c r="D100" s="139"/>
      <c r="E100" s="139"/>
      <c r="F100" s="139" t="s">
        <v>18</v>
      </c>
      <c r="G100" s="139"/>
      <c r="H100" s="140"/>
      <c r="I100" s="72">
        <f>I99*J100</f>
        <v>11.542849769789758</v>
      </c>
      <c r="J100" s="51">
        <v>0.2</v>
      </c>
      <c r="K100" s="81"/>
      <c r="L100" s="88"/>
      <c r="M100" s="49"/>
      <c r="N100" s="49"/>
    </row>
    <row r="101" spans="1:14" ht="15" customHeight="1">
      <c r="A101" s="21"/>
      <c r="B101" s="21"/>
      <c r="C101" s="146" t="s">
        <v>45</v>
      </c>
      <c r="D101" s="147"/>
      <c r="E101" s="147"/>
      <c r="F101" s="147" t="s">
        <v>18</v>
      </c>
      <c r="G101" s="147"/>
      <c r="H101" s="148"/>
      <c r="I101" s="78">
        <f>SUM(I99:I100)</f>
        <v>69.257098618738539</v>
      </c>
      <c r="J101" s="62"/>
      <c r="K101" s="62"/>
      <c r="L101" s="63"/>
      <c r="M101" s="9"/>
      <c r="N101" s="9"/>
    </row>
    <row r="102" spans="1:14" ht="15" customHeight="1">
      <c r="A102" s="21"/>
      <c r="B102" s="21"/>
      <c r="C102" s="133" t="s">
        <v>46</v>
      </c>
      <c r="D102" s="134"/>
      <c r="E102" s="135"/>
      <c r="F102" s="141" t="s">
        <v>18</v>
      </c>
      <c r="G102" s="142"/>
      <c r="H102" s="92">
        <v>0.05</v>
      </c>
      <c r="I102" s="78">
        <f>I101*J102</f>
        <v>3.4628549309369272</v>
      </c>
      <c r="J102" s="80">
        <v>0.05</v>
      </c>
      <c r="K102" s="62"/>
      <c r="L102" s="63"/>
      <c r="M102" s="9"/>
      <c r="N102" s="9"/>
    </row>
    <row r="103" spans="1:14" ht="15" customHeight="1">
      <c r="A103" s="21"/>
      <c r="B103" s="21"/>
      <c r="C103" s="146" t="s">
        <v>47</v>
      </c>
      <c r="D103" s="147"/>
      <c r="E103" s="147"/>
      <c r="F103" s="147" t="s">
        <v>18</v>
      </c>
      <c r="G103" s="147"/>
      <c r="H103" s="148"/>
      <c r="I103" s="78">
        <f>I101+I102</f>
        <v>72.719953549675466</v>
      </c>
      <c r="J103" s="62"/>
      <c r="K103" s="62"/>
      <c r="L103" s="63"/>
      <c r="M103" s="9"/>
      <c r="N103" s="9"/>
    </row>
    <row r="104" spans="1:14" ht="15" customHeight="1">
      <c r="A104" s="21"/>
      <c r="B104" s="21"/>
      <c r="C104" s="133" t="s">
        <v>48</v>
      </c>
      <c r="D104" s="134"/>
      <c r="E104" s="135"/>
      <c r="F104" s="141" t="s">
        <v>18</v>
      </c>
      <c r="G104" s="142"/>
      <c r="H104" s="92">
        <v>0.05</v>
      </c>
      <c r="I104" s="78">
        <f>I103*J104/K104</f>
        <v>3.8273659762987093</v>
      </c>
      <c r="J104" s="80">
        <v>0.05</v>
      </c>
      <c r="K104" s="80">
        <v>0.95</v>
      </c>
      <c r="L104" s="63"/>
      <c r="M104" s="9"/>
      <c r="N104" s="9"/>
    </row>
    <row r="105" spans="1:14" ht="15" customHeight="1">
      <c r="A105" s="21"/>
      <c r="B105" s="21"/>
      <c r="C105" s="146" t="s">
        <v>49</v>
      </c>
      <c r="D105" s="147"/>
      <c r="E105" s="147"/>
      <c r="F105" s="147" t="s">
        <v>18</v>
      </c>
      <c r="G105" s="147"/>
      <c r="H105" s="148"/>
      <c r="I105" s="78">
        <f>I103+I104</f>
        <v>76.547319525974174</v>
      </c>
      <c r="J105" s="62"/>
      <c r="K105" s="62"/>
      <c r="L105" s="63"/>
      <c r="M105" s="9"/>
      <c r="N105" s="9"/>
    </row>
    <row r="106" spans="1:14" s="6" customFormat="1" ht="16.2">
      <c r="A106" s="53"/>
      <c r="B106" s="53"/>
      <c r="C106" s="158" t="s">
        <v>95</v>
      </c>
      <c r="D106" s="159"/>
      <c r="E106" s="159"/>
      <c r="F106" s="159" t="s">
        <v>51</v>
      </c>
      <c r="G106" s="159"/>
      <c r="H106" s="160"/>
      <c r="I106" s="14">
        <f>I105/I9</f>
        <v>9.9103210157915813E-3</v>
      </c>
      <c r="J106" s="55"/>
      <c r="K106" s="55"/>
      <c r="L106" s="54"/>
      <c r="M106" s="54"/>
      <c r="N106" s="54"/>
    </row>
    <row r="107" spans="1:14" s="6" customFormat="1" ht="16.2">
      <c r="A107" s="58" t="s">
        <v>129</v>
      </c>
      <c r="B107" s="53"/>
      <c r="C107" s="136" t="s">
        <v>132</v>
      </c>
      <c r="D107" s="137"/>
      <c r="E107" s="137"/>
      <c r="F107" s="137"/>
      <c r="G107" s="137"/>
      <c r="H107" s="23"/>
      <c r="I107" s="23"/>
      <c r="J107" s="55"/>
      <c r="K107" s="55"/>
      <c r="L107" s="54"/>
      <c r="M107" s="54"/>
      <c r="N107" s="54"/>
    </row>
    <row r="108" spans="1:14" s="15" customFormat="1" ht="15" customHeight="1">
      <c r="A108" s="60"/>
      <c r="B108" s="60" t="s">
        <v>130</v>
      </c>
      <c r="C108" s="133" t="s">
        <v>288</v>
      </c>
      <c r="D108" s="134"/>
      <c r="E108" s="134"/>
      <c r="F108" s="134"/>
      <c r="G108" s="134"/>
      <c r="H108" s="135"/>
      <c r="I108" s="78">
        <f>J108*I16/K108</f>
        <v>8.1760000000000002</v>
      </c>
      <c r="J108" s="62">
        <v>0.28000000000000003</v>
      </c>
      <c r="K108" s="62">
        <v>100</v>
      </c>
      <c r="L108" s="63"/>
      <c r="M108" s="9"/>
      <c r="N108" s="61"/>
    </row>
    <row r="109" spans="1:14" s="15" customFormat="1" ht="15" customHeight="1">
      <c r="A109" s="60"/>
      <c r="B109" s="60" t="s">
        <v>131</v>
      </c>
      <c r="C109" s="133" t="s">
        <v>289</v>
      </c>
      <c r="D109" s="134"/>
      <c r="E109" s="134"/>
      <c r="F109" s="134" t="s">
        <v>70</v>
      </c>
      <c r="G109" s="134"/>
      <c r="H109" s="135"/>
      <c r="I109" s="78">
        <f>J109*I16/K109</f>
        <v>3.2119999999999997</v>
      </c>
      <c r="J109" s="62">
        <v>0.11</v>
      </c>
      <c r="K109" s="62">
        <v>100</v>
      </c>
      <c r="L109" s="63"/>
      <c r="M109" s="61"/>
      <c r="N109" s="61"/>
    </row>
    <row r="110" spans="1:14" s="15" customFormat="1" ht="15" customHeight="1">
      <c r="A110" s="60"/>
      <c r="B110" s="60"/>
      <c r="C110" s="133" t="s">
        <v>133</v>
      </c>
      <c r="D110" s="134"/>
      <c r="E110" s="134"/>
      <c r="F110" s="134" t="s">
        <v>70</v>
      </c>
      <c r="G110" s="134"/>
      <c r="H110" s="135"/>
      <c r="I110" s="16">
        <f>(I108+I109)*J110</f>
        <v>34.164000000000001</v>
      </c>
      <c r="J110" s="62">
        <v>3</v>
      </c>
      <c r="K110" s="62"/>
      <c r="L110" s="63"/>
      <c r="M110" s="9"/>
      <c r="N110" s="61"/>
    </row>
    <row r="111" spans="1:14" s="15" customFormat="1" ht="15" customHeight="1">
      <c r="A111" s="60"/>
      <c r="B111" s="60"/>
      <c r="C111" s="146" t="s">
        <v>290</v>
      </c>
      <c r="D111" s="147"/>
      <c r="E111" s="147"/>
      <c r="F111" s="147" t="s">
        <v>42</v>
      </c>
      <c r="G111" s="147"/>
      <c r="H111" s="148"/>
      <c r="I111" s="16">
        <f>I110/J111</f>
        <v>1.70564153769346E-2</v>
      </c>
      <c r="J111" s="81">
        <v>2003</v>
      </c>
      <c r="K111" s="62"/>
      <c r="L111" s="63"/>
      <c r="M111" s="61"/>
      <c r="N111" s="61"/>
    </row>
    <row r="112" spans="1:14" s="15" customFormat="1" ht="15" customHeight="1">
      <c r="A112" s="60"/>
      <c r="B112" s="60"/>
      <c r="C112" s="133" t="s">
        <v>96</v>
      </c>
      <c r="D112" s="134"/>
      <c r="E112" s="134"/>
      <c r="F112" s="134" t="s">
        <v>18</v>
      </c>
      <c r="G112" s="134"/>
      <c r="H112" s="135"/>
      <c r="I112" s="78">
        <f>J112*K112*L112*I111</f>
        <v>35.613795307039446</v>
      </c>
      <c r="J112" s="81">
        <v>1450</v>
      </c>
      <c r="K112" s="81">
        <v>1.2</v>
      </c>
      <c r="L112" s="63">
        <v>1.2</v>
      </c>
      <c r="M112" s="61"/>
      <c r="N112" s="61"/>
    </row>
    <row r="113" spans="1:14" s="15" customFormat="1" ht="15" customHeight="1">
      <c r="A113" s="60"/>
      <c r="B113" s="60"/>
      <c r="C113" s="146" t="s">
        <v>269</v>
      </c>
      <c r="D113" s="147"/>
      <c r="E113" s="147"/>
      <c r="F113" s="147" t="s">
        <v>18</v>
      </c>
      <c r="G113" s="147"/>
      <c r="H113" s="148"/>
      <c r="I113" s="78">
        <f>I112*J113</f>
        <v>7.8350349675486779</v>
      </c>
      <c r="J113" s="94">
        <v>0.22</v>
      </c>
      <c r="K113" s="62"/>
      <c r="L113" s="63"/>
      <c r="M113" s="61"/>
      <c r="N113" s="61"/>
    </row>
    <row r="114" spans="1:14" s="15" customFormat="1" ht="15" customHeight="1">
      <c r="A114" s="60"/>
      <c r="B114" s="60" t="s">
        <v>130</v>
      </c>
      <c r="C114" s="133" t="s">
        <v>134</v>
      </c>
      <c r="D114" s="134"/>
      <c r="E114" s="134"/>
      <c r="F114" s="134"/>
      <c r="G114" s="134"/>
      <c r="H114" s="135"/>
      <c r="I114" s="78">
        <f>0.26*I16/100</f>
        <v>7.5920000000000005</v>
      </c>
      <c r="J114" s="95"/>
      <c r="K114" s="62"/>
      <c r="L114" s="63"/>
      <c r="M114" s="61"/>
      <c r="N114" s="61"/>
    </row>
    <row r="115" spans="1:14" s="15" customFormat="1" ht="15" customHeight="1">
      <c r="A115" s="60"/>
      <c r="B115" s="60"/>
      <c r="C115" s="133" t="s">
        <v>135</v>
      </c>
      <c r="D115" s="134"/>
      <c r="E115" s="134"/>
      <c r="F115" s="134"/>
      <c r="G115" s="134"/>
      <c r="H115" s="135"/>
      <c r="I115" s="78">
        <f>I114*3</f>
        <v>22.776000000000003</v>
      </c>
      <c r="J115" s="95"/>
      <c r="K115" s="62"/>
      <c r="L115" s="63"/>
      <c r="M115" s="61"/>
      <c r="N115" s="61"/>
    </row>
    <row r="116" spans="1:14" s="15" customFormat="1" ht="15" customHeight="1">
      <c r="A116" s="60"/>
      <c r="B116" s="60"/>
      <c r="C116" s="133" t="s">
        <v>136</v>
      </c>
      <c r="D116" s="134"/>
      <c r="E116" s="134"/>
      <c r="F116" s="134"/>
      <c r="G116" s="134"/>
      <c r="H116" s="135"/>
      <c r="I116" s="78">
        <f>I115/12</f>
        <v>1.8980000000000004</v>
      </c>
      <c r="J116" s="95"/>
      <c r="K116" s="62"/>
      <c r="L116" s="63"/>
      <c r="M116" s="61"/>
      <c r="N116" s="61"/>
    </row>
    <row r="117" spans="1:14" s="15" customFormat="1" ht="15" customHeight="1">
      <c r="A117" s="60"/>
      <c r="B117" s="60"/>
      <c r="C117" s="150" t="s">
        <v>97</v>
      </c>
      <c r="D117" s="205"/>
      <c r="E117" s="205"/>
      <c r="F117" s="205"/>
      <c r="G117" s="205"/>
      <c r="H117" s="151"/>
      <c r="I117" s="72"/>
      <c r="J117" s="81"/>
      <c r="K117" s="81"/>
      <c r="L117" s="88"/>
      <c r="M117" s="61"/>
      <c r="N117" s="61"/>
    </row>
    <row r="118" spans="1:14" s="15" customFormat="1" ht="15" customHeight="1">
      <c r="A118" s="60"/>
      <c r="B118" s="60"/>
      <c r="C118" s="150" t="s">
        <v>342</v>
      </c>
      <c r="D118" s="205"/>
      <c r="E118" s="205"/>
      <c r="F118" s="205" t="s">
        <v>18</v>
      </c>
      <c r="G118" s="205"/>
      <c r="H118" s="151"/>
      <c r="I118" s="72">
        <v>10.1</v>
      </c>
      <c r="J118" s="81"/>
      <c r="K118" s="81"/>
      <c r="L118" s="88"/>
      <c r="M118" s="61"/>
      <c r="N118" s="61"/>
    </row>
    <row r="119" spans="1:14" s="15" customFormat="1" ht="15" customHeight="1">
      <c r="A119" s="60"/>
      <c r="B119" s="60"/>
      <c r="C119" s="150" t="s">
        <v>137</v>
      </c>
      <c r="D119" s="205"/>
      <c r="E119" s="205"/>
      <c r="F119" s="205" t="s">
        <v>18</v>
      </c>
      <c r="G119" s="205"/>
      <c r="H119" s="151"/>
      <c r="I119" s="72">
        <f>I118*I16/100*3/12</f>
        <v>73.73</v>
      </c>
      <c r="J119" s="96"/>
      <c r="K119" s="81"/>
      <c r="L119" s="88"/>
      <c r="M119" s="61"/>
      <c r="N119" s="61"/>
    </row>
    <row r="120" spans="1:14" s="15" customFormat="1" ht="15" customHeight="1">
      <c r="A120" s="60"/>
      <c r="B120" s="60"/>
      <c r="C120" s="150" t="s">
        <v>359</v>
      </c>
      <c r="D120" s="205"/>
      <c r="E120" s="205"/>
      <c r="F120" s="205" t="s">
        <v>18</v>
      </c>
      <c r="G120" s="205"/>
      <c r="H120" s="151"/>
      <c r="I120" s="72">
        <f>I112*J120</f>
        <v>12.108690404393412</v>
      </c>
      <c r="J120" s="96">
        <v>0.34</v>
      </c>
      <c r="K120" s="81"/>
      <c r="L120" s="88"/>
      <c r="M120" s="61"/>
      <c r="N120" s="61"/>
    </row>
    <row r="121" spans="1:14" s="15" customFormat="1">
      <c r="A121" s="60"/>
      <c r="B121" s="60"/>
      <c r="C121" s="150" t="s">
        <v>98</v>
      </c>
      <c r="D121" s="205"/>
      <c r="E121" s="151"/>
      <c r="F121" s="131" t="s">
        <v>18</v>
      </c>
      <c r="G121" s="132"/>
      <c r="H121" s="93">
        <v>212.92</v>
      </c>
      <c r="I121" s="72">
        <f>J121*I111</f>
        <v>3.6316519620569148</v>
      </c>
      <c r="J121" s="81">
        <v>212.92</v>
      </c>
      <c r="K121" s="81"/>
      <c r="L121" s="88"/>
      <c r="M121" s="61"/>
      <c r="N121" s="61"/>
    </row>
    <row r="122" spans="1:14" s="15" customFormat="1" ht="15.6" customHeight="1">
      <c r="A122" s="60"/>
      <c r="B122" s="60"/>
      <c r="C122" s="150" t="s">
        <v>282</v>
      </c>
      <c r="D122" s="205"/>
      <c r="E122" s="205"/>
      <c r="F122" s="205" t="s">
        <v>18</v>
      </c>
      <c r="G122" s="205"/>
      <c r="H122" s="151"/>
      <c r="I122" s="72">
        <f>SUM(I119:I121)+I112+I113</f>
        <v>132.91917264103844</v>
      </c>
      <c r="J122" s="81"/>
      <c r="K122" s="81"/>
      <c r="L122" s="88"/>
      <c r="M122" s="61"/>
      <c r="N122" s="61"/>
    </row>
    <row r="123" spans="1:14" s="15" customFormat="1" ht="15" customHeight="1">
      <c r="A123" s="60"/>
      <c r="B123" s="60"/>
      <c r="C123" s="150" t="s">
        <v>360</v>
      </c>
      <c r="D123" s="205"/>
      <c r="E123" s="205"/>
      <c r="F123" s="205" t="s">
        <v>18</v>
      </c>
      <c r="G123" s="205"/>
      <c r="H123" s="151"/>
      <c r="I123" s="72">
        <f>I122*J123</f>
        <v>26.583834528207689</v>
      </c>
      <c r="J123" s="91">
        <v>0.2</v>
      </c>
      <c r="K123" s="81"/>
      <c r="L123" s="88"/>
      <c r="M123" s="61"/>
      <c r="N123" s="61"/>
    </row>
    <row r="124" spans="1:14" s="15" customFormat="1" ht="15" customHeight="1">
      <c r="A124" s="60"/>
      <c r="B124" s="60"/>
      <c r="C124" s="150" t="s">
        <v>45</v>
      </c>
      <c r="D124" s="205"/>
      <c r="E124" s="205"/>
      <c r="F124" s="205" t="s">
        <v>18</v>
      </c>
      <c r="G124" s="205"/>
      <c r="H124" s="151"/>
      <c r="I124" s="72">
        <f>SUM(I122:I123)</f>
        <v>159.50300716924613</v>
      </c>
      <c r="J124" s="81"/>
      <c r="K124" s="81"/>
      <c r="L124" s="88"/>
      <c r="M124" s="61"/>
      <c r="N124" s="61"/>
    </row>
    <row r="125" spans="1:14" s="15" customFormat="1" ht="15" customHeight="1">
      <c r="A125" s="60"/>
      <c r="B125" s="60"/>
      <c r="C125" s="152" t="s">
        <v>46</v>
      </c>
      <c r="D125" s="153"/>
      <c r="E125" s="154"/>
      <c r="F125" s="131" t="s">
        <v>18</v>
      </c>
      <c r="G125" s="132"/>
      <c r="H125" s="90">
        <v>0.05</v>
      </c>
      <c r="I125" s="72">
        <f>I124*J125</f>
        <v>7.9751503584623071</v>
      </c>
      <c r="J125" s="91">
        <v>0.05</v>
      </c>
      <c r="K125" s="81"/>
      <c r="L125" s="88"/>
      <c r="M125" s="61"/>
      <c r="N125" s="61"/>
    </row>
    <row r="126" spans="1:14" s="6" customFormat="1" ht="15" customHeight="1">
      <c r="A126" s="53"/>
      <c r="B126" s="53"/>
      <c r="C126" s="133" t="s">
        <v>47</v>
      </c>
      <c r="D126" s="134"/>
      <c r="E126" s="134"/>
      <c r="F126" s="134" t="s">
        <v>18</v>
      </c>
      <c r="G126" s="134"/>
      <c r="H126" s="135"/>
      <c r="I126" s="78">
        <f>I124+I125</f>
        <v>167.47815752770845</v>
      </c>
      <c r="J126" s="62"/>
      <c r="K126" s="62"/>
      <c r="L126" s="63"/>
      <c r="M126" s="54"/>
      <c r="N126" s="54"/>
    </row>
    <row r="127" spans="1:14" s="6" customFormat="1" ht="15" customHeight="1">
      <c r="A127" s="53"/>
      <c r="B127" s="53"/>
      <c r="C127" s="143" t="s">
        <v>48</v>
      </c>
      <c r="D127" s="144"/>
      <c r="E127" s="145"/>
      <c r="F127" s="141" t="s">
        <v>18</v>
      </c>
      <c r="G127" s="142"/>
      <c r="H127" s="92">
        <v>0.05</v>
      </c>
      <c r="I127" s="78">
        <f>I126*J127/K127</f>
        <v>8.8146398698793913</v>
      </c>
      <c r="J127" s="80">
        <v>0.05</v>
      </c>
      <c r="K127" s="80">
        <v>0.95</v>
      </c>
      <c r="L127" s="63"/>
      <c r="M127" s="54"/>
      <c r="N127" s="54"/>
    </row>
    <row r="128" spans="1:14" s="6" customFormat="1" ht="15.6" customHeight="1">
      <c r="A128" s="53"/>
      <c r="B128" s="53"/>
      <c r="C128" s="133" t="s">
        <v>49</v>
      </c>
      <c r="D128" s="134"/>
      <c r="E128" s="134"/>
      <c r="F128" s="134" t="s">
        <v>18</v>
      </c>
      <c r="G128" s="134"/>
      <c r="H128" s="135"/>
      <c r="I128" s="78">
        <f>I126+I127</f>
        <v>176.29279739758783</v>
      </c>
      <c r="J128" s="54"/>
      <c r="K128" s="54"/>
      <c r="L128" s="63"/>
      <c r="M128" s="54"/>
      <c r="N128" s="54"/>
    </row>
    <row r="129" spans="1:14" s="6" customFormat="1" ht="15.6" customHeight="1">
      <c r="A129" s="53"/>
      <c r="B129" s="53"/>
      <c r="C129" s="158" t="s">
        <v>95</v>
      </c>
      <c r="D129" s="159"/>
      <c r="E129" s="159"/>
      <c r="F129" s="159"/>
      <c r="G129" s="159"/>
      <c r="H129" s="160"/>
      <c r="I129" s="14">
        <f>I128/I9</f>
        <v>2.2824028663592417E-2</v>
      </c>
      <c r="J129" s="62"/>
      <c r="K129" s="62"/>
      <c r="L129" s="63"/>
      <c r="M129" s="54"/>
      <c r="N129" s="54"/>
    </row>
    <row r="130" spans="1:14" s="6" customFormat="1" ht="16.2">
      <c r="A130" s="155" t="s">
        <v>138</v>
      </c>
      <c r="B130" s="156"/>
      <c r="C130" s="156"/>
      <c r="D130" s="156"/>
      <c r="E130" s="157"/>
      <c r="F130" s="214" t="s">
        <v>51</v>
      </c>
      <c r="G130" s="215"/>
      <c r="H130" s="27"/>
      <c r="I130" s="16">
        <f>J130</f>
        <v>0.249</v>
      </c>
      <c r="J130" s="97">
        <f>ROUND(I87,3)+ROUND(I106,3)+ROUND(I129,3)</f>
        <v>0.249</v>
      </c>
      <c r="K130" s="62"/>
      <c r="L130" s="63"/>
      <c r="M130" s="54"/>
      <c r="N130" s="54"/>
    </row>
    <row r="131" spans="1:14" s="6" customFormat="1" ht="16.2">
      <c r="A131" s="126" t="s">
        <v>76</v>
      </c>
      <c r="B131" s="127"/>
      <c r="C131" s="127"/>
      <c r="D131" s="127"/>
      <c r="E131" s="127"/>
      <c r="F131" s="127"/>
      <c r="G131" s="127"/>
      <c r="H131" s="127"/>
      <c r="I131" s="128"/>
      <c r="J131" s="55"/>
      <c r="K131" s="55"/>
      <c r="L131" s="54"/>
      <c r="M131" s="54"/>
      <c r="N131" s="54"/>
    </row>
    <row r="132" spans="1:14" s="6" customFormat="1" ht="14.4" customHeight="1">
      <c r="A132" s="53"/>
      <c r="B132" s="208" t="s">
        <v>139</v>
      </c>
      <c r="C132" s="165" t="s">
        <v>77</v>
      </c>
      <c r="D132" s="166"/>
      <c r="E132" s="166"/>
      <c r="F132" s="166"/>
      <c r="G132" s="166"/>
      <c r="H132" s="166"/>
      <c r="I132" s="167"/>
      <c r="J132" s="55"/>
      <c r="K132" s="55"/>
      <c r="L132" s="54"/>
      <c r="M132" s="54"/>
      <c r="N132" s="54"/>
    </row>
    <row r="133" spans="1:14" s="6" customFormat="1" ht="69" customHeight="1">
      <c r="A133" s="53"/>
      <c r="B133" s="209"/>
      <c r="C133" s="146" t="s">
        <v>291</v>
      </c>
      <c r="D133" s="147"/>
      <c r="E133" s="147"/>
      <c r="F133" s="147"/>
      <c r="G133" s="147"/>
      <c r="H133" s="148"/>
      <c r="I133" s="98">
        <f>I21*K133*J133/100</f>
        <v>7.3439999999999994</v>
      </c>
      <c r="J133" s="81">
        <v>2</v>
      </c>
      <c r="K133" s="81">
        <v>0.51</v>
      </c>
      <c r="L133" s="63"/>
      <c r="M133" s="54"/>
      <c r="N133" s="54"/>
    </row>
    <row r="134" spans="1:14" s="6" customFormat="1" ht="15" customHeight="1">
      <c r="A134" s="53"/>
      <c r="B134" s="53"/>
      <c r="C134" s="146" t="s">
        <v>292</v>
      </c>
      <c r="D134" s="147"/>
      <c r="E134" s="147"/>
      <c r="F134" s="147" t="s">
        <v>42</v>
      </c>
      <c r="G134" s="147"/>
      <c r="H134" s="148"/>
      <c r="I134" s="99">
        <f>I133/J134</f>
        <v>3.6665002496255612E-3</v>
      </c>
      <c r="J134" s="81">
        <v>2003</v>
      </c>
      <c r="K134" s="81"/>
      <c r="L134" s="63"/>
      <c r="M134" s="54"/>
      <c r="N134" s="54"/>
    </row>
    <row r="135" spans="1:14" s="6" customFormat="1" ht="15" customHeight="1">
      <c r="A135" s="53"/>
      <c r="B135" s="53"/>
      <c r="C135" s="146" t="s">
        <v>140</v>
      </c>
      <c r="D135" s="147"/>
      <c r="E135" s="147"/>
      <c r="F135" s="147" t="s">
        <v>18</v>
      </c>
      <c r="G135" s="147"/>
      <c r="H135" s="148"/>
      <c r="I135" s="100">
        <f>(J135*K135*L135)*I134</f>
        <v>7.6556525212181716</v>
      </c>
      <c r="J135" s="81">
        <v>1450</v>
      </c>
      <c r="K135" s="81">
        <v>1.2</v>
      </c>
      <c r="L135" s="63">
        <v>1.2</v>
      </c>
      <c r="M135" s="9"/>
      <c r="N135" s="54"/>
    </row>
    <row r="136" spans="1:14" s="15" customFormat="1" ht="15" customHeight="1">
      <c r="A136" s="60"/>
      <c r="B136" s="60"/>
      <c r="C136" s="138" t="s">
        <v>269</v>
      </c>
      <c r="D136" s="139"/>
      <c r="E136" s="139"/>
      <c r="F136" s="139" t="s">
        <v>18</v>
      </c>
      <c r="G136" s="139"/>
      <c r="H136" s="140"/>
      <c r="I136" s="101">
        <f>I135*J136</f>
        <v>1.6842435546679977</v>
      </c>
      <c r="J136" s="96">
        <v>0.22</v>
      </c>
      <c r="K136" s="81"/>
      <c r="L136" s="88"/>
      <c r="M136" s="49"/>
      <c r="N136" s="61"/>
    </row>
    <row r="137" spans="1:14" s="15" customFormat="1" ht="15" customHeight="1">
      <c r="A137" s="60"/>
      <c r="B137" s="60"/>
      <c r="C137" s="150" t="s">
        <v>293</v>
      </c>
      <c r="D137" s="151"/>
      <c r="E137" s="131" t="s">
        <v>343</v>
      </c>
      <c r="F137" s="149"/>
      <c r="G137" s="149"/>
      <c r="H137" s="132"/>
      <c r="I137" s="101">
        <f>I134*J137</f>
        <v>0.78067123315027442</v>
      </c>
      <c r="J137" s="102">
        <v>212.92</v>
      </c>
      <c r="K137" s="81"/>
      <c r="L137" s="88"/>
      <c r="M137" s="49"/>
      <c r="N137" s="61"/>
    </row>
    <row r="138" spans="1:14" s="15" customFormat="1" ht="15" customHeight="1">
      <c r="A138" s="60"/>
      <c r="B138" s="60"/>
      <c r="C138" s="138" t="s">
        <v>359</v>
      </c>
      <c r="D138" s="139"/>
      <c r="E138" s="139"/>
      <c r="F138" s="139" t="s">
        <v>18</v>
      </c>
      <c r="G138" s="139"/>
      <c r="H138" s="140"/>
      <c r="I138" s="101">
        <f>I135*J138</f>
        <v>2.6029218572141786</v>
      </c>
      <c r="J138" s="91">
        <v>0.34</v>
      </c>
      <c r="K138" s="81"/>
      <c r="L138" s="88"/>
      <c r="M138" s="49"/>
      <c r="N138" s="61"/>
    </row>
    <row r="139" spans="1:14" s="15" customFormat="1" ht="15" customHeight="1">
      <c r="A139" s="60"/>
      <c r="B139" s="60"/>
      <c r="C139" s="138" t="s">
        <v>287</v>
      </c>
      <c r="D139" s="139"/>
      <c r="E139" s="139"/>
      <c r="F139" s="139" t="s">
        <v>18</v>
      </c>
      <c r="G139" s="139"/>
      <c r="H139" s="140"/>
      <c r="I139" s="72">
        <f>SUM(I135:I138)</f>
        <v>12.723489166250623</v>
      </c>
      <c r="J139" s="81"/>
      <c r="K139" s="48"/>
      <c r="L139" s="61"/>
      <c r="M139" s="61"/>
      <c r="N139" s="61"/>
    </row>
    <row r="140" spans="1:14" s="15" customFormat="1" ht="15" customHeight="1">
      <c r="A140" s="60"/>
      <c r="B140" s="60"/>
      <c r="C140" s="138" t="s">
        <v>361</v>
      </c>
      <c r="D140" s="139"/>
      <c r="E140" s="139"/>
      <c r="F140" s="139" t="s">
        <v>78</v>
      </c>
      <c r="G140" s="139"/>
      <c r="H140" s="140"/>
      <c r="I140" s="101">
        <f>I139*J140</f>
        <v>2.5446978332501247</v>
      </c>
      <c r="J140" s="91">
        <v>0.2</v>
      </c>
      <c r="K140" s="48"/>
      <c r="L140" s="61"/>
      <c r="M140" s="61"/>
      <c r="N140" s="61"/>
    </row>
    <row r="141" spans="1:14" s="15" customFormat="1" ht="15" customHeight="1">
      <c r="A141" s="60"/>
      <c r="B141" s="60"/>
      <c r="C141" s="138" t="s">
        <v>79</v>
      </c>
      <c r="D141" s="139"/>
      <c r="E141" s="139"/>
      <c r="F141" s="139" t="s">
        <v>78</v>
      </c>
      <c r="G141" s="139"/>
      <c r="H141" s="140"/>
      <c r="I141" s="101">
        <f>SUM(I139:I140)</f>
        <v>15.268186999500747</v>
      </c>
      <c r="J141" s="91"/>
      <c r="K141" s="48"/>
      <c r="L141" s="61"/>
      <c r="M141" s="61"/>
      <c r="N141" s="61"/>
    </row>
    <row r="142" spans="1:14" s="15" customFormat="1" ht="15" customHeight="1">
      <c r="A142" s="60"/>
      <c r="B142" s="60"/>
      <c r="C142" s="152" t="s">
        <v>46</v>
      </c>
      <c r="D142" s="153"/>
      <c r="E142" s="154"/>
      <c r="F142" s="131" t="s">
        <v>18</v>
      </c>
      <c r="G142" s="132"/>
      <c r="H142" s="90">
        <v>0.05</v>
      </c>
      <c r="I142" s="101">
        <f>I141*J142</f>
        <v>0.7634093499750374</v>
      </c>
      <c r="J142" s="96">
        <v>0.05</v>
      </c>
      <c r="K142" s="48"/>
      <c r="L142" s="61"/>
      <c r="M142" s="61"/>
      <c r="N142" s="61"/>
    </row>
    <row r="143" spans="1:14" s="15" customFormat="1" ht="15" customHeight="1">
      <c r="A143" s="60"/>
      <c r="B143" s="60"/>
      <c r="C143" s="138" t="s">
        <v>47</v>
      </c>
      <c r="D143" s="139"/>
      <c r="E143" s="139"/>
      <c r="F143" s="139" t="s">
        <v>18</v>
      </c>
      <c r="G143" s="139"/>
      <c r="H143" s="140"/>
      <c r="I143" s="72">
        <f>I141+I142</f>
        <v>16.031596349475784</v>
      </c>
      <c r="J143" s="96"/>
      <c r="K143" s="48"/>
      <c r="L143" s="61"/>
      <c r="M143" s="61"/>
      <c r="N143" s="61"/>
    </row>
    <row r="144" spans="1:14" s="6" customFormat="1" ht="15" customHeight="1">
      <c r="A144" s="53"/>
      <c r="B144" s="53"/>
      <c r="C144" s="143" t="s">
        <v>48</v>
      </c>
      <c r="D144" s="144"/>
      <c r="E144" s="145"/>
      <c r="F144" s="141" t="s">
        <v>18</v>
      </c>
      <c r="G144" s="142"/>
      <c r="H144" s="92">
        <v>0.05</v>
      </c>
      <c r="I144" s="78">
        <f>I143*J144/K144</f>
        <v>0.84376822891977821</v>
      </c>
      <c r="J144" s="80">
        <v>0.05</v>
      </c>
      <c r="K144" s="80">
        <v>0.95</v>
      </c>
      <c r="L144" s="54"/>
      <c r="M144" s="54"/>
      <c r="N144" s="54"/>
    </row>
    <row r="145" spans="1:14" s="6" customFormat="1">
      <c r="A145" s="53"/>
      <c r="B145" s="53"/>
      <c r="C145" s="146" t="s">
        <v>49</v>
      </c>
      <c r="D145" s="147"/>
      <c r="E145" s="147"/>
      <c r="F145" s="147" t="s">
        <v>18</v>
      </c>
      <c r="G145" s="147"/>
      <c r="H145" s="148"/>
      <c r="I145" s="78">
        <f>I143+I144</f>
        <v>16.875364578395562</v>
      </c>
      <c r="J145" s="62"/>
      <c r="K145" s="62"/>
      <c r="L145" s="54"/>
      <c r="M145" s="54"/>
      <c r="N145" s="54"/>
    </row>
    <row r="146" spans="1:14" ht="16.2">
      <c r="A146" s="21"/>
      <c r="B146" s="21"/>
      <c r="C146" s="158" t="s">
        <v>50</v>
      </c>
      <c r="D146" s="159"/>
      <c r="E146" s="159"/>
      <c r="F146" s="159" t="s">
        <v>51</v>
      </c>
      <c r="G146" s="159"/>
      <c r="H146" s="160"/>
      <c r="I146" s="10">
        <v>0</v>
      </c>
      <c r="J146" s="97">
        <f>ROUND(K146,3)</f>
        <v>2E-3</v>
      </c>
      <c r="K146" s="97">
        <f>I145/I9</f>
        <v>2.1847960355250596E-3</v>
      </c>
      <c r="L146" s="63"/>
      <c r="M146" s="9"/>
      <c r="N146" s="9"/>
    </row>
    <row r="147" spans="1:14" ht="16.2">
      <c r="A147" s="126" t="s">
        <v>141</v>
      </c>
      <c r="B147" s="127"/>
      <c r="C147" s="127"/>
      <c r="D147" s="127"/>
      <c r="E147" s="127"/>
      <c r="F147" s="127"/>
      <c r="G147" s="127"/>
      <c r="H147" s="127"/>
      <c r="I147" s="128"/>
      <c r="J147" s="91"/>
      <c r="K147" s="55"/>
      <c r="L147" s="63"/>
      <c r="M147" s="9"/>
      <c r="N147" s="9"/>
    </row>
    <row r="148" spans="1:14">
      <c r="A148" s="53"/>
      <c r="B148" s="53"/>
      <c r="C148" s="146" t="s">
        <v>344</v>
      </c>
      <c r="D148" s="147"/>
      <c r="E148" s="147"/>
      <c r="F148" s="147"/>
      <c r="G148" s="147"/>
      <c r="H148" s="148"/>
      <c r="I148" s="100">
        <v>754.39</v>
      </c>
      <c r="J148" s="91"/>
      <c r="K148" s="55"/>
      <c r="L148" s="63"/>
      <c r="M148" s="9"/>
      <c r="N148" s="9"/>
    </row>
    <row r="149" spans="1:14">
      <c r="A149" s="53"/>
      <c r="B149" s="53"/>
      <c r="C149" s="146" t="s">
        <v>142</v>
      </c>
      <c r="D149" s="147"/>
      <c r="E149" s="147"/>
      <c r="F149" s="147"/>
      <c r="G149" s="147"/>
      <c r="H149" s="148"/>
      <c r="I149" s="100">
        <f>I148*I63</f>
        <v>3017.56</v>
      </c>
      <c r="J149" s="91"/>
      <c r="K149" s="55"/>
      <c r="L149" s="63"/>
      <c r="M149" s="9"/>
      <c r="N149" s="9"/>
    </row>
    <row r="150" spans="1:14" s="71" customFormat="1" ht="15.6" customHeight="1">
      <c r="A150" s="60"/>
      <c r="B150" s="60"/>
      <c r="C150" s="138" t="s">
        <v>358</v>
      </c>
      <c r="D150" s="139"/>
      <c r="E150" s="139"/>
      <c r="F150" s="139" t="s">
        <v>18</v>
      </c>
      <c r="G150" s="139"/>
      <c r="H150" s="140"/>
      <c r="I150" s="72">
        <f>I149*J150</f>
        <v>603.51200000000006</v>
      </c>
      <c r="J150" s="91">
        <v>0.2</v>
      </c>
      <c r="K150" s="81"/>
      <c r="L150" s="88"/>
      <c r="M150" s="49"/>
      <c r="N150" s="49"/>
    </row>
    <row r="151" spans="1:14">
      <c r="A151" s="53"/>
      <c r="B151" s="53"/>
      <c r="C151" s="146" t="s">
        <v>45</v>
      </c>
      <c r="D151" s="147"/>
      <c r="E151" s="147"/>
      <c r="F151" s="147" t="s">
        <v>18</v>
      </c>
      <c r="G151" s="147"/>
      <c r="H151" s="148"/>
      <c r="I151" s="78">
        <f>SUM(I149:I150)</f>
        <v>3621.0720000000001</v>
      </c>
      <c r="J151" s="62"/>
      <c r="K151" s="62"/>
      <c r="L151" s="63"/>
      <c r="M151" s="9"/>
      <c r="N151" s="9"/>
    </row>
    <row r="152" spans="1:14">
      <c r="A152" s="53"/>
      <c r="B152" s="53"/>
      <c r="C152" s="143" t="s">
        <v>46</v>
      </c>
      <c r="D152" s="144"/>
      <c r="E152" s="145"/>
      <c r="F152" s="141" t="s">
        <v>18</v>
      </c>
      <c r="G152" s="142"/>
      <c r="H152" s="92">
        <v>0.05</v>
      </c>
      <c r="I152" s="78">
        <f>I151*J152</f>
        <v>181.05360000000002</v>
      </c>
      <c r="J152" s="80">
        <v>0.05</v>
      </c>
      <c r="K152" s="62"/>
      <c r="L152" s="63"/>
      <c r="M152" s="9"/>
      <c r="N152" s="9"/>
    </row>
    <row r="153" spans="1:14">
      <c r="A153" s="53"/>
      <c r="B153" s="53"/>
      <c r="C153" s="146" t="s">
        <v>47</v>
      </c>
      <c r="D153" s="147"/>
      <c r="E153" s="147"/>
      <c r="F153" s="147" t="s">
        <v>18</v>
      </c>
      <c r="G153" s="147"/>
      <c r="H153" s="148"/>
      <c r="I153" s="78">
        <f>I151+I152</f>
        <v>3802.1256000000003</v>
      </c>
      <c r="J153" s="62"/>
      <c r="K153" s="62"/>
      <c r="L153" s="63"/>
      <c r="M153" s="9"/>
      <c r="N153" s="9"/>
    </row>
    <row r="154" spans="1:14">
      <c r="A154" s="53"/>
      <c r="B154" s="53"/>
      <c r="C154" s="143" t="s">
        <v>48</v>
      </c>
      <c r="D154" s="144"/>
      <c r="E154" s="145"/>
      <c r="F154" s="141" t="s">
        <v>18</v>
      </c>
      <c r="G154" s="142"/>
      <c r="H154" s="92">
        <v>0.05</v>
      </c>
      <c r="I154" s="78">
        <f>I153*J154/K154</f>
        <v>200.11187368421056</v>
      </c>
      <c r="J154" s="80">
        <v>0.05</v>
      </c>
      <c r="K154" s="80">
        <v>0.95</v>
      </c>
      <c r="L154" s="63"/>
      <c r="M154" s="9"/>
      <c r="N154" s="9"/>
    </row>
    <row r="155" spans="1:14">
      <c r="A155" s="53"/>
      <c r="B155" s="53"/>
      <c r="C155" s="146" t="s">
        <v>49</v>
      </c>
      <c r="D155" s="147"/>
      <c r="E155" s="147"/>
      <c r="F155" s="147" t="s">
        <v>18</v>
      </c>
      <c r="G155" s="147"/>
      <c r="H155" s="148"/>
      <c r="I155" s="78">
        <f>I153+I154</f>
        <v>4002.2374736842107</v>
      </c>
      <c r="J155" s="54"/>
      <c r="K155" s="54"/>
      <c r="L155" s="63"/>
      <c r="M155" s="9"/>
      <c r="N155" s="9"/>
    </row>
    <row r="156" spans="1:14" ht="16.2" customHeight="1">
      <c r="A156" s="53"/>
      <c r="B156" s="53"/>
      <c r="C156" s="158" t="s">
        <v>143</v>
      </c>
      <c r="D156" s="159"/>
      <c r="E156" s="159"/>
      <c r="F156" s="159"/>
      <c r="G156" s="159"/>
      <c r="H156" s="160"/>
      <c r="I156" s="14">
        <f>J156</f>
        <v>0.57999999999999996</v>
      </c>
      <c r="J156" s="97">
        <f>ROUND(K156,3)</f>
        <v>0.57999999999999996</v>
      </c>
      <c r="K156" s="97">
        <f>I155/I12</f>
        <v>0.57978233719892958</v>
      </c>
      <c r="L156" s="63"/>
      <c r="M156" s="9"/>
      <c r="N156" s="9"/>
    </row>
    <row r="157" spans="1:14" ht="16.2">
      <c r="A157" s="126" t="s">
        <v>144</v>
      </c>
      <c r="B157" s="127"/>
      <c r="C157" s="127"/>
      <c r="D157" s="127"/>
      <c r="E157" s="127"/>
      <c r="F157" s="127"/>
      <c r="G157" s="127"/>
      <c r="H157" s="127"/>
      <c r="I157" s="128"/>
      <c r="J157" s="91"/>
      <c r="K157" s="55"/>
      <c r="L157" s="63"/>
      <c r="M157" s="9"/>
      <c r="N157" s="9"/>
    </row>
    <row r="158" spans="1:14" ht="15.6" customHeight="1">
      <c r="A158" s="53"/>
      <c r="B158" s="53"/>
      <c r="C158" s="146" t="s">
        <v>345</v>
      </c>
      <c r="D158" s="147"/>
      <c r="E158" s="147"/>
      <c r="F158" s="147"/>
      <c r="G158" s="147"/>
      <c r="H158" s="148"/>
      <c r="I158" s="100">
        <v>66.84</v>
      </c>
      <c r="J158" s="91"/>
      <c r="K158" s="55"/>
      <c r="L158" s="63"/>
      <c r="M158" s="9"/>
      <c r="N158" s="9"/>
    </row>
    <row r="159" spans="1:14" ht="15.6" customHeight="1">
      <c r="A159" s="53"/>
      <c r="B159" s="53"/>
      <c r="C159" s="146" t="s">
        <v>145</v>
      </c>
      <c r="D159" s="147"/>
      <c r="E159" s="147"/>
      <c r="F159" s="147"/>
      <c r="G159" s="147"/>
      <c r="H159" s="148"/>
      <c r="I159" s="100">
        <f>I158*I63</f>
        <v>267.36</v>
      </c>
      <c r="J159" s="91"/>
      <c r="K159" s="55"/>
      <c r="L159" s="63"/>
      <c r="M159" s="9"/>
      <c r="N159" s="9"/>
    </row>
    <row r="160" spans="1:14" s="71" customFormat="1" ht="15.6" customHeight="1">
      <c r="A160" s="60"/>
      <c r="B160" s="60"/>
      <c r="C160" s="138" t="s">
        <v>358</v>
      </c>
      <c r="D160" s="139"/>
      <c r="E160" s="139"/>
      <c r="F160" s="139" t="s">
        <v>18</v>
      </c>
      <c r="G160" s="139"/>
      <c r="H160" s="140"/>
      <c r="I160" s="72">
        <f>I159*J160</f>
        <v>53.472000000000008</v>
      </c>
      <c r="J160" s="91">
        <v>0.2</v>
      </c>
      <c r="K160" s="81"/>
      <c r="L160" s="88"/>
      <c r="M160" s="49"/>
      <c r="N160" s="49"/>
    </row>
    <row r="161" spans="1:14">
      <c r="A161" s="53"/>
      <c r="B161" s="53"/>
      <c r="C161" s="146" t="s">
        <v>45</v>
      </c>
      <c r="D161" s="147"/>
      <c r="E161" s="147"/>
      <c r="F161" s="147" t="s">
        <v>18</v>
      </c>
      <c r="G161" s="147"/>
      <c r="H161" s="148"/>
      <c r="I161" s="78">
        <f>SUM(I159:I160)</f>
        <v>320.83199999999999</v>
      </c>
      <c r="J161" s="62"/>
      <c r="K161" s="62"/>
      <c r="L161" s="63"/>
      <c r="M161" s="9"/>
      <c r="N161" s="9"/>
    </row>
    <row r="162" spans="1:14">
      <c r="A162" s="53"/>
      <c r="B162" s="53"/>
      <c r="C162" s="143" t="s">
        <v>46</v>
      </c>
      <c r="D162" s="144"/>
      <c r="E162" s="145"/>
      <c r="F162" s="141" t="s">
        <v>18</v>
      </c>
      <c r="G162" s="142"/>
      <c r="H162" s="92">
        <v>0.05</v>
      </c>
      <c r="I162" s="78">
        <f>I161*J162</f>
        <v>16.041599999999999</v>
      </c>
      <c r="J162" s="80">
        <v>0.05</v>
      </c>
      <c r="K162" s="62"/>
      <c r="L162" s="63"/>
      <c r="M162" s="9"/>
      <c r="N162" s="9"/>
    </row>
    <row r="163" spans="1:14">
      <c r="A163" s="53"/>
      <c r="B163" s="53"/>
      <c r="C163" s="146" t="s">
        <v>47</v>
      </c>
      <c r="D163" s="147"/>
      <c r="E163" s="147"/>
      <c r="F163" s="147" t="s">
        <v>18</v>
      </c>
      <c r="G163" s="147"/>
      <c r="H163" s="148"/>
      <c r="I163" s="78">
        <f>I161+I162</f>
        <v>336.87360000000001</v>
      </c>
      <c r="J163" s="62"/>
      <c r="K163" s="62"/>
      <c r="L163" s="63"/>
      <c r="M163" s="9"/>
      <c r="N163" s="9"/>
    </row>
    <row r="164" spans="1:14">
      <c r="A164" s="53"/>
      <c r="B164" s="53"/>
      <c r="C164" s="143" t="s">
        <v>48</v>
      </c>
      <c r="D164" s="144"/>
      <c r="E164" s="145"/>
      <c r="F164" s="141" t="s">
        <v>18</v>
      </c>
      <c r="G164" s="142"/>
      <c r="H164" s="92">
        <v>0.05</v>
      </c>
      <c r="I164" s="78">
        <f>I163*J164/K164</f>
        <v>17.730189473684213</v>
      </c>
      <c r="J164" s="80">
        <v>0.05</v>
      </c>
      <c r="K164" s="80">
        <v>0.95</v>
      </c>
      <c r="L164" s="63"/>
      <c r="M164" s="9"/>
      <c r="N164" s="9"/>
    </row>
    <row r="165" spans="1:14">
      <c r="A165" s="53"/>
      <c r="B165" s="53"/>
      <c r="C165" s="146" t="s">
        <v>49</v>
      </c>
      <c r="D165" s="147"/>
      <c r="E165" s="147"/>
      <c r="F165" s="147" t="s">
        <v>18</v>
      </c>
      <c r="G165" s="147"/>
      <c r="H165" s="148"/>
      <c r="I165" s="78">
        <f>I163+I164</f>
        <v>354.60378947368423</v>
      </c>
      <c r="J165" s="54"/>
      <c r="K165" s="54"/>
      <c r="L165" s="63"/>
      <c r="M165" s="9"/>
      <c r="N165" s="9"/>
    </row>
    <row r="166" spans="1:14" ht="16.2" customHeight="1">
      <c r="A166" s="53"/>
      <c r="B166" s="53"/>
      <c r="C166" s="158" t="s">
        <v>143</v>
      </c>
      <c r="D166" s="159"/>
      <c r="E166" s="159"/>
      <c r="F166" s="159" t="s">
        <v>51</v>
      </c>
      <c r="G166" s="159"/>
      <c r="H166" s="160"/>
      <c r="I166" s="14">
        <f>J166</f>
        <v>4.5999999999999999E-2</v>
      </c>
      <c r="J166" s="97">
        <f>ROUND(K166,3)</f>
        <v>4.5999999999999999E-2</v>
      </c>
      <c r="K166" s="97">
        <f>I165/I10</f>
        <v>4.590934612554172E-2</v>
      </c>
      <c r="L166" s="63"/>
      <c r="M166" s="9"/>
      <c r="N166" s="9"/>
    </row>
    <row r="167" spans="1:14" ht="16.2">
      <c r="A167" s="126" t="s">
        <v>146</v>
      </c>
      <c r="B167" s="127"/>
      <c r="C167" s="127"/>
      <c r="D167" s="127"/>
      <c r="E167" s="127"/>
      <c r="F167" s="127"/>
      <c r="G167" s="127"/>
      <c r="H167" s="127"/>
      <c r="I167" s="128"/>
      <c r="J167" s="55"/>
      <c r="K167" s="55"/>
      <c r="L167" s="63"/>
      <c r="M167" s="9"/>
      <c r="N167" s="9"/>
    </row>
    <row r="168" spans="1:14" s="49" customFormat="1" ht="15.6" customHeight="1">
      <c r="A168" s="58" t="s">
        <v>147</v>
      </c>
      <c r="B168" s="47"/>
      <c r="C168" s="161" t="s">
        <v>102</v>
      </c>
      <c r="D168" s="162"/>
      <c r="E168" s="162"/>
      <c r="F168" s="162"/>
      <c r="G168" s="162"/>
      <c r="H168" s="162"/>
      <c r="I168" s="163"/>
      <c r="J168" s="48"/>
      <c r="K168" s="48"/>
      <c r="L168" s="88"/>
    </row>
    <row r="169" spans="1:14" s="49" customFormat="1" ht="70.2" customHeight="1">
      <c r="A169" s="47"/>
      <c r="B169" s="47" t="s">
        <v>151</v>
      </c>
      <c r="C169" s="146" t="s">
        <v>294</v>
      </c>
      <c r="D169" s="147"/>
      <c r="E169" s="147"/>
      <c r="F169" s="147"/>
      <c r="G169" s="147"/>
      <c r="H169" s="148"/>
      <c r="I169" s="87">
        <f>($I$38*L169)*J169/K169/M169</f>
        <v>1.0124812780828758E-2</v>
      </c>
      <c r="J169" s="62">
        <v>1.2</v>
      </c>
      <c r="K169" s="62">
        <v>100</v>
      </c>
      <c r="L169" s="63">
        <v>2</v>
      </c>
      <c r="M169" s="9">
        <v>2003</v>
      </c>
    </row>
    <row r="170" spans="1:14" s="49" customFormat="1" ht="67.2" customHeight="1">
      <c r="A170" s="47"/>
      <c r="B170" s="47" t="s">
        <v>152</v>
      </c>
      <c r="C170" s="146" t="s">
        <v>295</v>
      </c>
      <c r="D170" s="147"/>
      <c r="E170" s="147"/>
      <c r="F170" s="147" t="s">
        <v>12</v>
      </c>
      <c r="G170" s="147"/>
      <c r="H170" s="148"/>
      <c r="I170" s="87">
        <f>($I$38*L170)*J170/K170/M170</f>
        <v>9.2810783824263613E-3</v>
      </c>
      <c r="J170" s="62">
        <v>1.1000000000000001</v>
      </c>
      <c r="K170" s="62">
        <v>100</v>
      </c>
      <c r="L170" s="63">
        <v>2</v>
      </c>
      <c r="M170" s="9">
        <v>2003</v>
      </c>
    </row>
    <row r="171" spans="1:14" s="49" customFormat="1" ht="55.95" customHeight="1">
      <c r="A171" s="47"/>
      <c r="B171" s="47" t="s">
        <v>153</v>
      </c>
      <c r="C171" s="146" t="s">
        <v>296</v>
      </c>
      <c r="D171" s="147"/>
      <c r="E171" s="147"/>
      <c r="F171" s="147" t="s">
        <v>12</v>
      </c>
      <c r="G171" s="147"/>
      <c r="H171" s="148"/>
      <c r="I171" s="103">
        <f>I59*L171*J171/M171</f>
        <v>5.3439840239640532E-2</v>
      </c>
      <c r="J171" s="81">
        <v>2.23</v>
      </c>
      <c r="K171" s="104"/>
      <c r="L171" s="81">
        <v>2</v>
      </c>
      <c r="M171" s="9">
        <v>2003</v>
      </c>
    </row>
    <row r="172" spans="1:14" s="49" customFormat="1" ht="63" customHeight="1">
      <c r="A172" s="47"/>
      <c r="B172" s="47" t="s">
        <v>157</v>
      </c>
      <c r="C172" s="146" t="s">
        <v>297</v>
      </c>
      <c r="D172" s="147"/>
      <c r="E172" s="147"/>
      <c r="F172" s="147" t="s">
        <v>158</v>
      </c>
      <c r="G172" s="147"/>
      <c r="H172" s="148"/>
      <c r="I172" s="105">
        <f>I52*J172/L172/M172</f>
        <v>1.2431352970544182E-3</v>
      </c>
      <c r="J172" s="81">
        <v>0.83</v>
      </c>
      <c r="K172" s="81"/>
      <c r="L172" s="81">
        <v>3</v>
      </c>
      <c r="M172" s="9">
        <v>2003</v>
      </c>
    </row>
    <row r="173" spans="1:14" s="49" customFormat="1" ht="53.4" customHeight="1">
      <c r="A173" s="47"/>
      <c r="B173" s="47" t="s">
        <v>159</v>
      </c>
      <c r="C173" s="146" t="s">
        <v>298</v>
      </c>
      <c r="D173" s="147"/>
      <c r="E173" s="147"/>
      <c r="F173" s="147"/>
      <c r="G173" s="147"/>
      <c r="H173" s="148"/>
      <c r="I173" s="105">
        <f>I55*J173/M173</f>
        <v>1.6475287069395907E-3</v>
      </c>
      <c r="J173" s="81">
        <v>0.55000000000000004</v>
      </c>
      <c r="K173" s="81"/>
      <c r="L173" s="81"/>
      <c r="M173" s="9">
        <v>2003</v>
      </c>
    </row>
    <row r="174" spans="1:14" s="49" customFormat="1" ht="15" customHeight="1">
      <c r="A174" s="47"/>
      <c r="B174" s="47"/>
      <c r="C174" s="146" t="s">
        <v>103</v>
      </c>
      <c r="D174" s="147"/>
      <c r="E174" s="147"/>
      <c r="F174" s="147" t="s">
        <v>42</v>
      </c>
      <c r="G174" s="147"/>
      <c r="H174" s="148"/>
      <c r="I174" s="103">
        <f>I169+I170+I172</f>
        <v>2.0649026460309538E-2</v>
      </c>
      <c r="J174" s="81"/>
      <c r="K174" s="81"/>
      <c r="L174" s="81"/>
      <c r="M174" s="9"/>
    </row>
    <row r="175" spans="1:14" s="49" customFormat="1" ht="15" customHeight="1">
      <c r="A175" s="47"/>
      <c r="B175" s="47"/>
      <c r="C175" s="146" t="s">
        <v>106</v>
      </c>
      <c r="D175" s="147"/>
      <c r="E175" s="147"/>
      <c r="F175" s="147" t="s">
        <v>18</v>
      </c>
      <c r="G175" s="147"/>
      <c r="H175" s="148"/>
      <c r="I175" s="106">
        <f>I174*J175*K175*L175*M175</f>
        <v>58.205475786320534</v>
      </c>
      <c r="J175" s="81">
        <v>1450</v>
      </c>
      <c r="K175" s="81">
        <v>1.2</v>
      </c>
      <c r="L175" s="81">
        <v>1.35</v>
      </c>
      <c r="M175" s="50">
        <v>1.2</v>
      </c>
    </row>
    <row r="176" spans="1:14" s="49" customFormat="1" ht="15" customHeight="1">
      <c r="A176" s="47"/>
      <c r="B176" s="47"/>
      <c r="C176" s="146" t="s">
        <v>104</v>
      </c>
      <c r="D176" s="147"/>
      <c r="E176" s="147"/>
      <c r="F176" s="147" t="s">
        <v>42</v>
      </c>
      <c r="G176" s="147"/>
      <c r="H176" s="148"/>
      <c r="I176" s="87">
        <f>I171</f>
        <v>5.3439840239640532E-2</v>
      </c>
      <c r="J176" s="48"/>
      <c r="K176" s="48"/>
      <c r="L176" s="88"/>
    </row>
    <row r="177" spans="1:13" s="49" customFormat="1" ht="15" customHeight="1">
      <c r="A177" s="47"/>
      <c r="B177" s="47"/>
      <c r="C177" s="146" t="s">
        <v>107</v>
      </c>
      <c r="D177" s="147"/>
      <c r="E177" s="147"/>
      <c r="F177" s="147" t="s">
        <v>18</v>
      </c>
      <c r="G177" s="147"/>
      <c r="H177" s="148"/>
      <c r="I177" s="78">
        <f>I176*J177*K177*L177*M177</f>
        <v>133.89886370444333</v>
      </c>
      <c r="J177" s="81">
        <v>1450</v>
      </c>
      <c r="K177" s="81">
        <v>1.2</v>
      </c>
      <c r="L177" s="81">
        <v>1.2</v>
      </c>
      <c r="M177" s="49">
        <v>1.2</v>
      </c>
    </row>
    <row r="178" spans="1:13" s="49" customFormat="1" ht="15" customHeight="1">
      <c r="A178" s="47"/>
      <c r="B178" s="47"/>
      <c r="C178" s="146" t="s">
        <v>105</v>
      </c>
      <c r="D178" s="147"/>
      <c r="E178" s="147"/>
      <c r="F178" s="147" t="s">
        <v>42</v>
      </c>
      <c r="G178" s="147"/>
      <c r="H178" s="148"/>
      <c r="I178" s="87">
        <f>I173</f>
        <v>1.6475287069395907E-3</v>
      </c>
      <c r="J178" s="48"/>
      <c r="K178" s="48"/>
      <c r="L178" s="88"/>
    </row>
    <row r="179" spans="1:13" s="49" customFormat="1" ht="15" customHeight="1">
      <c r="A179" s="47"/>
      <c r="B179" s="47"/>
      <c r="C179" s="146" t="s">
        <v>108</v>
      </c>
      <c r="D179" s="147"/>
      <c r="E179" s="147"/>
      <c r="F179" s="147" t="s">
        <v>18</v>
      </c>
      <c r="G179" s="147"/>
      <c r="H179" s="148"/>
      <c r="I179" s="78">
        <f>I178*J179*K179*L179*M179</f>
        <v>3.7152431352970554</v>
      </c>
      <c r="J179" s="81">
        <v>1450</v>
      </c>
      <c r="K179" s="81">
        <v>1.2</v>
      </c>
      <c r="L179" s="81">
        <v>1.08</v>
      </c>
      <c r="M179" s="49">
        <v>1.2</v>
      </c>
    </row>
    <row r="180" spans="1:13" s="49" customFormat="1" ht="15" customHeight="1">
      <c r="A180" s="47"/>
      <c r="B180" s="47"/>
      <c r="C180" s="138" t="s">
        <v>86</v>
      </c>
      <c r="D180" s="139"/>
      <c r="E180" s="139"/>
      <c r="F180" s="139" t="s">
        <v>18</v>
      </c>
      <c r="G180" s="139"/>
      <c r="H180" s="140"/>
      <c r="I180" s="72">
        <f>I179+I177+I175</f>
        <v>195.81958262606091</v>
      </c>
      <c r="J180" s="48"/>
      <c r="K180" s="48"/>
      <c r="L180" s="88"/>
    </row>
    <row r="181" spans="1:13" s="49" customFormat="1" ht="15" customHeight="1">
      <c r="A181" s="47"/>
      <c r="B181" s="47"/>
      <c r="C181" s="138" t="s">
        <v>269</v>
      </c>
      <c r="D181" s="139"/>
      <c r="E181" s="139"/>
      <c r="F181" s="139" t="s">
        <v>18</v>
      </c>
      <c r="G181" s="139"/>
      <c r="H181" s="140"/>
      <c r="I181" s="72">
        <f>I180*0.22</f>
        <v>43.0803081777334</v>
      </c>
      <c r="J181" s="48"/>
      <c r="K181" s="48"/>
      <c r="L181" s="88"/>
    </row>
    <row r="182" spans="1:13" s="49" customFormat="1" ht="15" customHeight="1">
      <c r="A182" s="47"/>
      <c r="B182" s="47"/>
      <c r="C182" s="138" t="s">
        <v>362</v>
      </c>
      <c r="D182" s="139"/>
      <c r="E182" s="139"/>
      <c r="F182" s="139" t="s">
        <v>18</v>
      </c>
      <c r="G182" s="139"/>
      <c r="H182" s="140"/>
      <c r="I182" s="101">
        <f>I180*J182</f>
        <v>66.578658092860707</v>
      </c>
      <c r="J182" s="51">
        <v>0.34</v>
      </c>
      <c r="K182" s="48"/>
      <c r="L182" s="88"/>
    </row>
    <row r="183" spans="1:13" s="49" customFormat="1" ht="15" customHeight="1">
      <c r="A183" s="47"/>
      <c r="B183" s="47"/>
      <c r="C183" s="138" t="s">
        <v>346</v>
      </c>
      <c r="D183" s="139"/>
      <c r="E183" s="164" t="s">
        <v>347</v>
      </c>
      <c r="F183" s="164"/>
      <c r="G183" s="164"/>
      <c r="H183" s="164"/>
      <c r="I183" s="101">
        <f>J183*(I174+I176+I178)</f>
        <v>13.818862705941088</v>
      </c>
      <c r="J183" s="81">
        <v>182.46</v>
      </c>
      <c r="K183" s="48"/>
      <c r="L183" s="88"/>
    </row>
    <row r="184" spans="1:13" s="49" customFormat="1" ht="15" customHeight="1">
      <c r="A184" s="47"/>
      <c r="B184" s="47"/>
      <c r="C184" s="138" t="s">
        <v>87</v>
      </c>
      <c r="D184" s="139"/>
      <c r="E184" s="139"/>
      <c r="F184" s="139" t="s">
        <v>18</v>
      </c>
      <c r="G184" s="139"/>
      <c r="H184" s="140"/>
      <c r="I184" s="101">
        <f>I180+I181+I182+I183</f>
        <v>319.29741160259613</v>
      </c>
      <c r="J184" s="48"/>
      <c r="K184" s="48"/>
      <c r="L184" s="88"/>
    </row>
    <row r="185" spans="1:13" s="49" customFormat="1" ht="15" customHeight="1">
      <c r="A185" s="47"/>
      <c r="B185" s="47"/>
      <c r="C185" s="138" t="s">
        <v>360</v>
      </c>
      <c r="D185" s="139"/>
      <c r="E185" s="139"/>
      <c r="F185" s="139" t="s">
        <v>18</v>
      </c>
      <c r="G185" s="139"/>
      <c r="H185" s="140"/>
      <c r="I185" s="72">
        <f>I184*J185</f>
        <v>63.859482320519227</v>
      </c>
      <c r="J185" s="51">
        <v>0.2</v>
      </c>
      <c r="K185" s="48"/>
      <c r="L185" s="88"/>
    </row>
    <row r="186" spans="1:13" s="49" customFormat="1" ht="15" customHeight="1">
      <c r="A186" s="47"/>
      <c r="B186" s="47"/>
      <c r="C186" s="146" t="s">
        <v>45</v>
      </c>
      <c r="D186" s="147"/>
      <c r="E186" s="147"/>
      <c r="F186" s="147" t="s">
        <v>18</v>
      </c>
      <c r="G186" s="147"/>
      <c r="H186" s="148"/>
      <c r="I186" s="78">
        <f>SUM(I184:I185)</f>
        <v>383.15689392311538</v>
      </c>
      <c r="J186" s="48"/>
      <c r="K186" s="48"/>
      <c r="L186" s="88"/>
    </row>
    <row r="187" spans="1:13" s="49" customFormat="1" ht="15" customHeight="1">
      <c r="A187" s="47"/>
      <c r="B187" s="47"/>
      <c r="C187" s="143" t="s">
        <v>46</v>
      </c>
      <c r="D187" s="144"/>
      <c r="E187" s="145"/>
      <c r="F187" s="141" t="s">
        <v>18</v>
      </c>
      <c r="G187" s="142"/>
      <c r="H187" s="92">
        <v>0.05</v>
      </c>
      <c r="I187" s="78">
        <f>I185*J187</f>
        <v>3.1929741160259617</v>
      </c>
      <c r="J187" s="51">
        <v>0.05</v>
      </c>
      <c r="K187" s="48"/>
      <c r="L187" s="88"/>
    </row>
    <row r="188" spans="1:13" s="49" customFormat="1" ht="15" customHeight="1">
      <c r="A188" s="47"/>
      <c r="B188" s="47"/>
      <c r="C188" s="146" t="s">
        <v>47</v>
      </c>
      <c r="D188" s="147"/>
      <c r="E188" s="147"/>
      <c r="F188" s="147" t="s">
        <v>18</v>
      </c>
      <c r="G188" s="147"/>
      <c r="H188" s="148"/>
      <c r="I188" s="78">
        <f>I186+I187</f>
        <v>386.34986803914131</v>
      </c>
      <c r="J188" s="48"/>
      <c r="K188" s="48"/>
      <c r="L188" s="88"/>
    </row>
    <row r="189" spans="1:13" s="49" customFormat="1" ht="15" customHeight="1">
      <c r="A189" s="47"/>
      <c r="B189" s="47"/>
      <c r="C189" s="143" t="s">
        <v>48</v>
      </c>
      <c r="D189" s="144"/>
      <c r="E189" s="145"/>
      <c r="F189" s="141" t="s">
        <v>18</v>
      </c>
      <c r="G189" s="142"/>
      <c r="H189" s="92">
        <v>0.05</v>
      </c>
      <c r="I189" s="78">
        <f>I188*J189/K189</f>
        <v>20.33420358100744</v>
      </c>
      <c r="J189" s="51">
        <v>0.05</v>
      </c>
      <c r="K189" s="51">
        <v>0.95</v>
      </c>
      <c r="L189" s="88"/>
    </row>
    <row r="190" spans="1:13" s="49" customFormat="1" ht="15" customHeight="1">
      <c r="A190" s="47"/>
      <c r="B190" s="47"/>
      <c r="C190" s="146" t="s">
        <v>49</v>
      </c>
      <c r="D190" s="147"/>
      <c r="E190" s="147"/>
      <c r="F190" s="147" t="s">
        <v>18</v>
      </c>
      <c r="G190" s="147"/>
      <c r="H190" s="148"/>
      <c r="I190" s="78">
        <f>I188+I189</f>
        <v>406.68407162014876</v>
      </c>
      <c r="J190" s="48"/>
      <c r="K190" s="48"/>
      <c r="L190" s="88"/>
    </row>
    <row r="191" spans="1:13" s="49" customFormat="1" ht="17.399999999999999" customHeight="1">
      <c r="A191" s="47"/>
      <c r="B191" s="47"/>
      <c r="C191" s="158" t="s">
        <v>95</v>
      </c>
      <c r="D191" s="159"/>
      <c r="E191" s="159"/>
      <c r="F191" s="159"/>
      <c r="G191" s="159"/>
      <c r="H191" s="160"/>
      <c r="I191" s="10">
        <f>I190/I9</f>
        <v>5.2652003058020293E-2</v>
      </c>
      <c r="J191" s="48"/>
      <c r="K191" s="48"/>
      <c r="L191" s="88"/>
    </row>
    <row r="192" spans="1:13" s="49" customFormat="1" ht="17.399999999999999" customHeight="1">
      <c r="A192" s="58" t="s">
        <v>148</v>
      </c>
      <c r="B192" s="47"/>
      <c r="C192" s="161" t="s">
        <v>109</v>
      </c>
      <c r="D192" s="162"/>
      <c r="E192" s="162"/>
      <c r="F192" s="162"/>
      <c r="G192" s="162"/>
      <c r="H192" s="162"/>
      <c r="I192" s="163"/>
      <c r="J192" s="48"/>
      <c r="K192" s="48"/>
      <c r="L192" s="88"/>
    </row>
    <row r="193" spans="1:13" s="49" customFormat="1" ht="60" customHeight="1">
      <c r="A193" s="47"/>
      <c r="B193" s="47" t="s">
        <v>151</v>
      </c>
      <c r="C193" s="146" t="s">
        <v>299</v>
      </c>
      <c r="D193" s="147"/>
      <c r="E193" s="147"/>
      <c r="F193" s="147" t="s">
        <v>12</v>
      </c>
      <c r="G193" s="147"/>
      <c r="H193" s="148"/>
      <c r="I193" s="87">
        <f>($I$39*L193)*J193/K193/M193</f>
        <v>1.1502745881178233E-2</v>
      </c>
      <c r="J193" s="62">
        <v>1.2</v>
      </c>
      <c r="K193" s="62">
        <v>100</v>
      </c>
      <c r="L193" s="63">
        <v>2</v>
      </c>
      <c r="M193" s="9">
        <v>2003</v>
      </c>
    </row>
    <row r="194" spans="1:13" s="49" customFormat="1" ht="61.95" customHeight="1">
      <c r="A194" s="47"/>
      <c r="B194" s="47" t="s">
        <v>152</v>
      </c>
      <c r="C194" s="146" t="s">
        <v>300</v>
      </c>
      <c r="D194" s="147"/>
      <c r="E194" s="147"/>
      <c r="F194" s="147" t="s">
        <v>12</v>
      </c>
      <c r="G194" s="147"/>
      <c r="H194" s="148"/>
      <c r="I194" s="87">
        <f>($I$39*L194)*J194/K194/M194</f>
        <v>1.054418372441338E-2</v>
      </c>
      <c r="J194" s="62">
        <v>1.1000000000000001</v>
      </c>
      <c r="K194" s="62">
        <v>100</v>
      </c>
      <c r="L194" s="63">
        <v>2</v>
      </c>
      <c r="M194" s="9">
        <v>2003</v>
      </c>
    </row>
    <row r="195" spans="1:13" s="49" customFormat="1" ht="47.4" customHeight="1">
      <c r="A195" s="47"/>
      <c r="B195" s="47" t="s">
        <v>153</v>
      </c>
      <c r="C195" s="146" t="s">
        <v>301</v>
      </c>
      <c r="D195" s="147"/>
      <c r="E195" s="147"/>
      <c r="F195" s="147" t="s">
        <v>12</v>
      </c>
      <c r="G195" s="147"/>
      <c r="H195" s="148"/>
      <c r="I195" s="103">
        <f>I60*L195*J195/M195</f>
        <v>5.3439840239640532E-2</v>
      </c>
      <c r="J195" s="81">
        <v>2.23</v>
      </c>
      <c r="K195" s="104"/>
      <c r="L195" s="81">
        <v>2</v>
      </c>
      <c r="M195" s="9">
        <v>2003</v>
      </c>
    </row>
    <row r="196" spans="1:13" s="49" customFormat="1" ht="63" customHeight="1">
      <c r="A196" s="47"/>
      <c r="B196" s="47" t="s">
        <v>157</v>
      </c>
      <c r="C196" s="146" t="s">
        <v>302</v>
      </c>
      <c r="D196" s="147"/>
      <c r="E196" s="147"/>
      <c r="F196" s="147" t="s">
        <v>158</v>
      </c>
      <c r="G196" s="147"/>
      <c r="H196" s="148"/>
      <c r="I196" s="105">
        <f>I53*J196/L196/M196</f>
        <v>1.1050091529372608E-3</v>
      </c>
      <c r="J196" s="81">
        <v>0.83</v>
      </c>
      <c r="K196" s="81"/>
      <c r="L196" s="81">
        <v>3</v>
      </c>
      <c r="M196" s="9">
        <v>2003</v>
      </c>
    </row>
    <row r="197" spans="1:13" s="49" customFormat="1" ht="54.6" customHeight="1">
      <c r="A197" s="47"/>
      <c r="B197" s="47" t="s">
        <v>159</v>
      </c>
      <c r="C197" s="146" t="s">
        <v>298</v>
      </c>
      <c r="D197" s="147"/>
      <c r="E197" s="147"/>
      <c r="F197" s="147"/>
      <c r="G197" s="147"/>
      <c r="H197" s="148"/>
      <c r="I197" s="105">
        <f>I56*J197/M197</f>
        <v>1.6475287069395907E-3</v>
      </c>
      <c r="J197" s="81">
        <v>0.55000000000000004</v>
      </c>
      <c r="K197" s="81"/>
      <c r="L197" s="81"/>
      <c r="M197" s="9">
        <v>2003</v>
      </c>
    </row>
    <row r="198" spans="1:13" s="49" customFormat="1" ht="15" customHeight="1">
      <c r="A198" s="47"/>
      <c r="B198" s="47"/>
      <c r="C198" s="146" t="s">
        <v>103</v>
      </c>
      <c r="D198" s="147"/>
      <c r="E198" s="147"/>
      <c r="F198" s="147" t="s">
        <v>42</v>
      </c>
      <c r="G198" s="147"/>
      <c r="H198" s="148"/>
      <c r="I198" s="107">
        <f>I193+I194+I196</f>
        <v>2.3151938758528872E-2</v>
      </c>
      <c r="J198" s="81"/>
      <c r="K198" s="81"/>
      <c r="L198" s="81"/>
      <c r="M198" s="9"/>
    </row>
    <row r="199" spans="1:13" s="49" customFormat="1" ht="15" customHeight="1">
      <c r="A199" s="47"/>
      <c r="B199" s="47"/>
      <c r="C199" s="146" t="s">
        <v>106</v>
      </c>
      <c r="D199" s="147"/>
      <c r="E199" s="147"/>
      <c r="F199" s="147" t="s">
        <v>18</v>
      </c>
      <c r="G199" s="147"/>
      <c r="H199" s="148"/>
      <c r="I199" s="106">
        <f>I198*J199*K199*L199*M199</f>
        <v>65.260684972541185</v>
      </c>
      <c r="J199" s="81">
        <v>1450</v>
      </c>
      <c r="K199" s="81">
        <v>1.2</v>
      </c>
      <c r="L199" s="81">
        <v>1.35</v>
      </c>
      <c r="M199" s="50">
        <v>1.2</v>
      </c>
    </row>
    <row r="200" spans="1:13" s="49" customFormat="1" ht="15" customHeight="1">
      <c r="A200" s="47"/>
      <c r="B200" s="47"/>
      <c r="C200" s="146" t="s">
        <v>104</v>
      </c>
      <c r="D200" s="147"/>
      <c r="E200" s="147"/>
      <c r="F200" s="147" t="s">
        <v>42</v>
      </c>
      <c r="G200" s="147"/>
      <c r="H200" s="148"/>
      <c r="I200" s="16">
        <f>I195</f>
        <v>5.3439840239640532E-2</v>
      </c>
      <c r="J200" s="48"/>
      <c r="K200" s="48"/>
      <c r="L200" s="88"/>
    </row>
    <row r="201" spans="1:13" s="49" customFormat="1" ht="15" customHeight="1">
      <c r="A201" s="47"/>
      <c r="B201" s="47"/>
      <c r="C201" s="146" t="s">
        <v>107</v>
      </c>
      <c r="D201" s="147"/>
      <c r="E201" s="147"/>
      <c r="F201" s="147" t="s">
        <v>18</v>
      </c>
      <c r="G201" s="147"/>
      <c r="H201" s="148"/>
      <c r="I201" s="78">
        <f>I200*J201*K201*L201*M201</f>
        <v>133.89886370444333</v>
      </c>
      <c r="J201" s="81">
        <v>1450</v>
      </c>
      <c r="K201" s="81">
        <v>1.2</v>
      </c>
      <c r="L201" s="81">
        <v>1.2</v>
      </c>
      <c r="M201" s="49">
        <v>1.2</v>
      </c>
    </row>
    <row r="202" spans="1:13" s="49" customFormat="1" ht="15" customHeight="1">
      <c r="A202" s="47"/>
      <c r="B202" s="47"/>
      <c r="C202" s="146" t="s">
        <v>105</v>
      </c>
      <c r="D202" s="147"/>
      <c r="E202" s="147"/>
      <c r="F202" s="147" t="s">
        <v>42</v>
      </c>
      <c r="G202" s="147"/>
      <c r="H202" s="148"/>
      <c r="I202" s="16">
        <f>I197</f>
        <v>1.6475287069395907E-3</v>
      </c>
      <c r="J202" s="48"/>
      <c r="K202" s="48"/>
      <c r="L202" s="88"/>
    </row>
    <row r="203" spans="1:13" s="49" customFormat="1" ht="15" customHeight="1">
      <c r="A203" s="47"/>
      <c r="B203" s="47"/>
      <c r="C203" s="146" t="s">
        <v>108</v>
      </c>
      <c r="D203" s="147"/>
      <c r="E203" s="147"/>
      <c r="F203" s="147" t="s">
        <v>18</v>
      </c>
      <c r="G203" s="147"/>
      <c r="H203" s="148"/>
      <c r="I203" s="78">
        <f>I202*J203*K203*L203*M203</f>
        <v>3.7152431352970554</v>
      </c>
      <c r="J203" s="81">
        <v>1450</v>
      </c>
      <c r="K203" s="81">
        <v>1.2</v>
      </c>
      <c r="L203" s="81">
        <v>1.08</v>
      </c>
      <c r="M203" s="49">
        <v>1.2</v>
      </c>
    </row>
    <row r="204" spans="1:13" s="49" customFormat="1" ht="15" customHeight="1">
      <c r="A204" s="47"/>
      <c r="B204" s="47"/>
      <c r="C204" s="138" t="s">
        <v>86</v>
      </c>
      <c r="D204" s="139"/>
      <c r="E204" s="139"/>
      <c r="F204" s="139" t="s">
        <v>18</v>
      </c>
      <c r="G204" s="139"/>
      <c r="H204" s="140"/>
      <c r="I204" s="72">
        <f>I203+I201+I199</f>
        <v>202.87479181228156</v>
      </c>
      <c r="J204" s="48"/>
      <c r="K204" s="48"/>
      <c r="L204" s="88"/>
    </row>
    <row r="205" spans="1:13" s="49" customFormat="1" ht="15" customHeight="1">
      <c r="A205" s="47"/>
      <c r="B205" s="47"/>
      <c r="C205" s="138" t="s">
        <v>269</v>
      </c>
      <c r="D205" s="139"/>
      <c r="E205" s="139"/>
      <c r="F205" s="139" t="s">
        <v>18</v>
      </c>
      <c r="G205" s="139"/>
      <c r="H205" s="140"/>
      <c r="I205" s="72">
        <f>I204*0.22</f>
        <v>44.632454198701943</v>
      </c>
      <c r="J205" s="48"/>
      <c r="K205" s="48"/>
      <c r="L205" s="88"/>
    </row>
    <row r="206" spans="1:13" s="49" customFormat="1" ht="15" customHeight="1">
      <c r="A206" s="47"/>
      <c r="B206" s="47"/>
      <c r="C206" s="138" t="s">
        <v>363</v>
      </c>
      <c r="D206" s="139"/>
      <c r="E206" s="139"/>
      <c r="F206" s="139" t="s">
        <v>18</v>
      </c>
      <c r="G206" s="139"/>
      <c r="H206" s="140"/>
      <c r="I206" s="101">
        <f>I204*J206</f>
        <v>68.977429216175736</v>
      </c>
      <c r="J206" s="51">
        <v>0.34</v>
      </c>
      <c r="K206" s="48"/>
      <c r="L206" s="88"/>
    </row>
    <row r="207" spans="1:13" s="49" customFormat="1" ht="15" customHeight="1">
      <c r="A207" s="47"/>
      <c r="B207" s="47"/>
      <c r="C207" s="138" t="s">
        <v>346</v>
      </c>
      <c r="D207" s="139"/>
      <c r="E207" s="164" t="s">
        <v>347</v>
      </c>
      <c r="F207" s="164"/>
      <c r="G207" s="164"/>
      <c r="H207" s="164"/>
      <c r="I207" s="101">
        <f>J207*(I198+I200+I202)</f>
        <v>14.275544083874188</v>
      </c>
      <c r="J207" s="81">
        <v>182.46</v>
      </c>
      <c r="K207" s="48"/>
      <c r="L207" s="88"/>
    </row>
    <row r="208" spans="1:13" s="49" customFormat="1" ht="15" customHeight="1">
      <c r="A208" s="47"/>
      <c r="B208" s="47"/>
      <c r="C208" s="138" t="s">
        <v>87</v>
      </c>
      <c r="D208" s="139"/>
      <c r="E208" s="139"/>
      <c r="F208" s="139" t="s">
        <v>18</v>
      </c>
      <c r="G208" s="139"/>
      <c r="H208" s="140"/>
      <c r="I208" s="101">
        <f>I204+I205+I206+I207</f>
        <v>330.76021931103344</v>
      </c>
      <c r="J208" s="48"/>
      <c r="K208" s="48"/>
      <c r="L208" s="88"/>
    </row>
    <row r="209" spans="1:13" s="49" customFormat="1" ht="15" customHeight="1">
      <c r="A209" s="47"/>
      <c r="B209" s="47"/>
      <c r="C209" s="138" t="s">
        <v>364</v>
      </c>
      <c r="D209" s="139"/>
      <c r="E209" s="139"/>
      <c r="F209" s="139" t="s">
        <v>18</v>
      </c>
      <c r="G209" s="139"/>
      <c r="H209" s="140"/>
      <c r="I209" s="72">
        <f>I208*J209</f>
        <v>66.152043862206696</v>
      </c>
      <c r="J209" s="51">
        <v>0.2</v>
      </c>
      <c r="K209" s="48"/>
      <c r="L209" s="88"/>
    </row>
    <row r="210" spans="1:13" s="49" customFormat="1" ht="15" customHeight="1">
      <c r="A210" s="47"/>
      <c r="B210" s="47"/>
      <c r="C210" s="138" t="s">
        <v>45</v>
      </c>
      <c r="D210" s="139"/>
      <c r="E210" s="139"/>
      <c r="F210" s="139" t="s">
        <v>18</v>
      </c>
      <c r="G210" s="139"/>
      <c r="H210" s="140"/>
      <c r="I210" s="72">
        <f>SUM(I208:I209)</f>
        <v>396.91226317324015</v>
      </c>
      <c r="J210" s="48"/>
      <c r="K210" s="48"/>
      <c r="L210" s="88"/>
    </row>
    <row r="211" spans="1:13" s="49" customFormat="1" ht="15" customHeight="1">
      <c r="A211" s="47"/>
      <c r="B211" s="47"/>
      <c r="C211" s="152" t="s">
        <v>46</v>
      </c>
      <c r="D211" s="153"/>
      <c r="E211" s="154"/>
      <c r="F211" s="131" t="s">
        <v>18</v>
      </c>
      <c r="G211" s="132"/>
      <c r="H211" s="90">
        <v>0.05</v>
      </c>
      <c r="I211" s="72">
        <f>I209*J211</f>
        <v>3.307602193110335</v>
      </c>
      <c r="J211" s="51">
        <v>0.05</v>
      </c>
      <c r="K211" s="48"/>
      <c r="L211" s="88"/>
    </row>
    <row r="212" spans="1:13" s="49" customFormat="1" ht="15" customHeight="1">
      <c r="A212" s="47"/>
      <c r="B212" s="47"/>
      <c r="C212" s="138" t="s">
        <v>47</v>
      </c>
      <c r="D212" s="139"/>
      <c r="E212" s="139"/>
      <c r="F212" s="139" t="s">
        <v>18</v>
      </c>
      <c r="G212" s="139"/>
      <c r="H212" s="140"/>
      <c r="I212" s="72">
        <f>I210+I211</f>
        <v>400.21986536635046</v>
      </c>
      <c r="J212" s="48"/>
      <c r="K212" s="48"/>
      <c r="L212" s="88"/>
    </row>
    <row r="213" spans="1:13" s="49" customFormat="1" ht="15" customHeight="1">
      <c r="A213" s="47"/>
      <c r="B213" s="47"/>
      <c r="C213" s="152" t="s">
        <v>48</v>
      </c>
      <c r="D213" s="153"/>
      <c r="E213" s="154"/>
      <c r="F213" s="131" t="s">
        <v>18</v>
      </c>
      <c r="G213" s="132"/>
      <c r="H213" s="90">
        <v>0.05</v>
      </c>
      <c r="I213" s="72">
        <f>I212*J213/K213</f>
        <v>21.064203440334236</v>
      </c>
      <c r="J213" s="51">
        <v>0.05</v>
      </c>
      <c r="K213" s="51">
        <v>0.95</v>
      </c>
      <c r="L213" s="88"/>
    </row>
    <row r="214" spans="1:13" s="49" customFormat="1" ht="15" customHeight="1">
      <c r="A214" s="47"/>
      <c r="B214" s="47"/>
      <c r="C214" s="138" t="s">
        <v>49</v>
      </c>
      <c r="D214" s="139"/>
      <c r="E214" s="139"/>
      <c r="F214" s="139" t="s">
        <v>18</v>
      </c>
      <c r="G214" s="139"/>
      <c r="H214" s="140"/>
      <c r="I214" s="72">
        <f>I212+I213</f>
        <v>421.28406880668467</v>
      </c>
      <c r="J214" s="48"/>
      <c r="K214" s="48"/>
      <c r="L214" s="88"/>
    </row>
    <row r="215" spans="1:13" s="49" customFormat="1" ht="17.399999999999999" customHeight="1">
      <c r="A215" s="47"/>
      <c r="B215" s="47"/>
      <c r="C215" s="168" t="s">
        <v>95</v>
      </c>
      <c r="D215" s="169"/>
      <c r="E215" s="169"/>
      <c r="F215" s="169"/>
      <c r="G215" s="169"/>
      <c r="H215" s="170"/>
      <c r="I215" s="73">
        <f>I214/I9</f>
        <v>5.4542215018990765E-2</v>
      </c>
      <c r="J215" s="48"/>
      <c r="K215" s="48"/>
      <c r="L215" s="88"/>
    </row>
    <row r="216" spans="1:13" s="49" customFormat="1" ht="17.399999999999999" customHeight="1">
      <c r="A216" s="58" t="s">
        <v>149</v>
      </c>
      <c r="B216" s="47"/>
      <c r="C216" s="161" t="s">
        <v>110</v>
      </c>
      <c r="D216" s="162"/>
      <c r="E216" s="162"/>
      <c r="F216" s="162"/>
      <c r="G216" s="162"/>
      <c r="H216" s="162"/>
      <c r="I216" s="163"/>
      <c r="J216" s="48"/>
      <c r="K216" s="48"/>
      <c r="L216" s="88"/>
    </row>
    <row r="217" spans="1:13" s="49" customFormat="1" ht="48.6" customHeight="1">
      <c r="A217" s="47"/>
      <c r="B217" s="47" t="s">
        <v>168</v>
      </c>
      <c r="C217" s="146" t="s">
        <v>303</v>
      </c>
      <c r="D217" s="147"/>
      <c r="E217" s="147"/>
      <c r="F217" s="147"/>
      <c r="G217" s="147"/>
      <c r="H217" s="148"/>
      <c r="I217" s="87">
        <f>($I$51*L217)*J217/K217/M217</f>
        <v>1.5816275586620073E-2</v>
      </c>
      <c r="J217" s="62">
        <v>2.2000000000000002</v>
      </c>
      <c r="K217" s="62">
        <v>100</v>
      </c>
      <c r="L217" s="63">
        <v>2</v>
      </c>
      <c r="M217" s="9">
        <v>2003</v>
      </c>
    </row>
    <row r="218" spans="1:13" s="49" customFormat="1" ht="48.6" customHeight="1">
      <c r="A218" s="47"/>
      <c r="B218" s="47" t="s">
        <v>169</v>
      </c>
      <c r="C218" s="146" t="s">
        <v>304</v>
      </c>
      <c r="D218" s="147"/>
      <c r="E218" s="147"/>
      <c r="F218" s="147"/>
      <c r="G218" s="147"/>
      <c r="H218" s="148"/>
      <c r="I218" s="103">
        <f>I61*L218*J218/M218</f>
        <v>3.3549675486769841E-2</v>
      </c>
      <c r="J218" s="81">
        <v>1.4</v>
      </c>
      <c r="K218" s="104"/>
      <c r="L218" s="81">
        <v>2</v>
      </c>
      <c r="M218" s="9">
        <v>2003</v>
      </c>
    </row>
    <row r="219" spans="1:13" s="49" customFormat="1" ht="52.95" customHeight="1">
      <c r="A219" s="47"/>
      <c r="B219" s="47" t="s">
        <v>167</v>
      </c>
      <c r="C219" s="146" t="s">
        <v>305</v>
      </c>
      <c r="D219" s="147"/>
      <c r="E219" s="147"/>
      <c r="F219" s="147"/>
      <c r="G219" s="147"/>
      <c r="H219" s="148"/>
      <c r="I219" s="105">
        <f>I61/L219*J219/M219</f>
        <v>3.195207189216176E-3</v>
      </c>
      <c r="J219" s="81">
        <v>0.8</v>
      </c>
      <c r="K219" s="104"/>
      <c r="L219" s="81">
        <v>3</v>
      </c>
      <c r="M219" s="9">
        <v>2003</v>
      </c>
    </row>
    <row r="220" spans="1:13" s="49" customFormat="1" ht="52.2" customHeight="1">
      <c r="A220" s="47"/>
      <c r="B220" s="47" t="s">
        <v>159</v>
      </c>
      <c r="C220" s="146" t="s">
        <v>306</v>
      </c>
      <c r="D220" s="147"/>
      <c r="E220" s="147"/>
      <c r="F220" s="147"/>
      <c r="G220" s="147"/>
      <c r="H220" s="148"/>
      <c r="I220" s="105">
        <f>I57*J220/M220</f>
        <v>2.196704942586121E-3</v>
      </c>
      <c r="J220" s="81">
        <v>0.55000000000000004</v>
      </c>
      <c r="K220" s="81"/>
      <c r="L220" s="81"/>
      <c r="M220" s="9">
        <v>2003</v>
      </c>
    </row>
    <row r="221" spans="1:13" s="49" customFormat="1" ht="15" customHeight="1">
      <c r="A221" s="47"/>
      <c r="B221" s="47"/>
      <c r="C221" s="146" t="s">
        <v>111</v>
      </c>
      <c r="D221" s="147"/>
      <c r="E221" s="147"/>
      <c r="F221" s="147" t="s">
        <v>42</v>
      </c>
      <c r="G221" s="147"/>
      <c r="H221" s="148"/>
      <c r="I221" s="103">
        <f>I217</f>
        <v>1.5816275586620073E-2</v>
      </c>
      <c r="J221" s="81"/>
      <c r="K221" s="81"/>
      <c r="L221" s="81"/>
      <c r="M221" s="9"/>
    </row>
    <row r="222" spans="1:13" s="49" customFormat="1" ht="15" customHeight="1">
      <c r="A222" s="47"/>
      <c r="B222" s="47"/>
      <c r="C222" s="146" t="s">
        <v>106</v>
      </c>
      <c r="D222" s="147"/>
      <c r="E222" s="147"/>
      <c r="F222" s="147" t="s">
        <v>18</v>
      </c>
      <c r="G222" s="147"/>
      <c r="H222" s="148"/>
      <c r="I222" s="106">
        <f>I221*J222*K222*L222*M222</f>
        <v>44.582917623564661</v>
      </c>
      <c r="J222" s="81">
        <v>1450</v>
      </c>
      <c r="K222" s="81">
        <v>1.2</v>
      </c>
      <c r="L222" s="81">
        <v>1.35</v>
      </c>
      <c r="M222" s="50">
        <v>1.2</v>
      </c>
    </row>
    <row r="223" spans="1:13" s="49" customFormat="1" ht="15" customHeight="1">
      <c r="A223" s="47"/>
      <c r="B223" s="47"/>
      <c r="C223" s="146" t="s">
        <v>112</v>
      </c>
      <c r="D223" s="147"/>
      <c r="E223" s="147"/>
      <c r="F223" s="147" t="s">
        <v>42</v>
      </c>
      <c r="G223" s="147"/>
      <c r="H223" s="148"/>
      <c r="I223" s="87">
        <f>I218+I219</f>
        <v>3.6744882675986017E-2</v>
      </c>
      <c r="J223" s="48"/>
      <c r="K223" s="48"/>
      <c r="L223" s="88"/>
    </row>
    <row r="224" spans="1:13" s="49" customFormat="1" ht="15" customHeight="1">
      <c r="A224" s="47"/>
      <c r="B224" s="47"/>
      <c r="C224" s="146" t="s">
        <v>107</v>
      </c>
      <c r="D224" s="147"/>
      <c r="E224" s="147"/>
      <c r="F224" s="147" t="s">
        <v>18</v>
      </c>
      <c r="G224" s="147"/>
      <c r="H224" s="148"/>
      <c r="I224" s="78">
        <f>I223*J224*K224*L224*M224</f>
        <v>92.067978032950563</v>
      </c>
      <c r="J224" s="81">
        <v>1450</v>
      </c>
      <c r="K224" s="81">
        <v>1.2</v>
      </c>
      <c r="L224" s="81">
        <v>1.2</v>
      </c>
      <c r="M224" s="49">
        <v>1.2</v>
      </c>
    </row>
    <row r="225" spans="1:14" s="49" customFormat="1" ht="15" customHeight="1">
      <c r="A225" s="47"/>
      <c r="B225" s="47"/>
      <c r="C225" s="146" t="s">
        <v>113</v>
      </c>
      <c r="D225" s="147"/>
      <c r="E225" s="147"/>
      <c r="F225" s="147" t="s">
        <v>42</v>
      </c>
      <c r="G225" s="147"/>
      <c r="H225" s="148"/>
      <c r="I225" s="87">
        <f>I220</f>
        <v>2.196704942586121E-3</v>
      </c>
      <c r="J225" s="48"/>
      <c r="K225" s="48"/>
      <c r="L225" s="88"/>
    </row>
    <row r="226" spans="1:14" s="49" customFormat="1" ht="15" customHeight="1">
      <c r="A226" s="47"/>
      <c r="B226" s="47"/>
      <c r="C226" s="146" t="s">
        <v>108</v>
      </c>
      <c r="D226" s="147"/>
      <c r="E226" s="147"/>
      <c r="F226" s="147" t="s">
        <v>18</v>
      </c>
      <c r="G226" s="147"/>
      <c r="H226" s="148"/>
      <c r="I226" s="78">
        <f>I225*J226*K226*L226*M226</f>
        <v>4.9536575137294054</v>
      </c>
      <c r="J226" s="81">
        <v>1450</v>
      </c>
      <c r="K226" s="81">
        <v>1.2</v>
      </c>
      <c r="L226" s="81">
        <v>1.08</v>
      </c>
      <c r="M226" s="49">
        <v>1.2</v>
      </c>
    </row>
    <row r="227" spans="1:14" s="49" customFormat="1" ht="15" customHeight="1">
      <c r="A227" s="47"/>
      <c r="B227" s="47"/>
      <c r="C227" s="146" t="s">
        <v>86</v>
      </c>
      <c r="D227" s="147"/>
      <c r="E227" s="147"/>
      <c r="F227" s="147" t="s">
        <v>18</v>
      </c>
      <c r="G227" s="147"/>
      <c r="H227" s="148"/>
      <c r="I227" s="78">
        <f>I226+I224+I222</f>
        <v>141.60455317024463</v>
      </c>
      <c r="J227" s="48"/>
      <c r="K227" s="48"/>
      <c r="L227" s="88"/>
    </row>
    <row r="228" spans="1:14" s="49" customFormat="1" ht="15" customHeight="1">
      <c r="A228" s="47"/>
      <c r="B228" s="47"/>
      <c r="C228" s="138" t="s">
        <v>269</v>
      </c>
      <c r="D228" s="139"/>
      <c r="E228" s="139"/>
      <c r="F228" s="139" t="s">
        <v>18</v>
      </c>
      <c r="G228" s="139"/>
      <c r="H228" s="140"/>
      <c r="I228" s="72">
        <f>I227*0.22</f>
        <v>31.153001697453817</v>
      </c>
      <c r="J228" s="48"/>
      <c r="K228" s="48"/>
      <c r="L228" s="88"/>
    </row>
    <row r="229" spans="1:14" s="49" customFormat="1" ht="15" customHeight="1">
      <c r="A229" s="47"/>
      <c r="B229" s="47"/>
      <c r="C229" s="138" t="s">
        <v>362</v>
      </c>
      <c r="D229" s="139"/>
      <c r="E229" s="139"/>
      <c r="F229" s="139" t="s">
        <v>18</v>
      </c>
      <c r="G229" s="139"/>
      <c r="H229" s="140"/>
      <c r="I229" s="101">
        <f>I227*J229</f>
        <v>48.145548077883177</v>
      </c>
      <c r="J229" s="51">
        <v>0.34</v>
      </c>
      <c r="K229" s="48"/>
      <c r="L229" s="88"/>
    </row>
    <row r="230" spans="1:14" s="49" customFormat="1" ht="15" customHeight="1">
      <c r="A230" s="47"/>
      <c r="B230" s="47"/>
      <c r="C230" s="138" t="s">
        <v>271</v>
      </c>
      <c r="D230" s="139"/>
      <c r="E230" s="164" t="s">
        <v>347</v>
      </c>
      <c r="F230" s="164"/>
      <c r="G230" s="164"/>
      <c r="H230" s="164"/>
      <c r="I230" s="101">
        <f>J230*(I221+I223+I225)</f>
        <v>9.9911197204193698</v>
      </c>
      <c r="J230" s="81">
        <v>182.46</v>
      </c>
      <c r="K230" s="48"/>
      <c r="L230" s="88"/>
    </row>
    <row r="231" spans="1:14" s="49" customFormat="1" ht="15" customHeight="1">
      <c r="A231" s="47"/>
      <c r="B231" s="47"/>
      <c r="C231" s="138" t="s">
        <v>87</v>
      </c>
      <c r="D231" s="139"/>
      <c r="E231" s="139"/>
      <c r="F231" s="139" t="s">
        <v>18</v>
      </c>
      <c r="G231" s="139"/>
      <c r="H231" s="140"/>
      <c r="I231" s="101">
        <f>I227+I228+I229+I230</f>
        <v>230.89422266600099</v>
      </c>
      <c r="J231" s="48"/>
      <c r="K231" s="48"/>
      <c r="L231" s="88"/>
    </row>
    <row r="232" spans="1:14" s="49" customFormat="1" ht="15" customHeight="1">
      <c r="A232" s="47"/>
      <c r="B232" s="47"/>
      <c r="C232" s="138" t="s">
        <v>358</v>
      </c>
      <c r="D232" s="139"/>
      <c r="E232" s="139"/>
      <c r="F232" s="139" t="s">
        <v>18</v>
      </c>
      <c r="G232" s="139"/>
      <c r="H232" s="140"/>
      <c r="I232" s="72">
        <f>I231*J232</f>
        <v>46.178844533200198</v>
      </c>
      <c r="J232" s="51">
        <v>0.2</v>
      </c>
      <c r="K232" s="48"/>
      <c r="L232" s="88"/>
    </row>
    <row r="233" spans="1:14" s="49" customFormat="1" ht="17.399999999999999" customHeight="1">
      <c r="A233" s="47"/>
      <c r="B233" s="47"/>
      <c r="C233" s="138" t="s">
        <v>45</v>
      </c>
      <c r="D233" s="139"/>
      <c r="E233" s="139"/>
      <c r="F233" s="139" t="s">
        <v>18</v>
      </c>
      <c r="G233" s="139"/>
      <c r="H233" s="140"/>
      <c r="I233" s="72">
        <f>SUM(I231:I232)</f>
        <v>277.0730671992012</v>
      </c>
      <c r="J233" s="48"/>
      <c r="K233" s="48"/>
      <c r="L233" s="88"/>
    </row>
    <row r="234" spans="1:14" s="49" customFormat="1" ht="17.399999999999999" customHeight="1">
      <c r="A234" s="47"/>
      <c r="B234" s="47"/>
      <c r="C234" s="143" t="s">
        <v>46</v>
      </c>
      <c r="D234" s="144"/>
      <c r="E234" s="145"/>
      <c r="F234" s="141" t="s">
        <v>18</v>
      </c>
      <c r="G234" s="142"/>
      <c r="H234" s="92">
        <v>0.05</v>
      </c>
      <c r="I234" s="78">
        <f>I232*J234</f>
        <v>2.3089422266600099</v>
      </c>
      <c r="J234" s="51">
        <v>0.05</v>
      </c>
      <c r="K234" s="48"/>
      <c r="L234" s="88"/>
    </row>
    <row r="235" spans="1:14" s="49" customFormat="1" ht="17.399999999999999" customHeight="1">
      <c r="A235" s="47"/>
      <c r="B235" s="47"/>
      <c r="C235" s="146" t="s">
        <v>47</v>
      </c>
      <c r="D235" s="147"/>
      <c r="E235" s="147"/>
      <c r="F235" s="147" t="s">
        <v>18</v>
      </c>
      <c r="G235" s="147"/>
      <c r="H235" s="148"/>
      <c r="I235" s="78">
        <f>I233+I234</f>
        <v>279.38200942586121</v>
      </c>
      <c r="J235" s="48"/>
      <c r="K235" s="48"/>
      <c r="L235" s="88"/>
    </row>
    <row r="236" spans="1:14" s="49" customFormat="1" ht="17.399999999999999" customHeight="1">
      <c r="A236" s="47"/>
      <c r="B236" s="47"/>
      <c r="C236" s="143" t="s">
        <v>48</v>
      </c>
      <c r="D236" s="144"/>
      <c r="E236" s="145"/>
      <c r="F236" s="141" t="s">
        <v>18</v>
      </c>
      <c r="G236" s="142"/>
      <c r="H236" s="92">
        <v>0.05</v>
      </c>
      <c r="I236" s="78">
        <f>I235*J236/K236</f>
        <v>14.704316285571643</v>
      </c>
      <c r="J236" s="51">
        <v>0.05</v>
      </c>
      <c r="K236" s="51">
        <v>0.95</v>
      </c>
      <c r="L236" s="88"/>
    </row>
    <row r="237" spans="1:14" s="49" customFormat="1" ht="17.399999999999999" customHeight="1">
      <c r="A237" s="47"/>
      <c r="B237" s="47"/>
      <c r="C237" s="146" t="s">
        <v>49</v>
      </c>
      <c r="D237" s="147"/>
      <c r="E237" s="147"/>
      <c r="F237" s="147" t="s">
        <v>18</v>
      </c>
      <c r="G237" s="147"/>
      <c r="H237" s="148"/>
      <c r="I237" s="78">
        <f>I235+I236</f>
        <v>294.08632571143283</v>
      </c>
      <c r="J237" s="48"/>
      <c r="K237" s="48"/>
      <c r="L237" s="88"/>
    </row>
    <row r="238" spans="1:14" s="49" customFormat="1" ht="17.399999999999999" customHeight="1">
      <c r="A238" s="47"/>
      <c r="B238" s="47"/>
      <c r="C238" s="158" t="s">
        <v>95</v>
      </c>
      <c r="D238" s="159"/>
      <c r="E238" s="159"/>
      <c r="F238" s="159"/>
      <c r="G238" s="159"/>
      <c r="H238" s="160"/>
      <c r="I238" s="10">
        <f>I237/I9</f>
        <v>3.807435599578364E-2</v>
      </c>
      <c r="J238" s="48"/>
      <c r="K238" s="48"/>
      <c r="L238" s="88"/>
    </row>
    <row r="239" spans="1:14" s="49" customFormat="1" ht="17.399999999999999" customHeight="1">
      <c r="A239" s="58" t="s">
        <v>150</v>
      </c>
      <c r="B239" s="47"/>
      <c r="C239" s="161" t="s">
        <v>114</v>
      </c>
      <c r="D239" s="162"/>
      <c r="E239" s="162"/>
      <c r="F239" s="162"/>
      <c r="G239" s="162"/>
      <c r="H239" s="162"/>
      <c r="I239" s="163"/>
      <c r="J239" s="48"/>
      <c r="K239" s="48"/>
      <c r="L239" s="88"/>
    </row>
    <row r="240" spans="1:14" s="9" customFormat="1" ht="57.6" customHeight="1">
      <c r="A240" s="21"/>
      <c r="B240" s="21" t="s">
        <v>151</v>
      </c>
      <c r="C240" s="146" t="s">
        <v>307</v>
      </c>
      <c r="D240" s="147"/>
      <c r="E240" s="147"/>
      <c r="F240" s="147" t="s">
        <v>12</v>
      </c>
      <c r="G240" s="147"/>
      <c r="H240" s="148"/>
      <c r="I240" s="87">
        <f>$I$40*L240*J240/K240/M240*N240</f>
        <v>5.1522715926110843E-3</v>
      </c>
      <c r="J240" s="62">
        <v>1.2</v>
      </c>
      <c r="K240" s="62">
        <v>100</v>
      </c>
      <c r="L240" s="63">
        <v>2</v>
      </c>
      <c r="M240" s="9">
        <v>2003</v>
      </c>
      <c r="N240" s="68">
        <v>0.1</v>
      </c>
    </row>
    <row r="241" spans="1:14" s="9" customFormat="1" ht="64.95" customHeight="1">
      <c r="A241" s="21"/>
      <c r="B241" s="21" t="s">
        <v>152</v>
      </c>
      <c r="C241" s="146" t="s">
        <v>308</v>
      </c>
      <c r="D241" s="147"/>
      <c r="E241" s="147"/>
      <c r="F241" s="147" t="s">
        <v>12</v>
      </c>
      <c r="G241" s="147"/>
      <c r="H241" s="148"/>
      <c r="I241" s="87">
        <f>$I$40*L241*J241/K241/M241*N241</f>
        <v>4.7229156265601599E-3</v>
      </c>
      <c r="J241" s="62">
        <v>1.1000000000000001</v>
      </c>
      <c r="K241" s="62">
        <v>100</v>
      </c>
      <c r="L241" s="63">
        <v>2</v>
      </c>
      <c r="M241" s="9">
        <v>2003</v>
      </c>
      <c r="N241" s="68">
        <v>0.1</v>
      </c>
    </row>
    <row r="242" spans="1:14" s="9" customFormat="1" ht="67.2" customHeight="1">
      <c r="A242" s="21"/>
      <c r="B242" s="21" t="s">
        <v>170</v>
      </c>
      <c r="C242" s="146" t="s">
        <v>309</v>
      </c>
      <c r="D242" s="147"/>
      <c r="E242" s="147"/>
      <c r="F242" s="147" t="s">
        <v>15</v>
      </c>
      <c r="G242" s="147"/>
      <c r="H242" s="148"/>
      <c r="I242" s="87">
        <f>((I47+I48)*L242)*J242/K242/M242</f>
        <v>2.8469296055916131E-2</v>
      </c>
      <c r="J242" s="62">
        <v>8.8000000000000007</v>
      </c>
      <c r="K242" s="62">
        <v>100</v>
      </c>
      <c r="L242" s="63">
        <v>3</v>
      </c>
      <c r="M242" s="9">
        <v>2003</v>
      </c>
    </row>
    <row r="243" spans="1:14" s="9" customFormat="1" ht="19.95" customHeight="1">
      <c r="A243" s="21"/>
      <c r="B243" s="21"/>
      <c r="C243" s="165" t="s">
        <v>175</v>
      </c>
      <c r="D243" s="166"/>
      <c r="E243" s="166"/>
      <c r="F243" s="166"/>
      <c r="G243" s="166"/>
      <c r="H243" s="167"/>
      <c r="I243" s="87"/>
      <c r="J243" s="62"/>
      <c r="K243" s="62"/>
      <c r="L243" s="63"/>
    </row>
    <row r="244" spans="1:14" s="9" customFormat="1" ht="67.2" customHeight="1">
      <c r="A244" s="21"/>
      <c r="B244" s="21" t="s">
        <v>176</v>
      </c>
      <c r="C244" s="146" t="s">
        <v>310</v>
      </c>
      <c r="D244" s="147"/>
      <c r="E244" s="147"/>
      <c r="F244" s="147"/>
      <c r="G244" s="147"/>
      <c r="H244" s="148"/>
      <c r="I244" s="87">
        <f>I40*J244*K244/L244/M244</f>
        <v>4.7229156265601598E-2</v>
      </c>
      <c r="J244" s="81">
        <v>2.2000000000000002</v>
      </c>
      <c r="K244" s="81">
        <v>1</v>
      </c>
      <c r="L244" s="63">
        <v>100</v>
      </c>
      <c r="M244" s="9">
        <v>2003</v>
      </c>
    </row>
    <row r="245" spans="1:14" s="9" customFormat="1" ht="62.4" customHeight="1">
      <c r="A245" s="21"/>
      <c r="B245" s="21" t="s">
        <v>177</v>
      </c>
      <c r="C245" s="146" t="s">
        <v>311</v>
      </c>
      <c r="D245" s="147"/>
      <c r="E245" s="147"/>
      <c r="F245" s="147"/>
      <c r="G245" s="147"/>
      <c r="H245" s="148"/>
      <c r="I245" s="87">
        <f>I50*J245*K245/M245</f>
        <v>0</v>
      </c>
      <c r="J245" s="81">
        <v>1.5</v>
      </c>
      <c r="K245" s="81">
        <v>1</v>
      </c>
      <c r="L245" s="63"/>
      <c r="M245" s="9">
        <v>2003</v>
      </c>
    </row>
    <row r="246" spans="1:14" s="9" customFormat="1" ht="18.600000000000001" customHeight="1">
      <c r="A246" s="21"/>
      <c r="B246" s="21"/>
      <c r="C246" s="165" t="s">
        <v>178</v>
      </c>
      <c r="D246" s="166"/>
      <c r="E246" s="166"/>
      <c r="F246" s="166"/>
      <c r="G246" s="166"/>
      <c r="H246" s="167"/>
      <c r="I246" s="87"/>
      <c r="J246" s="62"/>
      <c r="K246" s="62"/>
      <c r="L246" s="63"/>
    </row>
    <row r="247" spans="1:14" s="9" customFormat="1" ht="76.2" customHeight="1">
      <c r="A247" s="21"/>
      <c r="B247" s="21" t="s">
        <v>179</v>
      </c>
      <c r="C247" s="146" t="s">
        <v>312</v>
      </c>
      <c r="D247" s="147"/>
      <c r="E247" s="147"/>
      <c r="F247" s="147"/>
      <c r="G247" s="147"/>
      <c r="H247" s="148"/>
      <c r="I247" s="87">
        <f>I40*J247/K247/L247/M247</f>
        <v>4.5082376435346981E-2</v>
      </c>
      <c r="J247" s="81">
        <v>8.4</v>
      </c>
      <c r="K247" s="81">
        <v>4</v>
      </c>
      <c r="L247" s="63">
        <v>100</v>
      </c>
      <c r="M247" s="9">
        <v>2003</v>
      </c>
    </row>
    <row r="248" spans="1:14" s="9" customFormat="1" ht="64.2" customHeight="1">
      <c r="A248" s="21"/>
      <c r="B248" s="21" t="s">
        <v>157</v>
      </c>
      <c r="C248" s="146" t="s">
        <v>313</v>
      </c>
      <c r="D248" s="147"/>
      <c r="E248" s="147"/>
      <c r="F248" s="147" t="s">
        <v>171</v>
      </c>
      <c r="G248" s="147"/>
      <c r="H248" s="148"/>
      <c r="I248" s="105">
        <f>I54*J248/L248/M248</f>
        <v>1.2431352970544182E-3</v>
      </c>
      <c r="J248" s="81">
        <v>0.83</v>
      </c>
      <c r="K248" s="81"/>
      <c r="L248" s="81">
        <v>3</v>
      </c>
      <c r="M248" s="9">
        <v>2003</v>
      </c>
    </row>
    <row r="249" spans="1:14" s="9" customFormat="1" ht="48" customHeight="1">
      <c r="A249" s="21"/>
      <c r="B249" s="21" t="s">
        <v>159</v>
      </c>
      <c r="C249" s="146" t="s">
        <v>298</v>
      </c>
      <c r="D249" s="147"/>
      <c r="E249" s="147"/>
      <c r="F249" s="147"/>
      <c r="G249" s="147"/>
      <c r="H249" s="148"/>
      <c r="I249" s="105">
        <f>I58*J249/M249</f>
        <v>1.3729405891163256E-3</v>
      </c>
      <c r="J249" s="81">
        <v>0.55000000000000004</v>
      </c>
      <c r="K249" s="81"/>
      <c r="L249" s="81"/>
      <c r="M249" s="9">
        <v>2003</v>
      </c>
    </row>
    <row r="250" spans="1:14" s="9" customFormat="1" ht="49.2" customHeight="1">
      <c r="A250" s="21"/>
      <c r="B250" s="21" t="s">
        <v>172</v>
      </c>
      <c r="C250" s="146" t="s">
        <v>314</v>
      </c>
      <c r="D250" s="147"/>
      <c r="E250" s="147"/>
      <c r="F250" s="147"/>
      <c r="G250" s="147"/>
      <c r="H250" s="148"/>
      <c r="I250" s="105">
        <f>I62*K250*J250/M250</f>
        <v>1.7613579630554165E-2</v>
      </c>
      <c r="J250" s="81">
        <v>0.6</v>
      </c>
      <c r="K250" s="108">
        <v>0.3</v>
      </c>
      <c r="L250" s="63"/>
      <c r="M250" s="9">
        <v>2003</v>
      </c>
    </row>
    <row r="251" spans="1:14" s="9" customFormat="1" ht="53.4" customHeight="1">
      <c r="A251" s="21"/>
      <c r="B251" s="21" t="s">
        <v>173</v>
      </c>
      <c r="C251" s="146" t="s">
        <v>315</v>
      </c>
      <c r="D251" s="147"/>
      <c r="E251" s="147"/>
      <c r="F251" s="147"/>
      <c r="G251" s="147"/>
      <c r="H251" s="148"/>
      <c r="I251" s="87">
        <f>I49*K251*J251/M251</f>
        <v>5.1762356465302049E-2</v>
      </c>
      <c r="J251" s="81">
        <v>0.4</v>
      </c>
      <c r="K251" s="108">
        <v>0.3</v>
      </c>
      <c r="L251" s="63"/>
      <c r="M251" s="9">
        <v>2003</v>
      </c>
    </row>
    <row r="252" spans="1:14" s="9" customFormat="1" ht="63" customHeight="1">
      <c r="A252" s="21"/>
      <c r="B252" s="21" t="s">
        <v>174</v>
      </c>
      <c r="C252" s="146" t="s">
        <v>316</v>
      </c>
      <c r="D252" s="147"/>
      <c r="E252" s="147"/>
      <c r="F252" s="147"/>
      <c r="G252" s="147"/>
      <c r="H252" s="148"/>
      <c r="I252" s="87">
        <f>I40*L252*J252/K252/M252</f>
        <v>3.54218671992012E-2</v>
      </c>
      <c r="J252" s="81">
        <v>3.3</v>
      </c>
      <c r="K252" s="81">
        <v>10</v>
      </c>
      <c r="L252" s="109">
        <v>0.05</v>
      </c>
      <c r="M252" s="9">
        <v>2003</v>
      </c>
    </row>
    <row r="253" spans="1:14" s="9" customFormat="1" ht="15" customHeight="1">
      <c r="A253" s="21"/>
      <c r="B253" s="21"/>
      <c r="C253" s="146" t="s">
        <v>80</v>
      </c>
      <c r="D253" s="147"/>
      <c r="E253" s="147"/>
      <c r="F253" s="147"/>
      <c r="G253" s="147"/>
      <c r="H253" s="148"/>
      <c r="I253" s="16">
        <f>I240+I241+I242+I248+I244+I245+I247</f>
        <v>0.13189915127309038</v>
      </c>
      <c r="J253" s="81"/>
      <c r="K253" s="81"/>
      <c r="L253" s="63"/>
    </row>
    <row r="254" spans="1:14" s="9" customFormat="1" ht="15" customHeight="1">
      <c r="A254" s="21"/>
      <c r="B254" s="21"/>
      <c r="C254" s="146" t="s">
        <v>81</v>
      </c>
      <c r="D254" s="147"/>
      <c r="E254" s="147"/>
      <c r="F254" s="147"/>
      <c r="G254" s="147"/>
      <c r="H254" s="148"/>
      <c r="I254" s="16">
        <f>I250+I251+I252</f>
        <v>0.10479780329505742</v>
      </c>
      <c r="J254" s="81"/>
      <c r="K254" s="81"/>
      <c r="L254" s="63"/>
    </row>
    <row r="255" spans="1:14" s="9" customFormat="1" ht="15" customHeight="1">
      <c r="A255" s="21"/>
      <c r="B255" s="21"/>
      <c r="C255" s="146" t="s">
        <v>82</v>
      </c>
      <c r="D255" s="147"/>
      <c r="E255" s="147"/>
      <c r="F255" s="147"/>
      <c r="G255" s="147"/>
      <c r="H255" s="148"/>
      <c r="I255" s="16">
        <f>I249</f>
        <v>1.3729405891163256E-3</v>
      </c>
      <c r="J255" s="81"/>
      <c r="K255" s="81"/>
      <c r="L255" s="63"/>
    </row>
    <row r="256" spans="1:14" s="9" customFormat="1" ht="15" customHeight="1">
      <c r="A256" s="21"/>
      <c r="B256" s="21"/>
      <c r="C256" s="146" t="s">
        <v>83</v>
      </c>
      <c r="D256" s="147"/>
      <c r="E256" s="147"/>
      <c r="F256" s="147" t="s">
        <v>18</v>
      </c>
      <c r="G256" s="147"/>
      <c r="H256" s="148"/>
      <c r="I256" s="78">
        <f>J256*K256*M256*N256*I253</f>
        <v>371.79732760858712</v>
      </c>
      <c r="J256" s="81">
        <v>1450</v>
      </c>
      <c r="K256" s="81">
        <v>1.2</v>
      </c>
      <c r="L256" s="63"/>
      <c r="M256" s="9">
        <v>1.35</v>
      </c>
      <c r="N256" s="9">
        <v>1.2</v>
      </c>
    </row>
    <row r="257" spans="1:14" s="9" customFormat="1" ht="15" customHeight="1">
      <c r="A257" s="21"/>
      <c r="B257" s="21"/>
      <c r="C257" s="146" t="s">
        <v>84</v>
      </c>
      <c r="D257" s="147"/>
      <c r="E257" s="147"/>
      <c r="F257" s="147" t="s">
        <v>18</v>
      </c>
      <c r="G257" s="147"/>
      <c r="H257" s="148"/>
      <c r="I257" s="78">
        <f>J257*K257*M257*N257*I254</f>
        <v>262.58137593609587</v>
      </c>
      <c r="J257" s="81">
        <v>1450</v>
      </c>
      <c r="K257" s="81">
        <v>1.2</v>
      </c>
      <c r="L257" s="63"/>
      <c r="M257" s="9">
        <v>1.2</v>
      </c>
      <c r="N257" s="9">
        <v>1.2</v>
      </c>
    </row>
    <row r="258" spans="1:14" s="9" customFormat="1" ht="15" customHeight="1">
      <c r="A258" s="21"/>
      <c r="B258" s="21"/>
      <c r="C258" s="146" t="s">
        <v>85</v>
      </c>
      <c r="D258" s="147"/>
      <c r="E258" s="147"/>
      <c r="F258" s="147" t="s">
        <v>18</v>
      </c>
      <c r="G258" s="147"/>
      <c r="H258" s="148"/>
      <c r="I258" s="78">
        <f>J258*K258*M258*N258*I255</f>
        <v>3.0960359460808791</v>
      </c>
      <c r="J258" s="81">
        <v>1450</v>
      </c>
      <c r="K258" s="81">
        <v>1.2</v>
      </c>
      <c r="L258" s="63"/>
      <c r="M258" s="9">
        <v>1.08</v>
      </c>
      <c r="N258" s="9">
        <v>1.2</v>
      </c>
    </row>
    <row r="259" spans="1:14" s="9" customFormat="1" ht="15" customHeight="1">
      <c r="A259" s="21"/>
      <c r="B259" s="21"/>
      <c r="C259" s="146" t="s">
        <v>86</v>
      </c>
      <c r="D259" s="147"/>
      <c r="E259" s="147"/>
      <c r="F259" s="147" t="s">
        <v>18</v>
      </c>
      <c r="G259" s="147"/>
      <c r="H259" s="148"/>
      <c r="I259" s="79">
        <f>SUM(I256:I258)</f>
        <v>637.47473949076391</v>
      </c>
      <c r="J259" s="62"/>
      <c r="K259" s="62"/>
      <c r="L259" s="63"/>
    </row>
    <row r="260" spans="1:14" s="49" customFormat="1" ht="15" customHeight="1">
      <c r="A260" s="47"/>
      <c r="B260" s="47"/>
      <c r="C260" s="138" t="s">
        <v>269</v>
      </c>
      <c r="D260" s="139"/>
      <c r="E260" s="139"/>
      <c r="F260" s="139" t="s">
        <v>18</v>
      </c>
      <c r="G260" s="139"/>
      <c r="H260" s="140"/>
      <c r="I260" s="72">
        <f>I259*J260</f>
        <v>140.24444268796807</v>
      </c>
      <c r="J260" s="96">
        <v>0.22</v>
      </c>
      <c r="K260" s="81"/>
      <c r="L260" s="88"/>
    </row>
    <row r="261" spans="1:14" s="49" customFormat="1" ht="15" customHeight="1">
      <c r="A261" s="47"/>
      <c r="B261" s="47"/>
      <c r="C261" s="138" t="s">
        <v>362</v>
      </c>
      <c r="D261" s="139"/>
      <c r="E261" s="139"/>
      <c r="F261" s="139" t="s">
        <v>18</v>
      </c>
      <c r="G261" s="139"/>
      <c r="H261" s="140"/>
      <c r="I261" s="72">
        <f>I259*J261</f>
        <v>216.74141142685974</v>
      </c>
      <c r="J261" s="96">
        <v>0.34</v>
      </c>
      <c r="K261" s="81"/>
      <c r="L261" s="88"/>
    </row>
    <row r="262" spans="1:14" s="49" customFormat="1" ht="15" customHeight="1">
      <c r="A262" s="47"/>
      <c r="B262" s="47"/>
      <c r="C262" s="138" t="s">
        <v>271</v>
      </c>
      <c r="D262" s="139"/>
      <c r="E262" s="164" t="s">
        <v>347</v>
      </c>
      <c r="F262" s="164"/>
      <c r="G262" s="164"/>
      <c r="H262" s="164"/>
      <c r="I262" s="72">
        <f>(I253+I254+I255)*J262</f>
        <v>43.438233070394411</v>
      </c>
      <c r="J262" s="81">
        <v>182.46</v>
      </c>
      <c r="K262" s="81"/>
      <c r="L262" s="88"/>
    </row>
    <row r="263" spans="1:14" s="49" customFormat="1" ht="15" customHeight="1">
      <c r="A263" s="47"/>
      <c r="B263" s="47"/>
      <c r="C263" s="138" t="s">
        <v>87</v>
      </c>
      <c r="D263" s="139"/>
      <c r="E263" s="139"/>
      <c r="F263" s="139" t="s">
        <v>18</v>
      </c>
      <c r="G263" s="139"/>
      <c r="H263" s="140"/>
      <c r="I263" s="72">
        <f>SUM(I259:I262)</f>
        <v>1037.8988266759861</v>
      </c>
      <c r="J263" s="91"/>
      <c r="K263" s="81"/>
      <c r="L263" s="88"/>
    </row>
    <row r="264" spans="1:14" s="49" customFormat="1" ht="15" customHeight="1">
      <c r="A264" s="47"/>
      <c r="B264" s="47"/>
      <c r="C264" s="138" t="s">
        <v>360</v>
      </c>
      <c r="D264" s="139"/>
      <c r="E264" s="139"/>
      <c r="F264" s="139" t="s">
        <v>18</v>
      </c>
      <c r="G264" s="139"/>
      <c r="H264" s="140"/>
      <c r="I264" s="72">
        <f>I263*J264</f>
        <v>207.57976533519724</v>
      </c>
      <c r="J264" s="91">
        <v>0.2</v>
      </c>
      <c r="K264" s="81"/>
      <c r="L264" s="88"/>
    </row>
    <row r="265" spans="1:14" s="49" customFormat="1" ht="15" customHeight="1">
      <c r="A265" s="47"/>
      <c r="B265" s="47"/>
      <c r="C265" s="138" t="s">
        <v>45</v>
      </c>
      <c r="D265" s="139"/>
      <c r="E265" s="139"/>
      <c r="F265" s="139" t="s">
        <v>18</v>
      </c>
      <c r="G265" s="139"/>
      <c r="H265" s="140"/>
      <c r="I265" s="72">
        <f>SUM(I263:I264)</f>
        <v>1245.4785920111833</v>
      </c>
      <c r="J265" s="91"/>
      <c r="K265" s="81"/>
      <c r="L265" s="88"/>
    </row>
    <row r="266" spans="1:14" s="49" customFormat="1" ht="15" customHeight="1">
      <c r="A266" s="47"/>
      <c r="B266" s="47"/>
      <c r="C266" s="152" t="s">
        <v>46</v>
      </c>
      <c r="D266" s="153"/>
      <c r="E266" s="154"/>
      <c r="F266" s="131" t="s">
        <v>18</v>
      </c>
      <c r="G266" s="132"/>
      <c r="H266" s="90">
        <v>0.05</v>
      </c>
      <c r="I266" s="72">
        <f>I264*J266</f>
        <v>10.378988266759862</v>
      </c>
      <c r="J266" s="91">
        <v>0.05</v>
      </c>
      <c r="K266" s="81"/>
      <c r="L266" s="88"/>
    </row>
    <row r="267" spans="1:14" s="9" customFormat="1" ht="15" customHeight="1">
      <c r="A267" s="21"/>
      <c r="B267" s="21"/>
      <c r="C267" s="146" t="s">
        <v>47</v>
      </c>
      <c r="D267" s="147"/>
      <c r="E267" s="147"/>
      <c r="F267" s="147" t="s">
        <v>18</v>
      </c>
      <c r="G267" s="147"/>
      <c r="H267" s="148"/>
      <c r="I267" s="78">
        <f>I265+I266</f>
        <v>1255.8575802779433</v>
      </c>
      <c r="J267" s="80"/>
      <c r="K267" s="62"/>
      <c r="L267" s="63"/>
    </row>
    <row r="268" spans="1:14" s="54" customFormat="1" ht="15" customHeight="1">
      <c r="A268" s="53"/>
      <c r="B268" s="53"/>
      <c r="C268" s="143" t="s">
        <v>48</v>
      </c>
      <c r="D268" s="144"/>
      <c r="E268" s="145"/>
      <c r="F268" s="141" t="s">
        <v>18</v>
      </c>
      <c r="G268" s="142"/>
      <c r="H268" s="92">
        <v>0.05</v>
      </c>
      <c r="I268" s="78">
        <f>I267*J268/K268</f>
        <v>66.097767383049643</v>
      </c>
      <c r="J268" s="80">
        <v>0.05</v>
      </c>
      <c r="K268" s="80">
        <v>0.95</v>
      </c>
    </row>
    <row r="269" spans="1:14" s="9" customFormat="1" ht="15.6" customHeight="1">
      <c r="A269" s="21"/>
      <c r="B269" s="21"/>
      <c r="C269" s="146" t="s">
        <v>49</v>
      </c>
      <c r="D269" s="147"/>
      <c r="E269" s="147"/>
      <c r="F269" s="147" t="s">
        <v>18</v>
      </c>
      <c r="G269" s="147"/>
      <c r="H269" s="148"/>
      <c r="I269" s="78">
        <f>I267+I268</f>
        <v>1321.9553476609929</v>
      </c>
      <c r="J269" s="62"/>
      <c r="K269" s="62"/>
      <c r="L269" s="63">
        <v>1</v>
      </c>
    </row>
    <row r="270" spans="1:14" s="9" customFormat="1" ht="18" customHeight="1">
      <c r="A270" s="21"/>
      <c r="B270" s="21"/>
      <c r="C270" s="158" t="s">
        <v>95</v>
      </c>
      <c r="D270" s="159"/>
      <c r="E270" s="159"/>
      <c r="F270" s="159"/>
      <c r="G270" s="159"/>
      <c r="H270" s="160"/>
      <c r="I270" s="10">
        <f>I269/I9</f>
        <v>0.17114906106434397</v>
      </c>
      <c r="J270" s="62"/>
      <c r="K270" s="62"/>
      <c r="L270" s="63"/>
    </row>
    <row r="271" spans="1:14" s="9" customFormat="1" ht="18" customHeight="1">
      <c r="A271" s="21"/>
      <c r="B271" s="21"/>
      <c r="C271" s="161" t="s">
        <v>0</v>
      </c>
      <c r="D271" s="162"/>
      <c r="E271" s="162"/>
      <c r="F271" s="162"/>
      <c r="G271" s="162"/>
      <c r="H271" s="162"/>
      <c r="I271" s="163"/>
      <c r="J271" s="62"/>
      <c r="K271" s="62"/>
      <c r="L271" s="63"/>
    </row>
    <row r="272" spans="1:14" s="49" customFormat="1" ht="16.95" customHeight="1">
      <c r="A272" s="47"/>
      <c r="B272" s="47"/>
      <c r="C272" s="138" t="s">
        <v>348</v>
      </c>
      <c r="D272" s="139"/>
      <c r="E272" s="139"/>
      <c r="F272" s="139" t="s">
        <v>18</v>
      </c>
      <c r="G272" s="139"/>
      <c r="H272" s="140"/>
      <c r="I272" s="72">
        <f>J272*I9</f>
        <v>1004.12</v>
      </c>
      <c r="J272" s="81">
        <v>0.13</v>
      </c>
      <c r="K272" s="81"/>
      <c r="L272" s="88"/>
    </row>
    <row r="273" spans="1:12" s="49" customFormat="1" ht="15" customHeight="1">
      <c r="A273" s="47"/>
      <c r="B273" s="47"/>
      <c r="C273" s="138" t="s">
        <v>358</v>
      </c>
      <c r="D273" s="139"/>
      <c r="E273" s="139"/>
      <c r="F273" s="139" t="s">
        <v>18</v>
      </c>
      <c r="G273" s="139"/>
      <c r="H273" s="140"/>
      <c r="I273" s="72">
        <f>I272*J273</f>
        <v>200.82400000000001</v>
      </c>
      <c r="J273" s="91">
        <v>0.2</v>
      </c>
      <c r="K273" s="81"/>
      <c r="L273" s="88"/>
    </row>
    <row r="274" spans="1:12" s="9" customFormat="1" ht="14.4" customHeight="1">
      <c r="A274" s="21"/>
      <c r="B274" s="21"/>
      <c r="C274" s="146" t="s">
        <v>45</v>
      </c>
      <c r="D274" s="147"/>
      <c r="E274" s="147"/>
      <c r="F274" s="147" t="s">
        <v>18</v>
      </c>
      <c r="G274" s="147"/>
      <c r="H274" s="148"/>
      <c r="I274" s="78">
        <f>SUM(I272:I273)</f>
        <v>1204.944</v>
      </c>
      <c r="J274" s="62"/>
      <c r="K274" s="62"/>
      <c r="L274" s="63"/>
    </row>
    <row r="275" spans="1:12" s="9" customFormat="1" ht="14.4" customHeight="1">
      <c r="A275" s="21"/>
      <c r="B275" s="21"/>
      <c r="C275" s="143" t="s">
        <v>46</v>
      </c>
      <c r="D275" s="144"/>
      <c r="E275" s="145"/>
      <c r="F275" s="141" t="s">
        <v>18</v>
      </c>
      <c r="G275" s="142"/>
      <c r="H275" s="92">
        <v>0.05</v>
      </c>
      <c r="I275" s="78">
        <f>I273*J275</f>
        <v>10.041200000000002</v>
      </c>
      <c r="J275" s="80">
        <v>0.05</v>
      </c>
      <c r="K275" s="62"/>
      <c r="L275" s="63"/>
    </row>
    <row r="276" spans="1:12" s="9" customFormat="1" ht="14.4" customHeight="1">
      <c r="A276" s="21"/>
      <c r="B276" s="21"/>
      <c r="C276" s="146" t="s">
        <v>47</v>
      </c>
      <c r="D276" s="147"/>
      <c r="E276" s="147"/>
      <c r="F276" s="147" t="s">
        <v>18</v>
      </c>
      <c r="G276" s="147"/>
      <c r="H276" s="148"/>
      <c r="I276" s="78">
        <f>I274+I275</f>
        <v>1214.9851999999998</v>
      </c>
      <c r="J276" s="62"/>
      <c r="K276" s="62"/>
      <c r="L276" s="63"/>
    </row>
    <row r="277" spans="1:12" s="9" customFormat="1" ht="14.4" customHeight="1">
      <c r="A277" s="21"/>
      <c r="B277" s="21"/>
      <c r="C277" s="143" t="s">
        <v>48</v>
      </c>
      <c r="D277" s="144"/>
      <c r="E277" s="145"/>
      <c r="F277" s="141" t="s">
        <v>18</v>
      </c>
      <c r="G277" s="142"/>
      <c r="H277" s="92">
        <v>0.05</v>
      </c>
      <c r="I277" s="78">
        <f>I276*J277/K277</f>
        <v>63.946589473684206</v>
      </c>
      <c r="J277" s="80">
        <v>0.05</v>
      </c>
      <c r="K277" s="80">
        <v>0.95</v>
      </c>
      <c r="L277" s="63"/>
    </row>
    <row r="278" spans="1:12" s="9" customFormat="1" ht="14.4" customHeight="1">
      <c r="A278" s="21"/>
      <c r="B278" s="21"/>
      <c r="C278" s="146" t="s">
        <v>49</v>
      </c>
      <c r="D278" s="147"/>
      <c r="E278" s="147"/>
      <c r="F278" s="147" t="s">
        <v>18</v>
      </c>
      <c r="G278" s="147"/>
      <c r="H278" s="148"/>
      <c r="I278" s="78">
        <f>I276+I277</f>
        <v>1278.9317894736841</v>
      </c>
      <c r="J278" s="62"/>
      <c r="K278" s="62"/>
      <c r="L278" s="63"/>
    </row>
    <row r="279" spans="1:12" s="9" customFormat="1" ht="16.2">
      <c r="A279" s="21"/>
      <c r="B279" s="21"/>
      <c r="C279" s="158" t="s">
        <v>95</v>
      </c>
      <c r="D279" s="159"/>
      <c r="E279" s="159"/>
      <c r="F279" s="159"/>
      <c r="G279" s="159"/>
      <c r="H279" s="160"/>
      <c r="I279" s="10">
        <f>I278/I9</f>
        <v>0.16557894736842105</v>
      </c>
      <c r="J279" s="62"/>
      <c r="K279" s="62"/>
      <c r="L279" s="63"/>
    </row>
    <row r="280" spans="1:12" s="9" customFormat="1" ht="16.2">
      <c r="A280" s="21"/>
      <c r="B280" s="21"/>
      <c r="C280" s="158" t="s">
        <v>245</v>
      </c>
      <c r="D280" s="159"/>
      <c r="E280" s="159"/>
      <c r="F280" s="159"/>
      <c r="G280" s="159"/>
      <c r="H280" s="160"/>
      <c r="I280" s="12">
        <f>J280</f>
        <v>0.48257894736842105</v>
      </c>
      <c r="J280" s="97">
        <f>ROUND(I191,3)+ROUND(I215,3)+ROUND(I238,3)+ROUND(I270,3)+I279</f>
        <v>0.48257894736842105</v>
      </c>
      <c r="K280" s="62"/>
      <c r="L280" s="63"/>
    </row>
    <row r="281" spans="1:12" s="9" customFormat="1" ht="16.2">
      <c r="A281" s="126" t="s">
        <v>227</v>
      </c>
      <c r="B281" s="127"/>
      <c r="C281" s="127"/>
      <c r="D281" s="127"/>
      <c r="E281" s="127"/>
      <c r="F281" s="127"/>
      <c r="G281" s="127"/>
      <c r="H281" s="127"/>
      <c r="I281" s="128"/>
      <c r="J281" s="62"/>
      <c r="K281" s="62"/>
      <c r="L281" s="63"/>
    </row>
    <row r="282" spans="1:12" s="9" customFormat="1" ht="15" customHeight="1">
      <c r="A282" s="21"/>
      <c r="B282" s="21"/>
      <c r="C282" s="146" t="s">
        <v>317</v>
      </c>
      <c r="D282" s="147"/>
      <c r="E282" s="147"/>
      <c r="F282" s="147" t="s">
        <v>18</v>
      </c>
      <c r="G282" s="147"/>
      <c r="H282" s="148"/>
      <c r="I282" s="110">
        <v>1.29</v>
      </c>
      <c r="J282" s="62"/>
      <c r="K282" s="62"/>
      <c r="L282" s="63"/>
    </row>
    <row r="283" spans="1:12" s="9" customFormat="1" ht="15" customHeight="1">
      <c r="A283" s="21"/>
      <c r="B283" s="21"/>
      <c r="C283" s="146" t="s">
        <v>266</v>
      </c>
      <c r="D283" s="147"/>
      <c r="E283" s="147"/>
      <c r="F283" s="147" t="s">
        <v>18</v>
      </c>
      <c r="G283" s="147"/>
      <c r="H283" s="148"/>
      <c r="I283" s="110">
        <f>I282*J283*I21/12</f>
        <v>77.400000000000006</v>
      </c>
      <c r="J283" s="62">
        <v>1</v>
      </c>
      <c r="K283" s="62">
        <v>12</v>
      </c>
      <c r="L283" s="63"/>
    </row>
    <row r="284" spans="1:12" s="9" customFormat="1" ht="15" customHeight="1">
      <c r="A284" s="21"/>
      <c r="B284" s="21"/>
      <c r="C284" s="146" t="s">
        <v>87</v>
      </c>
      <c r="D284" s="147"/>
      <c r="E284" s="147"/>
      <c r="F284" s="147" t="s">
        <v>18</v>
      </c>
      <c r="G284" s="147"/>
      <c r="H284" s="148"/>
      <c r="I284" s="110">
        <f>SUM(I283)</f>
        <v>77.400000000000006</v>
      </c>
      <c r="J284" s="62"/>
      <c r="K284" s="62"/>
      <c r="L284" s="63"/>
    </row>
    <row r="285" spans="1:12" s="49" customFormat="1" ht="15" customHeight="1">
      <c r="A285" s="47"/>
      <c r="B285" s="47"/>
      <c r="C285" s="138" t="s">
        <v>365</v>
      </c>
      <c r="D285" s="139"/>
      <c r="E285" s="139"/>
      <c r="F285" s="139" t="s">
        <v>18</v>
      </c>
      <c r="G285" s="139"/>
      <c r="H285" s="140"/>
      <c r="I285" s="101">
        <f>I284*J285</f>
        <v>15.480000000000002</v>
      </c>
      <c r="J285" s="91">
        <v>0.2</v>
      </c>
      <c r="K285" s="81"/>
      <c r="L285" s="88"/>
    </row>
    <row r="286" spans="1:12" s="9" customFormat="1" ht="15" customHeight="1">
      <c r="A286" s="21"/>
      <c r="B286" s="21"/>
      <c r="C286" s="146" t="s">
        <v>88</v>
      </c>
      <c r="D286" s="147"/>
      <c r="E286" s="147"/>
      <c r="F286" s="147" t="s">
        <v>18</v>
      </c>
      <c r="G286" s="147"/>
      <c r="H286" s="148"/>
      <c r="I286" s="100">
        <f>SUM(I284:I285)</f>
        <v>92.88000000000001</v>
      </c>
      <c r="J286" s="80"/>
      <c r="K286" s="62"/>
      <c r="L286" s="63"/>
    </row>
    <row r="287" spans="1:12" s="9" customFormat="1" ht="15" customHeight="1">
      <c r="A287" s="21"/>
      <c r="B287" s="21"/>
      <c r="C287" s="143" t="s">
        <v>46</v>
      </c>
      <c r="D287" s="144"/>
      <c r="E287" s="145"/>
      <c r="F287" s="141" t="s">
        <v>18</v>
      </c>
      <c r="G287" s="142"/>
      <c r="H287" s="92">
        <v>0.05</v>
      </c>
      <c r="I287" s="78">
        <f>I285*J287</f>
        <v>0.77400000000000013</v>
      </c>
      <c r="J287" s="80">
        <v>0.05</v>
      </c>
      <c r="K287" s="62"/>
      <c r="L287" s="63"/>
    </row>
    <row r="288" spans="1:12" s="9" customFormat="1" ht="15" customHeight="1">
      <c r="A288" s="21"/>
      <c r="B288" s="21"/>
      <c r="C288" s="146" t="s">
        <v>47</v>
      </c>
      <c r="D288" s="147"/>
      <c r="E288" s="147"/>
      <c r="F288" s="147" t="s">
        <v>18</v>
      </c>
      <c r="G288" s="147"/>
      <c r="H288" s="148"/>
      <c r="I288" s="78">
        <f>I286+I287</f>
        <v>93.654000000000011</v>
      </c>
      <c r="J288" s="80"/>
      <c r="K288" s="62"/>
      <c r="L288" s="63"/>
    </row>
    <row r="289" spans="1:14" s="9" customFormat="1" ht="15" customHeight="1">
      <c r="A289" s="21"/>
      <c r="B289" s="21"/>
      <c r="C289" s="143" t="s">
        <v>48</v>
      </c>
      <c r="D289" s="144"/>
      <c r="E289" s="145"/>
      <c r="F289" s="141" t="s">
        <v>18</v>
      </c>
      <c r="G289" s="142"/>
      <c r="H289" s="92">
        <v>0.05</v>
      </c>
      <c r="I289" s="78">
        <f>I288*J289/K289</f>
        <v>4.9291578947368428</v>
      </c>
      <c r="J289" s="80">
        <v>0.05</v>
      </c>
      <c r="K289" s="80">
        <v>0.95</v>
      </c>
      <c r="L289" s="63"/>
    </row>
    <row r="290" spans="1:14" s="9" customFormat="1" ht="15" customHeight="1">
      <c r="A290" s="21"/>
      <c r="B290" s="21"/>
      <c r="C290" s="146" t="s">
        <v>49</v>
      </c>
      <c r="D290" s="147"/>
      <c r="E290" s="147"/>
      <c r="F290" s="147" t="s">
        <v>18</v>
      </c>
      <c r="G290" s="147"/>
      <c r="H290" s="148"/>
      <c r="I290" s="78">
        <f>I288+I289</f>
        <v>98.583157894736857</v>
      </c>
      <c r="J290" s="80"/>
      <c r="K290" s="80"/>
      <c r="L290" s="63"/>
    </row>
    <row r="291" spans="1:14" s="9" customFormat="1" ht="16.2">
      <c r="A291" s="21"/>
      <c r="B291" s="21"/>
      <c r="C291" s="158" t="s">
        <v>95</v>
      </c>
      <c r="D291" s="159"/>
      <c r="E291" s="159"/>
      <c r="F291" s="159"/>
      <c r="G291" s="159"/>
      <c r="H291" s="160"/>
      <c r="I291" s="10">
        <v>0</v>
      </c>
      <c r="J291" s="97">
        <f>ROUND(K291,3)</f>
        <v>1.2999999999999999E-2</v>
      </c>
      <c r="K291" s="97">
        <f>I290/I9</f>
        <v>1.2763226035051379E-2</v>
      </c>
      <c r="L291" s="63"/>
    </row>
    <row r="292" spans="1:14" s="9" customFormat="1" ht="16.2">
      <c r="A292" s="126" t="s">
        <v>226</v>
      </c>
      <c r="B292" s="127"/>
      <c r="C292" s="127"/>
      <c r="D292" s="127"/>
      <c r="E292" s="127"/>
      <c r="F292" s="127"/>
      <c r="G292" s="127"/>
      <c r="H292" s="127"/>
      <c r="I292" s="128"/>
      <c r="J292" s="62"/>
      <c r="K292" s="62"/>
      <c r="L292" s="63"/>
    </row>
    <row r="293" spans="1:14" s="9" customFormat="1" ht="15" customHeight="1">
      <c r="A293" s="21"/>
      <c r="B293" s="21"/>
      <c r="C293" s="146" t="s">
        <v>317</v>
      </c>
      <c r="D293" s="147"/>
      <c r="E293" s="147"/>
      <c r="F293" s="147" t="s">
        <v>18</v>
      </c>
      <c r="G293" s="147"/>
      <c r="H293" s="148"/>
      <c r="I293" s="110">
        <v>1.48</v>
      </c>
      <c r="J293" s="62"/>
      <c r="K293" s="62"/>
      <c r="L293" s="63"/>
    </row>
    <row r="294" spans="1:14" s="9" customFormat="1" ht="15" customHeight="1">
      <c r="A294" s="21"/>
      <c r="B294" s="21"/>
      <c r="C294" s="146" t="s">
        <v>267</v>
      </c>
      <c r="D294" s="147"/>
      <c r="E294" s="147"/>
      <c r="F294" s="147" t="s">
        <v>18</v>
      </c>
      <c r="G294" s="147"/>
      <c r="H294" s="148"/>
      <c r="I294" s="110">
        <f>I293*J294*I21/12</f>
        <v>88.8</v>
      </c>
      <c r="J294" s="62">
        <v>1</v>
      </c>
      <c r="K294" s="62">
        <v>12</v>
      </c>
      <c r="L294" s="63"/>
    </row>
    <row r="295" spans="1:14" s="9" customFormat="1" ht="15" customHeight="1">
      <c r="A295" s="21"/>
      <c r="B295" s="21"/>
      <c r="C295" s="146" t="s">
        <v>87</v>
      </c>
      <c r="D295" s="147"/>
      <c r="E295" s="147"/>
      <c r="F295" s="147" t="s">
        <v>18</v>
      </c>
      <c r="G295" s="147"/>
      <c r="H295" s="148"/>
      <c r="I295" s="110">
        <f>SUM(I294)</f>
        <v>88.8</v>
      </c>
      <c r="J295" s="62"/>
      <c r="K295" s="62"/>
      <c r="L295" s="63"/>
    </row>
    <row r="296" spans="1:14" s="49" customFormat="1" ht="15" customHeight="1">
      <c r="A296" s="47"/>
      <c r="B296" s="47"/>
      <c r="C296" s="138" t="s">
        <v>366</v>
      </c>
      <c r="D296" s="139"/>
      <c r="E296" s="139"/>
      <c r="F296" s="139" t="s">
        <v>18</v>
      </c>
      <c r="G296" s="139"/>
      <c r="H296" s="140"/>
      <c r="I296" s="101">
        <f>I295*J296</f>
        <v>17.760000000000002</v>
      </c>
      <c r="J296" s="51">
        <v>0.2</v>
      </c>
      <c r="K296" s="48"/>
      <c r="L296" s="88"/>
    </row>
    <row r="297" spans="1:14" s="9" customFormat="1" ht="15" customHeight="1">
      <c r="A297" s="21"/>
      <c r="B297" s="21"/>
      <c r="C297" s="146" t="s">
        <v>88</v>
      </c>
      <c r="D297" s="147"/>
      <c r="E297" s="147"/>
      <c r="F297" s="147" t="s">
        <v>18</v>
      </c>
      <c r="G297" s="147"/>
      <c r="H297" s="148"/>
      <c r="I297" s="100">
        <f>SUM(I295:I296)</f>
        <v>106.56</v>
      </c>
      <c r="J297" s="62"/>
      <c r="K297" s="62"/>
      <c r="L297" s="63"/>
    </row>
    <row r="298" spans="1:14" s="9" customFormat="1" ht="15" customHeight="1">
      <c r="A298" s="21"/>
      <c r="B298" s="21"/>
      <c r="C298" s="143" t="s">
        <v>46</v>
      </c>
      <c r="D298" s="144"/>
      <c r="E298" s="145"/>
      <c r="F298" s="141" t="s">
        <v>18</v>
      </c>
      <c r="G298" s="142"/>
      <c r="H298" s="92">
        <v>0.05</v>
      </c>
      <c r="I298" s="78">
        <f>I296*J298</f>
        <v>0.88800000000000012</v>
      </c>
      <c r="J298" s="80">
        <v>0.05</v>
      </c>
      <c r="K298" s="62"/>
      <c r="L298" s="63"/>
    </row>
    <row r="299" spans="1:14" s="9" customFormat="1" ht="15" customHeight="1">
      <c r="A299" s="21"/>
      <c r="B299" s="21"/>
      <c r="C299" s="146" t="s">
        <v>47</v>
      </c>
      <c r="D299" s="147"/>
      <c r="E299" s="147"/>
      <c r="F299" s="147" t="s">
        <v>18</v>
      </c>
      <c r="G299" s="147"/>
      <c r="H299" s="148"/>
      <c r="I299" s="78">
        <f>I297+I298</f>
        <v>107.44800000000001</v>
      </c>
      <c r="J299" s="62"/>
      <c r="K299" s="62"/>
      <c r="L299" s="63"/>
    </row>
    <row r="300" spans="1:14" s="9" customFormat="1" ht="15" customHeight="1">
      <c r="A300" s="21"/>
      <c r="B300" s="21"/>
      <c r="C300" s="143" t="s">
        <v>48</v>
      </c>
      <c r="D300" s="144"/>
      <c r="E300" s="145"/>
      <c r="F300" s="141" t="s">
        <v>18</v>
      </c>
      <c r="G300" s="142"/>
      <c r="H300" s="92">
        <v>0.05</v>
      </c>
      <c r="I300" s="78">
        <f>I299*J300/K300</f>
        <v>5.6551578947368428</v>
      </c>
      <c r="J300" s="80">
        <v>0.05</v>
      </c>
      <c r="K300" s="80">
        <v>0.95</v>
      </c>
      <c r="L300" s="63"/>
    </row>
    <row r="301" spans="1:14" s="9" customFormat="1" ht="15" customHeight="1">
      <c r="A301" s="21"/>
      <c r="B301" s="21"/>
      <c r="C301" s="146" t="s">
        <v>49</v>
      </c>
      <c r="D301" s="147"/>
      <c r="E301" s="147"/>
      <c r="F301" s="147" t="s">
        <v>18</v>
      </c>
      <c r="G301" s="147"/>
      <c r="H301" s="148"/>
      <c r="I301" s="78">
        <f>I299+I300</f>
        <v>113.10315789473685</v>
      </c>
      <c r="J301" s="95"/>
      <c r="K301" s="62"/>
      <c r="L301" s="63"/>
    </row>
    <row r="302" spans="1:14" s="9" customFormat="1" ht="15.75" customHeight="1">
      <c r="A302" s="21"/>
      <c r="B302" s="21"/>
      <c r="C302" s="158" t="s">
        <v>95</v>
      </c>
      <c r="D302" s="159"/>
      <c r="E302" s="159"/>
      <c r="F302" s="159"/>
      <c r="G302" s="159"/>
      <c r="H302" s="160"/>
      <c r="I302" s="10">
        <v>0</v>
      </c>
      <c r="J302" s="97">
        <f>ROUND(K302,3)</f>
        <v>1.4999999999999999E-2</v>
      </c>
      <c r="K302" s="97">
        <f>I301/I9</f>
        <v>1.4643081032462047E-2</v>
      </c>
      <c r="L302" s="63"/>
    </row>
    <row r="303" spans="1:14" s="9" customFormat="1" ht="15.75" customHeight="1">
      <c r="A303" s="211" t="s">
        <v>228</v>
      </c>
      <c r="B303" s="212"/>
      <c r="C303" s="212"/>
      <c r="D303" s="212"/>
      <c r="E303" s="212"/>
      <c r="F303" s="212"/>
      <c r="G303" s="212"/>
      <c r="H303" s="212"/>
      <c r="I303" s="213"/>
      <c r="J303" s="81"/>
      <c r="K303" s="62"/>
      <c r="L303" s="63"/>
    </row>
    <row r="304" spans="1:14" s="9" customFormat="1" ht="56.4" customHeight="1">
      <c r="A304" s="21"/>
      <c r="B304" s="21" t="s">
        <v>180</v>
      </c>
      <c r="C304" s="146" t="s">
        <v>318</v>
      </c>
      <c r="D304" s="147"/>
      <c r="E304" s="147"/>
      <c r="F304" s="147" t="s">
        <v>70</v>
      </c>
      <c r="G304" s="147"/>
      <c r="H304" s="148"/>
      <c r="I304" s="13">
        <f>I37*J304*M304/K304/L304</f>
        <v>6.7398901647528708E-2</v>
      </c>
      <c r="J304" s="81">
        <v>1.8</v>
      </c>
      <c r="K304" s="62">
        <v>10</v>
      </c>
      <c r="L304" s="63">
        <v>2003</v>
      </c>
      <c r="M304" s="56">
        <v>1</v>
      </c>
      <c r="N304" s="52"/>
    </row>
    <row r="305" spans="1:14" s="9" customFormat="1" ht="15.75" customHeight="1">
      <c r="A305" s="21"/>
      <c r="B305" s="21"/>
      <c r="C305" s="146" t="s">
        <v>1</v>
      </c>
      <c r="D305" s="147"/>
      <c r="E305" s="147"/>
      <c r="F305" s="147" t="s">
        <v>18</v>
      </c>
      <c r="G305" s="147"/>
      <c r="H305" s="148"/>
      <c r="I305" s="17">
        <f>J305*K305*M305*N305*I304</f>
        <v>168.87468796804794</v>
      </c>
      <c r="J305" s="81">
        <v>1450</v>
      </c>
      <c r="K305" s="81">
        <v>1.2</v>
      </c>
      <c r="L305" s="63"/>
      <c r="M305" s="9">
        <v>1.2</v>
      </c>
      <c r="N305" s="9">
        <v>1.2</v>
      </c>
    </row>
    <row r="306" spans="1:14" s="9" customFormat="1" ht="15.75" customHeight="1">
      <c r="A306" s="21"/>
      <c r="B306" s="21"/>
      <c r="C306" s="146" t="s">
        <v>269</v>
      </c>
      <c r="D306" s="147"/>
      <c r="E306" s="147"/>
      <c r="F306" s="147" t="s">
        <v>18</v>
      </c>
      <c r="G306" s="147"/>
      <c r="H306" s="148"/>
      <c r="I306" s="78">
        <f>I305*J306</f>
        <v>37.152431352970545</v>
      </c>
      <c r="J306" s="95">
        <v>0.22</v>
      </c>
      <c r="K306" s="81"/>
      <c r="L306" s="63"/>
    </row>
    <row r="307" spans="1:14" s="49" customFormat="1" ht="15.75" customHeight="1">
      <c r="A307" s="47"/>
      <c r="B307" s="47"/>
      <c r="C307" s="138" t="s">
        <v>362</v>
      </c>
      <c r="D307" s="139"/>
      <c r="E307" s="139"/>
      <c r="F307" s="139" t="s">
        <v>18</v>
      </c>
      <c r="G307" s="139"/>
      <c r="H307" s="140"/>
      <c r="I307" s="72">
        <f>I305*J307</f>
        <v>57.417393909136301</v>
      </c>
      <c r="J307" s="96">
        <v>0.34</v>
      </c>
      <c r="K307" s="81"/>
      <c r="L307" s="88"/>
    </row>
    <row r="308" spans="1:14" s="49" customFormat="1" ht="15.75" customHeight="1">
      <c r="A308" s="47"/>
      <c r="B308" s="47"/>
      <c r="C308" s="138" t="s">
        <v>349</v>
      </c>
      <c r="D308" s="139"/>
      <c r="E308" s="139"/>
      <c r="F308" s="139" t="s">
        <v>18</v>
      </c>
      <c r="G308" s="139"/>
      <c r="H308" s="140"/>
      <c r="I308" s="72">
        <f>I304*J308</f>
        <v>5.040089865202197</v>
      </c>
      <c r="J308" s="102">
        <v>74.78</v>
      </c>
      <c r="K308" s="81"/>
      <c r="L308" s="88"/>
    </row>
    <row r="309" spans="1:14" s="49" customFormat="1" ht="15.75" customHeight="1">
      <c r="A309" s="47"/>
      <c r="B309" s="47"/>
      <c r="C309" s="138" t="s">
        <v>287</v>
      </c>
      <c r="D309" s="139"/>
      <c r="E309" s="139"/>
      <c r="F309" s="139" t="s">
        <v>18</v>
      </c>
      <c r="G309" s="139"/>
      <c r="H309" s="140"/>
      <c r="I309" s="72">
        <f>SUM(I305:I308)</f>
        <v>268.48460309535699</v>
      </c>
      <c r="J309" s="102"/>
      <c r="K309" s="81"/>
      <c r="L309" s="88"/>
    </row>
    <row r="310" spans="1:14" s="49" customFormat="1" ht="15.75" customHeight="1">
      <c r="A310" s="47"/>
      <c r="B310" s="47"/>
      <c r="C310" s="138" t="s">
        <v>366</v>
      </c>
      <c r="D310" s="139"/>
      <c r="E310" s="139"/>
      <c r="F310" s="139" t="s">
        <v>18</v>
      </c>
      <c r="G310" s="139"/>
      <c r="H310" s="140"/>
      <c r="I310" s="72">
        <f>I309*J310</f>
        <v>53.696920619071399</v>
      </c>
      <c r="J310" s="91">
        <v>0.2</v>
      </c>
      <c r="K310" s="81"/>
      <c r="L310" s="88"/>
    </row>
    <row r="311" spans="1:14" s="49" customFormat="1">
      <c r="A311" s="47"/>
      <c r="B311" s="47"/>
      <c r="C311" s="138" t="s">
        <v>45</v>
      </c>
      <c r="D311" s="139"/>
      <c r="E311" s="139"/>
      <c r="F311" s="139" t="s">
        <v>18</v>
      </c>
      <c r="G311" s="139"/>
      <c r="H311" s="140"/>
      <c r="I311" s="72">
        <f>SUM(I309:I310)</f>
        <v>322.18152371442841</v>
      </c>
      <c r="J311" s="81"/>
      <c r="K311" s="81"/>
      <c r="L311" s="88"/>
    </row>
    <row r="312" spans="1:14" s="9" customFormat="1">
      <c r="A312" s="21"/>
      <c r="B312" s="21"/>
      <c r="C312" s="143" t="s">
        <v>46</v>
      </c>
      <c r="D312" s="144"/>
      <c r="E312" s="145"/>
      <c r="F312" s="141" t="s">
        <v>18</v>
      </c>
      <c r="G312" s="142"/>
      <c r="H312" s="92">
        <v>0.05</v>
      </c>
      <c r="I312" s="78">
        <f>I311*J312</f>
        <v>16.10907618572142</v>
      </c>
      <c r="J312" s="80">
        <v>0.05</v>
      </c>
      <c r="K312" s="62"/>
      <c r="L312" s="63"/>
    </row>
    <row r="313" spans="1:14" s="9" customFormat="1">
      <c r="A313" s="21"/>
      <c r="B313" s="21"/>
      <c r="C313" s="146" t="s">
        <v>47</v>
      </c>
      <c r="D313" s="147"/>
      <c r="E313" s="147"/>
      <c r="F313" s="147" t="s">
        <v>18</v>
      </c>
      <c r="G313" s="147"/>
      <c r="H313" s="148"/>
      <c r="I313" s="78">
        <f>I311+I312</f>
        <v>338.2905999001498</v>
      </c>
      <c r="J313" s="62"/>
      <c r="K313" s="62"/>
      <c r="L313" s="63"/>
    </row>
    <row r="314" spans="1:14" s="54" customFormat="1">
      <c r="A314" s="53"/>
      <c r="B314" s="53"/>
      <c r="C314" s="143" t="s">
        <v>48</v>
      </c>
      <c r="D314" s="144"/>
      <c r="E314" s="145"/>
      <c r="F314" s="141" t="s">
        <v>18</v>
      </c>
      <c r="G314" s="142"/>
      <c r="H314" s="92">
        <v>0.05</v>
      </c>
      <c r="I314" s="78">
        <f>I313*J314/K314</f>
        <v>17.804768415797358</v>
      </c>
      <c r="J314" s="80">
        <v>0.05</v>
      </c>
      <c r="K314" s="80">
        <v>0.95</v>
      </c>
    </row>
    <row r="315" spans="1:14" s="57" customFormat="1">
      <c r="A315" s="53"/>
      <c r="B315" s="53"/>
      <c r="C315" s="146" t="s">
        <v>49</v>
      </c>
      <c r="D315" s="147"/>
      <c r="E315" s="147"/>
      <c r="F315" s="147" t="s">
        <v>18</v>
      </c>
      <c r="G315" s="147"/>
      <c r="H315" s="148"/>
      <c r="I315" s="78">
        <f>I313+I314</f>
        <v>356.09536831594716</v>
      </c>
      <c r="J315" s="62"/>
      <c r="K315" s="62"/>
      <c r="L315" s="54"/>
    </row>
    <row r="316" spans="1:14" s="9" customFormat="1" ht="16.2">
      <c r="A316" s="21"/>
      <c r="B316" s="21"/>
      <c r="C316" s="155" t="s">
        <v>95</v>
      </c>
      <c r="D316" s="156"/>
      <c r="E316" s="156"/>
      <c r="F316" s="156"/>
      <c r="G316" s="156"/>
      <c r="H316" s="157"/>
      <c r="I316" s="10">
        <f>J316</f>
        <v>4.5999999999999999E-2</v>
      </c>
      <c r="J316" s="97">
        <f>ROUND(K316,3)</f>
        <v>4.5999999999999999E-2</v>
      </c>
      <c r="K316" s="97">
        <f>I315/I10</f>
        <v>4.6102455763328221E-2</v>
      </c>
      <c r="L316" s="63"/>
    </row>
    <row r="317" spans="1:14" s="9" customFormat="1" ht="36.6" customHeight="1">
      <c r="A317" s="211" t="s">
        <v>181</v>
      </c>
      <c r="B317" s="212"/>
      <c r="C317" s="212"/>
      <c r="D317" s="212"/>
      <c r="E317" s="212"/>
      <c r="F317" s="212"/>
      <c r="G317" s="212"/>
      <c r="H317" s="212"/>
      <c r="I317" s="213"/>
      <c r="J317" s="55"/>
      <c r="K317" s="55"/>
      <c r="L317" s="63"/>
    </row>
    <row r="318" spans="1:14" s="9" customFormat="1" ht="48" customHeight="1">
      <c r="A318" s="21"/>
      <c r="B318" s="21" t="s">
        <v>182</v>
      </c>
      <c r="C318" s="146" t="s">
        <v>319</v>
      </c>
      <c r="D318" s="147"/>
      <c r="E318" s="147"/>
      <c r="F318" s="147" t="s">
        <v>12</v>
      </c>
      <c r="G318" s="147"/>
      <c r="H318" s="148"/>
      <c r="I318" s="87">
        <v>0</v>
      </c>
      <c r="J318" s="62">
        <v>2</v>
      </c>
      <c r="K318" s="62">
        <v>0.13</v>
      </c>
      <c r="L318" s="63"/>
      <c r="M318" s="9">
        <v>2003</v>
      </c>
    </row>
    <row r="319" spans="1:14" s="9" customFormat="1" ht="46.2" customHeight="1">
      <c r="A319" s="21"/>
      <c r="B319" s="21" t="s">
        <v>183</v>
      </c>
      <c r="C319" s="146" t="s">
        <v>320</v>
      </c>
      <c r="D319" s="147"/>
      <c r="E319" s="147"/>
      <c r="F319" s="147" t="s">
        <v>12</v>
      </c>
      <c r="G319" s="147"/>
      <c r="H319" s="148"/>
      <c r="I319" s="87">
        <f>I32*J319*K319/M319</f>
        <v>2.9955067398901644E-4</v>
      </c>
      <c r="J319" s="62">
        <v>0.3</v>
      </c>
      <c r="K319" s="62">
        <v>2</v>
      </c>
      <c r="L319" s="63"/>
      <c r="M319" s="9">
        <v>2003</v>
      </c>
    </row>
    <row r="320" spans="1:14" s="9" customFormat="1" ht="46.2" customHeight="1">
      <c r="A320" s="21"/>
      <c r="B320" s="21" t="s">
        <v>184</v>
      </c>
      <c r="C320" s="146" t="s">
        <v>321</v>
      </c>
      <c r="D320" s="147"/>
      <c r="E320" s="147"/>
      <c r="F320" s="147"/>
      <c r="G320" s="147"/>
      <c r="H320" s="148"/>
      <c r="I320" s="87">
        <f>(I24+I28)*J320/K320/M320</f>
        <v>3.99400898652022E-3</v>
      </c>
      <c r="J320" s="62">
        <v>0.2</v>
      </c>
      <c r="K320" s="62">
        <v>1</v>
      </c>
      <c r="L320" s="63"/>
      <c r="M320" s="9">
        <v>2003</v>
      </c>
    </row>
    <row r="321" spans="1:14" s="9" customFormat="1" ht="44.4" customHeight="1">
      <c r="A321" s="21"/>
      <c r="B321" s="21" t="s">
        <v>185</v>
      </c>
      <c r="C321" s="146" t="s">
        <v>322</v>
      </c>
      <c r="D321" s="147"/>
      <c r="E321" s="147"/>
      <c r="F321" s="147"/>
      <c r="G321" s="147"/>
      <c r="H321" s="148"/>
      <c r="I321" s="87">
        <f>I23*J321/M321</f>
        <v>3.594608087868198E-3</v>
      </c>
      <c r="J321" s="81">
        <v>0.1</v>
      </c>
      <c r="K321" s="62"/>
      <c r="L321" s="63"/>
      <c r="M321" s="9">
        <v>2003</v>
      </c>
    </row>
    <row r="322" spans="1:14" s="9" customFormat="1" ht="54.6" customHeight="1">
      <c r="A322" s="21"/>
      <c r="B322" s="21" t="s">
        <v>186</v>
      </c>
      <c r="C322" s="146" t="s">
        <v>323</v>
      </c>
      <c r="D322" s="147"/>
      <c r="E322" s="147"/>
      <c r="F322" s="147" t="s">
        <v>16</v>
      </c>
      <c r="G322" s="147"/>
      <c r="H322" s="148"/>
      <c r="I322" s="87">
        <f>I25*J322/K322/M322</f>
        <v>5.8412381427858208E-3</v>
      </c>
      <c r="J322" s="81">
        <v>2.6</v>
      </c>
      <c r="K322" s="81">
        <v>10</v>
      </c>
      <c r="L322" s="63">
        <v>1</v>
      </c>
      <c r="M322" s="9">
        <v>2003</v>
      </c>
    </row>
    <row r="323" spans="1:14" s="9" customFormat="1" ht="42" customHeight="1">
      <c r="A323" s="21"/>
      <c r="B323" s="21" t="s">
        <v>187</v>
      </c>
      <c r="C323" s="146" t="s">
        <v>324</v>
      </c>
      <c r="D323" s="147"/>
      <c r="E323" s="147"/>
      <c r="F323" s="147" t="s">
        <v>16</v>
      </c>
      <c r="G323" s="147"/>
      <c r="H323" s="148"/>
      <c r="I323" s="87">
        <f>I26*J323/M323</f>
        <v>1.3729405891163256E-3</v>
      </c>
      <c r="J323" s="81">
        <v>0.55000000000000004</v>
      </c>
      <c r="K323" s="81">
        <v>1</v>
      </c>
      <c r="L323" s="63"/>
      <c r="M323" s="9">
        <v>2003</v>
      </c>
    </row>
    <row r="324" spans="1:14" s="9" customFormat="1" ht="54" customHeight="1">
      <c r="A324" s="21"/>
      <c r="B324" s="21" t="s">
        <v>188</v>
      </c>
      <c r="C324" s="146" t="s">
        <v>325</v>
      </c>
      <c r="D324" s="147"/>
      <c r="E324" s="147"/>
      <c r="F324" s="147" t="s">
        <v>16</v>
      </c>
      <c r="G324" s="147"/>
      <c r="H324" s="148"/>
      <c r="I324" s="87">
        <f>I29*J324/M324</f>
        <v>7.4887668497254113E-4</v>
      </c>
      <c r="J324" s="81">
        <v>0.75</v>
      </c>
      <c r="K324" s="81">
        <v>10</v>
      </c>
      <c r="L324" s="63">
        <v>1</v>
      </c>
      <c r="M324" s="9">
        <v>2003</v>
      </c>
    </row>
    <row r="325" spans="1:14" s="9" customFormat="1" ht="42.6" customHeight="1">
      <c r="A325" s="21"/>
      <c r="B325" s="21" t="s">
        <v>189</v>
      </c>
      <c r="C325" s="146" t="s">
        <v>326</v>
      </c>
      <c r="D325" s="147"/>
      <c r="E325" s="147"/>
      <c r="F325" s="147" t="s">
        <v>16</v>
      </c>
      <c r="G325" s="147"/>
      <c r="H325" s="148"/>
      <c r="I325" s="87">
        <f>I27*J325/K325/M325</f>
        <v>1.5876185721417871E-3</v>
      </c>
      <c r="J325" s="81">
        <v>10.6</v>
      </c>
      <c r="K325" s="81">
        <v>10</v>
      </c>
      <c r="L325" s="63">
        <v>1</v>
      </c>
      <c r="M325" s="9">
        <v>2003</v>
      </c>
    </row>
    <row r="326" spans="1:14" s="9" customFormat="1" ht="37.200000000000003" customHeight="1">
      <c r="A326" s="21"/>
      <c r="B326" s="21" t="s">
        <v>190</v>
      </c>
      <c r="C326" s="146" t="s">
        <v>327</v>
      </c>
      <c r="D326" s="147"/>
      <c r="E326" s="147"/>
      <c r="F326" s="147" t="s">
        <v>16</v>
      </c>
      <c r="G326" s="147"/>
      <c r="H326" s="148"/>
      <c r="I326" s="87">
        <f>I30*J326/K326/M326</f>
        <v>1.0344483275087368E-2</v>
      </c>
      <c r="J326" s="81">
        <v>5.6</v>
      </c>
      <c r="K326" s="81">
        <v>10</v>
      </c>
      <c r="L326" s="63"/>
      <c r="M326" s="9">
        <v>2003</v>
      </c>
    </row>
    <row r="327" spans="1:14" s="9" customFormat="1" ht="15" customHeight="1">
      <c r="A327" s="21"/>
      <c r="B327" s="21"/>
      <c r="C327" s="146" t="s">
        <v>89</v>
      </c>
      <c r="D327" s="147"/>
      <c r="E327" s="147"/>
      <c r="F327" s="147"/>
      <c r="G327" s="147"/>
      <c r="H327" s="148"/>
      <c r="I327" s="87">
        <f>I318+I321</f>
        <v>3.594608087868198E-3</v>
      </c>
      <c r="J327" s="81"/>
      <c r="K327" s="81"/>
      <c r="L327" s="63"/>
    </row>
    <row r="328" spans="1:14" s="9" customFormat="1" ht="15" customHeight="1">
      <c r="A328" s="21"/>
      <c r="B328" s="21"/>
      <c r="C328" s="146" t="s">
        <v>90</v>
      </c>
      <c r="D328" s="147"/>
      <c r="E328" s="147"/>
      <c r="F328" s="147"/>
      <c r="G328" s="147"/>
      <c r="H328" s="148"/>
      <c r="I328" s="87">
        <f>I319+I320+I323+I324+I325+I326</f>
        <v>1.8347478781827256E-2</v>
      </c>
      <c r="J328" s="81"/>
      <c r="K328" s="81"/>
      <c r="L328" s="63"/>
    </row>
    <row r="329" spans="1:14" s="9" customFormat="1" ht="15" customHeight="1">
      <c r="A329" s="21"/>
      <c r="B329" s="21"/>
      <c r="C329" s="146" t="s">
        <v>91</v>
      </c>
      <c r="D329" s="147"/>
      <c r="E329" s="147"/>
      <c r="F329" s="147"/>
      <c r="G329" s="147"/>
      <c r="H329" s="148"/>
      <c r="I329" s="87">
        <f>I322</f>
        <v>5.8412381427858208E-3</v>
      </c>
      <c r="J329" s="81"/>
      <c r="K329" s="81"/>
      <c r="L329" s="63"/>
    </row>
    <row r="330" spans="1:14" s="9" customFormat="1" ht="15" customHeight="1">
      <c r="A330" s="21"/>
      <c r="B330" s="21"/>
      <c r="C330" s="146" t="s">
        <v>92</v>
      </c>
      <c r="D330" s="147"/>
      <c r="E330" s="147"/>
      <c r="F330" s="147" t="s">
        <v>18</v>
      </c>
      <c r="G330" s="147"/>
      <c r="H330" s="148"/>
      <c r="I330" s="78">
        <f>I327*J330*K330*M330*N330</f>
        <v>10.132481278082876</v>
      </c>
      <c r="J330" s="81">
        <v>1450</v>
      </c>
      <c r="K330" s="81">
        <v>1.2</v>
      </c>
      <c r="L330" s="63"/>
      <c r="M330" s="9">
        <v>1.35</v>
      </c>
      <c r="N330" s="9">
        <v>1.2</v>
      </c>
    </row>
    <row r="331" spans="1:14" s="9" customFormat="1" ht="15" customHeight="1">
      <c r="A331" s="21"/>
      <c r="B331" s="21"/>
      <c r="C331" s="146" t="s">
        <v>93</v>
      </c>
      <c r="D331" s="147"/>
      <c r="E331" s="147"/>
      <c r="F331" s="147" t="s">
        <v>18</v>
      </c>
      <c r="G331" s="147"/>
      <c r="H331" s="148"/>
      <c r="I331" s="78">
        <f>I328*J331*K331*M331*N331</f>
        <v>45.971442835746366</v>
      </c>
      <c r="J331" s="81">
        <v>1450</v>
      </c>
      <c r="K331" s="81">
        <v>1.2</v>
      </c>
      <c r="L331" s="63"/>
      <c r="M331" s="9">
        <v>1.2</v>
      </c>
      <c r="N331" s="9">
        <v>1.2</v>
      </c>
    </row>
    <row r="332" spans="1:14" s="9" customFormat="1" ht="15" customHeight="1">
      <c r="A332" s="21"/>
      <c r="B332" s="21"/>
      <c r="C332" s="146" t="s">
        <v>94</v>
      </c>
      <c r="D332" s="147"/>
      <c r="E332" s="147"/>
      <c r="F332" s="147" t="s">
        <v>18</v>
      </c>
      <c r="G332" s="147"/>
      <c r="H332" s="148"/>
      <c r="I332" s="78">
        <f>I329*J332*K332*M332*N332</f>
        <v>13.172225661507738</v>
      </c>
      <c r="J332" s="81">
        <v>1450</v>
      </c>
      <c r="K332" s="81">
        <v>1.2</v>
      </c>
      <c r="L332" s="63"/>
      <c r="M332" s="9">
        <v>1.08</v>
      </c>
      <c r="N332" s="9">
        <v>1.2</v>
      </c>
    </row>
    <row r="333" spans="1:14" s="9" customFormat="1" ht="15" customHeight="1">
      <c r="A333" s="21"/>
      <c r="B333" s="21"/>
      <c r="C333" s="146" t="s">
        <v>86</v>
      </c>
      <c r="D333" s="147"/>
      <c r="E333" s="147"/>
      <c r="F333" s="147" t="s">
        <v>18</v>
      </c>
      <c r="G333" s="147"/>
      <c r="H333" s="148"/>
      <c r="I333" s="78">
        <f>SUM(I330:I332)</f>
        <v>69.276149775336989</v>
      </c>
      <c r="J333" s="81"/>
      <c r="K333" s="81"/>
      <c r="L333" s="63"/>
    </row>
    <row r="334" spans="1:14" s="49" customFormat="1" ht="15" customHeight="1">
      <c r="A334" s="47"/>
      <c r="B334" s="47"/>
      <c r="C334" s="138" t="s">
        <v>269</v>
      </c>
      <c r="D334" s="139"/>
      <c r="E334" s="139"/>
      <c r="F334" s="139" t="s">
        <v>18</v>
      </c>
      <c r="G334" s="139"/>
      <c r="H334" s="140"/>
      <c r="I334" s="72">
        <f>I333*J334</f>
        <v>15.240752950574137</v>
      </c>
      <c r="J334" s="96">
        <v>0.22</v>
      </c>
      <c r="K334" s="81"/>
      <c r="L334" s="88"/>
    </row>
    <row r="335" spans="1:14" s="49" customFormat="1" ht="15" customHeight="1">
      <c r="A335" s="47"/>
      <c r="B335" s="47"/>
      <c r="C335" s="138" t="s">
        <v>359</v>
      </c>
      <c r="D335" s="139"/>
      <c r="E335" s="139"/>
      <c r="F335" s="139" t="s">
        <v>42</v>
      </c>
      <c r="G335" s="139"/>
      <c r="H335" s="140"/>
      <c r="I335" s="111">
        <f>I333*J335</f>
        <v>23.553890923614578</v>
      </c>
      <c r="J335" s="91">
        <v>0.34</v>
      </c>
      <c r="K335" s="81"/>
      <c r="L335" s="88"/>
    </row>
    <row r="336" spans="1:14" s="49" customFormat="1" ht="15" customHeight="1">
      <c r="A336" s="47"/>
      <c r="B336" s="47"/>
      <c r="C336" s="138" t="s">
        <v>328</v>
      </c>
      <c r="D336" s="139"/>
      <c r="E336" s="139"/>
      <c r="F336" s="139" t="s">
        <v>14</v>
      </c>
      <c r="G336" s="139"/>
      <c r="H336" s="140"/>
      <c r="I336" s="67">
        <f>I23</f>
        <v>72</v>
      </c>
      <c r="J336" s="91"/>
      <c r="K336" s="81"/>
      <c r="L336" s="88"/>
    </row>
    <row r="337" spans="1:12" s="49" customFormat="1" ht="15" customHeight="1">
      <c r="A337" s="47"/>
      <c r="B337" s="47"/>
      <c r="C337" s="138" t="s">
        <v>242</v>
      </c>
      <c r="D337" s="139"/>
      <c r="E337" s="139"/>
      <c r="F337" s="139" t="s">
        <v>18</v>
      </c>
      <c r="G337" s="139"/>
      <c r="H337" s="140"/>
      <c r="I337" s="72">
        <f>I336*J337/K337</f>
        <v>32.940000000000005</v>
      </c>
      <c r="J337" s="81">
        <v>5.49</v>
      </c>
      <c r="K337" s="81">
        <v>12</v>
      </c>
      <c r="L337" s="88"/>
    </row>
    <row r="338" spans="1:12" s="49" customFormat="1" ht="15" customHeight="1">
      <c r="A338" s="47"/>
      <c r="B338" s="47"/>
      <c r="C338" s="138" t="s">
        <v>329</v>
      </c>
      <c r="D338" s="139"/>
      <c r="E338" s="139"/>
      <c r="F338" s="139" t="s">
        <v>53</v>
      </c>
      <c r="G338" s="139"/>
      <c r="H338" s="140"/>
      <c r="I338" s="72">
        <f>I339+I340</f>
        <v>40.799999999999997</v>
      </c>
      <c r="J338" s="81"/>
      <c r="K338" s="81"/>
      <c r="L338" s="88"/>
    </row>
    <row r="339" spans="1:12" s="49" customFormat="1" ht="15" customHeight="1">
      <c r="A339" s="47"/>
      <c r="B339" s="47"/>
      <c r="C339" s="138" t="s">
        <v>243</v>
      </c>
      <c r="D339" s="139"/>
      <c r="E339" s="139"/>
      <c r="F339" s="139" t="s">
        <v>53</v>
      </c>
      <c r="G339" s="139"/>
      <c r="H339" s="140"/>
      <c r="I339" s="72">
        <f>I24*J339*K339</f>
        <v>20.399999999999999</v>
      </c>
      <c r="J339" s="81">
        <v>1.02</v>
      </c>
      <c r="K339" s="81">
        <v>1</v>
      </c>
      <c r="L339" s="88"/>
    </row>
    <row r="340" spans="1:12" s="49" customFormat="1" ht="15" customHeight="1">
      <c r="A340" s="47"/>
      <c r="B340" s="47"/>
      <c r="C340" s="138" t="s">
        <v>244</v>
      </c>
      <c r="D340" s="139"/>
      <c r="E340" s="139"/>
      <c r="F340" s="139" t="s">
        <v>53</v>
      </c>
      <c r="G340" s="139"/>
      <c r="H340" s="140"/>
      <c r="I340" s="72">
        <f>I28*J340*K340</f>
        <v>20.399999999999999</v>
      </c>
      <c r="J340" s="81">
        <v>1.02</v>
      </c>
      <c r="K340" s="81">
        <v>1</v>
      </c>
      <c r="L340" s="88"/>
    </row>
    <row r="341" spans="1:12" s="49" customFormat="1" ht="15" customHeight="1">
      <c r="A341" s="47"/>
      <c r="B341" s="47"/>
      <c r="C341" s="138" t="s">
        <v>100</v>
      </c>
      <c r="D341" s="139"/>
      <c r="E341" s="139"/>
      <c r="F341" s="139" t="s">
        <v>18</v>
      </c>
      <c r="G341" s="139"/>
      <c r="H341" s="140"/>
      <c r="I341" s="72">
        <f>(I339*J341+I340*L341)/K341</f>
        <v>6.8</v>
      </c>
      <c r="J341" s="81">
        <v>1.6</v>
      </c>
      <c r="K341" s="81">
        <v>12</v>
      </c>
      <c r="L341" s="88">
        <v>2.4</v>
      </c>
    </row>
    <row r="342" spans="1:12" s="49" customFormat="1" ht="15" customHeight="1">
      <c r="A342" s="47"/>
      <c r="B342" s="47"/>
      <c r="C342" s="138" t="s">
        <v>330</v>
      </c>
      <c r="D342" s="139"/>
      <c r="E342" s="139"/>
      <c r="F342" s="139" t="s">
        <v>55</v>
      </c>
      <c r="G342" s="139"/>
      <c r="H342" s="140"/>
      <c r="I342" s="67">
        <f>I25</f>
        <v>45</v>
      </c>
      <c r="J342" s="81"/>
      <c r="K342" s="81"/>
      <c r="L342" s="88"/>
    </row>
    <row r="343" spans="1:12" s="49" customFormat="1" ht="15" customHeight="1">
      <c r="A343" s="47"/>
      <c r="B343" s="47"/>
      <c r="C343" s="138" t="s">
        <v>54</v>
      </c>
      <c r="D343" s="139"/>
      <c r="E343" s="139"/>
      <c r="F343" s="139" t="s">
        <v>18</v>
      </c>
      <c r="G343" s="139"/>
      <c r="H343" s="140"/>
      <c r="I343" s="72">
        <f>I342*J343/K343</f>
        <v>41.437500000000007</v>
      </c>
      <c r="J343" s="81">
        <v>11.05</v>
      </c>
      <c r="K343" s="81">
        <v>12</v>
      </c>
      <c r="L343" s="88"/>
    </row>
    <row r="344" spans="1:12" s="49" customFormat="1" ht="15" customHeight="1">
      <c r="A344" s="47"/>
      <c r="B344" s="47"/>
      <c r="C344" s="138" t="s">
        <v>56</v>
      </c>
      <c r="D344" s="139"/>
      <c r="E344" s="139"/>
      <c r="F344" s="139" t="s">
        <v>55</v>
      </c>
      <c r="G344" s="139"/>
      <c r="H344" s="140"/>
      <c r="I344" s="72">
        <f>I25*J344*K344</f>
        <v>0.45</v>
      </c>
      <c r="J344" s="81">
        <v>5.0000000000000001E-3</v>
      </c>
      <c r="K344" s="81">
        <v>2</v>
      </c>
      <c r="L344" s="88"/>
    </row>
    <row r="345" spans="1:12" s="49" customFormat="1" ht="15" customHeight="1">
      <c r="A345" s="47"/>
      <c r="B345" s="47"/>
      <c r="C345" s="138" t="s">
        <v>57</v>
      </c>
      <c r="D345" s="139"/>
      <c r="E345" s="139"/>
      <c r="F345" s="139" t="s">
        <v>18</v>
      </c>
      <c r="G345" s="139"/>
      <c r="H345" s="140"/>
      <c r="I345" s="72">
        <f>I344*J345/K345</f>
        <v>0.10725</v>
      </c>
      <c r="J345" s="81">
        <v>2.86</v>
      </c>
      <c r="K345" s="81">
        <v>12</v>
      </c>
      <c r="L345" s="88"/>
    </row>
    <row r="346" spans="1:12" s="49" customFormat="1" ht="15" customHeight="1">
      <c r="A346" s="47"/>
      <c r="B346" s="47"/>
      <c r="C346" s="138" t="s">
        <v>331</v>
      </c>
      <c r="D346" s="139"/>
      <c r="E346" s="139"/>
      <c r="F346" s="139" t="s">
        <v>14</v>
      </c>
      <c r="G346" s="139"/>
      <c r="H346" s="140"/>
      <c r="I346" s="67">
        <f>I26</f>
        <v>5</v>
      </c>
      <c r="J346" s="81"/>
      <c r="K346" s="81"/>
      <c r="L346" s="88"/>
    </row>
    <row r="347" spans="1:12" s="49" customFormat="1" ht="15" customHeight="1">
      <c r="A347" s="47"/>
      <c r="B347" s="47"/>
      <c r="C347" s="138" t="s">
        <v>58</v>
      </c>
      <c r="D347" s="139"/>
      <c r="E347" s="139"/>
      <c r="F347" s="139" t="s">
        <v>18</v>
      </c>
      <c r="G347" s="139"/>
      <c r="H347" s="140"/>
      <c r="I347" s="72">
        <f>I346*J347/K347</f>
        <v>10.291666666666666</v>
      </c>
      <c r="J347" s="81">
        <v>24.7</v>
      </c>
      <c r="K347" s="81">
        <v>12</v>
      </c>
      <c r="L347" s="88"/>
    </row>
    <row r="348" spans="1:12" s="49" customFormat="1" ht="15" customHeight="1">
      <c r="A348" s="47"/>
      <c r="B348" s="47"/>
      <c r="C348" s="138" t="s">
        <v>59</v>
      </c>
      <c r="D348" s="139"/>
      <c r="E348" s="139"/>
      <c r="F348" s="139" t="s">
        <v>16</v>
      </c>
      <c r="G348" s="139"/>
      <c r="H348" s="140"/>
      <c r="I348" s="72">
        <f>I26*J348*K348</f>
        <v>2.5000000000000001E-2</v>
      </c>
      <c r="J348" s="81">
        <v>5.0000000000000001E-3</v>
      </c>
      <c r="K348" s="81">
        <v>1</v>
      </c>
      <c r="L348" s="88"/>
    </row>
    <row r="349" spans="1:12" s="49" customFormat="1" ht="15" customHeight="1">
      <c r="A349" s="47"/>
      <c r="B349" s="47"/>
      <c r="C349" s="138" t="s">
        <v>62</v>
      </c>
      <c r="D349" s="139"/>
      <c r="E349" s="139"/>
      <c r="F349" s="139" t="s">
        <v>18</v>
      </c>
      <c r="G349" s="139"/>
      <c r="H349" s="140"/>
      <c r="I349" s="111">
        <f>I348*J349/K349</f>
        <v>5.9583333333333328E-3</v>
      </c>
      <c r="J349" s="81">
        <v>2.86</v>
      </c>
      <c r="K349" s="81">
        <v>12</v>
      </c>
      <c r="L349" s="88"/>
    </row>
    <row r="350" spans="1:12" s="49" customFormat="1" ht="15" customHeight="1">
      <c r="A350" s="47"/>
      <c r="B350" s="47"/>
      <c r="C350" s="138" t="s">
        <v>332</v>
      </c>
      <c r="D350" s="139"/>
      <c r="E350" s="139"/>
      <c r="F350" s="139" t="s">
        <v>14</v>
      </c>
      <c r="G350" s="139"/>
      <c r="H350" s="140"/>
      <c r="I350" s="67">
        <f>I29</f>
        <v>2</v>
      </c>
      <c r="J350" s="81"/>
      <c r="K350" s="81"/>
      <c r="L350" s="88"/>
    </row>
    <row r="351" spans="1:12" s="49" customFormat="1" ht="15" customHeight="1">
      <c r="A351" s="47"/>
      <c r="B351" s="47"/>
      <c r="C351" s="138" t="s">
        <v>60</v>
      </c>
      <c r="D351" s="139"/>
      <c r="E351" s="139"/>
      <c r="F351" s="139" t="s">
        <v>18</v>
      </c>
      <c r="G351" s="139"/>
      <c r="H351" s="140"/>
      <c r="I351" s="72">
        <f>I350*J351/K351</f>
        <v>3.6666666666666665</v>
      </c>
      <c r="J351" s="81">
        <v>22</v>
      </c>
      <c r="K351" s="81">
        <v>12</v>
      </c>
      <c r="L351" s="88">
        <v>1</v>
      </c>
    </row>
    <row r="352" spans="1:12" s="49" customFormat="1" ht="15" customHeight="1">
      <c r="A352" s="47"/>
      <c r="B352" s="47"/>
      <c r="C352" s="138" t="s">
        <v>61</v>
      </c>
      <c r="D352" s="139"/>
      <c r="E352" s="139"/>
      <c r="F352" s="139" t="s">
        <v>16</v>
      </c>
      <c r="G352" s="139"/>
      <c r="H352" s="140"/>
      <c r="I352" s="72">
        <f>I29*J352*K352</f>
        <v>1.2E-2</v>
      </c>
      <c r="J352" s="81">
        <v>6.0000000000000001E-3</v>
      </c>
      <c r="K352" s="81">
        <v>1</v>
      </c>
      <c r="L352" s="88"/>
    </row>
    <row r="353" spans="1:13" s="49" customFormat="1" ht="15" customHeight="1">
      <c r="A353" s="47"/>
      <c r="B353" s="47"/>
      <c r="C353" s="138" t="s">
        <v>63</v>
      </c>
      <c r="D353" s="139"/>
      <c r="E353" s="139"/>
      <c r="F353" s="139" t="s">
        <v>18</v>
      </c>
      <c r="G353" s="139"/>
      <c r="H353" s="140"/>
      <c r="I353" s="72">
        <f>I352*J353/K353</f>
        <v>2.8599999999999997E-3</v>
      </c>
      <c r="J353" s="81">
        <v>2.86</v>
      </c>
      <c r="K353" s="81">
        <v>12</v>
      </c>
      <c r="L353" s="88"/>
    </row>
    <row r="354" spans="1:13" s="49" customFormat="1" ht="15" customHeight="1">
      <c r="A354" s="47"/>
      <c r="B354" s="47"/>
      <c r="C354" s="138" t="s">
        <v>333</v>
      </c>
      <c r="D354" s="139"/>
      <c r="E354" s="139"/>
      <c r="F354" s="139" t="s">
        <v>16</v>
      </c>
      <c r="G354" s="139"/>
      <c r="H354" s="140"/>
      <c r="I354" s="67">
        <f>I27</f>
        <v>3</v>
      </c>
      <c r="J354" s="81"/>
      <c r="K354" s="81"/>
      <c r="L354" s="88"/>
    </row>
    <row r="355" spans="1:13" s="49" customFormat="1" ht="15" customHeight="1">
      <c r="A355" s="47"/>
      <c r="B355" s="47"/>
      <c r="C355" s="138" t="s">
        <v>64</v>
      </c>
      <c r="D355" s="139"/>
      <c r="E355" s="139"/>
      <c r="F355" s="139" t="s">
        <v>18</v>
      </c>
      <c r="G355" s="139"/>
      <c r="H355" s="140"/>
      <c r="I355" s="72">
        <f>I354*J355/K355</f>
        <v>8.5175000000000001</v>
      </c>
      <c r="J355" s="81">
        <v>34.07</v>
      </c>
      <c r="K355" s="81">
        <v>12</v>
      </c>
      <c r="L355" s="88"/>
    </row>
    <row r="356" spans="1:13" s="49" customFormat="1" ht="15" customHeight="1">
      <c r="A356" s="47"/>
      <c r="B356" s="47"/>
      <c r="C356" s="138" t="s">
        <v>66</v>
      </c>
      <c r="D356" s="139"/>
      <c r="E356" s="139"/>
      <c r="F356" s="139" t="s">
        <v>16</v>
      </c>
      <c r="G356" s="139"/>
      <c r="H356" s="140"/>
      <c r="I356" s="72">
        <f>I27*J356*K356</f>
        <v>1.4999999999999999E-2</v>
      </c>
      <c r="J356" s="81">
        <v>5.0000000000000001E-3</v>
      </c>
      <c r="K356" s="81">
        <v>1</v>
      </c>
      <c r="L356" s="88">
        <v>1.35</v>
      </c>
      <c r="M356" s="49">
        <v>1.2</v>
      </c>
    </row>
    <row r="357" spans="1:13" s="49" customFormat="1" ht="15" customHeight="1">
      <c r="A357" s="47"/>
      <c r="B357" s="47"/>
      <c r="C357" s="138" t="s">
        <v>65</v>
      </c>
      <c r="D357" s="139"/>
      <c r="E357" s="139"/>
      <c r="F357" s="139" t="s">
        <v>18</v>
      </c>
      <c r="G357" s="139"/>
      <c r="H357" s="140"/>
      <c r="I357" s="111">
        <f>I356*J357/K357</f>
        <v>3.5749999999999996E-3</v>
      </c>
      <c r="J357" s="81">
        <v>2.86</v>
      </c>
      <c r="K357" s="81">
        <v>12</v>
      </c>
      <c r="L357" s="88"/>
    </row>
    <row r="358" spans="1:13" s="49" customFormat="1" ht="15" customHeight="1">
      <c r="A358" s="47"/>
      <c r="B358" s="47"/>
      <c r="C358" s="138" t="s">
        <v>67</v>
      </c>
      <c r="D358" s="139"/>
      <c r="E358" s="139"/>
      <c r="F358" s="139" t="s">
        <v>18</v>
      </c>
      <c r="G358" s="139"/>
      <c r="H358" s="140"/>
      <c r="I358" s="72">
        <f>I334+I335+I341+I343+I345+I347+I349+I351+I353+I355+I357+I337</f>
        <v>142.56762054085539</v>
      </c>
      <c r="J358" s="81"/>
      <c r="K358" s="81"/>
      <c r="L358" s="88"/>
    </row>
    <row r="359" spans="1:13" s="49" customFormat="1" ht="15" customHeight="1">
      <c r="A359" s="47"/>
      <c r="B359" s="47"/>
      <c r="C359" s="138" t="s">
        <v>351</v>
      </c>
      <c r="D359" s="139"/>
      <c r="E359" s="139"/>
      <c r="F359" s="139" t="s">
        <v>18</v>
      </c>
      <c r="G359" s="139"/>
      <c r="H359" s="140"/>
      <c r="I359" s="72">
        <f>(I327+I328+I329)*J359</f>
        <v>3.0708909136295555</v>
      </c>
      <c r="J359" s="81">
        <v>110.53</v>
      </c>
      <c r="K359" s="81"/>
      <c r="L359" s="88"/>
    </row>
    <row r="360" spans="1:13" s="49" customFormat="1" ht="15" customHeight="1">
      <c r="A360" s="47"/>
      <c r="B360" s="47"/>
      <c r="C360" s="138" t="s">
        <v>287</v>
      </c>
      <c r="D360" s="139"/>
      <c r="E360" s="139"/>
      <c r="F360" s="139" t="s">
        <v>18</v>
      </c>
      <c r="G360" s="139"/>
      <c r="H360" s="140"/>
      <c r="I360" s="72">
        <f>I333+I334+I335+I358+I359</f>
        <v>253.70930510401064</v>
      </c>
      <c r="J360" s="81"/>
      <c r="K360" s="81"/>
      <c r="L360" s="88"/>
    </row>
    <row r="361" spans="1:13" s="49" customFormat="1" ht="15" customHeight="1">
      <c r="A361" s="47"/>
      <c r="B361" s="47"/>
      <c r="C361" s="138" t="s">
        <v>367</v>
      </c>
      <c r="D361" s="139"/>
      <c r="E361" s="139"/>
      <c r="F361" s="139" t="s">
        <v>18</v>
      </c>
      <c r="G361" s="139"/>
      <c r="H361" s="140"/>
      <c r="I361" s="72">
        <f>I360*J361</f>
        <v>50.741861020802133</v>
      </c>
      <c r="J361" s="91">
        <v>0.2</v>
      </c>
      <c r="K361" s="81"/>
      <c r="L361" s="88"/>
    </row>
    <row r="362" spans="1:13" s="49" customFormat="1" ht="15" customHeight="1">
      <c r="A362" s="47"/>
      <c r="B362" s="47"/>
      <c r="C362" s="138" t="s">
        <v>45</v>
      </c>
      <c r="D362" s="139"/>
      <c r="E362" s="139"/>
      <c r="F362" s="139" t="s">
        <v>18</v>
      </c>
      <c r="G362" s="139"/>
      <c r="H362" s="140"/>
      <c r="I362" s="72">
        <f>SUM(I360:I361)</f>
        <v>304.45116612481274</v>
      </c>
      <c r="J362" s="81"/>
      <c r="K362" s="81"/>
      <c r="L362" s="88"/>
    </row>
    <row r="363" spans="1:13" s="49" customFormat="1" ht="15" customHeight="1">
      <c r="A363" s="47"/>
      <c r="B363" s="47"/>
      <c r="C363" s="152" t="s">
        <v>46</v>
      </c>
      <c r="D363" s="153"/>
      <c r="E363" s="154"/>
      <c r="F363" s="131" t="s">
        <v>18</v>
      </c>
      <c r="G363" s="132"/>
      <c r="H363" s="90">
        <v>0.05</v>
      </c>
      <c r="I363" s="72">
        <f>I362*J363</f>
        <v>15.222558306240638</v>
      </c>
      <c r="J363" s="91">
        <v>0.05</v>
      </c>
      <c r="K363" s="81"/>
      <c r="L363" s="88"/>
    </row>
    <row r="364" spans="1:13" s="49" customFormat="1" ht="15" customHeight="1">
      <c r="A364" s="47"/>
      <c r="B364" s="47"/>
      <c r="C364" s="138" t="s">
        <v>47</v>
      </c>
      <c r="D364" s="139"/>
      <c r="E364" s="139"/>
      <c r="F364" s="139" t="s">
        <v>18</v>
      </c>
      <c r="G364" s="139"/>
      <c r="H364" s="140"/>
      <c r="I364" s="72">
        <f>I362+I363</f>
        <v>319.67372443105336</v>
      </c>
      <c r="J364" s="81"/>
      <c r="K364" s="81"/>
      <c r="L364" s="88"/>
    </row>
    <row r="365" spans="1:13" s="74" customFormat="1" ht="15" customHeight="1">
      <c r="A365" s="60"/>
      <c r="B365" s="60"/>
      <c r="C365" s="152" t="s">
        <v>48</v>
      </c>
      <c r="D365" s="153"/>
      <c r="E365" s="154"/>
      <c r="F365" s="131" t="s">
        <v>18</v>
      </c>
      <c r="G365" s="132"/>
      <c r="H365" s="90">
        <v>0.05</v>
      </c>
      <c r="I365" s="72">
        <f>I364*J365/K365</f>
        <v>16.824932864792284</v>
      </c>
      <c r="J365" s="91">
        <v>0.05</v>
      </c>
      <c r="K365" s="91">
        <v>0.95</v>
      </c>
      <c r="L365" s="61"/>
    </row>
    <row r="366" spans="1:13" s="49" customFormat="1">
      <c r="A366" s="47"/>
      <c r="B366" s="47"/>
      <c r="C366" s="138" t="s">
        <v>49</v>
      </c>
      <c r="D366" s="139"/>
      <c r="E366" s="139"/>
      <c r="F366" s="139" t="s">
        <v>18</v>
      </c>
      <c r="G366" s="139"/>
      <c r="H366" s="140"/>
      <c r="I366" s="72">
        <f>I364+I365</f>
        <v>336.49865729584565</v>
      </c>
      <c r="J366" s="81"/>
      <c r="K366" s="81"/>
      <c r="L366" s="88"/>
    </row>
    <row r="367" spans="1:13" s="9" customFormat="1" ht="16.2">
      <c r="A367" s="21"/>
      <c r="B367" s="21"/>
      <c r="C367" s="158" t="s">
        <v>95</v>
      </c>
      <c r="D367" s="159"/>
      <c r="E367" s="159"/>
      <c r="F367" s="159"/>
      <c r="G367" s="159"/>
      <c r="H367" s="160"/>
      <c r="I367" s="10">
        <f>J367</f>
        <v>4.3999999999999997E-2</v>
      </c>
      <c r="J367" s="97">
        <f>ROUND(K367,3)</f>
        <v>4.3999999999999997E-2</v>
      </c>
      <c r="K367" s="97">
        <f>I366/I9</f>
        <v>4.3565336263056142E-2</v>
      </c>
      <c r="L367" s="63"/>
    </row>
    <row r="368" spans="1:13" s="9" customFormat="1" ht="69.599999999999994" customHeight="1">
      <c r="A368" s="211" t="s">
        <v>194</v>
      </c>
      <c r="B368" s="212"/>
      <c r="C368" s="212"/>
      <c r="D368" s="212"/>
      <c r="E368" s="212"/>
      <c r="F368" s="212"/>
      <c r="G368" s="212"/>
      <c r="H368" s="212"/>
      <c r="I368" s="213"/>
      <c r="J368" s="62"/>
      <c r="K368" s="62"/>
      <c r="L368" s="63"/>
    </row>
    <row r="369" spans="1:14" s="9" customFormat="1">
      <c r="A369" s="21"/>
      <c r="B369" s="21"/>
      <c r="C369" s="146" t="s">
        <v>195</v>
      </c>
      <c r="D369" s="147"/>
      <c r="E369" s="147"/>
      <c r="F369" s="147"/>
      <c r="G369" s="147"/>
      <c r="H369" s="148"/>
      <c r="I369" s="78">
        <f>I9*I370</f>
        <v>6604.0199999999995</v>
      </c>
      <c r="J369" s="62"/>
      <c r="K369" s="62"/>
      <c r="L369" s="63"/>
    </row>
    <row r="370" spans="1:14" s="9" customFormat="1" ht="16.2">
      <c r="A370" s="21"/>
      <c r="B370" s="21"/>
      <c r="C370" s="155" t="s">
        <v>50</v>
      </c>
      <c r="D370" s="156"/>
      <c r="E370" s="156"/>
      <c r="F370" s="156"/>
      <c r="G370" s="156"/>
      <c r="H370" s="157"/>
      <c r="I370" s="10">
        <v>0.85499999999999998</v>
      </c>
      <c r="J370" s="112">
        <f>2.6-I419-I410-I401-I390-I367-I316-I302-I291-I280-I166-I156-I146-I130</f>
        <v>0.85499176865000426</v>
      </c>
      <c r="K370" s="62"/>
      <c r="L370" s="63"/>
    </row>
    <row r="371" spans="1:14" s="9" customFormat="1" ht="37.950000000000003" customHeight="1">
      <c r="A371" s="211" t="s">
        <v>196</v>
      </c>
      <c r="B371" s="212"/>
      <c r="C371" s="212"/>
      <c r="D371" s="212"/>
      <c r="E371" s="212"/>
      <c r="F371" s="212"/>
      <c r="G371" s="212"/>
      <c r="H371" s="212"/>
      <c r="I371" s="213"/>
      <c r="J371" s="62"/>
      <c r="K371" s="62"/>
      <c r="L371" s="63"/>
    </row>
    <row r="372" spans="1:14" s="9" customFormat="1" ht="50.25" customHeight="1">
      <c r="A372" s="21"/>
      <c r="B372" s="58" t="s">
        <v>197</v>
      </c>
      <c r="C372" s="146" t="s">
        <v>334</v>
      </c>
      <c r="D372" s="147"/>
      <c r="E372" s="147"/>
      <c r="F372" s="147"/>
      <c r="G372" s="147"/>
      <c r="H372" s="148"/>
      <c r="I372" s="87">
        <f>I14*N372*J372/K372*L372/M372</f>
        <v>6.3704443334997507E-3</v>
      </c>
      <c r="J372" s="62">
        <v>0.22</v>
      </c>
      <c r="K372" s="62">
        <v>100</v>
      </c>
      <c r="L372" s="113">
        <v>20</v>
      </c>
      <c r="M372" s="9">
        <v>2003</v>
      </c>
      <c r="N372" s="52">
        <v>0.2</v>
      </c>
    </row>
    <row r="373" spans="1:14" s="9" customFormat="1" ht="40.200000000000003" customHeight="1">
      <c r="A373" s="21"/>
      <c r="B373" s="58" t="s">
        <v>198</v>
      </c>
      <c r="C373" s="146" t="s">
        <v>335</v>
      </c>
      <c r="D373" s="147"/>
      <c r="E373" s="147"/>
      <c r="F373" s="147" t="s">
        <v>115</v>
      </c>
      <c r="G373" s="147"/>
      <c r="H373" s="148"/>
      <c r="I373" s="87">
        <f>I14*N373*J373/K373*L373/M373</f>
        <v>1.8532201697453819E-2</v>
      </c>
      <c r="J373" s="62">
        <v>0.32</v>
      </c>
      <c r="K373" s="62">
        <v>10</v>
      </c>
      <c r="L373" s="113">
        <v>4</v>
      </c>
      <c r="M373" s="9">
        <v>2003</v>
      </c>
      <c r="N373" s="52">
        <v>0.2</v>
      </c>
    </row>
    <row r="374" spans="1:14" s="9" customFormat="1" ht="37.200000000000003" customHeight="1">
      <c r="A374" s="21"/>
      <c r="B374" s="58" t="s">
        <v>199</v>
      </c>
      <c r="C374" s="146" t="s">
        <v>336</v>
      </c>
      <c r="D374" s="147"/>
      <c r="E374" s="147"/>
      <c r="F374" s="147" t="s">
        <v>41</v>
      </c>
      <c r="G374" s="147"/>
      <c r="H374" s="148"/>
      <c r="I374" s="114">
        <f>I14*N374*J374/K374*L374/M374</f>
        <v>6.9495756365451815E-3</v>
      </c>
      <c r="J374" s="115">
        <v>0.24</v>
      </c>
      <c r="K374" s="115">
        <v>100</v>
      </c>
      <c r="L374" s="113">
        <v>20</v>
      </c>
      <c r="M374" s="59">
        <v>2003</v>
      </c>
      <c r="N374" s="52">
        <v>0.2</v>
      </c>
    </row>
    <row r="375" spans="1:14" s="9" customFormat="1">
      <c r="A375" s="21"/>
      <c r="B375" s="21"/>
      <c r="C375" s="146" t="s">
        <v>116</v>
      </c>
      <c r="D375" s="147"/>
      <c r="E375" s="147"/>
      <c r="F375" s="147" t="s">
        <v>70</v>
      </c>
      <c r="G375" s="147"/>
      <c r="H375" s="148"/>
      <c r="I375" s="87">
        <f>SUM(I372:I374)</f>
        <v>3.1852221667498751E-2</v>
      </c>
      <c r="J375" s="62"/>
      <c r="K375" s="62"/>
      <c r="L375" s="63"/>
    </row>
    <row r="376" spans="1:14" s="9" customFormat="1" ht="15.6" customHeight="1">
      <c r="A376" s="21"/>
      <c r="B376" s="21"/>
      <c r="C376" s="146" t="s">
        <v>75</v>
      </c>
      <c r="D376" s="147"/>
      <c r="E376" s="147"/>
      <c r="F376" s="147" t="s">
        <v>18</v>
      </c>
      <c r="G376" s="147"/>
      <c r="H376" s="148"/>
      <c r="I376" s="78">
        <f>J376*K376*L376*I375</f>
        <v>66.507438841737397</v>
      </c>
      <c r="J376" s="81">
        <v>1450</v>
      </c>
      <c r="K376" s="81">
        <v>1.2</v>
      </c>
      <c r="L376" s="63">
        <v>1.2</v>
      </c>
    </row>
    <row r="377" spans="1:14" s="49" customFormat="1">
      <c r="A377" s="47"/>
      <c r="B377" s="47"/>
      <c r="C377" s="138" t="s">
        <v>269</v>
      </c>
      <c r="D377" s="139"/>
      <c r="E377" s="139"/>
      <c r="F377" s="139" t="s">
        <v>18</v>
      </c>
      <c r="G377" s="139"/>
      <c r="H377" s="140"/>
      <c r="I377" s="72">
        <f>I376*J377</f>
        <v>14.631636545182227</v>
      </c>
      <c r="J377" s="96">
        <v>0.22</v>
      </c>
      <c r="K377" s="81"/>
      <c r="L377" s="88"/>
    </row>
    <row r="378" spans="1:14" s="49" customFormat="1">
      <c r="A378" s="47"/>
      <c r="B378" s="47"/>
      <c r="C378" s="138" t="s">
        <v>368</v>
      </c>
      <c r="D378" s="139"/>
      <c r="E378" s="139"/>
      <c r="F378" s="139" t="s">
        <v>18</v>
      </c>
      <c r="G378" s="139"/>
      <c r="H378" s="140"/>
      <c r="I378" s="72">
        <f>I376*J378</f>
        <v>22.612529206190718</v>
      </c>
      <c r="J378" s="96">
        <v>0.34</v>
      </c>
      <c r="K378" s="81"/>
      <c r="L378" s="88"/>
    </row>
    <row r="379" spans="1:14" s="49" customFormat="1">
      <c r="A379" s="47"/>
      <c r="B379" s="47" t="s">
        <v>199</v>
      </c>
      <c r="C379" s="138" t="s">
        <v>200</v>
      </c>
      <c r="D379" s="139"/>
      <c r="E379" s="139"/>
      <c r="F379" s="139" t="s">
        <v>41</v>
      </c>
      <c r="G379" s="139"/>
      <c r="H379" s="140"/>
      <c r="I379" s="72">
        <f>I14*N374*J379*M379/L379</f>
        <v>1.5776000000000001</v>
      </c>
      <c r="J379" s="81">
        <v>1.7000000000000001E-2</v>
      </c>
      <c r="K379" s="81"/>
      <c r="L379" s="88">
        <v>100</v>
      </c>
      <c r="M379" s="49">
        <v>32</v>
      </c>
    </row>
    <row r="380" spans="1:14" s="49" customFormat="1">
      <c r="A380" s="47"/>
      <c r="B380" s="47"/>
      <c r="C380" s="138" t="s">
        <v>201</v>
      </c>
      <c r="D380" s="139"/>
      <c r="E380" s="139"/>
      <c r="F380" s="139" t="s">
        <v>41</v>
      </c>
      <c r="G380" s="139"/>
      <c r="H380" s="140"/>
      <c r="I380" s="116">
        <f>I379*J380/K380</f>
        <v>197.20000000000002</v>
      </c>
      <c r="J380" s="81">
        <v>1500</v>
      </c>
      <c r="K380" s="81">
        <v>12</v>
      </c>
      <c r="L380" s="88"/>
    </row>
    <row r="381" spans="1:14" s="49" customFormat="1">
      <c r="A381" s="47"/>
      <c r="B381" s="47"/>
      <c r="C381" s="138" t="s">
        <v>43</v>
      </c>
      <c r="D381" s="139"/>
      <c r="E381" s="139"/>
      <c r="F381" s="139" t="s">
        <v>18</v>
      </c>
      <c r="G381" s="139"/>
      <c r="H381" s="140"/>
      <c r="I381" s="72">
        <f>I380*J381</f>
        <v>29.580000000000002</v>
      </c>
      <c r="J381" s="81">
        <v>0.15</v>
      </c>
      <c r="K381" s="81" t="s">
        <v>117</v>
      </c>
      <c r="L381" s="88"/>
    </row>
    <row r="382" spans="1:14" s="49" customFormat="1">
      <c r="A382" s="47"/>
      <c r="B382" s="47"/>
      <c r="C382" s="150" t="s">
        <v>350</v>
      </c>
      <c r="D382" s="151"/>
      <c r="E382" s="131">
        <v>212.92</v>
      </c>
      <c r="F382" s="149"/>
      <c r="G382" s="149"/>
      <c r="H382" s="132"/>
      <c r="I382" s="72">
        <f>I375*J382</f>
        <v>6.7819750374438339</v>
      </c>
      <c r="J382" s="81">
        <v>212.92</v>
      </c>
      <c r="K382" s="81"/>
      <c r="L382" s="88"/>
    </row>
    <row r="383" spans="1:14" s="49" customFormat="1">
      <c r="A383" s="47"/>
      <c r="B383" s="47"/>
      <c r="C383" s="138" t="s">
        <v>337</v>
      </c>
      <c r="D383" s="139"/>
      <c r="E383" s="139"/>
      <c r="F383" s="139" t="s">
        <v>18</v>
      </c>
      <c r="G383" s="139"/>
      <c r="H383" s="140"/>
      <c r="I383" s="101">
        <f>I376+I377+I378+I381+I382</f>
        <v>140.11357963055417</v>
      </c>
      <c r="J383" s="81"/>
      <c r="K383" s="81"/>
      <c r="L383" s="88"/>
    </row>
    <row r="384" spans="1:14" s="49" customFormat="1">
      <c r="A384" s="47"/>
      <c r="B384" s="47"/>
      <c r="C384" s="138" t="s">
        <v>367</v>
      </c>
      <c r="D384" s="139"/>
      <c r="E384" s="139"/>
      <c r="F384" s="139" t="s">
        <v>18</v>
      </c>
      <c r="G384" s="139"/>
      <c r="H384" s="140"/>
      <c r="I384" s="72">
        <f>I383*J384</f>
        <v>28.022715926110834</v>
      </c>
      <c r="J384" s="91">
        <v>0.2</v>
      </c>
      <c r="K384" s="81"/>
      <c r="L384" s="88"/>
    </row>
    <row r="385" spans="1:13" s="9" customFormat="1">
      <c r="A385" s="21"/>
      <c r="B385" s="21"/>
      <c r="C385" s="146" t="s">
        <v>45</v>
      </c>
      <c r="D385" s="147"/>
      <c r="E385" s="147"/>
      <c r="F385" s="147" t="s">
        <v>18</v>
      </c>
      <c r="G385" s="147"/>
      <c r="H385" s="148"/>
      <c r="I385" s="78">
        <f>SUM(I383:I384)</f>
        <v>168.136295556665</v>
      </c>
      <c r="J385" s="62"/>
      <c r="K385" s="62"/>
      <c r="L385" s="63"/>
    </row>
    <row r="386" spans="1:13" s="9" customFormat="1">
      <c r="A386" s="21"/>
      <c r="B386" s="21"/>
      <c r="C386" s="143" t="s">
        <v>46</v>
      </c>
      <c r="D386" s="144"/>
      <c r="E386" s="145"/>
      <c r="F386" s="141" t="s">
        <v>18</v>
      </c>
      <c r="G386" s="142"/>
      <c r="H386" s="92">
        <v>0.05</v>
      </c>
      <c r="I386" s="78">
        <f>I385*J386</f>
        <v>8.4068147778332509</v>
      </c>
      <c r="J386" s="80">
        <v>0.05</v>
      </c>
      <c r="K386" s="62"/>
      <c r="L386" s="63"/>
    </row>
    <row r="387" spans="1:13" s="9" customFormat="1">
      <c r="A387" s="21"/>
      <c r="B387" s="21"/>
      <c r="C387" s="146" t="s">
        <v>47</v>
      </c>
      <c r="D387" s="147"/>
      <c r="E387" s="147"/>
      <c r="F387" s="147" t="s">
        <v>18</v>
      </c>
      <c r="G387" s="147"/>
      <c r="H387" s="148"/>
      <c r="I387" s="78">
        <f>I385+I386</f>
        <v>176.54311033449827</v>
      </c>
      <c r="J387" s="62"/>
      <c r="K387" s="62"/>
      <c r="L387" s="63"/>
    </row>
    <row r="388" spans="1:13" s="9" customFormat="1">
      <c r="A388" s="21"/>
      <c r="B388" s="21"/>
      <c r="C388" s="143" t="s">
        <v>48</v>
      </c>
      <c r="D388" s="144"/>
      <c r="E388" s="145"/>
      <c r="F388" s="141" t="s">
        <v>18</v>
      </c>
      <c r="G388" s="142"/>
      <c r="H388" s="92">
        <v>0.05</v>
      </c>
      <c r="I388" s="78">
        <f>I387*J388/K388</f>
        <v>9.2917426491841191</v>
      </c>
      <c r="J388" s="80">
        <v>0.05</v>
      </c>
      <c r="K388" s="80">
        <v>0.95</v>
      </c>
      <c r="L388" s="54"/>
    </row>
    <row r="389" spans="1:13" s="9" customFormat="1">
      <c r="A389" s="21"/>
      <c r="B389" s="21"/>
      <c r="C389" s="146" t="s">
        <v>49</v>
      </c>
      <c r="D389" s="147"/>
      <c r="E389" s="147"/>
      <c r="F389" s="147" t="s">
        <v>18</v>
      </c>
      <c r="G389" s="147"/>
      <c r="H389" s="148"/>
      <c r="I389" s="78">
        <f>I387+I388</f>
        <v>185.8348529836824</v>
      </c>
      <c r="J389" s="62"/>
      <c r="K389" s="62"/>
      <c r="L389" s="54"/>
    </row>
    <row r="390" spans="1:13" s="9" customFormat="1" ht="16.2">
      <c r="A390" s="21"/>
      <c r="B390" s="21"/>
      <c r="C390" s="158" t="s">
        <v>95</v>
      </c>
      <c r="D390" s="159"/>
      <c r="E390" s="159"/>
      <c r="F390" s="159"/>
      <c r="G390" s="159"/>
      <c r="H390" s="160"/>
      <c r="I390" s="10">
        <f>J390</f>
        <v>2.4E-2</v>
      </c>
      <c r="J390" s="97">
        <f>ROUND(K390,3)</f>
        <v>2.4E-2</v>
      </c>
      <c r="K390" s="97">
        <f>I389/I9</f>
        <v>2.4059406134604142E-2</v>
      </c>
      <c r="L390" s="63"/>
      <c r="M390" s="54"/>
    </row>
    <row r="391" spans="1:13" s="9" customFormat="1" ht="16.2">
      <c r="A391" s="126" t="s">
        <v>249</v>
      </c>
      <c r="B391" s="127"/>
      <c r="C391" s="127"/>
      <c r="D391" s="127"/>
      <c r="E391" s="127"/>
      <c r="F391" s="127"/>
      <c r="G391" s="127"/>
      <c r="H391" s="127"/>
      <c r="I391" s="128"/>
      <c r="J391" s="62"/>
      <c r="K391" s="62"/>
      <c r="L391" s="63"/>
      <c r="M391" s="54"/>
    </row>
    <row r="392" spans="1:13" s="9" customFormat="1">
      <c r="A392" s="21"/>
      <c r="B392" s="21"/>
      <c r="C392" s="216" t="s">
        <v>250</v>
      </c>
      <c r="D392" s="217"/>
      <c r="E392" s="217"/>
      <c r="F392" s="217"/>
      <c r="G392" s="217"/>
      <c r="H392" s="218"/>
      <c r="I392" s="117">
        <v>1</v>
      </c>
      <c r="J392" s="62"/>
      <c r="K392" s="62"/>
      <c r="L392" s="63"/>
      <c r="M392" s="54"/>
    </row>
    <row r="393" spans="1:13" s="9" customFormat="1">
      <c r="A393" s="21"/>
      <c r="B393" s="21"/>
      <c r="C393" s="146" t="s">
        <v>356</v>
      </c>
      <c r="D393" s="147"/>
      <c r="E393" s="147"/>
      <c r="F393" s="147" t="s">
        <v>18</v>
      </c>
      <c r="G393" s="147"/>
      <c r="H393" s="148"/>
      <c r="I393" s="78">
        <f>J393/60</f>
        <v>2.5</v>
      </c>
      <c r="J393" s="62">
        <v>150</v>
      </c>
      <c r="K393" s="62"/>
      <c r="L393" s="63"/>
      <c r="M393" s="54"/>
    </row>
    <row r="394" spans="1:13" s="9" customFormat="1">
      <c r="A394" s="21"/>
      <c r="B394" s="21"/>
      <c r="C394" s="146" t="s">
        <v>253</v>
      </c>
      <c r="D394" s="147"/>
      <c r="E394" s="147"/>
      <c r="F394" s="147" t="s">
        <v>18</v>
      </c>
      <c r="G394" s="147"/>
      <c r="H394" s="148"/>
      <c r="I394" s="78">
        <f>I392*I393</f>
        <v>2.5</v>
      </c>
      <c r="J394" s="62"/>
      <c r="K394" s="62"/>
      <c r="L394" s="63"/>
      <c r="M394" s="54"/>
    </row>
    <row r="395" spans="1:13" s="49" customFormat="1">
      <c r="A395" s="47"/>
      <c r="B395" s="47"/>
      <c r="C395" s="138" t="s">
        <v>366</v>
      </c>
      <c r="D395" s="139"/>
      <c r="E395" s="139"/>
      <c r="F395" s="139" t="s">
        <v>18</v>
      </c>
      <c r="G395" s="139"/>
      <c r="H395" s="140"/>
      <c r="I395" s="72">
        <f>I394*J395</f>
        <v>0.5</v>
      </c>
      <c r="J395" s="91">
        <v>0.2</v>
      </c>
      <c r="K395" s="81"/>
      <c r="L395" s="88"/>
      <c r="M395" s="61"/>
    </row>
    <row r="396" spans="1:13" s="9" customFormat="1">
      <c r="A396" s="21"/>
      <c r="B396" s="21"/>
      <c r="C396" s="146" t="s">
        <v>45</v>
      </c>
      <c r="D396" s="147"/>
      <c r="E396" s="147"/>
      <c r="F396" s="147" t="s">
        <v>18</v>
      </c>
      <c r="G396" s="147"/>
      <c r="H396" s="148"/>
      <c r="I396" s="78">
        <f>I394+I395</f>
        <v>3</v>
      </c>
      <c r="J396" s="62"/>
      <c r="K396" s="62"/>
      <c r="L396" s="63"/>
      <c r="M396" s="54"/>
    </row>
    <row r="397" spans="1:13" s="9" customFormat="1">
      <c r="A397" s="21"/>
      <c r="B397" s="21"/>
      <c r="C397" s="143" t="s">
        <v>46</v>
      </c>
      <c r="D397" s="144"/>
      <c r="E397" s="145"/>
      <c r="F397" s="141" t="s">
        <v>18</v>
      </c>
      <c r="G397" s="142"/>
      <c r="H397" s="92">
        <v>0.05</v>
      </c>
      <c r="I397" s="78">
        <f>I396*J397</f>
        <v>0.15000000000000002</v>
      </c>
      <c r="J397" s="80">
        <v>0.05</v>
      </c>
      <c r="K397" s="62"/>
      <c r="L397" s="63"/>
      <c r="M397" s="54"/>
    </row>
    <row r="398" spans="1:13" s="9" customFormat="1">
      <c r="A398" s="21"/>
      <c r="B398" s="21"/>
      <c r="C398" s="146" t="s">
        <v>47</v>
      </c>
      <c r="D398" s="147"/>
      <c r="E398" s="147"/>
      <c r="F398" s="147" t="s">
        <v>18</v>
      </c>
      <c r="G398" s="147"/>
      <c r="H398" s="148"/>
      <c r="I398" s="78">
        <f>I396+I397</f>
        <v>3.15</v>
      </c>
      <c r="J398" s="62"/>
      <c r="K398" s="62"/>
      <c r="L398" s="63"/>
      <c r="M398" s="54"/>
    </row>
    <row r="399" spans="1:13" s="9" customFormat="1">
      <c r="A399" s="53"/>
      <c r="B399" s="53"/>
      <c r="C399" s="144" t="s">
        <v>48</v>
      </c>
      <c r="D399" s="145"/>
      <c r="E399" s="92">
        <v>0.05</v>
      </c>
      <c r="F399" s="141" t="s">
        <v>18</v>
      </c>
      <c r="G399" s="142"/>
      <c r="H399" s="89"/>
      <c r="I399" s="78">
        <f>I398*J399/K399</f>
        <v>0.16578947368421054</v>
      </c>
      <c r="J399" s="80">
        <v>0.05</v>
      </c>
      <c r="K399" s="80">
        <v>0.95</v>
      </c>
      <c r="L399" s="63"/>
      <c r="M399" s="54"/>
    </row>
    <row r="400" spans="1:13" s="9" customFormat="1">
      <c r="A400" s="53"/>
      <c r="B400" s="53"/>
      <c r="C400" s="146" t="s">
        <v>49</v>
      </c>
      <c r="D400" s="147"/>
      <c r="E400" s="147"/>
      <c r="F400" s="147" t="s">
        <v>18</v>
      </c>
      <c r="G400" s="147"/>
      <c r="H400" s="148"/>
      <c r="I400" s="78">
        <f>SUM(I398:I399)</f>
        <v>3.3157894736842106</v>
      </c>
      <c r="J400" s="62"/>
      <c r="K400" s="62"/>
      <c r="L400" s="63"/>
      <c r="M400" s="54"/>
    </row>
    <row r="401" spans="1:13" s="9" customFormat="1" ht="16.2">
      <c r="A401" s="21"/>
      <c r="B401" s="21"/>
      <c r="C401" s="158" t="s">
        <v>50</v>
      </c>
      <c r="D401" s="159"/>
      <c r="E401" s="159"/>
      <c r="F401" s="159" t="s">
        <v>51</v>
      </c>
      <c r="G401" s="159"/>
      <c r="H401" s="160"/>
      <c r="I401" s="10">
        <f>I400/I9</f>
        <v>4.2928398157485897E-4</v>
      </c>
      <c r="J401" s="62"/>
      <c r="K401" s="62"/>
      <c r="L401" s="63"/>
      <c r="M401" s="54"/>
    </row>
    <row r="402" spans="1:13" s="9" customFormat="1" ht="16.2">
      <c r="A402" s="126" t="s">
        <v>251</v>
      </c>
      <c r="B402" s="127"/>
      <c r="C402" s="127"/>
      <c r="D402" s="127"/>
      <c r="E402" s="127"/>
      <c r="F402" s="127"/>
      <c r="G402" s="127"/>
      <c r="H402" s="127"/>
      <c r="I402" s="128"/>
      <c r="J402" s="55"/>
      <c r="K402" s="55"/>
      <c r="L402" s="63"/>
    </row>
    <row r="403" spans="1:13" s="9" customFormat="1" ht="34.200000000000003" customHeight="1">
      <c r="A403" s="21"/>
      <c r="B403" s="21"/>
      <c r="C403" s="216" t="s">
        <v>246</v>
      </c>
      <c r="D403" s="217"/>
      <c r="E403" s="217"/>
      <c r="F403" s="217"/>
      <c r="G403" s="217"/>
      <c r="H403" s="218"/>
      <c r="I403" s="79">
        <f>I64</f>
        <v>800</v>
      </c>
      <c r="J403" s="62"/>
      <c r="K403" s="62"/>
      <c r="L403" s="63"/>
    </row>
    <row r="404" spans="1:13" s="9" customFormat="1">
      <c r="A404" s="21"/>
      <c r="B404" s="21"/>
      <c r="C404" s="146" t="s">
        <v>248</v>
      </c>
      <c r="D404" s="147"/>
      <c r="E404" s="147"/>
      <c r="F404" s="147" t="s">
        <v>18</v>
      </c>
      <c r="G404" s="147"/>
      <c r="H404" s="148"/>
      <c r="I404" s="87">
        <v>1.1399999999999999</v>
      </c>
      <c r="J404" s="62"/>
      <c r="K404" s="62"/>
      <c r="L404" s="63"/>
    </row>
    <row r="405" spans="1:13" s="9" customFormat="1">
      <c r="A405" s="21"/>
      <c r="B405" s="21"/>
      <c r="C405" s="146" t="s">
        <v>68</v>
      </c>
      <c r="D405" s="147"/>
      <c r="E405" s="147"/>
      <c r="F405" s="147" t="s">
        <v>18</v>
      </c>
      <c r="G405" s="147"/>
      <c r="H405" s="148"/>
      <c r="I405" s="78">
        <f>I403*I404</f>
        <v>911.99999999999989</v>
      </c>
      <c r="J405" s="62"/>
      <c r="K405" s="62"/>
      <c r="L405" s="63"/>
    </row>
    <row r="406" spans="1:13" s="49" customFormat="1">
      <c r="A406" s="47"/>
      <c r="B406" s="47"/>
      <c r="C406" s="138" t="s">
        <v>366</v>
      </c>
      <c r="D406" s="139"/>
      <c r="E406" s="139"/>
      <c r="F406" s="139" t="s">
        <v>18</v>
      </c>
      <c r="G406" s="139"/>
      <c r="H406" s="140"/>
      <c r="I406" s="72">
        <f>I405*J406</f>
        <v>182.39999999999998</v>
      </c>
      <c r="J406" s="91">
        <v>0.2</v>
      </c>
      <c r="K406" s="81"/>
      <c r="L406" s="88"/>
    </row>
    <row r="407" spans="1:13" s="9" customFormat="1">
      <c r="A407" s="21"/>
      <c r="B407" s="21"/>
      <c r="C407" s="146" t="s">
        <v>45</v>
      </c>
      <c r="D407" s="147"/>
      <c r="E407" s="147"/>
      <c r="F407" s="147" t="s">
        <v>18</v>
      </c>
      <c r="G407" s="147"/>
      <c r="H407" s="148"/>
      <c r="I407" s="78">
        <f>I405+I406</f>
        <v>1094.3999999999999</v>
      </c>
      <c r="J407" s="62"/>
      <c r="K407" s="62"/>
      <c r="L407" s="63"/>
    </row>
    <row r="408" spans="1:13" s="54" customFormat="1">
      <c r="A408" s="53"/>
      <c r="B408" s="53"/>
      <c r="C408" s="144" t="s">
        <v>48</v>
      </c>
      <c r="D408" s="145"/>
      <c r="E408" s="92">
        <v>0.05</v>
      </c>
      <c r="F408" s="141" t="s">
        <v>18</v>
      </c>
      <c r="G408" s="142"/>
      <c r="H408" s="89"/>
      <c r="I408" s="78">
        <f>I407*J408/K408</f>
        <v>57.6</v>
      </c>
      <c r="J408" s="80">
        <v>0.05</v>
      </c>
      <c r="K408" s="80">
        <v>0.95</v>
      </c>
    </row>
    <row r="409" spans="1:13" s="54" customFormat="1">
      <c r="A409" s="53"/>
      <c r="B409" s="53"/>
      <c r="C409" s="146" t="s">
        <v>49</v>
      </c>
      <c r="D409" s="147"/>
      <c r="E409" s="147"/>
      <c r="F409" s="147" t="s">
        <v>18</v>
      </c>
      <c r="G409" s="147"/>
      <c r="H409" s="148"/>
      <c r="I409" s="78">
        <f>SUM(I407:I408)</f>
        <v>1151.9999999999998</v>
      </c>
      <c r="J409" s="62"/>
      <c r="K409" s="62"/>
    </row>
    <row r="410" spans="1:13" s="9" customFormat="1" ht="16.2">
      <c r="A410" s="21"/>
      <c r="B410" s="21"/>
      <c r="C410" s="158" t="s">
        <v>50</v>
      </c>
      <c r="D410" s="159"/>
      <c r="E410" s="159"/>
      <c r="F410" s="159" t="s">
        <v>51</v>
      </c>
      <c r="G410" s="159"/>
      <c r="H410" s="160"/>
      <c r="I410" s="10">
        <f>J410</f>
        <v>0.14899999999999999</v>
      </c>
      <c r="J410" s="97">
        <f>ROUND(K410,3)</f>
        <v>0.14899999999999999</v>
      </c>
      <c r="K410" s="97">
        <f>I409/I10</f>
        <v>0.14914552045572241</v>
      </c>
      <c r="L410" s="63"/>
    </row>
    <row r="411" spans="1:13" s="9" customFormat="1" ht="16.2">
      <c r="A411" s="126" t="s">
        <v>252</v>
      </c>
      <c r="B411" s="127"/>
      <c r="C411" s="127"/>
      <c r="D411" s="127"/>
      <c r="E411" s="127"/>
      <c r="F411" s="127"/>
      <c r="G411" s="127"/>
      <c r="H411" s="127"/>
      <c r="I411" s="128"/>
      <c r="J411" s="55"/>
      <c r="K411" s="55"/>
      <c r="L411" s="63"/>
    </row>
    <row r="412" spans="1:13" s="9" customFormat="1" ht="20.399999999999999" customHeight="1">
      <c r="A412" s="21"/>
      <c r="B412" s="21"/>
      <c r="C412" s="216" t="s">
        <v>203</v>
      </c>
      <c r="D412" s="217"/>
      <c r="E412" s="217"/>
      <c r="F412" s="217"/>
      <c r="G412" s="217"/>
      <c r="H412" s="218"/>
      <c r="I412" s="78">
        <f>I65</f>
        <v>800</v>
      </c>
      <c r="J412" s="63"/>
      <c r="K412" s="63"/>
      <c r="L412" s="63"/>
    </row>
    <row r="413" spans="1:13" s="9" customFormat="1" ht="15.6" customHeight="1">
      <c r="A413" s="21"/>
      <c r="B413" s="21"/>
      <c r="C413" s="216" t="s">
        <v>202</v>
      </c>
      <c r="D413" s="217"/>
      <c r="E413" s="217"/>
      <c r="F413" s="217"/>
      <c r="G413" s="217"/>
      <c r="H413" s="218"/>
      <c r="I413" s="87">
        <v>1.1399999999999999</v>
      </c>
      <c r="J413" s="63"/>
      <c r="K413" s="63"/>
      <c r="L413" s="63"/>
    </row>
    <row r="414" spans="1:13" s="9" customFormat="1" ht="15.6" customHeight="1">
      <c r="A414" s="21"/>
      <c r="B414" s="21"/>
      <c r="C414" s="216" t="s">
        <v>205</v>
      </c>
      <c r="D414" s="217"/>
      <c r="E414" s="217"/>
      <c r="F414" s="217"/>
      <c r="G414" s="217"/>
      <c r="H414" s="218"/>
      <c r="I414" s="78">
        <f>I412*I413</f>
        <v>911.99999999999989</v>
      </c>
      <c r="J414" s="63"/>
      <c r="K414" s="63"/>
      <c r="L414" s="63"/>
    </row>
    <row r="415" spans="1:13" s="49" customFormat="1" ht="15.6" customHeight="1">
      <c r="A415" s="47"/>
      <c r="B415" s="47"/>
      <c r="C415" s="138" t="s">
        <v>366</v>
      </c>
      <c r="D415" s="139"/>
      <c r="E415" s="139"/>
      <c r="F415" s="139" t="s">
        <v>18</v>
      </c>
      <c r="G415" s="139"/>
      <c r="H415" s="140"/>
      <c r="I415" s="72">
        <f>I414*J415</f>
        <v>182.39999999999998</v>
      </c>
      <c r="J415" s="91">
        <v>0.2</v>
      </c>
      <c r="K415" s="88"/>
      <c r="L415" s="88"/>
    </row>
    <row r="416" spans="1:13" s="9" customFormat="1">
      <c r="A416" s="21"/>
      <c r="B416" s="21"/>
      <c r="C416" s="216" t="s">
        <v>45</v>
      </c>
      <c r="D416" s="217"/>
      <c r="E416" s="217"/>
      <c r="F416" s="217" t="s">
        <v>18</v>
      </c>
      <c r="G416" s="217"/>
      <c r="H416" s="218"/>
      <c r="I416" s="78">
        <f>I414+I415</f>
        <v>1094.3999999999999</v>
      </c>
      <c r="J416" s="62"/>
      <c r="K416" s="63"/>
      <c r="L416" s="63"/>
    </row>
    <row r="417" spans="1:17" s="9" customFormat="1">
      <c r="A417" s="21"/>
      <c r="B417" s="21"/>
      <c r="C417" s="144" t="s">
        <v>48</v>
      </c>
      <c r="D417" s="145"/>
      <c r="E417" s="92">
        <v>0.05</v>
      </c>
      <c r="F417" s="118"/>
      <c r="G417" s="119"/>
      <c r="H417" s="120"/>
      <c r="I417" s="78">
        <f>I414*J417/K417</f>
        <v>47.999999999999993</v>
      </c>
      <c r="J417" s="80">
        <v>0.05</v>
      </c>
      <c r="K417" s="80">
        <v>0.95</v>
      </c>
      <c r="L417" s="63"/>
    </row>
    <row r="418" spans="1:17" s="9" customFormat="1">
      <c r="A418" s="21"/>
      <c r="B418" s="21"/>
      <c r="C418" s="216" t="s">
        <v>49</v>
      </c>
      <c r="D418" s="217"/>
      <c r="E418" s="217"/>
      <c r="F418" s="217"/>
      <c r="G418" s="217"/>
      <c r="H418" s="218"/>
      <c r="I418" s="78">
        <f>I414+I417</f>
        <v>959.99999999999989</v>
      </c>
      <c r="J418" s="63"/>
      <c r="K418" s="210"/>
      <c r="L418" s="210"/>
    </row>
    <row r="419" spans="1:17" s="9" customFormat="1" ht="16.2" customHeight="1">
      <c r="A419" s="21"/>
      <c r="B419" s="21"/>
      <c r="C419" s="158" t="s">
        <v>50</v>
      </c>
      <c r="D419" s="159"/>
      <c r="E419" s="159"/>
      <c r="F419" s="159"/>
      <c r="G419" s="159" t="s">
        <v>51</v>
      </c>
      <c r="H419" s="160"/>
      <c r="I419" s="10">
        <f>J419</f>
        <v>0.124</v>
      </c>
      <c r="J419" s="97">
        <f>ROUND(K419,3)</f>
        <v>0.124</v>
      </c>
      <c r="K419" s="97">
        <f>I418/I10</f>
        <v>0.12428793371310201</v>
      </c>
      <c r="L419" s="63"/>
    </row>
    <row r="420" spans="1:17" s="8" customFormat="1" ht="17.399999999999999">
      <c r="A420" s="21"/>
      <c r="B420" s="21"/>
      <c r="C420" s="206" t="s">
        <v>69</v>
      </c>
      <c r="D420" s="206"/>
      <c r="E420" s="206"/>
      <c r="F420" s="207"/>
      <c r="G420" s="119" t="s">
        <v>51</v>
      </c>
      <c r="H420" s="120"/>
      <c r="I420" s="64">
        <f>I130+I146+I156+I166+I280+I291+I302+I316+I367+I370+I390+I410+I419+I401</f>
        <v>2.6000082313499959</v>
      </c>
      <c r="J420" s="62"/>
      <c r="K420" s="62"/>
      <c r="L420" s="63"/>
      <c r="M420" s="63"/>
      <c r="N420" s="63"/>
    </row>
    <row r="421" spans="1:17" s="8" customFormat="1">
      <c r="A421" s="24"/>
      <c r="B421" s="24"/>
      <c r="C421" s="4"/>
      <c r="D421" s="4"/>
      <c r="E421" s="4"/>
      <c r="F421" s="29"/>
      <c r="G421" s="121"/>
      <c r="H421" s="122"/>
      <c r="I421" s="5"/>
      <c r="J421" s="7"/>
      <c r="K421" s="7"/>
    </row>
    <row r="422" spans="1:17" s="8" customFormat="1">
      <c r="A422" s="24"/>
      <c r="B422" s="24"/>
      <c r="C422" s="4"/>
      <c r="D422" s="4"/>
      <c r="E422" s="4"/>
      <c r="F422" s="29"/>
      <c r="G422" s="121"/>
      <c r="H422" s="122"/>
      <c r="I422" s="5"/>
      <c r="J422" s="7"/>
      <c r="K422" s="7"/>
    </row>
    <row r="423" spans="1:17" s="8" customFormat="1">
      <c r="A423" s="24"/>
      <c r="B423" s="24"/>
      <c r="C423" s="4"/>
      <c r="D423" s="4"/>
      <c r="E423" s="4"/>
      <c r="F423" s="29"/>
      <c r="G423" s="121"/>
      <c r="H423" s="122"/>
      <c r="I423" s="5"/>
      <c r="J423" s="7"/>
      <c r="K423" s="7"/>
    </row>
    <row r="424" spans="1:17" s="8" customFormat="1">
      <c r="A424" s="24"/>
      <c r="B424" s="24"/>
      <c r="C424" s="4"/>
      <c r="D424" s="4"/>
      <c r="E424" s="4"/>
      <c r="F424" s="29"/>
      <c r="G424" s="121"/>
      <c r="H424" s="122"/>
      <c r="I424" s="5"/>
      <c r="J424" s="7"/>
      <c r="K424" s="7"/>
    </row>
    <row r="425" spans="1:17" s="8" customFormat="1">
      <c r="A425" s="24"/>
      <c r="B425" s="24"/>
      <c r="C425" s="4" t="s">
        <v>354</v>
      </c>
      <c r="D425" s="4"/>
      <c r="E425" s="4"/>
      <c r="F425" s="29"/>
      <c r="H425" s="35"/>
      <c r="I425" s="33" t="s">
        <v>268</v>
      </c>
      <c r="J425" s="7"/>
      <c r="K425" s="7"/>
      <c r="M425"/>
      <c r="N425"/>
      <c r="O425"/>
      <c r="P425"/>
      <c r="Q425"/>
    </row>
    <row r="426" spans="1:17">
      <c r="A426" s="25"/>
      <c r="B426" s="24"/>
      <c r="C426" s="4"/>
      <c r="D426" s="4"/>
      <c r="E426" s="4"/>
      <c r="F426" s="29"/>
      <c r="G426" s="32"/>
      <c r="H426" s="28"/>
      <c r="I426" s="11"/>
      <c r="J426" s="7"/>
      <c r="K426" s="7"/>
    </row>
    <row r="427" spans="1:17">
      <c r="A427" s="25"/>
      <c r="B427" s="24"/>
      <c r="C427" s="4"/>
      <c r="D427" s="4"/>
      <c r="E427" s="4"/>
      <c r="F427" s="29"/>
      <c r="I427" s="33"/>
      <c r="J427" s="7"/>
      <c r="K427" s="7"/>
    </row>
  </sheetData>
  <mergeCells count="468">
    <mergeCell ref="C418:H418"/>
    <mergeCell ref="C320:H320"/>
    <mergeCell ref="C294:H294"/>
    <mergeCell ref="C293:H293"/>
    <mergeCell ref="C403:H403"/>
    <mergeCell ref="C405:H405"/>
    <mergeCell ref="C400:H400"/>
    <mergeCell ref="C332:H332"/>
    <mergeCell ref="C372:H372"/>
    <mergeCell ref="C373:H373"/>
    <mergeCell ref="C338:H338"/>
    <mergeCell ref="C316:H316"/>
    <mergeCell ref="A317:I317"/>
    <mergeCell ref="C339:H339"/>
    <mergeCell ref="C351:H351"/>
    <mergeCell ref="C350:H350"/>
    <mergeCell ref="C343:H343"/>
    <mergeCell ref="C344:H344"/>
    <mergeCell ref="C347:H347"/>
    <mergeCell ref="C349:H349"/>
    <mergeCell ref="C346:H346"/>
    <mergeCell ref="C345:H345"/>
    <mergeCell ref="C354:H354"/>
    <mergeCell ref="C357:H357"/>
    <mergeCell ref="C416:H416"/>
    <mergeCell ref="C407:H407"/>
    <mergeCell ref="C380:H380"/>
    <mergeCell ref="C406:H406"/>
    <mergeCell ref="C412:H412"/>
    <mergeCell ref="C280:H280"/>
    <mergeCell ref="C271:I271"/>
    <mergeCell ref="C396:H396"/>
    <mergeCell ref="C251:H251"/>
    <mergeCell ref="C260:H260"/>
    <mergeCell ref="C287:E287"/>
    <mergeCell ref="C288:H288"/>
    <mergeCell ref="C289:E289"/>
    <mergeCell ref="C301:H301"/>
    <mergeCell ref="A292:I292"/>
    <mergeCell ref="C340:H340"/>
    <mergeCell ref="A303:I303"/>
    <mergeCell ref="C298:E298"/>
    <mergeCell ref="C291:H291"/>
    <mergeCell ref="C299:H299"/>
    <mergeCell ref="C336:H336"/>
    <mergeCell ref="C404:H404"/>
    <mergeCell ref="C399:D399"/>
    <mergeCell ref="C413:H413"/>
    <mergeCell ref="C414:H414"/>
    <mergeCell ref="C410:H410"/>
    <mergeCell ref="C401:H401"/>
    <mergeCell ref="F408:G408"/>
    <mergeCell ref="F213:G213"/>
    <mergeCell ref="C217:H217"/>
    <mergeCell ref="C247:H247"/>
    <mergeCell ref="C321:H321"/>
    <mergeCell ref="C324:H324"/>
    <mergeCell ref="C237:H237"/>
    <mergeCell ref="C234:E234"/>
    <mergeCell ref="C236:E236"/>
    <mergeCell ref="C241:H241"/>
    <mergeCell ref="E262:H262"/>
    <mergeCell ref="C266:E266"/>
    <mergeCell ref="C261:H261"/>
    <mergeCell ref="F287:G287"/>
    <mergeCell ref="C282:H282"/>
    <mergeCell ref="C242:H242"/>
    <mergeCell ref="C272:H272"/>
    <mergeCell ref="C249:H249"/>
    <mergeCell ref="C250:H250"/>
    <mergeCell ref="C246:H246"/>
    <mergeCell ref="C118:H118"/>
    <mergeCell ref="C119:H119"/>
    <mergeCell ref="C135:H135"/>
    <mergeCell ref="C136:H136"/>
    <mergeCell ref="C120:H120"/>
    <mergeCell ref="C121:E121"/>
    <mergeCell ref="C122:H122"/>
    <mergeCell ref="F130:G130"/>
    <mergeCell ref="C111:H111"/>
    <mergeCell ref="C112:H112"/>
    <mergeCell ref="C113:H113"/>
    <mergeCell ref="C114:H114"/>
    <mergeCell ref="C115:H115"/>
    <mergeCell ref="C129:H129"/>
    <mergeCell ref="C134:H134"/>
    <mergeCell ref="C117:H117"/>
    <mergeCell ref="C124:H124"/>
    <mergeCell ref="C128:H128"/>
    <mergeCell ref="F125:G125"/>
    <mergeCell ref="C116:H116"/>
    <mergeCell ref="C126:H126"/>
    <mergeCell ref="F127:G127"/>
    <mergeCell ref="A130:E130"/>
    <mergeCell ref="F121:G121"/>
    <mergeCell ref="C101:H101"/>
    <mergeCell ref="C102:E102"/>
    <mergeCell ref="C104:E104"/>
    <mergeCell ref="C103:H103"/>
    <mergeCell ref="C105:H105"/>
    <mergeCell ref="C106:H106"/>
    <mergeCell ref="F102:G102"/>
    <mergeCell ref="C108:H108"/>
    <mergeCell ref="C109:H109"/>
    <mergeCell ref="C107:G107"/>
    <mergeCell ref="F104:G104"/>
    <mergeCell ref="C110:H110"/>
    <mergeCell ref="C47:E47"/>
    <mergeCell ref="C50:F50"/>
    <mergeCell ref="A402:I402"/>
    <mergeCell ref="C90:H90"/>
    <mergeCell ref="C91:H91"/>
    <mergeCell ref="C92:H92"/>
    <mergeCell ref="C93:H93"/>
    <mergeCell ref="C94:H94"/>
    <mergeCell ref="C100:H100"/>
    <mergeCell ref="C96:E96"/>
    <mergeCell ref="C83:E83"/>
    <mergeCell ref="C325:H325"/>
    <mergeCell ref="A371:I371"/>
    <mergeCell ref="C369:H369"/>
    <mergeCell ref="C331:H331"/>
    <mergeCell ref="C334:H334"/>
    <mergeCell ref="C335:H335"/>
    <mergeCell ref="C326:H326"/>
    <mergeCell ref="C330:H330"/>
    <mergeCell ref="C328:H328"/>
    <mergeCell ref="C329:H329"/>
    <mergeCell ref="C138:H138"/>
    <mergeCell ref="C139:H139"/>
    <mergeCell ref="C46:F46"/>
    <mergeCell ref="C49:F49"/>
    <mergeCell ref="C98:E98"/>
    <mergeCell ref="F85:G85"/>
    <mergeCell ref="C97:E97"/>
    <mergeCell ref="C85:E85"/>
    <mergeCell ref="C71:H71"/>
    <mergeCell ref="C72:H72"/>
    <mergeCell ref="C65:F65"/>
    <mergeCell ref="C48:E48"/>
    <mergeCell ref="C79:D79"/>
    <mergeCell ref="C70:H70"/>
    <mergeCell ref="C78:H78"/>
    <mergeCell ref="E79:H79"/>
    <mergeCell ref="C51:F51"/>
    <mergeCell ref="C69:I69"/>
    <mergeCell ref="C80:H80"/>
    <mergeCell ref="F98:G98"/>
    <mergeCell ref="C95:H95"/>
    <mergeCell ref="F96:G96"/>
    <mergeCell ref="F97:G97"/>
    <mergeCell ref="C88:G88"/>
    <mergeCell ref="C73:H73"/>
    <mergeCell ref="C74:H74"/>
    <mergeCell ref="K418:L418"/>
    <mergeCell ref="A368:I368"/>
    <mergeCell ref="C295:H295"/>
    <mergeCell ref="C296:H296"/>
    <mergeCell ref="C297:H297"/>
    <mergeCell ref="C304:H304"/>
    <mergeCell ref="C306:H306"/>
    <mergeCell ref="C323:H323"/>
    <mergeCell ref="C322:H322"/>
    <mergeCell ref="F314:G314"/>
    <mergeCell ref="C307:H307"/>
    <mergeCell ref="C308:H308"/>
    <mergeCell ref="C305:H305"/>
    <mergeCell ref="F312:G312"/>
    <mergeCell ref="C312:E312"/>
    <mergeCell ref="C333:H333"/>
    <mergeCell ref="F298:G298"/>
    <mergeCell ref="C314:E314"/>
    <mergeCell ref="C315:H315"/>
    <mergeCell ref="F300:G300"/>
    <mergeCell ref="C327:H327"/>
    <mergeCell ref="C318:H318"/>
    <mergeCell ref="C302:H302"/>
    <mergeCell ref="C300:E300"/>
    <mergeCell ref="C125:E125"/>
    <mergeCell ref="C123:H123"/>
    <mergeCell ref="C127:E127"/>
    <mergeCell ref="C165:H165"/>
    <mergeCell ref="C133:H133"/>
    <mergeCell ref="F154:G154"/>
    <mergeCell ref="C144:E144"/>
    <mergeCell ref="C132:I132"/>
    <mergeCell ref="C160:H160"/>
    <mergeCell ref="A131:I131"/>
    <mergeCell ref="F142:G142"/>
    <mergeCell ref="C143:H143"/>
    <mergeCell ref="E137:H137"/>
    <mergeCell ref="F152:G152"/>
    <mergeCell ref="C145:H145"/>
    <mergeCell ref="C146:H146"/>
    <mergeCell ref="C152:E152"/>
    <mergeCell ref="C150:H150"/>
    <mergeCell ref="C141:H141"/>
    <mergeCell ref="C142:E142"/>
    <mergeCell ref="C140:H140"/>
    <mergeCell ref="A147:I147"/>
    <mergeCell ref="C151:H151"/>
    <mergeCell ref="C161:H161"/>
    <mergeCell ref="C162:E162"/>
    <mergeCell ref="C163:H163"/>
    <mergeCell ref="C164:E164"/>
    <mergeCell ref="C156:H156"/>
    <mergeCell ref="C137:D137"/>
    <mergeCell ref="F162:G162"/>
    <mergeCell ref="C227:H227"/>
    <mergeCell ref="C252:H252"/>
    <mergeCell ref="C171:H171"/>
    <mergeCell ref="F164:G164"/>
    <mergeCell ref="C159:H159"/>
    <mergeCell ref="C248:H248"/>
    <mergeCell ref="C199:H199"/>
    <mergeCell ref="C196:H196"/>
    <mergeCell ref="C169:H169"/>
    <mergeCell ref="C170:H170"/>
    <mergeCell ref="C166:H166"/>
    <mergeCell ref="C194:H194"/>
    <mergeCell ref="C244:H244"/>
    <mergeCell ref="C172:H172"/>
    <mergeCell ref="C195:H195"/>
    <mergeCell ref="C200:H200"/>
    <mergeCell ref="A167:I167"/>
    <mergeCell ref="C191:H191"/>
    <mergeCell ref="C361:H361"/>
    <mergeCell ref="C384:H384"/>
    <mergeCell ref="C390:H390"/>
    <mergeCell ref="F399:G399"/>
    <mergeCell ref="C358:H358"/>
    <mergeCell ref="C374:H374"/>
    <mergeCell ref="C375:H375"/>
    <mergeCell ref="C420:F420"/>
    <mergeCell ref="C417:D417"/>
    <mergeCell ref="C363:E363"/>
    <mergeCell ref="C364:H364"/>
    <mergeCell ref="C397:E397"/>
    <mergeCell ref="F397:G397"/>
    <mergeCell ref="C419:H419"/>
    <mergeCell ref="A391:I391"/>
    <mergeCell ref="C392:H392"/>
    <mergeCell ref="C393:H393"/>
    <mergeCell ref="C394:H394"/>
    <mergeCell ref="C409:H409"/>
    <mergeCell ref="C395:H395"/>
    <mergeCell ref="C398:H398"/>
    <mergeCell ref="A411:I411"/>
    <mergeCell ref="C408:D408"/>
    <mergeCell ref="C415:H415"/>
    <mergeCell ref="C75:H75"/>
    <mergeCell ref="C76:H76"/>
    <mergeCell ref="C77:H77"/>
    <mergeCell ref="C86:H86"/>
    <mergeCell ref="C81:H81"/>
    <mergeCell ref="C188:H188"/>
    <mergeCell ref="C99:H99"/>
    <mergeCell ref="C82:H82"/>
    <mergeCell ref="C87:H87"/>
    <mergeCell ref="F144:G144"/>
    <mergeCell ref="C180:H180"/>
    <mergeCell ref="C185:H185"/>
    <mergeCell ref="C186:H186"/>
    <mergeCell ref="C187:E187"/>
    <mergeCell ref="C148:H148"/>
    <mergeCell ref="C149:H149"/>
    <mergeCell ref="C154:E154"/>
    <mergeCell ref="C153:H153"/>
    <mergeCell ref="C155:H155"/>
    <mergeCell ref="C158:H158"/>
    <mergeCell ref="A157:I157"/>
    <mergeCell ref="C89:H89"/>
    <mergeCell ref="B132:B133"/>
    <mergeCell ref="C175:H175"/>
    <mergeCell ref="C31:F31"/>
    <mergeCell ref="C33:F33"/>
    <mergeCell ref="C12:F12"/>
    <mergeCell ref="C21:F21"/>
    <mergeCell ref="C14:F14"/>
    <mergeCell ref="C13:F13"/>
    <mergeCell ref="C20:F20"/>
    <mergeCell ref="C32:F32"/>
    <mergeCell ref="C27:F27"/>
    <mergeCell ref="C2:I2"/>
    <mergeCell ref="C3:I3"/>
    <mergeCell ref="C9:F9"/>
    <mergeCell ref="C10:F10"/>
    <mergeCell ref="C30:F30"/>
    <mergeCell ref="C29:F29"/>
    <mergeCell ref="C61:F61"/>
    <mergeCell ref="C63:F63"/>
    <mergeCell ref="C66:I66"/>
    <mergeCell ref="C59:F59"/>
    <mergeCell ref="C60:F60"/>
    <mergeCell ref="C17:F17"/>
    <mergeCell ref="C36:F36"/>
    <mergeCell ref="C35:F35"/>
    <mergeCell ref="C26:F26"/>
    <mergeCell ref="C25:F25"/>
    <mergeCell ref="C37:F37"/>
    <mergeCell ref="C38:F38"/>
    <mergeCell ref="C52:F52"/>
    <mergeCell ref="C55:F55"/>
    <mergeCell ref="C56:F56"/>
    <mergeCell ref="C57:F57"/>
    <mergeCell ref="C34:F34"/>
    <mergeCell ref="C28:F28"/>
    <mergeCell ref="C1:I1"/>
    <mergeCell ref="C4:I4"/>
    <mergeCell ref="C8:F8"/>
    <mergeCell ref="C7:F7"/>
    <mergeCell ref="C6:F6"/>
    <mergeCell ref="C64:F64"/>
    <mergeCell ref="C62:F62"/>
    <mergeCell ref="C11:F11"/>
    <mergeCell ref="C16:F16"/>
    <mergeCell ref="C15:F15"/>
    <mergeCell ref="C24:F24"/>
    <mergeCell ref="C22:F22"/>
    <mergeCell ref="C53:F53"/>
    <mergeCell ref="C23:F23"/>
    <mergeCell ref="C54:F54"/>
    <mergeCell ref="C41:F41"/>
    <mergeCell ref="C45:E45"/>
    <mergeCell ref="C44:E44"/>
    <mergeCell ref="C43:E43"/>
    <mergeCell ref="C40:F40"/>
    <mergeCell ref="C42:F42"/>
    <mergeCell ref="C39:F39"/>
    <mergeCell ref="C19:F19"/>
    <mergeCell ref="C18:F18"/>
    <mergeCell ref="C270:H270"/>
    <mergeCell ref="C213:E213"/>
    <mergeCell ref="C214:H214"/>
    <mergeCell ref="C215:H215"/>
    <mergeCell ref="C220:H220"/>
    <mergeCell ref="C239:I239"/>
    <mergeCell ref="C232:H232"/>
    <mergeCell ref="F236:G236"/>
    <mergeCell ref="C238:H238"/>
    <mergeCell ref="C235:H235"/>
    <mergeCell ref="C219:H219"/>
    <mergeCell ref="C231:H231"/>
    <mergeCell ref="C225:H225"/>
    <mergeCell ref="C230:D230"/>
    <mergeCell ref="C229:H229"/>
    <mergeCell ref="E230:H230"/>
    <mergeCell ref="C216:I216"/>
    <mergeCell ref="C168:I168"/>
    <mergeCell ref="C182:H182"/>
    <mergeCell ref="C189:E189"/>
    <mergeCell ref="C190:H190"/>
    <mergeCell ref="F189:G189"/>
    <mergeCell ref="C211:E211"/>
    <mergeCell ref="C204:H204"/>
    <mergeCell ref="C205:H205"/>
    <mergeCell ref="C208:H208"/>
    <mergeCell ref="F187:G187"/>
    <mergeCell ref="C176:H176"/>
    <mergeCell ref="C183:D183"/>
    <mergeCell ref="E183:H183"/>
    <mergeCell ref="C178:H178"/>
    <mergeCell ref="C181:H181"/>
    <mergeCell ref="C201:H201"/>
    <mergeCell ref="C184:H184"/>
    <mergeCell ref="C177:H177"/>
    <mergeCell ref="C197:H197"/>
    <mergeCell ref="C179:H179"/>
    <mergeCell ref="C173:H173"/>
    <mergeCell ref="C174:H174"/>
    <mergeCell ref="C192:I192"/>
    <mergeCell ref="C207:D207"/>
    <mergeCell ref="E207:H207"/>
    <mergeCell ref="C228:H228"/>
    <mergeCell ref="C226:H226"/>
    <mergeCell ref="C209:H209"/>
    <mergeCell ref="C210:H210"/>
    <mergeCell ref="C212:H212"/>
    <mergeCell ref="C202:H202"/>
    <mergeCell ref="C203:H203"/>
    <mergeCell ref="C206:H206"/>
    <mergeCell ref="F211:G211"/>
    <mergeCell ref="C218:H218"/>
    <mergeCell ref="C222:H222"/>
    <mergeCell ref="C223:H223"/>
    <mergeCell ref="C273:H273"/>
    <mergeCell ref="C276:H276"/>
    <mergeCell ref="C278:H278"/>
    <mergeCell ref="C275:E275"/>
    <mergeCell ref="C277:E277"/>
    <mergeCell ref="C193:H193"/>
    <mergeCell ref="C198:H198"/>
    <mergeCell ref="C224:H224"/>
    <mergeCell ref="C221:H221"/>
    <mergeCell ref="F234:G234"/>
    <mergeCell ref="C233:H233"/>
    <mergeCell ref="C264:H264"/>
    <mergeCell ref="C240:H240"/>
    <mergeCell ref="C257:H257"/>
    <mergeCell ref="C258:H258"/>
    <mergeCell ref="C262:D262"/>
    <mergeCell ref="C245:H245"/>
    <mergeCell ref="C243:H243"/>
    <mergeCell ref="C263:H263"/>
    <mergeCell ref="C253:H253"/>
    <mergeCell ref="C254:H254"/>
    <mergeCell ref="C255:H255"/>
    <mergeCell ref="C256:H256"/>
    <mergeCell ref="C259:H259"/>
    <mergeCell ref="C360:H360"/>
    <mergeCell ref="C355:H355"/>
    <mergeCell ref="C348:H348"/>
    <mergeCell ref="C352:H352"/>
    <mergeCell ref="C353:H353"/>
    <mergeCell ref="C283:H283"/>
    <mergeCell ref="C284:H284"/>
    <mergeCell ref="C274:H274"/>
    <mergeCell ref="F289:G289"/>
    <mergeCell ref="C341:H341"/>
    <mergeCell ref="C342:H342"/>
    <mergeCell ref="C337:H337"/>
    <mergeCell ref="C313:H313"/>
    <mergeCell ref="C279:H279"/>
    <mergeCell ref="C285:H285"/>
    <mergeCell ref="C286:H286"/>
    <mergeCell ref="C290:H290"/>
    <mergeCell ref="C311:H311"/>
    <mergeCell ref="F275:G275"/>
    <mergeCell ref="C310:H310"/>
    <mergeCell ref="C319:H319"/>
    <mergeCell ref="F277:G277"/>
    <mergeCell ref="C309:H309"/>
    <mergeCell ref="A281:I281"/>
    <mergeCell ref="C389:H389"/>
    <mergeCell ref="E382:H382"/>
    <mergeCell ref="C382:D382"/>
    <mergeCell ref="C376:H376"/>
    <mergeCell ref="C377:H377"/>
    <mergeCell ref="C365:E365"/>
    <mergeCell ref="C366:H366"/>
    <mergeCell ref="C370:H370"/>
    <mergeCell ref="C378:H378"/>
    <mergeCell ref="F365:G365"/>
    <mergeCell ref="C367:H367"/>
    <mergeCell ref="A67:I67"/>
    <mergeCell ref="C58:F58"/>
    <mergeCell ref="F83:G83"/>
    <mergeCell ref="C84:H84"/>
    <mergeCell ref="C68:G68"/>
    <mergeCell ref="C356:H356"/>
    <mergeCell ref="F363:G363"/>
    <mergeCell ref="C379:H379"/>
    <mergeCell ref="F388:G388"/>
    <mergeCell ref="F386:G386"/>
    <mergeCell ref="C386:E386"/>
    <mergeCell ref="C387:H387"/>
    <mergeCell ref="C388:E388"/>
    <mergeCell ref="C385:H385"/>
    <mergeCell ref="C383:H383"/>
    <mergeCell ref="C381:H381"/>
    <mergeCell ref="C265:H265"/>
    <mergeCell ref="F266:G266"/>
    <mergeCell ref="F268:G268"/>
    <mergeCell ref="C269:H269"/>
    <mergeCell ref="C267:H267"/>
    <mergeCell ref="C268:E268"/>
    <mergeCell ref="C362:H362"/>
    <mergeCell ref="C359:H359"/>
  </mergeCells>
  <phoneticPr fontId="18" type="noConversion"/>
  <pageMargins left="0.59055118110236227" right="0.19685039370078741" top="0.19685039370078741" bottom="0.19685039370078741" header="0.51181102362204722" footer="0.51181102362204722"/>
  <pageSetup paperSize="9" scale="59" orientation="portrait" verticalDpi="0" r:id="rId1"/>
  <headerFooter alignWithMargins="0"/>
  <colBreaks count="1" manualBreakCount="1">
    <brk id="9" max="3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Титулка</vt:lpstr>
      <vt:lpstr>Розрахунок</vt:lpstr>
      <vt:lpstr>Розрахунок!Область_печати</vt:lpstr>
      <vt:lpstr>Титулка!Область_печати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2016-08-18T15:35:51Z</cp:lastPrinted>
  <dcterms:created xsi:type="dcterms:W3CDTF">2015-07-15T06:34:41Z</dcterms:created>
  <dcterms:modified xsi:type="dcterms:W3CDTF">2016-08-18T15:41:06Z</dcterms:modified>
</cp:coreProperties>
</file>