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0"/>
  </bookViews>
  <sheets>
    <sheet name="дод. 3" sheetId="1" r:id="rId1"/>
    <sheet name="дод. 4" sheetId="2" r:id="rId2"/>
  </sheets>
  <definedNames>
    <definedName name="_xlfn.AGGREGATE" hidden="1">#NAME?</definedName>
    <definedName name="_xlnm.Print_Titles" localSheetId="0">'дод. 3'!$7:$10</definedName>
    <definedName name="_xlnm.Print_Titles" localSheetId="1">'дод. 4'!$7:$10</definedName>
    <definedName name="_xlnm.Print_Area" localSheetId="0">'дод. 3'!$B$1:$Q$194</definedName>
    <definedName name="_xlnm.Print_Area" localSheetId="1">'дод. 4'!$B$1:$Q$228</definedName>
  </definedNames>
  <calcPr fullCalcOnLoad="1"/>
</workbook>
</file>

<file path=xl/sharedStrings.xml><?xml version="1.0" encoding="utf-8"?>
<sst xmlns="http://schemas.openxmlformats.org/spreadsheetml/2006/main" count="984" uniqueCount="359">
  <si>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</si>
  <si>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</si>
  <si>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</si>
  <si>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</si>
  <si>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</si>
  <si>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</si>
  <si>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</si>
  <si>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</si>
  <si>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</si>
  <si>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</si>
  <si>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</si>
  <si>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</si>
  <si>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</si>
  <si>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</si>
  <si>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</si>
  <si>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</si>
  <si>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</si>
  <si>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</si>
  <si>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</si>
  <si>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</si>
  <si>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</si>
  <si>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</si>
  <si>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</si>
  <si>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</si>
  <si>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</si>
  <si>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</si>
  <si>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</si>
  <si>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</si>
  <si>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</si>
  <si>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</si>
  <si>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</si>
  <si>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</si>
  <si>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</si>
  <si>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</si>
  <si>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</si>
  <si>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</si>
  <si>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</si>
  <si>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</si>
  <si>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</si>
  <si>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</si>
  <si>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</si>
  <si>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</si>
  <si>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</si>
  <si>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</si>
  <si>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</si>
  <si>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</si>
  <si>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</si>
  <si>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</si>
  <si>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</si>
  <si>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</si>
  <si>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</si>
  <si>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</si>
  <si>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</si>
  <si>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</si>
  <si>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</si>
  <si>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</si>
  <si>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</si>
  <si>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</si>
  <si>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</si>
  <si>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</si>
  <si>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</si>
  <si>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</si>
  <si>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</si>
  <si>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</si>
  <si>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</si>
  <si>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</si>
  <si>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</si>
  <si>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</si>
  <si>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</si>
  <si>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</si>
  <si>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</si>
  <si>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</si>
  <si>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</si>
  <si>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</si>
  <si>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</si>
  <si>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</si>
  <si>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</si>
  <si>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</si>
  <si>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</si>
  <si>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</si>
  <si>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</si>
  <si>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</si>
  <si>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</si>
  <si>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</si>
  <si>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</si>
  <si>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</si>
  <si>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</si>
  <si>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</si>
  <si>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</si>
  <si>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</si>
  <si>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</si>
  <si>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</si>
  <si>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</si>
  <si>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</si>
  <si>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</si>
  <si>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</si>
  <si>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</si>
  <si>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</si>
  <si>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</si>
  <si>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</si>
  <si>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</si>
  <si>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</si>
  <si>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</si>
  <si>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</si>
  <si>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</si>
  <si>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</si>
  <si>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</si>
  <si>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</si>
  <si>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</si>
  <si>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</si>
  <si>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</si>
  <si>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</si>
  <si>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</si>
  <si>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</si>
  <si>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</si>
  <si>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</si>
  <si>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</si>
  <si>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</si>
  <si>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</si>
  <si>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</si>
  <si>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</si>
  <si>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</si>
  <si>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</si>
  <si>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</si>
  <si>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</si>
  <si>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</si>
  <si>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</si>
  <si>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</si>
  <si>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</si>
  <si>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</si>
  <si>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</si>
  <si>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</si>
  <si>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</si>
  <si>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</si>
  <si>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</si>
  <si>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</si>
  <si>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</si>
  <si>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</si>
  <si>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</si>
  <si>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</si>
  <si>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</si>
  <si>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</si>
  <si>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</si>
  <si>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</si>
  <si>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</si>
  <si>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</si>
  <si>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</si>
  <si>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</si>
  <si>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</si>
  <si>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</si>
  <si>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</si>
  <si>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</si>
  <si>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</si>
  <si>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</si>
  <si>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</si>
  <si>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</si>
  <si>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</si>
  <si>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</si>
  <si>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</si>
  <si>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</si>
  <si>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</si>
  <si>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</si>
  <si>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</si>
  <si>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 xml:space="preserve">15 Управління соціального захисту населення Сумської міської ради </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</si>
  <si>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</si>
  <si>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</si>
  <si>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</si>
  <si>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</si>
  <si>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</si>
  <si>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</si>
  <si>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</si>
  <si>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</si>
  <si>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</si>
  <si>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</si>
  <si>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</si>
  <si>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</si>
  <si>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</si>
  <si>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</si>
  <si>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</si>
  <si>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</si>
  <si>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</si>
  <si>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75 Департамент фінансів, економіки та бюджетних відносин Сумської міської ради</t>
  </si>
  <si>
    <t>76 Департамент фінансів, економіки та бюджетних відносин Сумської міської ради (в частині міжбюджетних трансфертів, резервного фонду)</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</si>
  <si>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</si>
  <si>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</si>
  <si>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</si>
  <si>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</si>
  <si>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</si>
  <si>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</si>
  <si>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</si>
  <si>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</si>
  <si>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</si>
  <si>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</si>
  <si>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</si>
  <si>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</si>
  <si>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</si>
  <si>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</si>
  <si>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</si>
  <si>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</si>
  <si>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</si>
  <si>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</si>
  <si>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</si>
  <si>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</si>
  <si>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</si>
  <si>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</si>
  <si>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</si>
  <si>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</si>
  <si>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</si>
  <si>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</si>
  <si>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</si>
  <si>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</si>
  <si>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</si>
  <si>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</si>
  <si>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</si>
  <si>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</si>
  <si>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</si>
  <si>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</si>
  <si>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</si>
  <si>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</si>
  <si>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</si>
  <si>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</si>
  <si>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</si>
  <si>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</si>
  <si>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</si>
  <si>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</si>
  <si>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</si>
  <si>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</si>
  <si>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</si>
  <si>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</si>
  <si>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</si>
  <si>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</si>
  <si>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</si>
  <si>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</si>
  <si>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</si>
  <si>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</si>
  <si>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</si>
  <si>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</si>
  <si>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</si>
  <si>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</si>
  <si>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</si>
  <si>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</si>
  <si>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</si>
  <si>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</si>
  <si>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</si>
  <si>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</si>
  <si>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</si>
  <si>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</si>
  <si>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</si>
  <si>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</si>
  <si>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</si>
  <si>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</si>
  <si>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 xml:space="preserve"> 49 Управління «Інспекція державного архітектурно-будівельного контролю» Сумської міської ради</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</si>
  <si>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</si>
  <si>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</si>
  <si>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</si>
  <si>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</si>
  <si>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</si>
  <si>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</si>
  <si>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</si>
  <si>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</si>
  <si>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</si>
  <si>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</si>
  <si>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</si>
  <si>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</si>
  <si>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</si>
  <si>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</si>
  <si>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</si>
  <si>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</si>
  <si>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</si>
  <si>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</si>
  <si>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</si>
  <si>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</si>
  <si>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</si>
  <si>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</si>
  <si>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</si>
  <si>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</si>
  <si>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</si>
  <si>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</si>
  <si>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</si>
  <si>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</si>
  <si>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</si>
  <si>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</si>
  <si>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</si>
  <si>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</si>
  <si>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</si>
  <si>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</si>
  <si>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</si>
  <si>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</si>
  <si>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</si>
  <si>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</si>
  <si>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</si>
  <si>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</si>
  <si>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</si>
  <si>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</si>
  <si>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</si>
  <si>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</si>
  <si>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</si>
  <si>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</si>
  <si>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</si>
  <si>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</si>
  <si>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</si>
  <si>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</si>
  <si>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</si>
  <si>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</si>
  <si>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</si>
  <si>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</si>
  <si>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</si>
  <si>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</si>
  <si>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</si>
  <si>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</si>
  <si>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</si>
  <si>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</si>
  <si>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</si>
  <si>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</si>
  <si>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</si>
  <si>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</si>
  <si>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</si>
  <si>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</si>
  <si>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</si>
  <si>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</si>
  <si>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</si>
  <si>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</si>
  <si>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</si>
  <si>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</si>
  <si>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240603</t>
  </si>
  <si>
    <t>Ліквідація іншого забруднення навколишнього природного середовища</t>
  </si>
  <si>
    <t>0513</t>
  </si>
  <si>
    <t xml:space="preserve">  </t>
  </si>
  <si>
    <t xml:space="preserve">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</si>
  <si>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</si>
  <si>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</si>
  <si>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 xml:space="preserve">                Додаток  4</t>
  </si>
  <si>
    <t>до  рішення  виконавчого   комітету</t>
  </si>
  <si>
    <r>
      <t xml:space="preserve">від </t>
    </r>
    <r>
      <rPr>
        <sz val="20"/>
        <color indexed="9"/>
        <rFont val="Times New Roman"/>
        <family val="1"/>
      </rPr>
      <t>29 вересн               я</t>
    </r>
    <r>
      <rPr>
        <sz val="20"/>
        <rFont val="Times New Roman"/>
        <family val="0"/>
      </rPr>
      <t xml:space="preserve">  № </t>
    </r>
    <r>
      <rPr>
        <sz val="20"/>
        <color indexed="9"/>
        <rFont val="Times New Roman"/>
        <family val="1"/>
      </rPr>
      <t>4786</t>
    </r>
  </si>
  <si>
    <t xml:space="preserve">                Додаток  3</t>
  </si>
  <si>
    <t>17</t>
  </si>
  <si>
    <t>18</t>
  </si>
  <si>
    <t>19</t>
  </si>
  <si>
    <t>20</t>
  </si>
  <si>
    <t>21</t>
  </si>
  <si>
    <t>22</t>
  </si>
  <si>
    <t>23</t>
  </si>
  <si>
    <t>24</t>
  </si>
  <si>
    <t>25</t>
  </si>
  <si>
    <t>26</t>
  </si>
  <si>
    <t>27</t>
  </si>
  <si>
    <t>28</t>
  </si>
  <si>
    <t>29</t>
  </si>
  <si>
    <t>30</t>
  </si>
  <si>
    <t>31</t>
  </si>
  <si>
    <t>32</t>
  </si>
  <si>
    <t>33</t>
  </si>
  <si>
    <t>34</t>
  </si>
  <si>
    <t>35</t>
  </si>
  <si>
    <t>36</t>
  </si>
  <si>
    <t>37</t>
  </si>
  <si>
    <t>38</t>
  </si>
  <si>
    <t xml:space="preserve">Заступник директора департаменту фінансів, економіки та бюджетних відносин </t>
  </si>
  <si>
    <t>Л.І. Співакова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</si>
</sst>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 #,##0;* \-#,##0;* &quot;-&quot;;@"/>
    <numFmt numFmtId="173" formatCode="* #,##0.00;* \-#,##0.00;* &quot;-&quot;??;@"/>
    <numFmt numFmtId="174" formatCode="* _-#,##0&quot;р.&quot;;* \-#,##0&quot;р.&quot;;* _-&quot;-&quot;&quot;р.&quot;;@"/>
    <numFmt numFmtId="175" formatCode="* _-#,##0.00&quot;р.&quot;;* \-#,##0.00&quot;р.&quot;;* _-&quot;-&quot;??&quot;р.&quot;;@"/>
  </numFmts>
  <fonts count="43">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b/>
      <sz val="11"/>
      <color indexed="10"/>
      <name val="Times New Roman"/>
      <family val="0"/>
    </font>
    <font>
      <sz val="12"/>
      <name val="Times New Roman"/>
      <family val="0"/>
    </font>
    <font>
      <sz val="20"/>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75"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04">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14" xfId="0" applyNumberFormat="1" applyFont="1" applyFill="1" applyBorder="1" applyAlignment="1" applyProtection="1">
      <alignment horizontal="center" vertical="center" wrapText="1"/>
      <protection/>
    </xf>
    <xf numFmtId="0" fontId="35" fillId="0" borderId="0" xfId="0" applyFont="1" applyFill="1" applyAlignment="1">
      <alignment/>
    </xf>
    <xf numFmtId="0" fontId="35" fillId="0" borderId="15" xfId="0" applyNumberFormat="1" applyFont="1" applyFill="1" applyBorder="1" applyAlignment="1" applyProtection="1">
      <alignment/>
      <protection/>
    </xf>
    <xf numFmtId="0" fontId="35" fillId="0" borderId="16"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7" xfId="0" applyFont="1" applyFill="1" applyBorder="1" applyAlignment="1">
      <alignment vertical="center" wrapText="1"/>
    </xf>
    <xf numFmtId="0" fontId="35" fillId="0" borderId="0" xfId="0" applyFont="1" applyFill="1" applyAlignment="1">
      <alignment vertical="center"/>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0" xfId="0" applyFont="1" applyFill="1" applyAlignment="1">
      <alignment vertical="center" wrapText="1"/>
    </xf>
    <xf numFmtId="49" fontId="3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vertical="center" wrapText="1"/>
    </xf>
    <xf numFmtId="4" fontId="35" fillId="0" borderId="14" xfId="95" applyNumberFormat="1" applyFont="1" applyFill="1" applyBorder="1" applyAlignment="1">
      <alignment vertical="center"/>
      <protection/>
    </xf>
    <xf numFmtId="0" fontId="0" fillId="0" borderId="12" xfId="0" applyFont="1" applyFill="1" applyBorder="1" applyAlignment="1">
      <alignment horizontal="center"/>
    </xf>
    <xf numFmtId="4" fontId="36"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4"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0" fontId="39" fillId="0" borderId="0" xfId="0" applyFont="1" applyFill="1" applyAlignment="1">
      <alignment vertical="center"/>
    </xf>
    <xf numFmtId="0" fontId="39" fillId="0" borderId="0" xfId="0" applyNumberFormat="1" applyFont="1" applyFill="1" applyAlignment="1" applyProtection="1">
      <alignment/>
      <protection/>
    </xf>
    <xf numFmtId="3" fontId="39" fillId="0" borderId="0" xfId="0" applyNumberFormat="1" applyFont="1" applyFill="1" applyBorder="1" applyAlignment="1">
      <alignment horizontal="center" vertical="center" wrapText="1"/>
    </xf>
    <xf numFmtId="0" fontId="39" fillId="0" borderId="0" xfId="0" applyNumberFormat="1" applyFont="1" applyFill="1" applyBorder="1" applyAlignment="1" applyProtection="1">
      <alignment vertical="center" wrapText="1"/>
      <protection/>
    </xf>
    <xf numFmtId="0" fontId="39" fillId="0" borderId="0" xfId="0" applyFont="1" applyFill="1" applyAlignment="1">
      <alignment/>
    </xf>
    <xf numFmtId="49" fontId="35" fillId="0" borderId="14" xfId="0" applyNumberFormat="1" applyFont="1" applyFill="1" applyBorder="1" applyAlignment="1">
      <alignment horizontal="center" vertical="center"/>
    </xf>
    <xf numFmtId="4" fontId="35" fillId="0" borderId="0" xfId="0" applyNumberFormat="1" applyFont="1" applyFill="1" applyAlignment="1">
      <alignment vertical="center"/>
    </xf>
    <xf numFmtId="0" fontId="39" fillId="0" borderId="0" xfId="0" applyFont="1" applyFill="1" applyAlignment="1">
      <alignment horizontal="left" vertical="center" wrapText="1"/>
    </xf>
    <xf numFmtId="0" fontId="35" fillId="0" borderId="0" xfId="0" applyNumberFormat="1" applyFont="1" applyFill="1" applyAlignment="1" applyProtection="1">
      <alignment vertical="center"/>
      <protection/>
    </xf>
    <xf numFmtId="0" fontId="35" fillId="0" borderId="0" xfId="0" applyFont="1" applyFill="1" applyAlignment="1">
      <alignment vertical="center"/>
    </xf>
    <xf numFmtId="49" fontId="36" fillId="0" borderId="14" xfId="0" applyNumberFormat="1" applyFont="1" applyFill="1" applyBorder="1" applyAlignment="1">
      <alignment horizontal="center" vertical="center" wrapText="1"/>
    </xf>
    <xf numFmtId="4" fontId="35" fillId="0" borderId="14" xfId="95" applyNumberFormat="1" applyFont="1" applyFill="1" applyBorder="1" applyAlignment="1">
      <alignment vertical="center"/>
      <protection/>
    </xf>
    <xf numFmtId="4" fontId="40" fillId="0" borderId="14" xfId="95" applyNumberFormat="1" applyFont="1" applyFill="1" applyBorder="1" applyAlignment="1">
      <alignment vertical="center"/>
      <protection/>
    </xf>
    <xf numFmtId="0" fontId="33" fillId="0" borderId="0" xfId="0" applyNumberFormat="1" applyFont="1" applyFill="1" applyBorder="1" applyAlignment="1" applyProtection="1">
      <alignment/>
      <protection/>
    </xf>
    <xf numFmtId="0" fontId="33" fillId="0" borderId="0" xfId="0" applyFont="1" applyFill="1" applyBorder="1" applyAlignment="1">
      <alignment/>
    </xf>
    <xf numFmtId="3" fontId="33" fillId="0" borderId="0" xfId="0" applyNumberFormat="1" applyFont="1" applyFill="1" applyBorder="1" applyAlignment="1">
      <alignment/>
    </xf>
    <xf numFmtId="4" fontId="35" fillId="0" borderId="0" xfId="95" applyNumberFormat="1" applyFont="1" applyFill="1" applyBorder="1" applyAlignment="1">
      <alignment vertical="center"/>
      <protection/>
    </xf>
    <xf numFmtId="4" fontId="39" fillId="0" borderId="0" xfId="0" applyNumberFormat="1" applyFont="1" applyFill="1" applyAlignment="1">
      <alignment/>
    </xf>
    <xf numFmtId="4" fontId="33"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6"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0" xfId="0" applyNumberFormat="1" applyFont="1" applyFill="1" applyAlignment="1" applyProtection="1">
      <alignment vertical="center"/>
      <protection/>
    </xf>
    <xf numFmtId="4" fontId="36" fillId="0" borderId="14" xfId="95" applyNumberFormat="1" applyFont="1" applyFill="1" applyBorder="1" applyAlignment="1">
      <alignment vertical="center"/>
      <protection/>
    </xf>
    <xf numFmtId="0" fontId="36" fillId="0" borderId="0" xfId="0" applyFont="1" applyFill="1" applyAlignment="1">
      <alignment vertical="center"/>
    </xf>
    <xf numFmtId="4" fontId="0" fillId="0" borderId="0" xfId="0" applyNumberFormat="1" applyFont="1" applyFill="1" applyAlignment="1" applyProtection="1">
      <alignment/>
      <protection/>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0" fontId="35" fillId="0" borderId="13" xfId="0" applyFont="1" applyFill="1" applyBorder="1" applyAlignment="1">
      <alignment vertical="center" wrapText="1"/>
    </xf>
    <xf numFmtId="0" fontId="35" fillId="0" borderId="15" xfId="0" applyFont="1" applyFill="1" applyBorder="1" applyAlignment="1">
      <alignment vertical="top" wrapText="1"/>
    </xf>
    <xf numFmtId="0" fontId="35" fillId="0" borderId="16" xfId="0" applyFont="1" applyFill="1" applyBorder="1" applyAlignment="1">
      <alignment vertical="top" wrapText="1"/>
    </xf>
    <xf numFmtId="4" fontId="35" fillId="0" borderId="18"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9" fontId="41" fillId="0" borderId="0" xfId="0" applyNumberFormat="1" applyFont="1" applyFill="1" applyAlignment="1">
      <alignment horizontal="center" vertical="center" textRotation="180"/>
    </xf>
    <xf numFmtId="49" fontId="41" fillId="0" borderId="0" xfId="0" applyNumberFormat="1" applyFont="1" applyFill="1" applyAlignment="1">
      <alignment vertical="center" textRotation="180"/>
    </xf>
    <xf numFmtId="0" fontId="35" fillId="0" borderId="18"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49" fontId="39" fillId="0" borderId="0" xfId="0" applyNumberFormat="1" applyFont="1" applyFill="1" applyBorder="1" applyAlignment="1">
      <alignment horizontal="left" vertical="center" wrapText="1"/>
    </xf>
    <xf numFmtId="0" fontId="39" fillId="0" borderId="0" xfId="0" applyFont="1" applyFill="1" applyAlignment="1">
      <alignment vertical="center"/>
    </xf>
    <xf numFmtId="0" fontId="34" fillId="0" borderId="0" xfId="0" applyNumberFormat="1" applyFont="1" applyFill="1" applyBorder="1" applyAlignment="1" applyProtection="1">
      <alignment horizontal="center" vertical="top"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49" fontId="41" fillId="0" borderId="0" xfId="0" applyNumberFormat="1" applyFont="1" applyFill="1" applyAlignment="1">
      <alignment horizontal="center" vertical="center" textRotation="180"/>
    </xf>
    <xf numFmtId="49" fontId="41" fillId="0" borderId="15" xfId="0" applyNumberFormat="1" applyFont="1" applyFill="1" applyBorder="1" applyAlignment="1">
      <alignment horizontal="center" vertical="center" textRotation="180"/>
    </xf>
    <xf numFmtId="0" fontId="39" fillId="0" borderId="0" xfId="0" applyFont="1" applyFill="1" applyAlignment="1">
      <alignment horizontal="left" vertical="center" wrapText="1"/>
    </xf>
    <xf numFmtId="0" fontId="35" fillId="0" borderId="22" xfId="0" applyNumberFormat="1" applyFont="1" applyFill="1" applyBorder="1" applyAlignment="1" applyProtection="1">
      <alignment horizontal="center" vertical="center" wrapText="1"/>
      <protection/>
    </xf>
    <xf numFmtId="3" fontId="39"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dimension ref="A1:Y224"/>
  <sheetViews>
    <sheetView showGridLines="0" showZeros="0" tabSelected="1" view="pageBreakPreview" zoomScale="55" zoomScaleNormal="70" zoomScaleSheetLayoutView="55" workbookViewId="0" topLeftCell="B155">
      <selection activeCell="D203" sqref="D203"/>
    </sheetView>
  </sheetViews>
  <sheetFormatPr defaultColWidth="9.16015625" defaultRowHeight="12.75"/>
  <cols>
    <col min="1" max="1" width="3.83203125" style="1" hidden="1" customWidth="1"/>
    <col min="2" max="3" width="11.66015625" style="1" customWidth="1"/>
    <col min="4" max="4" width="46" style="1" customWidth="1"/>
    <col min="5" max="5" width="19.33203125" style="1" customWidth="1"/>
    <col min="6" max="6" width="19.5" style="1" customWidth="1"/>
    <col min="7" max="7" width="20" style="1" customWidth="1"/>
    <col min="8" max="8" width="16.83203125" style="1" customWidth="1"/>
    <col min="9" max="9" width="17" style="1" customWidth="1"/>
    <col min="10" max="11" width="18" style="1" customWidth="1"/>
    <col min="12" max="12" width="15.83203125" style="1" customWidth="1"/>
    <col min="13" max="13" width="13.66015625" style="1" customWidth="1"/>
    <col min="14" max="14" width="17.66015625" style="1" customWidth="1"/>
    <col min="15" max="15" width="19.16015625" style="1" customWidth="1"/>
    <col min="16" max="16" width="19.66015625" style="1" customWidth="1"/>
    <col min="17" max="17" width="7.16015625" style="85" customWidth="1"/>
    <col min="18" max="18" width="14.16015625" style="61" bestFit="1" customWidth="1"/>
    <col min="19" max="19" width="29.66015625" style="61" bestFit="1" customWidth="1"/>
    <col min="20" max="16384" width="9.16015625" style="61" customWidth="1"/>
  </cols>
  <sheetData>
    <row r="1" spans="12:17" ht="26.25">
      <c r="L1" s="94" t="s">
        <v>334</v>
      </c>
      <c r="M1" s="94"/>
      <c r="N1" s="94"/>
      <c r="O1" s="94"/>
      <c r="P1" s="42"/>
      <c r="Q1" s="98" t="s">
        <v>335</v>
      </c>
    </row>
    <row r="2" spans="12:17" ht="26.25">
      <c r="L2" s="42" t="s">
        <v>332</v>
      </c>
      <c r="M2" s="42"/>
      <c r="N2" s="42"/>
      <c r="O2" s="42"/>
      <c r="P2" s="42"/>
      <c r="Q2" s="98"/>
    </row>
    <row r="3" spans="12:17" ht="26.25" customHeight="1">
      <c r="L3" s="100" t="s">
        <v>333</v>
      </c>
      <c r="M3" s="100"/>
      <c r="N3" s="100"/>
      <c r="O3" s="100"/>
      <c r="P3" s="100"/>
      <c r="Q3" s="98"/>
    </row>
    <row r="4" spans="12:17" ht="36" customHeight="1">
      <c r="L4" s="49"/>
      <c r="M4" s="49"/>
      <c r="N4" s="49"/>
      <c r="O4" s="49"/>
      <c r="P4" s="49"/>
      <c r="Q4" s="98"/>
    </row>
    <row r="5" spans="2:17" ht="45" customHeight="1">
      <c r="B5" s="95" t="s">
        <v>249</v>
      </c>
      <c r="C5" s="95"/>
      <c r="D5" s="95"/>
      <c r="E5" s="95"/>
      <c r="F5" s="95"/>
      <c r="G5" s="95"/>
      <c r="H5" s="95"/>
      <c r="I5" s="95"/>
      <c r="J5" s="95"/>
      <c r="K5" s="95"/>
      <c r="L5" s="95"/>
      <c r="M5" s="95"/>
      <c r="N5" s="95"/>
      <c r="O5" s="95"/>
      <c r="P5" s="95"/>
      <c r="Q5" s="98"/>
    </row>
    <row r="6" spans="2:17" ht="18.75">
      <c r="B6" s="62"/>
      <c r="C6" s="62"/>
      <c r="D6" s="62"/>
      <c r="E6" s="62"/>
      <c r="F6" s="62"/>
      <c r="G6" s="5"/>
      <c r="H6" s="62"/>
      <c r="I6" s="62"/>
      <c r="J6" s="3"/>
      <c r="K6" s="63"/>
      <c r="L6" s="63"/>
      <c r="M6" s="63"/>
      <c r="N6" s="63"/>
      <c r="O6" s="63"/>
      <c r="P6" s="41" t="s">
        <v>14</v>
      </c>
      <c r="Q6" s="98"/>
    </row>
    <row r="7" spans="1:17" s="19" customFormat="1" ht="21.75" customHeight="1">
      <c r="A7" s="17"/>
      <c r="B7" s="87" t="s">
        <v>13</v>
      </c>
      <c r="C7" s="87" t="s">
        <v>10</v>
      </c>
      <c r="D7" s="87" t="s">
        <v>188</v>
      </c>
      <c r="E7" s="96" t="s">
        <v>0</v>
      </c>
      <c r="F7" s="101"/>
      <c r="G7" s="101"/>
      <c r="H7" s="101"/>
      <c r="I7" s="97"/>
      <c r="J7" s="96" t="s">
        <v>1</v>
      </c>
      <c r="K7" s="101"/>
      <c r="L7" s="101"/>
      <c r="M7" s="101"/>
      <c r="N7" s="101"/>
      <c r="O7" s="97"/>
      <c r="P7" s="87" t="s">
        <v>2</v>
      </c>
      <c r="Q7" s="98"/>
    </row>
    <row r="8" spans="1:17" s="19" customFormat="1" ht="16.5" customHeight="1">
      <c r="A8" s="20"/>
      <c r="B8" s="89"/>
      <c r="C8" s="89"/>
      <c r="D8" s="89"/>
      <c r="E8" s="87" t="s">
        <v>3</v>
      </c>
      <c r="F8" s="90" t="s">
        <v>4</v>
      </c>
      <c r="G8" s="96" t="s">
        <v>5</v>
      </c>
      <c r="H8" s="97"/>
      <c r="I8" s="90" t="s">
        <v>6</v>
      </c>
      <c r="J8" s="87" t="s">
        <v>3</v>
      </c>
      <c r="K8" s="90" t="s">
        <v>4</v>
      </c>
      <c r="L8" s="96" t="s">
        <v>5</v>
      </c>
      <c r="M8" s="97"/>
      <c r="N8" s="90" t="s">
        <v>6</v>
      </c>
      <c r="O8" s="18" t="s">
        <v>5</v>
      </c>
      <c r="P8" s="89"/>
      <c r="Q8" s="98"/>
    </row>
    <row r="9" spans="1:17" s="19" customFormat="1" ht="20.25" customHeight="1">
      <c r="A9" s="21"/>
      <c r="B9" s="89"/>
      <c r="C9" s="89"/>
      <c r="D9" s="89"/>
      <c r="E9" s="89"/>
      <c r="F9" s="91"/>
      <c r="G9" s="87" t="s">
        <v>7</v>
      </c>
      <c r="H9" s="87" t="s">
        <v>8</v>
      </c>
      <c r="I9" s="91"/>
      <c r="J9" s="89"/>
      <c r="K9" s="91"/>
      <c r="L9" s="87" t="s">
        <v>7</v>
      </c>
      <c r="M9" s="87" t="s">
        <v>8</v>
      </c>
      <c r="N9" s="91"/>
      <c r="O9" s="87" t="s">
        <v>12</v>
      </c>
      <c r="P9" s="89"/>
      <c r="Q9" s="98"/>
    </row>
    <row r="10" spans="1:17" s="19" customFormat="1" ht="110.25" customHeight="1">
      <c r="A10" s="22"/>
      <c r="B10" s="88"/>
      <c r="C10" s="88"/>
      <c r="D10" s="88"/>
      <c r="E10" s="88"/>
      <c r="F10" s="92"/>
      <c r="G10" s="88"/>
      <c r="H10" s="88"/>
      <c r="I10" s="92"/>
      <c r="J10" s="88"/>
      <c r="K10" s="92"/>
      <c r="L10" s="88"/>
      <c r="M10" s="88"/>
      <c r="N10" s="92"/>
      <c r="O10" s="88"/>
      <c r="P10" s="88"/>
      <c r="Q10" s="98"/>
    </row>
    <row r="11" spans="1:17" s="25" customFormat="1" ht="15">
      <c r="A11" s="23"/>
      <c r="B11" s="65" t="s">
        <v>216</v>
      </c>
      <c r="C11" s="31"/>
      <c r="D11" s="31" t="s">
        <v>217</v>
      </c>
      <c r="E11" s="37">
        <f>E12</f>
        <v>64285967</v>
      </c>
      <c r="F11" s="37">
        <f aca="true" t="shared" si="0" ref="F11:P11">F12</f>
        <v>64285967</v>
      </c>
      <c r="G11" s="37">
        <f t="shared" si="0"/>
        <v>43824925</v>
      </c>
      <c r="H11" s="37">
        <f t="shared" si="0"/>
        <v>2728341</v>
      </c>
      <c r="I11" s="37">
        <f t="shared" si="0"/>
        <v>0</v>
      </c>
      <c r="J11" s="37">
        <f t="shared" si="0"/>
        <v>7705844</v>
      </c>
      <c r="K11" s="37">
        <f t="shared" si="0"/>
        <v>2280164</v>
      </c>
      <c r="L11" s="37">
        <f t="shared" si="0"/>
        <v>1413770</v>
      </c>
      <c r="M11" s="37">
        <f t="shared" si="0"/>
        <v>50946</v>
      </c>
      <c r="N11" s="37">
        <f t="shared" si="0"/>
        <v>5425680</v>
      </c>
      <c r="O11" s="37">
        <f t="shared" si="0"/>
        <v>5325180</v>
      </c>
      <c r="P11" s="37">
        <f t="shared" si="0"/>
        <v>71991811</v>
      </c>
      <c r="Q11" s="98"/>
    </row>
    <row r="12" spans="1:17" s="25" customFormat="1" ht="15">
      <c r="A12" s="23"/>
      <c r="B12" s="26" t="s">
        <v>11</v>
      </c>
      <c r="C12" s="26" t="s">
        <v>9</v>
      </c>
      <c r="D12" s="27" t="s">
        <v>16</v>
      </c>
      <c r="E12" s="35">
        <f>F12+I12</f>
        <v>64285967</v>
      </c>
      <c r="F12" s="35">
        <f>'дод. 4'!F12+'дод. 4'!F45+'дод. 4'!F67++'дод. 4'!F86+'дод. 4'!F146+'дод. 4'!F149+'дод. 4'!F155+'дод. 4'!F177+'дод. 4'!F181+'дод. 4'!F194+'дод. 4'!F203+'дод. 4'!F206+'дод. 4'!F201</f>
        <v>64285967</v>
      </c>
      <c r="G12" s="35">
        <f>'дод. 4'!G12+'дод. 4'!G45+'дод. 4'!G67++'дод. 4'!G86+'дод. 4'!G146+'дод. 4'!G149+'дод. 4'!G155+'дод. 4'!G177+'дод. 4'!G181+'дод. 4'!G194+'дод. 4'!G203+'дод. 4'!G206+'дод. 4'!G201</f>
        <v>43824925</v>
      </c>
      <c r="H12" s="35">
        <f>'дод. 4'!H12+'дод. 4'!H45+'дод. 4'!H67++'дод. 4'!H86+'дод. 4'!H146+'дод. 4'!H149+'дод. 4'!H155+'дод. 4'!H177+'дод. 4'!H181+'дод. 4'!H194+'дод. 4'!H203+'дод. 4'!H206+'дод. 4'!H201</f>
        <v>2728341</v>
      </c>
      <c r="I12" s="35">
        <f>'дод. 4'!I12+'дод. 4'!I45+'дод. 4'!I67++'дод. 4'!I86+'дод. 4'!I146+'дод. 4'!I149+'дод. 4'!I155+'дод. 4'!I177+'дод. 4'!I181+'дод. 4'!I194+'дод. 4'!I203+'дод. 4'!I206+'дод. 4'!I201</f>
        <v>0</v>
      </c>
      <c r="J12" s="35">
        <f>K12+N12</f>
        <v>7705844</v>
      </c>
      <c r="K12" s="35">
        <f>'дод. 4'!K12+'дод. 4'!K45+'дод. 4'!K67++'дод. 4'!K86+'дод. 4'!K146+'дод. 4'!K149+'дод. 4'!K155+'дод. 4'!K177+'дод. 4'!K181+'дод. 4'!K194+'дод. 4'!K203+'дод. 4'!K206+'дод. 4'!K201</f>
        <v>2280164</v>
      </c>
      <c r="L12" s="35">
        <f>'дод. 4'!L12+'дод. 4'!L45+'дод. 4'!L67++'дод. 4'!L86+'дод. 4'!L146+'дод. 4'!L149+'дод. 4'!L155+'дод. 4'!L177+'дод. 4'!L181+'дод. 4'!L194+'дод. 4'!L203+'дод. 4'!L206+'дод. 4'!L201</f>
        <v>1413770</v>
      </c>
      <c r="M12" s="35">
        <f>'дод. 4'!M12+'дод. 4'!M45+'дод. 4'!M67++'дод. 4'!M86+'дод. 4'!M146+'дод. 4'!M149+'дод. 4'!M155+'дод. 4'!M177+'дод. 4'!M181+'дод. 4'!M194+'дод. 4'!M203+'дод. 4'!M206+'дод. 4'!M201</f>
        <v>50946</v>
      </c>
      <c r="N12" s="35">
        <f>'дод. 4'!N12+'дод. 4'!N45+'дод. 4'!N67++'дод. 4'!N86+'дод. 4'!N146+'дод. 4'!N149+'дод. 4'!N155+'дод. 4'!N177+'дод. 4'!N181+'дод. 4'!N194+'дод. 4'!N203+'дод. 4'!N206+'дод. 4'!N201</f>
        <v>5425680</v>
      </c>
      <c r="O12" s="35">
        <f>'дод. 4'!O12+'дод. 4'!O45+'дод. 4'!O67++'дод. 4'!O86+'дод. 4'!O146+'дод. 4'!O149+'дод. 4'!O155+'дод. 4'!O177+'дод. 4'!O181+'дод. 4'!O194+'дод. 4'!O203+'дод. 4'!O206+'дод. 4'!O201</f>
        <v>5325180</v>
      </c>
      <c r="P12" s="35">
        <f>E12+J12</f>
        <v>71991811</v>
      </c>
      <c r="Q12" s="98"/>
    </row>
    <row r="13" spans="1:17" s="71" customFormat="1" ht="15" customHeight="1">
      <c r="A13" s="69"/>
      <c r="B13" s="66" t="s">
        <v>218</v>
      </c>
      <c r="C13" s="67"/>
      <c r="D13" s="67" t="s">
        <v>219</v>
      </c>
      <c r="E13" s="70">
        <f>E15+E16+E18+E20+E22+E24+E25+E26+E27+E28+E29+E30+E31</f>
        <v>426498599.89</v>
      </c>
      <c r="F13" s="70">
        <f aca="true" t="shared" si="1" ref="F13:P13">F15+F16+F18+F20+F22+F24+F25+F26+F27+F28+F29+F30+F31</f>
        <v>426498599.89</v>
      </c>
      <c r="G13" s="70">
        <f t="shared" si="1"/>
        <v>246891874</v>
      </c>
      <c r="H13" s="70">
        <f t="shared" si="1"/>
        <v>59693086</v>
      </c>
      <c r="I13" s="70">
        <f t="shared" si="1"/>
        <v>0</v>
      </c>
      <c r="J13" s="70">
        <f t="shared" si="1"/>
        <v>52688558</v>
      </c>
      <c r="K13" s="70">
        <f t="shared" si="1"/>
        <v>36241117</v>
      </c>
      <c r="L13" s="70">
        <f t="shared" si="1"/>
        <v>2470383</v>
      </c>
      <c r="M13" s="70">
        <f t="shared" si="1"/>
        <v>1518188</v>
      </c>
      <c r="N13" s="70">
        <f t="shared" si="1"/>
        <v>16447441</v>
      </c>
      <c r="O13" s="70">
        <f t="shared" si="1"/>
        <v>16142441</v>
      </c>
      <c r="P13" s="70">
        <f t="shared" si="1"/>
        <v>479187157.89</v>
      </c>
      <c r="Q13" s="98"/>
    </row>
    <row r="14" spans="1:25" s="71" customFormat="1" ht="15">
      <c r="A14" s="69"/>
      <c r="B14" s="66"/>
      <c r="C14" s="67"/>
      <c r="D14" s="40" t="s">
        <v>213</v>
      </c>
      <c r="E14" s="35">
        <f>F14+I14</f>
        <v>194951145.09</v>
      </c>
      <c r="F14" s="53">
        <f aca="true" t="shared" si="2" ref="F14:O14">F17+F19+F21+F23</f>
        <v>194951145.09</v>
      </c>
      <c r="G14" s="53">
        <f t="shared" si="2"/>
        <v>132708061</v>
      </c>
      <c r="H14" s="53">
        <f t="shared" si="2"/>
        <v>28492381</v>
      </c>
      <c r="I14" s="53">
        <f t="shared" si="2"/>
        <v>0</v>
      </c>
      <c r="J14" s="35">
        <f>K14+N14</f>
        <v>0</v>
      </c>
      <c r="K14" s="53">
        <f t="shared" si="2"/>
        <v>0</v>
      </c>
      <c r="L14" s="53">
        <f t="shared" si="2"/>
        <v>0</v>
      </c>
      <c r="M14" s="53">
        <f t="shared" si="2"/>
        <v>0</v>
      </c>
      <c r="N14" s="53">
        <f t="shared" si="2"/>
        <v>0</v>
      </c>
      <c r="O14" s="53">
        <f t="shared" si="2"/>
        <v>0</v>
      </c>
      <c r="P14" s="35">
        <f>E14+J14</f>
        <v>194951145.09</v>
      </c>
      <c r="Q14" s="98"/>
      <c r="Y14" s="71" t="s">
        <v>327</v>
      </c>
    </row>
    <row r="15" spans="1:17" s="25" customFormat="1" ht="15">
      <c r="A15" s="23"/>
      <c r="B15" s="26" t="s">
        <v>59</v>
      </c>
      <c r="C15" s="26" t="s">
        <v>151</v>
      </c>
      <c r="D15" s="27" t="s">
        <v>60</v>
      </c>
      <c r="E15" s="35">
        <f>F15+I15</f>
        <v>112931234</v>
      </c>
      <c r="F15" s="35">
        <f>'дод. 4'!F46</f>
        <v>112931234</v>
      </c>
      <c r="G15" s="35">
        <f>'дод. 4'!G46</f>
        <v>63819890</v>
      </c>
      <c r="H15" s="35">
        <f>'дод. 4'!H46</f>
        <v>19789563</v>
      </c>
      <c r="I15" s="35">
        <f>'дод. 4'!I46</f>
        <v>0</v>
      </c>
      <c r="J15" s="35">
        <f>K15+N15</f>
        <v>15167016</v>
      </c>
      <c r="K15" s="35">
        <f>'дод. 4'!K46</f>
        <v>11284686</v>
      </c>
      <c r="L15" s="35">
        <f>'дод. 4'!L46</f>
        <v>0</v>
      </c>
      <c r="M15" s="35">
        <f>'дод. 4'!M46</f>
        <v>0</v>
      </c>
      <c r="N15" s="35">
        <f>'дод. 4'!N46</f>
        <v>3882330</v>
      </c>
      <c r="O15" s="35">
        <f>'дод. 4'!O46</f>
        <v>3882330</v>
      </c>
      <c r="P15" s="35">
        <f>E15+J15</f>
        <v>128098250</v>
      </c>
      <c r="Q15" s="98"/>
    </row>
    <row r="16" spans="1:17" s="25" customFormat="1" ht="60">
      <c r="A16" s="23"/>
      <c r="B16" s="26" t="s">
        <v>61</v>
      </c>
      <c r="C16" s="26" t="s">
        <v>152</v>
      </c>
      <c r="D16" s="27" t="s">
        <v>62</v>
      </c>
      <c r="E16" s="35">
        <f aca="true" t="shared" si="3" ref="E16:E31">F16+I16</f>
        <v>232423046.14000002</v>
      </c>
      <c r="F16" s="35">
        <f>'дод. 4'!F47</f>
        <v>232423046.14000002</v>
      </c>
      <c r="G16" s="35">
        <f>'дод. 4'!G47</f>
        <v>140528799</v>
      </c>
      <c r="H16" s="35">
        <f>'дод. 4'!H47</f>
        <v>31014749</v>
      </c>
      <c r="I16" s="35">
        <f>'дод. 4'!I47</f>
        <v>0</v>
      </c>
      <c r="J16" s="35">
        <f aca="true" t="shared" si="4" ref="J16:J31">K16+N16</f>
        <v>29718282</v>
      </c>
      <c r="K16" s="35">
        <f>'дод. 4'!K47</f>
        <v>18497171</v>
      </c>
      <c r="L16" s="35">
        <f>'дод. 4'!L47</f>
        <v>740455</v>
      </c>
      <c r="M16" s="35">
        <f>'дод. 4'!M47</f>
        <v>47940</v>
      </c>
      <c r="N16" s="35">
        <f>'дод. 4'!N47</f>
        <v>11221111</v>
      </c>
      <c r="O16" s="35">
        <f>'дод. 4'!O47</f>
        <v>11221111</v>
      </c>
      <c r="P16" s="35">
        <f aca="true" t="shared" si="5" ref="P16:P31">E16+J16</f>
        <v>262141328.14000002</v>
      </c>
      <c r="Q16" s="98"/>
    </row>
    <row r="17" spans="1:17" s="25" customFormat="1" ht="15">
      <c r="A17" s="23"/>
      <c r="B17" s="26"/>
      <c r="C17" s="26"/>
      <c r="D17" s="40" t="s">
        <v>213</v>
      </c>
      <c r="E17" s="35">
        <f t="shared" si="3"/>
        <v>188621912.34</v>
      </c>
      <c r="F17" s="35">
        <f>'дод. 4'!F48</f>
        <v>188621912.34</v>
      </c>
      <c r="G17" s="35">
        <f>'дод. 4'!G48</f>
        <v>129584283</v>
      </c>
      <c r="H17" s="35">
        <f>'дод. 4'!H48</f>
        <v>28025289</v>
      </c>
      <c r="I17" s="35">
        <f>'дод. 4'!I48</f>
        <v>0</v>
      </c>
      <c r="J17" s="35">
        <f t="shared" si="4"/>
        <v>0</v>
      </c>
      <c r="K17" s="35">
        <f>'дод. 4'!K48</f>
        <v>0</v>
      </c>
      <c r="L17" s="35">
        <f>'дод. 4'!L48</f>
        <v>0</v>
      </c>
      <c r="M17" s="35">
        <f>'дод. 4'!M48</f>
        <v>0</v>
      </c>
      <c r="N17" s="35">
        <f>'дод. 4'!N48</f>
        <v>0</v>
      </c>
      <c r="O17" s="35">
        <f>'дод. 4'!O48</f>
        <v>0</v>
      </c>
      <c r="P17" s="35">
        <f t="shared" si="5"/>
        <v>188621912.34</v>
      </c>
      <c r="Q17" s="98"/>
    </row>
    <row r="18" spans="1:17" s="25" customFormat="1" ht="15">
      <c r="A18" s="23"/>
      <c r="B18" s="26" t="s">
        <v>63</v>
      </c>
      <c r="C18" s="26" t="s">
        <v>152</v>
      </c>
      <c r="D18" s="27" t="s">
        <v>64</v>
      </c>
      <c r="E18" s="35">
        <f t="shared" si="3"/>
        <v>357724</v>
      </c>
      <c r="F18" s="35">
        <f>'дод. 4'!F49</f>
        <v>357724</v>
      </c>
      <c r="G18" s="35">
        <f>'дод. 4'!G49</f>
        <v>292913</v>
      </c>
      <c r="H18" s="35">
        <f>'дод. 4'!H49</f>
        <v>0</v>
      </c>
      <c r="I18" s="35">
        <f>'дод. 4'!I49</f>
        <v>0</v>
      </c>
      <c r="J18" s="35">
        <f t="shared" si="4"/>
        <v>0</v>
      </c>
      <c r="K18" s="35">
        <f>'дод. 4'!K49</f>
        <v>0</v>
      </c>
      <c r="L18" s="35">
        <f>'дод. 4'!L49</f>
        <v>0</v>
      </c>
      <c r="M18" s="35">
        <f>'дод. 4'!M49</f>
        <v>0</v>
      </c>
      <c r="N18" s="35">
        <f>'дод. 4'!N49</f>
        <v>0</v>
      </c>
      <c r="O18" s="35">
        <f>'дод. 4'!O49</f>
        <v>0</v>
      </c>
      <c r="P18" s="35">
        <f t="shared" si="5"/>
        <v>357724</v>
      </c>
      <c r="Q18" s="98"/>
    </row>
    <row r="19" spans="1:17" s="25" customFormat="1" ht="15">
      <c r="A19" s="23"/>
      <c r="B19" s="26"/>
      <c r="C19" s="26"/>
      <c r="D19" s="40" t="s">
        <v>213</v>
      </c>
      <c r="E19" s="35">
        <f t="shared" si="3"/>
        <v>357354</v>
      </c>
      <c r="F19" s="35">
        <f>'дод. 4'!F50</f>
        <v>357354</v>
      </c>
      <c r="G19" s="35">
        <f>'дод. 4'!G50</f>
        <v>292913</v>
      </c>
      <c r="H19" s="35">
        <f>'дод. 4'!H50</f>
        <v>0</v>
      </c>
      <c r="I19" s="35">
        <f>'дод. 4'!I50</f>
        <v>0</v>
      </c>
      <c r="J19" s="35">
        <f t="shared" si="4"/>
        <v>0</v>
      </c>
      <c r="K19" s="35">
        <f>'дод. 4'!K50</f>
        <v>0</v>
      </c>
      <c r="L19" s="35">
        <f>'дод. 4'!L50</f>
        <v>0</v>
      </c>
      <c r="M19" s="35">
        <f>'дод. 4'!M50</f>
        <v>0</v>
      </c>
      <c r="N19" s="35">
        <f>'дод. 4'!N50</f>
        <v>0</v>
      </c>
      <c r="O19" s="35">
        <f>'дод. 4'!O50</f>
        <v>0</v>
      </c>
      <c r="P19" s="35">
        <f t="shared" si="5"/>
        <v>357354</v>
      </c>
      <c r="Q19" s="98"/>
    </row>
    <row r="20" spans="1:17" s="25" customFormat="1" ht="30">
      <c r="A20" s="23"/>
      <c r="B20" s="26" t="s">
        <v>307</v>
      </c>
      <c r="C20" s="26" t="s">
        <v>151</v>
      </c>
      <c r="D20" s="27" t="s">
        <v>308</v>
      </c>
      <c r="E20" s="35">
        <f t="shared" si="3"/>
        <v>1678900</v>
      </c>
      <c r="F20" s="35">
        <f>'дод. 4'!F87</f>
        <v>1678900</v>
      </c>
      <c r="G20" s="35">
        <f>'дод. 4'!G87</f>
        <v>0</v>
      </c>
      <c r="H20" s="35">
        <f>'дод. 4'!H87</f>
        <v>0</v>
      </c>
      <c r="I20" s="35">
        <f>'дод. 4'!I51</f>
        <v>0</v>
      </c>
      <c r="J20" s="35">
        <f t="shared" si="4"/>
        <v>0</v>
      </c>
      <c r="K20" s="35">
        <f>'дод. 4'!K87</f>
        <v>0</v>
      </c>
      <c r="L20" s="35">
        <f>'дод. 4'!L87</f>
        <v>0</v>
      </c>
      <c r="M20" s="35">
        <f>'дод. 4'!M87</f>
        <v>0</v>
      </c>
      <c r="N20" s="35">
        <f>'дод. 4'!N87</f>
        <v>0</v>
      </c>
      <c r="O20" s="35">
        <f>'дод. 4'!O87</f>
        <v>0</v>
      </c>
      <c r="P20" s="35">
        <f t="shared" si="5"/>
        <v>1678900</v>
      </c>
      <c r="Q20" s="98"/>
    </row>
    <row r="21" spans="1:17" s="25" customFormat="1" ht="15">
      <c r="A21" s="23"/>
      <c r="B21" s="26"/>
      <c r="C21" s="26"/>
      <c r="D21" s="27" t="s">
        <v>266</v>
      </c>
      <c r="E21" s="35">
        <f t="shared" si="3"/>
        <v>1678900</v>
      </c>
      <c r="F21" s="35">
        <f>'дод. 4'!F88</f>
        <v>1678900</v>
      </c>
      <c r="G21" s="35">
        <f>'дод. 4'!G88</f>
        <v>0</v>
      </c>
      <c r="H21" s="35">
        <f>'дод. 4'!H88</f>
        <v>0</v>
      </c>
      <c r="I21" s="35">
        <f>'дод. 4'!I52</f>
        <v>0</v>
      </c>
      <c r="J21" s="35">
        <f t="shared" si="4"/>
        <v>0</v>
      </c>
      <c r="K21" s="35">
        <f>'дод. 4'!K88</f>
        <v>0</v>
      </c>
      <c r="L21" s="35">
        <f>'дод. 4'!L88</f>
        <v>0</v>
      </c>
      <c r="M21" s="35">
        <f>'дод. 4'!M88</f>
        <v>0</v>
      </c>
      <c r="N21" s="35">
        <f>'дод. 4'!N88</f>
        <v>0</v>
      </c>
      <c r="O21" s="35">
        <f>'дод. 4'!O88</f>
        <v>0</v>
      </c>
      <c r="P21" s="35">
        <f t="shared" si="5"/>
        <v>1678900</v>
      </c>
      <c r="Q21" s="98"/>
    </row>
    <row r="22" spans="1:17" s="25" customFormat="1" ht="60">
      <c r="A22" s="23"/>
      <c r="B22" s="26" t="s">
        <v>65</v>
      </c>
      <c r="C22" s="26" t="s">
        <v>153</v>
      </c>
      <c r="D22" s="27" t="s">
        <v>66</v>
      </c>
      <c r="E22" s="35">
        <f t="shared" si="3"/>
        <v>4509826.75</v>
      </c>
      <c r="F22" s="35">
        <f>'дод. 4'!F51</f>
        <v>4509826.75</v>
      </c>
      <c r="G22" s="35">
        <f>'дод. 4'!G51</f>
        <v>2830865</v>
      </c>
      <c r="H22" s="35">
        <f>'дод. 4'!H51</f>
        <v>517072</v>
      </c>
      <c r="I22" s="35">
        <f>'дод. 4'!I51</f>
        <v>0</v>
      </c>
      <c r="J22" s="35">
        <f t="shared" si="4"/>
        <v>150000</v>
      </c>
      <c r="K22" s="35">
        <f>'дод. 4'!K51</f>
        <v>0</v>
      </c>
      <c r="L22" s="35">
        <f>'дод. 4'!L51</f>
        <v>0</v>
      </c>
      <c r="M22" s="35">
        <f>'дод. 4'!M51</f>
        <v>0</v>
      </c>
      <c r="N22" s="35">
        <f>'дод. 4'!N51</f>
        <v>150000</v>
      </c>
      <c r="O22" s="35">
        <f>'дод. 4'!O51</f>
        <v>150000</v>
      </c>
      <c r="P22" s="35">
        <f t="shared" si="5"/>
        <v>4659826.75</v>
      </c>
      <c r="Q22" s="98"/>
    </row>
    <row r="23" spans="1:17" s="25" customFormat="1" ht="15">
      <c r="A23" s="23"/>
      <c r="B23" s="26"/>
      <c r="C23" s="26"/>
      <c r="D23" s="40" t="s">
        <v>213</v>
      </c>
      <c r="E23" s="35">
        <f t="shared" si="3"/>
        <v>4292978.75</v>
      </c>
      <c r="F23" s="35">
        <f>'дод. 4'!F52</f>
        <v>4292978.75</v>
      </c>
      <c r="G23" s="35">
        <f>'дод. 4'!G52</f>
        <v>2830865</v>
      </c>
      <c r="H23" s="35">
        <f>'дод. 4'!H52</f>
        <v>467092</v>
      </c>
      <c r="I23" s="35">
        <f>'дод. 4'!I52</f>
        <v>0</v>
      </c>
      <c r="J23" s="35">
        <f t="shared" si="4"/>
        <v>0</v>
      </c>
      <c r="K23" s="35">
        <f>'дод. 4'!K52</f>
        <v>0</v>
      </c>
      <c r="L23" s="35">
        <f>'дод. 4'!L52</f>
        <v>0</v>
      </c>
      <c r="M23" s="35">
        <f>'дод. 4'!M52</f>
        <v>0</v>
      </c>
      <c r="N23" s="35">
        <f>'дод. 4'!N52</f>
        <v>0</v>
      </c>
      <c r="O23" s="35">
        <f>'дод. 4'!O52</f>
        <v>0</v>
      </c>
      <c r="P23" s="35">
        <f t="shared" si="5"/>
        <v>4292978.75</v>
      </c>
      <c r="Q23" s="98"/>
    </row>
    <row r="24" spans="1:17" s="25" customFormat="1" ht="30">
      <c r="A24" s="23"/>
      <c r="B24" s="26" t="s">
        <v>67</v>
      </c>
      <c r="C24" s="26" t="s">
        <v>154</v>
      </c>
      <c r="D24" s="27" t="s">
        <v>68</v>
      </c>
      <c r="E24" s="35">
        <f t="shared" si="3"/>
        <v>12432899</v>
      </c>
      <c r="F24" s="35">
        <f>'дод. 4'!F53</f>
        <v>12432899</v>
      </c>
      <c r="G24" s="35">
        <f>'дод. 4'!G53</f>
        <v>8473152</v>
      </c>
      <c r="H24" s="35">
        <f>'дод. 4'!H53</f>
        <v>1785662</v>
      </c>
      <c r="I24" s="35">
        <f>'дод. 4'!I53</f>
        <v>0</v>
      </c>
      <c r="J24" s="35">
        <f t="shared" si="4"/>
        <v>525000</v>
      </c>
      <c r="K24" s="35">
        <f>'дод. 4'!K53</f>
        <v>0</v>
      </c>
      <c r="L24" s="35">
        <f>'дод. 4'!L53</f>
        <v>0</v>
      </c>
      <c r="M24" s="35">
        <f>'дод. 4'!M53</f>
        <v>0</v>
      </c>
      <c r="N24" s="35">
        <f>'дод. 4'!N53</f>
        <v>525000</v>
      </c>
      <c r="O24" s="35">
        <f>'дод. 4'!O53</f>
        <v>525000</v>
      </c>
      <c r="P24" s="35">
        <f t="shared" si="5"/>
        <v>12957899</v>
      </c>
      <c r="Q24" s="98"/>
    </row>
    <row r="25" spans="1:17" s="25" customFormat="1" ht="15">
      <c r="A25" s="23"/>
      <c r="B25" s="26" t="s">
        <v>317</v>
      </c>
      <c r="C25" s="26" t="s">
        <v>319</v>
      </c>
      <c r="D25" s="27" t="s">
        <v>318</v>
      </c>
      <c r="E25" s="35">
        <f t="shared" si="3"/>
        <v>55886018</v>
      </c>
      <c r="F25" s="35">
        <f>'дод. 4'!F54</f>
        <v>55886018</v>
      </c>
      <c r="G25" s="35">
        <f>'дод. 4'!G54</f>
        <v>26608329</v>
      </c>
      <c r="H25" s="35">
        <f>'дод. 4'!H54</f>
        <v>6083140</v>
      </c>
      <c r="I25" s="35">
        <f>'дод. 4'!I54</f>
        <v>0</v>
      </c>
      <c r="J25" s="35">
        <f t="shared" si="4"/>
        <v>6764260</v>
      </c>
      <c r="K25" s="35">
        <f>'дод. 4'!K54</f>
        <v>6459260</v>
      </c>
      <c r="L25" s="35">
        <f>'дод. 4'!L54</f>
        <v>1729928</v>
      </c>
      <c r="M25" s="35">
        <f>'дод. 4'!M54</f>
        <v>1470248</v>
      </c>
      <c r="N25" s="35">
        <f>'дод. 4'!N54</f>
        <v>305000</v>
      </c>
      <c r="O25" s="35">
        <f>'дод. 4'!O54</f>
        <v>0</v>
      </c>
      <c r="P25" s="35">
        <f t="shared" si="5"/>
        <v>62650278</v>
      </c>
      <c r="Q25" s="98"/>
    </row>
    <row r="26" spans="1:17" s="25" customFormat="1" ht="30">
      <c r="A26" s="23"/>
      <c r="B26" s="26" t="s">
        <v>69</v>
      </c>
      <c r="C26" s="26" t="s">
        <v>155</v>
      </c>
      <c r="D26" s="27" t="s">
        <v>70</v>
      </c>
      <c r="E26" s="35">
        <f t="shared" si="3"/>
        <v>1772574</v>
      </c>
      <c r="F26" s="35">
        <f>'дод. 4'!F55</f>
        <v>1772574</v>
      </c>
      <c r="G26" s="35">
        <f>'дод. 4'!G55</f>
        <v>1350518</v>
      </c>
      <c r="H26" s="35">
        <f>'дод. 4'!H55</f>
        <v>79885</v>
      </c>
      <c r="I26" s="35">
        <f>'дод. 4'!I55</f>
        <v>0</v>
      </c>
      <c r="J26" s="35">
        <f t="shared" si="4"/>
        <v>121000</v>
      </c>
      <c r="K26" s="35">
        <f>'дод. 4'!K55</f>
        <v>0</v>
      </c>
      <c r="L26" s="35">
        <f>'дод. 4'!L55</f>
        <v>0</v>
      </c>
      <c r="M26" s="35">
        <f>'дод. 4'!M55</f>
        <v>0</v>
      </c>
      <c r="N26" s="35">
        <f>'дод. 4'!N55</f>
        <v>121000</v>
      </c>
      <c r="O26" s="35">
        <f>'дод. 4'!O55</f>
        <v>121000</v>
      </c>
      <c r="P26" s="35">
        <f t="shared" si="5"/>
        <v>1893574</v>
      </c>
      <c r="Q26" s="98"/>
    </row>
    <row r="27" spans="1:17" s="25" customFormat="1" ht="30">
      <c r="A27" s="23"/>
      <c r="B27" s="26" t="s">
        <v>71</v>
      </c>
      <c r="C27" s="26" t="s">
        <v>155</v>
      </c>
      <c r="D27" s="27" t="s">
        <v>72</v>
      </c>
      <c r="E27" s="35">
        <f t="shared" si="3"/>
        <v>1645336</v>
      </c>
      <c r="F27" s="35">
        <f>'дод. 4'!F56</f>
        <v>1645336</v>
      </c>
      <c r="G27" s="35">
        <f>'дод. 4'!G56</f>
        <v>1169230</v>
      </c>
      <c r="H27" s="35">
        <f>'дод. 4'!H56</f>
        <v>82225</v>
      </c>
      <c r="I27" s="35">
        <f>'дод. 4'!I56</f>
        <v>0</v>
      </c>
      <c r="J27" s="35">
        <f t="shared" si="4"/>
        <v>93000</v>
      </c>
      <c r="K27" s="35">
        <f>'дод. 4'!K56</f>
        <v>0</v>
      </c>
      <c r="L27" s="35">
        <f>'дод. 4'!L56</f>
        <v>0</v>
      </c>
      <c r="M27" s="35">
        <f>'дод. 4'!M56</f>
        <v>0</v>
      </c>
      <c r="N27" s="35">
        <f>'дод. 4'!N56</f>
        <v>93000</v>
      </c>
      <c r="O27" s="35">
        <f>'дод. 4'!O56</f>
        <v>93000</v>
      </c>
      <c r="P27" s="35">
        <f t="shared" si="5"/>
        <v>1738336</v>
      </c>
      <c r="Q27" s="98"/>
    </row>
    <row r="28" spans="1:17" s="25" customFormat="1" ht="30">
      <c r="A28" s="23"/>
      <c r="B28" s="26" t="s">
        <v>73</v>
      </c>
      <c r="C28" s="26" t="s">
        <v>155</v>
      </c>
      <c r="D28" s="27" t="s">
        <v>74</v>
      </c>
      <c r="E28" s="35">
        <f t="shared" si="3"/>
        <v>162138</v>
      </c>
      <c r="F28" s="35">
        <f>'дод. 4'!F57</f>
        <v>162138</v>
      </c>
      <c r="G28" s="35">
        <f>'дод. 4'!G57</f>
        <v>126390</v>
      </c>
      <c r="H28" s="35">
        <f>'дод. 4'!H57</f>
        <v>5147</v>
      </c>
      <c r="I28" s="35">
        <f>'дод. 4'!I57</f>
        <v>0</v>
      </c>
      <c r="J28" s="35">
        <f t="shared" si="4"/>
        <v>0</v>
      </c>
      <c r="K28" s="35">
        <f>'дод. 4'!K57</f>
        <v>0</v>
      </c>
      <c r="L28" s="35">
        <f>'дод. 4'!L57</f>
        <v>0</v>
      </c>
      <c r="M28" s="35">
        <f>'дод. 4'!M57</f>
        <v>0</v>
      </c>
      <c r="N28" s="35">
        <f>'дод. 4'!N57</f>
        <v>0</v>
      </c>
      <c r="O28" s="35">
        <f>'дод. 4'!O57</f>
        <v>0</v>
      </c>
      <c r="P28" s="35">
        <f t="shared" si="5"/>
        <v>162138</v>
      </c>
      <c r="Q28" s="98"/>
    </row>
    <row r="29" spans="1:17" s="25" customFormat="1" ht="15">
      <c r="A29" s="23"/>
      <c r="B29" s="26" t="s">
        <v>75</v>
      </c>
      <c r="C29" s="26" t="s">
        <v>155</v>
      </c>
      <c r="D29" s="27" t="s">
        <v>76</v>
      </c>
      <c r="E29" s="35">
        <f t="shared" si="3"/>
        <v>2600414</v>
      </c>
      <c r="F29" s="35">
        <f>'дод. 4'!F58</f>
        <v>2600414</v>
      </c>
      <c r="G29" s="35">
        <f>'дод. 4'!G58</f>
        <v>1691788</v>
      </c>
      <c r="H29" s="35">
        <f>'дод. 4'!H58</f>
        <v>335643</v>
      </c>
      <c r="I29" s="35">
        <f>'дод. 4'!I58</f>
        <v>0</v>
      </c>
      <c r="J29" s="35">
        <f t="shared" si="4"/>
        <v>150000</v>
      </c>
      <c r="K29" s="35">
        <f>'дод. 4'!K58</f>
        <v>0</v>
      </c>
      <c r="L29" s="35">
        <f>'дод. 4'!L58</f>
        <v>0</v>
      </c>
      <c r="M29" s="35">
        <f>'дод. 4'!M58</f>
        <v>0</v>
      </c>
      <c r="N29" s="35">
        <f>'дод. 4'!N58</f>
        <v>150000</v>
      </c>
      <c r="O29" s="35">
        <f>'дод. 4'!O58</f>
        <v>150000</v>
      </c>
      <c r="P29" s="35">
        <f t="shared" si="5"/>
        <v>2750414</v>
      </c>
      <c r="Q29" s="98"/>
    </row>
    <row r="30" spans="1:17" s="25" customFormat="1" ht="15">
      <c r="A30" s="23"/>
      <c r="B30" s="26" t="s">
        <v>77</v>
      </c>
      <c r="C30" s="26" t="s">
        <v>155</v>
      </c>
      <c r="D30" s="27" t="s">
        <v>78</v>
      </c>
      <c r="E30" s="35">
        <f t="shared" si="3"/>
        <v>53240</v>
      </c>
      <c r="F30" s="35">
        <f>'дод. 4'!F59</f>
        <v>53240</v>
      </c>
      <c r="G30" s="35">
        <f>'дод. 4'!G59</f>
        <v>0</v>
      </c>
      <c r="H30" s="35">
        <f>'дод. 4'!H59</f>
        <v>0</v>
      </c>
      <c r="I30" s="35">
        <f>'дод. 4'!I59</f>
        <v>0</v>
      </c>
      <c r="J30" s="35">
        <f t="shared" si="4"/>
        <v>0</v>
      </c>
      <c r="K30" s="35">
        <f>'дод. 4'!K59</f>
        <v>0</v>
      </c>
      <c r="L30" s="35">
        <f>'дод. 4'!L59</f>
        <v>0</v>
      </c>
      <c r="M30" s="35">
        <f>'дод. 4'!M59</f>
        <v>0</v>
      </c>
      <c r="N30" s="35">
        <f>'дод. 4'!N59</f>
        <v>0</v>
      </c>
      <c r="O30" s="35">
        <f>'дод. 4'!O59</f>
        <v>0</v>
      </c>
      <c r="P30" s="35">
        <f t="shared" si="5"/>
        <v>53240</v>
      </c>
      <c r="Q30" s="98"/>
    </row>
    <row r="31" spans="1:17" s="25" customFormat="1" ht="45">
      <c r="A31" s="23"/>
      <c r="B31" s="26" t="s">
        <v>79</v>
      </c>
      <c r="C31" s="26" t="s">
        <v>155</v>
      </c>
      <c r="D31" s="27" t="s">
        <v>80</v>
      </c>
      <c r="E31" s="35">
        <f t="shared" si="3"/>
        <v>45250</v>
      </c>
      <c r="F31" s="35">
        <f>'дод. 4'!F60</f>
        <v>45250</v>
      </c>
      <c r="G31" s="35">
        <f>'дод. 4'!G60</f>
        <v>0</v>
      </c>
      <c r="H31" s="35">
        <f>'дод. 4'!H60</f>
        <v>0</v>
      </c>
      <c r="I31" s="35">
        <f>'дод. 4'!I60</f>
        <v>0</v>
      </c>
      <c r="J31" s="35">
        <f t="shared" si="4"/>
        <v>0</v>
      </c>
      <c r="K31" s="35">
        <f>'дод. 4'!K60</f>
        <v>0</v>
      </c>
      <c r="L31" s="35">
        <f>'дод. 4'!L60</f>
        <v>0</v>
      </c>
      <c r="M31" s="35">
        <f>'дод. 4'!M60</f>
        <v>0</v>
      </c>
      <c r="N31" s="35">
        <f>'дод. 4'!N60</f>
        <v>0</v>
      </c>
      <c r="O31" s="35">
        <f>'дод. 4'!O60</f>
        <v>0</v>
      </c>
      <c r="P31" s="35">
        <f t="shared" si="5"/>
        <v>45250</v>
      </c>
      <c r="Q31" s="98"/>
    </row>
    <row r="32" spans="1:17" s="25" customFormat="1" ht="15">
      <c r="A32" s="23"/>
      <c r="B32" s="66" t="s">
        <v>220</v>
      </c>
      <c r="C32" s="67"/>
      <c r="D32" s="67" t="s">
        <v>221</v>
      </c>
      <c r="E32" s="70">
        <f>E34+E36+E38+E40+E42+E44+E46+E48</f>
        <v>223661827.43</v>
      </c>
      <c r="F32" s="70">
        <f>F34+F36+F38+F40+F42+F44+F46+F48</f>
        <v>223661827.43</v>
      </c>
      <c r="G32" s="70">
        <f>G34+G36+G38+G40+G42+G44+G46+G48</f>
        <v>126307359</v>
      </c>
      <c r="H32" s="70">
        <f aca="true" t="shared" si="6" ref="H32:P32">H34+H36+H38+H40+H42+H44+H46+H48</f>
        <v>19115405</v>
      </c>
      <c r="I32" s="70">
        <f t="shared" si="6"/>
        <v>0</v>
      </c>
      <c r="J32" s="70">
        <f t="shared" si="6"/>
        <v>36334178</v>
      </c>
      <c r="K32" s="70">
        <f t="shared" si="6"/>
        <v>11785214</v>
      </c>
      <c r="L32" s="70">
        <f t="shared" si="6"/>
        <v>6366242</v>
      </c>
      <c r="M32" s="70">
        <f t="shared" si="6"/>
        <v>500810</v>
      </c>
      <c r="N32" s="70">
        <f t="shared" si="6"/>
        <v>24548964</v>
      </c>
      <c r="O32" s="70">
        <f t="shared" si="6"/>
        <v>24548964</v>
      </c>
      <c r="P32" s="70">
        <f t="shared" si="6"/>
        <v>259996005.43</v>
      </c>
      <c r="Q32" s="98"/>
    </row>
    <row r="33" spans="1:17" s="25" customFormat="1" ht="15">
      <c r="A33" s="23"/>
      <c r="B33" s="66"/>
      <c r="C33" s="67"/>
      <c r="D33" s="40" t="s">
        <v>213</v>
      </c>
      <c r="E33" s="35">
        <f>F33+I33</f>
        <v>205797569.43</v>
      </c>
      <c r="F33" s="35">
        <f>F35+F37+F39+F41+F43+F45+F47+F49</f>
        <v>205797569.43</v>
      </c>
      <c r="G33" s="35">
        <f>G35+G37+G39+G41+G43+G45+G47+G49</f>
        <v>126307359</v>
      </c>
      <c r="H33" s="35">
        <f>H35+H37+H39+H41+H43+H45+H47+H49</f>
        <v>19115405</v>
      </c>
      <c r="I33" s="35">
        <f>I35+I37+I39+I41+I43+I45+I47+I49</f>
        <v>0</v>
      </c>
      <c r="J33" s="35">
        <f>K33+N33</f>
        <v>0</v>
      </c>
      <c r="K33" s="35">
        <f>K35+K37+K39+K41+K43+K45+K47+K49</f>
        <v>0</v>
      </c>
      <c r="L33" s="35">
        <f>L35+L37+L39+L41+L43+L45+L47+L49</f>
        <v>0</v>
      </c>
      <c r="M33" s="35">
        <f>M35+M37+M39+M41+M43+M45+M47+M49</f>
        <v>0</v>
      </c>
      <c r="N33" s="35">
        <f>N35+N37+N39+N41+N43+N45+N47+N49</f>
        <v>0</v>
      </c>
      <c r="O33" s="35">
        <f>O35+O37+O39+O41+O43+O45+O47+O49</f>
        <v>0</v>
      </c>
      <c r="P33" s="35">
        <f>E33+J33</f>
        <v>205797569.43</v>
      </c>
      <c r="Q33" s="98"/>
    </row>
    <row r="34" spans="1:17" s="25" customFormat="1" ht="15">
      <c r="A34" s="23"/>
      <c r="B34" s="26" t="s">
        <v>82</v>
      </c>
      <c r="C34" s="26" t="s">
        <v>158</v>
      </c>
      <c r="D34" s="27" t="s">
        <v>83</v>
      </c>
      <c r="E34" s="35">
        <f>F34+I34</f>
        <v>177106558.43</v>
      </c>
      <c r="F34" s="35">
        <f>'дод. 4'!F68+'дод. 4'!F182</f>
        <v>177106558.43</v>
      </c>
      <c r="G34" s="35">
        <f>'дод. 4'!G68+'дод. 4'!G182</f>
        <v>103400916</v>
      </c>
      <c r="H34" s="35">
        <f>'дод. 4'!H68+'дод. 4'!H182</f>
        <v>15447851</v>
      </c>
      <c r="I34" s="35">
        <f>'дод. 4'!I68+'дод. 4'!I182</f>
        <v>0</v>
      </c>
      <c r="J34" s="35">
        <f>K34+N34</f>
        <v>26020082</v>
      </c>
      <c r="K34" s="35">
        <f>'дод. 4'!K68+'дод. 4'!K182</f>
        <v>7844182</v>
      </c>
      <c r="L34" s="35">
        <f>'дод. 4'!L68+'дод. 4'!L182</f>
        <v>4083407</v>
      </c>
      <c r="M34" s="35">
        <f>'дод. 4'!M68+'дод. 4'!M182</f>
        <v>177480</v>
      </c>
      <c r="N34" s="35">
        <f>'дод. 4'!N68+'дод. 4'!N182</f>
        <v>18175900</v>
      </c>
      <c r="O34" s="35">
        <f>'дод. 4'!O68+'дод. 4'!O182</f>
        <v>18175900</v>
      </c>
      <c r="P34" s="35">
        <f>E34+J34</f>
        <v>203126640.43</v>
      </c>
      <c r="Q34" s="99" t="s">
        <v>336</v>
      </c>
    </row>
    <row r="35" spans="1:17" s="25" customFormat="1" ht="15">
      <c r="A35" s="23"/>
      <c r="B35" s="26"/>
      <c r="C35" s="26"/>
      <c r="D35" s="40" t="s">
        <v>213</v>
      </c>
      <c r="E35" s="35">
        <f aca="true" t="shared" si="7" ref="E35:E55">F35+I35</f>
        <v>162855627.43</v>
      </c>
      <c r="F35" s="35">
        <f>'дод. 4'!F69</f>
        <v>162855627.43</v>
      </c>
      <c r="G35" s="35">
        <f>'дод. 4'!G69</f>
        <v>103400916</v>
      </c>
      <c r="H35" s="35">
        <f>'дод. 4'!H69</f>
        <v>15447851</v>
      </c>
      <c r="I35" s="35">
        <f>'дод. 4'!I69</f>
        <v>0</v>
      </c>
      <c r="J35" s="35">
        <f aca="true" t="shared" si="8" ref="J35:J48">K35+N35</f>
        <v>0</v>
      </c>
      <c r="K35" s="35">
        <f>'дод. 4'!K69</f>
        <v>0</v>
      </c>
      <c r="L35" s="35">
        <f>'дод. 4'!L69</f>
        <v>0</v>
      </c>
      <c r="M35" s="35">
        <f>'дод. 4'!M69</f>
        <v>0</v>
      </c>
      <c r="N35" s="35">
        <f>'дод. 4'!N69</f>
        <v>0</v>
      </c>
      <c r="O35" s="35">
        <f>'дод. 4'!O69</f>
        <v>0</v>
      </c>
      <c r="P35" s="35">
        <f aca="true" t="shared" si="9" ref="P35:P49">E35+J35</f>
        <v>162855627.43</v>
      </c>
      <c r="Q35" s="99"/>
    </row>
    <row r="36" spans="1:17" s="25" customFormat="1" ht="15">
      <c r="A36" s="23"/>
      <c r="B36" s="32" t="s">
        <v>84</v>
      </c>
      <c r="C36" s="32" t="s">
        <v>159</v>
      </c>
      <c r="D36" s="33" t="s">
        <v>85</v>
      </c>
      <c r="E36" s="35">
        <f t="shared" si="7"/>
        <v>18320764</v>
      </c>
      <c r="F36" s="35">
        <f>'дод. 4'!F70</f>
        <v>18320764</v>
      </c>
      <c r="G36" s="35">
        <f>'дод. 4'!G70</f>
        <v>11745230</v>
      </c>
      <c r="H36" s="35">
        <f>'дод. 4'!H70</f>
        <v>2655803</v>
      </c>
      <c r="I36" s="35">
        <f>'дод. 4'!I70</f>
        <v>0</v>
      </c>
      <c r="J36" s="35">
        <f t="shared" si="8"/>
        <v>2919304</v>
      </c>
      <c r="K36" s="35">
        <f>'дод. 4'!K70</f>
        <v>25240</v>
      </c>
      <c r="L36" s="35">
        <f>'дод. 4'!L70</f>
        <v>9460</v>
      </c>
      <c r="M36" s="35">
        <f>'дод. 4'!M70</f>
        <v>4150</v>
      </c>
      <c r="N36" s="35">
        <f>'дод. 4'!N70</f>
        <v>2894064</v>
      </c>
      <c r="O36" s="35">
        <f>'дод. 4'!O70</f>
        <v>2894064</v>
      </c>
      <c r="P36" s="35">
        <f t="shared" si="9"/>
        <v>21240068</v>
      </c>
      <c r="Q36" s="99"/>
    </row>
    <row r="37" spans="1:17" s="25" customFormat="1" ht="15">
      <c r="A37" s="23"/>
      <c r="B37" s="32"/>
      <c r="C37" s="32"/>
      <c r="D37" s="40" t="s">
        <v>213</v>
      </c>
      <c r="E37" s="35">
        <f t="shared" si="7"/>
        <v>17257714</v>
      </c>
      <c r="F37" s="35">
        <f>'дод. 4'!F71</f>
        <v>17257714</v>
      </c>
      <c r="G37" s="35">
        <f>'дод. 4'!G71</f>
        <v>11745230</v>
      </c>
      <c r="H37" s="35">
        <f>'дод. 4'!H71</f>
        <v>2655803</v>
      </c>
      <c r="I37" s="35">
        <f>'дод. 4'!I71</f>
        <v>0</v>
      </c>
      <c r="J37" s="35">
        <f t="shared" si="8"/>
        <v>0</v>
      </c>
      <c r="K37" s="35">
        <f>'дод. 4'!K71</f>
        <v>0</v>
      </c>
      <c r="L37" s="35">
        <f>'дод. 4'!L71</f>
        <v>0</v>
      </c>
      <c r="M37" s="35">
        <f>'дод. 4'!M71</f>
        <v>0</v>
      </c>
      <c r="N37" s="35">
        <f>'дод. 4'!N71</f>
        <v>0</v>
      </c>
      <c r="O37" s="35">
        <f>'дод. 4'!O71</f>
        <v>0</v>
      </c>
      <c r="P37" s="35">
        <f t="shared" si="9"/>
        <v>17257714</v>
      </c>
      <c r="Q37" s="99"/>
    </row>
    <row r="38" spans="1:17" s="25" customFormat="1" ht="48" customHeight="1">
      <c r="A38" s="23"/>
      <c r="B38" s="47" t="s">
        <v>190</v>
      </c>
      <c r="C38" s="47" t="s">
        <v>191</v>
      </c>
      <c r="D38" s="40" t="s">
        <v>192</v>
      </c>
      <c r="E38" s="35">
        <f t="shared" si="7"/>
        <v>1631938</v>
      </c>
      <c r="F38" s="35">
        <f>'дод. 4'!F72</f>
        <v>1631938</v>
      </c>
      <c r="G38" s="35">
        <f>'дод. 4'!G72</f>
        <v>1227889</v>
      </c>
      <c r="H38" s="35">
        <f>'дод. 4'!H72</f>
        <v>76813</v>
      </c>
      <c r="I38" s="35">
        <f>'дод. 4'!I72</f>
        <v>0</v>
      </c>
      <c r="J38" s="35">
        <f t="shared" si="8"/>
        <v>407000</v>
      </c>
      <c r="K38" s="35">
        <f>'дод. 4'!K72</f>
        <v>407000</v>
      </c>
      <c r="L38" s="35">
        <f>'дод. 4'!L72</f>
        <v>98000</v>
      </c>
      <c r="M38" s="35">
        <f>'дод. 4'!M72</f>
        <v>132800</v>
      </c>
      <c r="N38" s="35">
        <f>'дод. 4'!N72</f>
        <v>0</v>
      </c>
      <c r="O38" s="35">
        <f>'дод. 4'!O72</f>
        <v>0</v>
      </c>
      <c r="P38" s="35">
        <f t="shared" si="9"/>
        <v>2038938</v>
      </c>
      <c r="Q38" s="99"/>
    </row>
    <row r="39" spans="1:17" s="25" customFormat="1" ht="15">
      <c r="A39" s="23"/>
      <c r="B39" s="47"/>
      <c r="C39" s="47"/>
      <c r="D39" s="40" t="s">
        <v>213</v>
      </c>
      <c r="E39" s="35">
        <f t="shared" si="7"/>
        <v>1581988</v>
      </c>
      <c r="F39" s="35">
        <f>'дод. 4'!F73</f>
        <v>1581988</v>
      </c>
      <c r="G39" s="35">
        <f>'дод. 4'!G73</f>
        <v>1227889</v>
      </c>
      <c r="H39" s="35">
        <f>'дод. 4'!H73</f>
        <v>76813</v>
      </c>
      <c r="I39" s="35">
        <f>'дод. 4'!I73</f>
        <v>0</v>
      </c>
      <c r="J39" s="35">
        <f t="shared" si="8"/>
        <v>0</v>
      </c>
      <c r="K39" s="35">
        <f>'дод. 4'!K73</f>
        <v>0</v>
      </c>
      <c r="L39" s="35">
        <f>'дод. 4'!L73</f>
        <v>0</v>
      </c>
      <c r="M39" s="35">
        <f>'дод. 4'!M73</f>
        <v>0</v>
      </c>
      <c r="N39" s="35">
        <f>'дод. 4'!N73</f>
        <v>0</v>
      </c>
      <c r="O39" s="35">
        <f>'дод. 4'!O73</f>
        <v>0</v>
      </c>
      <c r="P39" s="35">
        <f t="shared" si="9"/>
        <v>1581988</v>
      </c>
      <c r="Q39" s="99"/>
    </row>
    <row r="40" spans="1:17" s="25" customFormat="1" ht="30">
      <c r="A40" s="23"/>
      <c r="B40" s="26" t="s">
        <v>86</v>
      </c>
      <c r="C40" s="26" t="s">
        <v>160</v>
      </c>
      <c r="D40" s="27" t="s">
        <v>87</v>
      </c>
      <c r="E40" s="35">
        <f t="shared" si="7"/>
        <v>4298380</v>
      </c>
      <c r="F40" s="35">
        <f>'дод. 4'!F74</f>
        <v>4298380</v>
      </c>
      <c r="G40" s="35">
        <f>'дод. 4'!G74</f>
        <v>3017148</v>
      </c>
      <c r="H40" s="35">
        <f>'дод. 4'!H74</f>
        <v>339954</v>
      </c>
      <c r="I40" s="35">
        <f>'дод. 4'!I74</f>
        <v>0</v>
      </c>
      <c r="J40" s="35">
        <f t="shared" si="8"/>
        <v>4353292</v>
      </c>
      <c r="K40" s="35">
        <f>'дод. 4'!K74</f>
        <v>3353292</v>
      </c>
      <c r="L40" s="35">
        <f>'дод. 4'!L74</f>
        <v>2153375</v>
      </c>
      <c r="M40" s="35">
        <f>'дод. 4'!M74</f>
        <v>166719</v>
      </c>
      <c r="N40" s="35">
        <f>'дод. 4'!N74</f>
        <v>1000000</v>
      </c>
      <c r="O40" s="35">
        <f>'дод. 4'!O74</f>
        <v>1000000</v>
      </c>
      <c r="P40" s="35">
        <f t="shared" si="9"/>
        <v>8651672</v>
      </c>
      <c r="Q40" s="99"/>
    </row>
    <row r="41" spans="1:17" s="25" customFormat="1" ht="15">
      <c r="A41" s="23"/>
      <c r="B41" s="26"/>
      <c r="C41" s="26"/>
      <c r="D41" s="40" t="s">
        <v>213</v>
      </c>
      <c r="E41" s="35">
        <f t="shared" si="7"/>
        <v>4103275</v>
      </c>
      <c r="F41" s="35">
        <f>'дод. 4'!F75</f>
        <v>4103275</v>
      </c>
      <c r="G41" s="35">
        <f>'дод. 4'!G75</f>
        <v>3017148</v>
      </c>
      <c r="H41" s="35">
        <f>'дод. 4'!H75</f>
        <v>339954</v>
      </c>
      <c r="I41" s="35">
        <f>'дод. 4'!I75</f>
        <v>0</v>
      </c>
      <c r="J41" s="35">
        <f t="shared" si="8"/>
        <v>0</v>
      </c>
      <c r="K41" s="35">
        <f>'дод. 4'!K75</f>
        <v>0</v>
      </c>
      <c r="L41" s="35">
        <f>'дод. 4'!L75</f>
        <v>0</v>
      </c>
      <c r="M41" s="35">
        <f>'дод. 4'!M75</f>
        <v>0</v>
      </c>
      <c r="N41" s="35">
        <f>'дод. 4'!N75</f>
        <v>0</v>
      </c>
      <c r="O41" s="35">
        <f>'дод. 4'!O75</f>
        <v>0</v>
      </c>
      <c r="P41" s="35">
        <f t="shared" si="9"/>
        <v>4103275</v>
      </c>
      <c r="Q41" s="99"/>
    </row>
    <row r="42" spans="1:17" s="25" customFormat="1" ht="30">
      <c r="A42" s="23"/>
      <c r="B42" s="26" t="s">
        <v>88</v>
      </c>
      <c r="C42" s="26" t="s">
        <v>161</v>
      </c>
      <c r="D42" s="33" t="s">
        <v>89</v>
      </c>
      <c r="E42" s="35">
        <f t="shared" si="7"/>
        <v>9327474</v>
      </c>
      <c r="F42" s="35">
        <f>'дод. 4'!F76</f>
        <v>9327474</v>
      </c>
      <c r="G42" s="35">
        <f>'дод. 4'!G76</f>
        <v>6060985</v>
      </c>
      <c r="H42" s="35">
        <f>'дод. 4'!H76</f>
        <v>564989</v>
      </c>
      <c r="I42" s="35">
        <f>'дод. 4'!I76</f>
        <v>0</v>
      </c>
      <c r="J42" s="35">
        <f t="shared" si="8"/>
        <v>2574500</v>
      </c>
      <c r="K42" s="35">
        <f>'дод. 4'!K76</f>
        <v>155500</v>
      </c>
      <c r="L42" s="35">
        <f>'дод. 4'!L76</f>
        <v>22000</v>
      </c>
      <c r="M42" s="35">
        <f>'дод. 4'!M76</f>
        <v>19661</v>
      </c>
      <c r="N42" s="35">
        <f>'дод. 4'!N76</f>
        <v>2419000</v>
      </c>
      <c r="O42" s="35">
        <f>'дод. 4'!O76</f>
        <v>2419000</v>
      </c>
      <c r="P42" s="35">
        <f t="shared" si="9"/>
        <v>11901974</v>
      </c>
      <c r="Q42" s="99"/>
    </row>
    <row r="43" spans="1:17" s="25" customFormat="1" ht="15">
      <c r="A43" s="23"/>
      <c r="B43" s="26"/>
      <c r="C43" s="26"/>
      <c r="D43" s="40" t="s">
        <v>213</v>
      </c>
      <c r="E43" s="35">
        <f t="shared" si="7"/>
        <v>8308340</v>
      </c>
      <c r="F43" s="35">
        <f>'дод. 4'!F77</f>
        <v>8308340</v>
      </c>
      <c r="G43" s="35">
        <f>'дод. 4'!G77</f>
        <v>6060985</v>
      </c>
      <c r="H43" s="35">
        <f>'дод. 4'!H77</f>
        <v>564989</v>
      </c>
      <c r="I43" s="35">
        <f>'дод. 4'!I77</f>
        <v>0</v>
      </c>
      <c r="J43" s="35">
        <f t="shared" si="8"/>
        <v>0</v>
      </c>
      <c r="K43" s="35">
        <f>'дод. 4'!K77</f>
        <v>0</v>
      </c>
      <c r="L43" s="35">
        <f>'дод. 4'!L77</f>
        <v>0</v>
      </c>
      <c r="M43" s="35">
        <f>'дод. 4'!M77</f>
        <v>0</v>
      </c>
      <c r="N43" s="35">
        <f>'дод. 4'!N77</f>
        <v>0</v>
      </c>
      <c r="O43" s="35">
        <f>'дод. 4'!O77</f>
        <v>0</v>
      </c>
      <c r="P43" s="35">
        <f t="shared" si="9"/>
        <v>8308340</v>
      </c>
      <c r="Q43" s="99"/>
    </row>
    <row r="44" spans="1:17" s="25" customFormat="1" ht="15">
      <c r="A44" s="23"/>
      <c r="B44" s="26" t="s">
        <v>90</v>
      </c>
      <c r="C44" s="26" t="s">
        <v>162</v>
      </c>
      <c r="D44" s="27" t="s">
        <v>91</v>
      </c>
      <c r="E44" s="35">
        <f t="shared" si="7"/>
        <v>1979149</v>
      </c>
      <c r="F44" s="35">
        <f>'дод. 4'!F78</f>
        <v>1979149</v>
      </c>
      <c r="G44" s="35">
        <f>'дод. 4'!G78</f>
        <v>419377</v>
      </c>
      <c r="H44" s="35">
        <f>'дод. 4'!H78</f>
        <v>11415</v>
      </c>
      <c r="I44" s="35">
        <f>'дод. 4'!I78</f>
        <v>0</v>
      </c>
      <c r="J44" s="35">
        <f t="shared" si="8"/>
        <v>20000</v>
      </c>
      <c r="K44" s="35">
        <f>'дод. 4'!K78</f>
        <v>0</v>
      </c>
      <c r="L44" s="35">
        <f>'дод. 4'!L78</f>
        <v>0</v>
      </c>
      <c r="M44" s="35">
        <f>'дод. 4'!M78</f>
        <v>0</v>
      </c>
      <c r="N44" s="35">
        <f>'дод. 4'!N78</f>
        <v>20000</v>
      </c>
      <c r="O44" s="35">
        <f>'дод. 4'!O78</f>
        <v>20000</v>
      </c>
      <c r="P44" s="35">
        <f t="shared" si="9"/>
        <v>1999149</v>
      </c>
      <c r="Q44" s="99"/>
    </row>
    <row r="45" spans="1:17" s="51" customFormat="1" ht="15">
      <c r="A45" s="50"/>
      <c r="B45" s="26"/>
      <c r="C45" s="26"/>
      <c r="D45" s="40" t="s">
        <v>213</v>
      </c>
      <c r="E45" s="35">
        <f t="shared" si="7"/>
        <v>768065</v>
      </c>
      <c r="F45" s="35">
        <f>'дод. 4'!F79</f>
        <v>768065</v>
      </c>
      <c r="G45" s="35">
        <f>'дод. 4'!G79</f>
        <v>419377</v>
      </c>
      <c r="H45" s="35">
        <f>'дод. 4'!H79</f>
        <v>11415</v>
      </c>
      <c r="I45" s="35">
        <f>'дод. 4'!I79</f>
        <v>0</v>
      </c>
      <c r="J45" s="35">
        <f t="shared" si="8"/>
        <v>0</v>
      </c>
      <c r="K45" s="35">
        <f>'дод. 4'!K79</f>
        <v>0</v>
      </c>
      <c r="L45" s="35">
        <f>'дод. 4'!L79</f>
        <v>0</v>
      </c>
      <c r="M45" s="35">
        <f>'дод. 4'!M79</f>
        <v>0</v>
      </c>
      <c r="N45" s="35">
        <f>'дод. 4'!N79</f>
        <v>0</v>
      </c>
      <c r="O45" s="35">
        <f>'дод. 4'!O79</f>
        <v>0</v>
      </c>
      <c r="P45" s="35">
        <f t="shared" si="9"/>
        <v>768065</v>
      </c>
      <c r="Q45" s="99"/>
    </row>
    <row r="46" spans="1:17" s="25" customFormat="1" ht="72.75" customHeight="1">
      <c r="A46" s="23"/>
      <c r="B46" s="32" t="s">
        <v>92</v>
      </c>
      <c r="C46" s="32" t="s">
        <v>162</v>
      </c>
      <c r="D46" s="33" t="s">
        <v>93</v>
      </c>
      <c r="E46" s="35">
        <f t="shared" si="7"/>
        <v>650274</v>
      </c>
      <c r="F46" s="35">
        <f>'дод. 4'!F80</f>
        <v>650274</v>
      </c>
      <c r="G46" s="35">
        <f>'дод. 4'!G80</f>
        <v>435814</v>
      </c>
      <c r="H46" s="35">
        <f>'дод. 4'!H80</f>
        <v>18580</v>
      </c>
      <c r="I46" s="35">
        <f>'дод. 4'!I80</f>
        <v>0</v>
      </c>
      <c r="J46" s="35">
        <f t="shared" si="8"/>
        <v>40000</v>
      </c>
      <c r="K46" s="35">
        <f>'дод. 4'!K80</f>
        <v>0</v>
      </c>
      <c r="L46" s="35">
        <f>'дод. 4'!L80</f>
        <v>0</v>
      </c>
      <c r="M46" s="35">
        <f>'дод. 4'!M80</f>
        <v>0</v>
      </c>
      <c r="N46" s="35">
        <f>'дод. 4'!N80</f>
        <v>40000</v>
      </c>
      <c r="O46" s="35">
        <f>'дод. 4'!O80</f>
        <v>40000</v>
      </c>
      <c r="P46" s="35">
        <f t="shared" si="9"/>
        <v>690274</v>
      </c>
      <c r="Q46" s="99"/>
    </row>
    <row r="47" spans="1:17" s="25" customFormat="1" ht="15">
      <c r="A47" s="23"/>
      <c r="B47" s="32"/>
      <c r="C47" s="32"/>
      <c r="D47" s="40" t="s">
        <v>213</v>
      </c>
      <c r="E47" s="35">
        <f t="shared" si="7"/>
        <v>575270</v>
      </c>
      <c r="F47" s="35">
        <f>'дод. 4'!F81</f>
        <v>575270</v>
      </c>
      <c r="G47" s="35">
        <f>'дод. 4'!G81</f>
        <v>435814</v>
      </c>
      <c r="H47" s="35">
        <f>'дод. 4'!H81</f>
        <v>18580</v>
      </c>
      <c r="I47" s="35">
        <f>'дод. 4'!I81</f>
        <v>0</v>
      </c>
      <c r="J47" s="35">
        <f t="shared" si="8"/>
        <v>0</v>
      </c>
      <c r="K47" s="35">
        <f>'дод. 4'!K81</f>
        <v>0</v>
      </c>
      <c r="L47" s="35">
        <f>'дод. 4'!L81</f>
        <v>0</v>
      </c>
      <c r="M47" s="35">
        <f>'дод. 4'!M81</f>
        <v>0</v>
      </c>
      <c r="N47" s="35">
        <f>'дод. 4'!N81</f>
        <v>0</v>
      </c>
      <c r="O47" s="35">
        <f>'дод. 4'!O81</f>
        <v>0</v>
      </c>
      <c r="P47" s="35">
        <f t="shared" si="9"/>
        <v>575270</v>
      </c>
      <c r="Q47" s="99"/>
    </row>
    <row r="48" spans="1:17" s="25" customFormat="1" ht="45">
      <c r="A48" s="23"/>
      <c r="B48" s="32" t="s">
        <v>256</v>
      </c>
      <c r="C48" s="32" t="s">
        <v>162</v>
      </c>
      <c r="D48" s="27" t="s">
        <v>257</v>
      </c>
      <c r="E48" s="35">
        <f t="shared" si="7"/>
        <v>10347290</v>
      </c>
      <c r="F48" s="35">
        <f>'дод. 4'!F82</f>
        <v>10347290</v>
      </c>
      <c r="G48" s="35">
        <f>'дод. 4'!G82</f>
        <v>0</v>
      </c>
      <c r="H48" s="35">
        <f>'дод. 4'!H82</f>
        <v>0</v>
      </c>
      <c r="I48" s="35">
        <f>'дод. 4'!I82</f>
        <v>0</v>
      </c>
      <c r="J48" s="35">
        <f t="shared" si="8"/>
        <v>0</v>
      </c>
      <c r="K48" s="35">
        <f>'дод. 4'!K82</f>
        <v>0</v>
      </c>
      <c r="L48" s="35">
        <f>'дод. 4'!L82</f>
        <v>0</v>
      </c>
      <c r="M48" s="35">
        <f>'дод. 4'!M82</f>
        <v>0</v>
      </c>
      <c r="N48" s="35">
        <f>'дод. 4'!N82</f>
        <v>0</v>
      </c>
      <c r="O48" s="35">
        <f>'дод. 4'!O82</f>
        <v>0</v>
      </c>
      <c r="P48" s="35">
        <f t="shared" si="9"/>
        <v>10347290</v>
      </c>
      <c r="Q48" s="99"/>
    </row>
    <row r="49" spans="1:17" s="25" customFormat="1" ht="15">
      <c r="A49" s="23"/>
      <c r="B49" s="32"/>
      <c r="C49" s="32"/>
      <c r="D49" s="40" t="s">
        <v>213</v>
      </c>
      <c r="E49" s="35">
        <f t="shared" si="7"/>
        <v>10347290</v>
      </c>
      <c r="F49" s="35">
        <f>'дод. 4'!F83</f>
        <v>10347290</v>
      </c>
      <c r="G49" s="35">
        <f>'дод. 4'!G83</f>
        <v>0</v>
      </c>
      <c r="H49" s="35">
        <f>'дод. 4'!H83</f>
        <v>0</v>
      </c>
      <c r="I49" s="35">
        <f>'дод. 4'!I83</f>
        <v>0</v>
      </c>
      <c r="J49" s="35">
        <f>K49+N49</f>
        <v>0</v>
      </c>
      <c r="K49" s="35">
        <f>'дод. 4'!K83</f>
        <v>0</v>
      </c>
      <c r="L49" s="35">
        <f>'дод. 4'!L83</f>
        <v>0</v>
      </c>
      <c r="M49" s="35">
        <f>'дод. 4'!M83</f>
        <v>0</v>
      </c>
      <c r="N49" s="35">
        <f>'дод. 4'!N83</f>
        <v>0</v>
      </c>
      <c r="O49" s="35">
        <f>'дод. 4'!O83</f>
        <v>0</v>
      </c>
      <c r="P49" s="35">
        <f t="shared" si="9"/>
        <v>10347290</v>
      </c>
      <c r="Q49" s="99"/>
    </row>
    <row r="50" spans="1:17" s="25" customFormat="1" ht="28.5">
      <c r="A50" s="23"/>
      <c r="B50" s="66" t="s">
        <v>222</v>
      </c>
      <c r="C50" s="67"/>
      <c r="D50" s="67" t="s">
        <v>223</v>
      </c>
      <c r="E50" s="70">
        <f t="shared" si="7"/>
        <v>696386111.07</v>
      </c>
      <c r="F50" s="70">
        <f aca="true" t="shared" si="10" ref="F50:P50">F52+F54+F56+F60+F62+F64+F66+F67+F69+F71+F73+F75+F77+F79+F81+F83+F85+F87+F89+F91+F92+F94+F95+F96+F97+F98+F99+F100+F101+F102+F103+F104+F105+F106+F107+F108+F109+F111+F112</f>
        <v>696386111.07</v>
      </c>
      <c r="G50" s="70">
        <f t="shared" si="10"/>
        <v>6421162.859999999</v>
      </c>
      <c r="H50" s="70">
        <f t="shared" si="10"/>
        <v>412126</v>
      </c>
      <c r="I50" s="70">
        <f t="shared" si="10"/>
        <v>0</v>
      </c>
      <c r="J50" s="70">
        <f t="shared" si="10"/>
        <v>720945</v>
      </c>
      <c r="K50" s="70">
        <f t="shared" si="10"/>
        <v>27800</v>
      </c>
      <c r="L50" s="70">
        <f t="shared" si="10"/>
        <v>18822</v>
      </c>
      <c r="M50" s="70">
        <f t="shared" si="10"/>
        <v>0</v>
      </c>
      <c r="N50" s="70">
        <f t="shared" si="10"/>
        <v>693145</v>
      </c>
      <c r="O50" s="70">
        <f t="shared" si="10"/>
        <v>693145</v>
      </c>
      <c r="P50" s="70">
        <f t="shared" si="10"/>
        <v>697107056.07</v>
      </c>
      <c r="Q50" s="99"/>
    </row>
    <row r="51" spans="1:17" s="25" customFormat="1" ht="15">
      <c r="A51" s="23"/>
      <c r="B51" s="66"/>
      <c r="C51" s="67"/>
      <c r="D51" s="40" t="s">
        <v>213</v>
      </c>
      <c r="E51" s="35">
        <f t="shared" si="7"/>
        <v>672875830</v>
      </c>
      <c r="F51" s="53">
        <f aca="true" t="shared" si="11" ref="F51:O51">F53+F55+F59+F61+F63+F65+F68+F70+F72+F74+F76+F78+F80+F82+F84+F86+F88+F90+F93+F110</f>
        <v>672875830</v>
      </c>
      <c r="G51" s="53">
        <f t="shared" si="11"/>
        <v>0</v>
      </c>
      <c r="H51" s="53">
        <f t="shared" si="11"/>
        <v>0</v>
      </c>
      <c r="I51" s="53">
        <f t="shared" si="11"/>
        <v>0</v>
      </c>
      <c r="J51" s="35">
        <f>K51+N51</f>
        <v>0</v>
      </c>
      <c r="K51" s="53">
        <f t="shared" si="11"/>
        <v>0</v>
      </c>
      <c r="L51" s="53">
        <f t="shared" si="11"/>
        <v>0</v>
      </c>
      <c r="M51" s="53">
        <f t="shared" si="11"/>
        <v>0</v>
      </c>
      <c r="N51" s="53">
        <f t="shared" si="11"/>
        <v>0</v>
      </c>
      <c r="O51" s="53">
        <f t="shared" si="11"/>
        <v>0</v>
      </c>
      <c r="P51" s="35">
        <f aca="true" t="shared" si="12" ref="P51:P56">E51+J51</f>
        <v>672875830</v>
      </c>
      <c r="Q51" s="99"/>
    </row>
    <row r="52" spans="1:17" s="25" customFormat="1" ht="233.25" customHeight="1">
      <c r="A52" s="23"/>
      <c r="B52" s="26" t="s">
        <v>289</v>
      </c>
      <c r="C52" s="26" t="s">
        <v>164</v>
      </c>
      <c r="D52" s="27" t="s">
        <v>290</v>
      </c>
      <c r="E52" s="35">
        <f t="shared" si="7"/>
        <v>35619200</v>
      </c>
      <c r="F52" s="35">
        <f>'дод. 4'!F89</f>
        <v>35619200</v>
      </c>
      <c r="G52" s="35">
        <f>'дод. 4'!G89</f>
        <v>0</v>
      </c>
      <c r="H52" s="35">
        <f>'дод. 4'!H89</f>
        <v>0</v>
      </c>
      <c r="I52" s="35">
        <f>'дод. 4'!I89</f>
        <v>0</v>
      </c>
      <c r="J52" s="35">
        <f>K52+N52</f>
        <v>0</v>
      </c>
      <c r="K52" s="35">
        <f>'дод. 4'!K89</f>
        <v>0</v>
      </c>
      <c r="L52" s="35">
        <f>'дод. 4'!L89</f>
        <v>0</v>
      </c>
      <c r="M52" s="35">
        <f>'дод. 4'!M89</f>
        <v>0</v>
      </c>
      <c r="N52" s="35">
        <f>'дод. 4'!N89</f>
        <v>0</v>
      </c>
      <c r="O52" s="35">
        <f>'дод. 4'!O89</f>
        <v>0</v>
      </c>
      <c r="P52" s="35">
        <f t="shared" si="12"/>
        <v>35619200</v>
      </c>
      <c r="Q52" s="99"/>
    </row>
    <row r="53" spans="1:17" s="25" customFormat="1" ht="15">
      <c r="A53" s="23"/>
      <c r="B53" s="26"/>
      <c r="C53" s="26"/>
      <c r="D53" s="27" t="s">
        <v>266</v>
      </c>
      <c r="E53" s="35">
        <f t="shared" si="7"/>
        <v>35619200</v>
      </c>
      <c r="F53" s="35">
        <f>'дод. 4'!F90</f>
        <v>35619200</v>
      </c>
      <c r="G53" s="35">
        <f>'дод. 4'!G90</f>
        <v>0</v>
      </c>
      <c r="H53" s="35">
        <f>'дод. 4'!H90</f>
        <v>0</v>
      </c>
      <c r="I53" s="35">
        <f>'дод. 4'!I90</f>
        <v>0</v>
      </c>
      <c r="J53" s="35">
        <f>K53+N53</f>
        <v>0</v>
      </c>
      <c r="K53" s="35">
        <f>'дод. 4'!K90</f>
        <v>0</v>
      </c>
      <c r="L53" s="35">
        <f>'дод. 4'!L90</f>
        <v>0</v>
      </c>
      <c r="M53" s="35">
        <f>'дод. 4'!M90</f>
        <v>0</v>
      </c>
      <c r="N53" s="35">
        <f>'дод. 4'!N90</f>
        <v>0</v>
      </c>
      <c r="O53" s="35">
        <f>'дод. 4'!O90</f>
        <v>0</v>
      </c>
      <c r="P53" s="35">
        <f t="shared" si="12"/>
        <v>35619200</v>
      </c>
      <c r="Q53" s="99"/>
    </row>
    <row r="54" spans="1:17" s="25" customFormat="1" ht="207.75" customHeight="1">
      <c r="A54" s="23"/>
      <c r="B54" s="26" t="s">
        <v>291</v>
      </c>
      <c r="C54" s="26" t="s">
        <v>164</v>
      </c>
      <c r="D54" s="27" t="s">
        <v>292</v>
      </c>
      <c r="E54" s="35">
        <f t="shared" si="7"/>
        <v>22188.3</v>
      </c>
      <c r="F54" s="35">
        <f>'дод. 4'!F91</f>
        <v>22188.3</v>
      </c>
      <c r="G54" s="35">
        <f>'дод. 4'!G91</f>
        <v>0</v>
      </c>
      <c r="H54" s="35">
        <f>'дод. 4'!H91</f>
        <v>0</v>
      </c>
      <c r="I54" s="35">
        <f>'дод. 4'!I91</f>
        <v>0</v>
      </c>
      <c r="J54" s="35">
        <f>K54+N54</f>
        <v>0</v>
      </c>
      <c r="K54" s="35">
        <f>'дод. 4'!K91</f>
        <v>0</v>
      </c>
      <c r="L54" s="35">
        <f>'дод. 4'!L91</f>
        <v>0</v>
      </c>
      <c r="M54" s="35">
        <f>'дод. 4'!M91</f>
        <v>0</v>
      </c>
      <c r="N54" s="35">
        <f>'дод. 4'!N91</f>
        <v>0</v>
      </c>
      <c r="O54" s="35">
        <f>'дод. 4'!O91</f>
        <v>0</v>
      </c>
      <c r="P54" s="35">
        <f t="shared" si="12"/>
        <v>22188.3</v>
      </c>
      <c r="Q54" s="99" t="s">
        <v>337</v>
      </c>
    </row>
    <row r="55" spans="1:17" s="25" customFormat="1" ht="15">
      <c r="A55" s="23"/>
      <c r="B55" s="26"/>
      <c r="C55" s="26"/>
      <c r="D55" s="27" t="s">
        <v>266</v>
      </c>
      <c r="E55" s="35">
        <f t="shared" si="7"/>
        <v>22188.3</v>
      </c>
      <c r="F55" s="35">
        <f>'дод. 4'!F92</f>
        <v>22188.3</v>
      </c>
      <c r="G55" s="35">
        <f>'дод. 4'!G92</f>
        <v>0</v>
      </c>
      <c r="H55" s="35">
        <f>'дод. 4'!H92</f>
        <v>0</v>
      </c>
      <c r="I55" s="35">
        <f>'дод. 4'!I92</f>
        <v>0</v>
      </c>
      <c r="J55" s="35">
        <f>K55+N55</f>
        <v>0</v>
      </c>
      <c r="K55" s="35">
        <f>'дод. 4'!K92</f>
        <v>0</v>
      </c>
      <c r="L55" s="35">
        <f>'дод. 4'!L92</f>
        <v>0</v>
      </c>
      <c r="M55" s="35">
        <f>'дод. 4'!M92</f>
        <v>0</v>
      </c>
      <c r="N55" s="35">
        <f>'дод. 4'!N92</f>
        <v>0</v>
      </c>
      <c r="O55" s="35">
        <f>'дод. 4'!O92</f>
        <v>0</v>
      </c>
      <c r="P55" s="35">
        <f t="shared" si="12"/>
        <v>22188.3</v>
      </c>
      <c r="Q55" s="99"/>
    </row>
    <row r="56" spans="1:17" s="25" customFormat="1" ht="258" customHeight="1">
      <c r="A56" s="23"/>
      <c r="B56" s="73" t="s">
        <v>293</v>
      </c>
      <c r="C56" s="73" t="s">
        <v>164</v>
      </c>
      <c r="D56" s="76" t="s">
        <v>294</v>
      </c>
      <c r="E56" s="82">
        <f>F56+I56</f>
        <v>5469100</v>
      </c>
      <c r="F56" s="82">
        <f>'дод. 4'!F93</f>
        <v>5469100</v>
      </c>
      <c r="G56" s="82">
        <f>'дод. 4'!G93</f>
        <v>0</v>
      </c>
      <c r="H56" s="82">
        <f>'дод. 4'!H93</f>
        <v>0</v>
      </c>
      <c r="I56" s="82">
        <f>'дод. 4'!I93</f>
        <v>0</v>
      </c>
      <c r="J56" s="82">
        <f>K56+O56</f>
        <v>0</v>
      </c>
      <c r="K56" s="82">
        <f>'дод. 4'!K93</f>
        <v>0</v>
      </c>
      <c r="L56" s="82">
        <f>'дод. 4'!L93</f>
        <v>0</v>
      </c>
      <c r="M56" s="82">
        <f>'дод. 4'!M93</f>
        <v>0</v>
      </c>
      <c r="N56" s="82">
        <f>'дод. 4'!N93</f>
        <v>0</v>
      </c>
      <c r="O56" s="82">
        <f>'дод. 4'!O93</f>
        <v>0</v>
      </c>
      <c r="P56" s="82">
        <f t="shared" si="12"/>
        <v>5469100</v>
      </c>
      <c r="Q56" s="99"/>
    </row>
    <row r="57" spans="1:17" s="25" customFormat="1" ht="157.5" customHeight="1">
      <c r="A57" s="23"/>
      <c r="B57" s="74"/>
      <c r="C57" s="74"/>
      <c r="D57" s="77" t="s">
        <v>295</v>
      </c>
      <c r="E57" s="83"/>
      <c r="F57" s="83"/>
      <c r="G57" s="83"/>
      <c r="H57" s="83"/>
      <c r="I57" s="83"/>
      <c r="J57" s="83"/>
      <c r="K57" s="83"/>
      <c r="L57" s="83"/>
      <c r="M57" s="83"/>
      <c r="N57" s="83"/>
      <c r="O57" s="83"/>
      <c r="P57" s="83"/>
      <c r="Q57" s="99"/>
    </row>
    <row r="58" spans="1:17" s="25" customFormat="1" ht="254.25" customHeight="1">
      <c r="A58" s="23"/>
      <c r="B58" s="75"/>
      <c r="C58" s="75"/>
      <c r="D58" s="78" t="s">
        <v>296</v>
      </c>
      <c r="E58" s="84"/>
      <c r="F58" s="84"/>
      <c r="G58" s="84"/>
      <c r="H58" s="84"/>
      <c r="I58" s="84"/>
      <c r="J58" s="84"/>
      <c r="K58" s="84"/>
      <c r="L58" s="84"/>
      <c r="M58" s="84"/>
      <c r="N58" s="84"/>
      <c r="O58" s="84"/>
      <c r="P58" s="84"/>
      <c r="Q58" s="99" t="s">
        <v>338</v>
      </c>
    </row>
    <row r="59" spans="1:17" s="25" customFormat="1" ht="15">
      <c r="A59" s="23"/>
      <c r="B59" s="26"/>
      <c r="C59" s="26"/>
      <c r="D59" s="27" t="s">
        <v>266</v>
      </c>
      <c r="E59" s="53">
        <f>F59+I59</f>
        <v>5469100</v>
      </c>
      <c r="F59" s="53">
        <f>'дод. 4'!F96</f>
        <v>5469100</v>
      </c>
      <c r="G59" s="53">
        <f>'дод. 4'!G96</f>
        <v>0</v>
      </c>
      <c r="H59" s="53">
        <f>'дод. 4'!H96</f>
        <v>0</v>
      </c>
      <c r="I59" s="53">
        <f>'дод. 4'!I96</f>
        <v>0</v>
      </c>
      <c r="J59" s="53">
        <f>K59+N59</f>
        <v>0</v>
      </c>
      <c r="K59" s="53">
        <f>'дод. 4'!K96</f>
        <v>0</v>
      </c>
      <c r="L59" s="53">
        <f>'дод. 4'!L96</f>
        <v>0</v>
      </c>
      <c r="M59" s="53">
        <f>'дод. 4'!M96</f>
        <v>0</v>
      </c>
      <c r="N59" s="53">
        <f>'дод. 4'!N96</f>
        <v>0</v>
      </c>
      <c r="O59" s="53">
        <f>'дод. 4'!O96</f>
        <v>0</v>
      </c>
      <c r="P59" s="53">
        <f>E59+J59</f>
        <v>5469100</v>
      </c>
      <c r="Q59" s="99"/>
    </row>
    <row r="60" spans="1:17" s="25" customFormat="1" ht="105">
      <c r="A60" s="23"/>
      <c r="B60" s="26" t="s">
        <v>297</v>
      </c>
      <c r="C60" s="26" t="s">
        <v>165</v>
      </c>
      <c r="D60" s="27" t="s">
        <v>298</v>
      </c>
      <c r="E60" s="53">
        <f>F60+I60</f>
        <v>4278400</v>
      </c>
      <c r="F60" s="53">
        <f>'дод. 4'!F97</f>
        <v>4278400</v>
      </c>
      <c r="G60" s="53">
        <f>'дод. 4'!G97</f>
        <v>0</v>
      </c>
      <c r="H60" s="53">
        <f>'дод. 4'!H97</f>
        <v>0</v>
      </c>
      <c r="I60" s="53">
        <f>'дод. 4'!I97</f>
        <v>0</v>
      </c>
      <c r="J60" s="53">
        <f>K60+N60</f>
        <v>0</v>
      </c>
      <c r="K60" s="53">
        <f>'дод. 4'!K97</f>
        <v>0</v>
      </c>
      <c r="L60" s="53">
        <f>'дод. 4'!L97</f>
        <v>0</v>
      </c>
      <c r="M60" s="53">
        <f>'дод. 4'!M97</f>
        <v>0</v>
      </c>
      <c r="N60" s="53">
        <f>'дод. 4'!N97</f>
        <v>0</v>
      </c>
      <c r="O60" s="53">
        <f>'дод. 4'!O97</f>
        <v>0</v>
      </c>
      <c r="P60" s="53">
        <f aca="true" t="shared" si="13" ref="P60:P112">E60+J60</f>
        <v>4278400</v>
      </c>
      <c r="Q60" s="99"/>
    </row>
    <row r="61" spans="1:17" s="25" customFormat="1" ht="15">
      <c r="A61" s="23"/>
      <c r="B61" s="26"/>
      <c r="C61" s="26"/>
      <c r="D61" s="27" t="s">
        <v>266</v>
      </c>
      <c r="E61" s="53">
        <f aca="true" t="shared" si="14" ref="E61:E112">F61+I61</f>
        <v>4278400</v>
      </c>
      <c r="F61" s="53">
        <f>'дод. 4'!F98</f>
        <v>4278400</v>
      </c>
      <c r="G61" s="53">
        <f>'дод. 4'!G98</f>
        <v>0</v>
      </c>
      <c r="H61" s="53">
        <f>'дод. 4'!H98</f>
        <v>0</v>
      </c>
      <c r="I61" s="53">
        <f>'дод. 4'!I98</f>
        <v>0</v>
      </c>
      <c r="J61" s="53">
        <f aca="true" t="shared" si="15" ref="J61:J112">K61+N61</f>
        <v>0</v>
      </c>
      <c r="K61" s="53">
        <f>'дод. 4'!K98</f>
        <v>0</v>
      </c>
      <c r="L61" s="53">
        <f>'дод. 4'!L98</f>
        <v>0</v>
      </c>
      <c r="M61" s="53">
        <f>'дод. 4'!M98</f>
        <v>0</v>
      </c>
      <c r="N61" s="53">
        <f>'дод. 4'!N98</f>
        <v>0</v>
      </c>
      <c r="O61" s="53">
        <f>'дод. 4'!O98</f>
        <v>0</v>
      </c>
      <c r="P61" s="53">
        <f t="shared" si="13"/>
        <v>4278400</v>
      </c>
      <c r="Q61" s="99"/>
    </row>
    <row r="62" spans="1:17" s="25" customFormat="1" ht="105">
      <c r="A62" s="23"/>
      <c r="B62" s="26" t="s">
        <v>299</v>
      </c>
      <c r="C62" s="26" t="s">
        <v>165</v>
      </c>
      <c r="D62" s="27" t="s">
        <v>300</v>
      </c>
      <c r="E62" s="53">
        <f t="shared" si="14"/>
        <v>788</v>
      </c>
      <c r="F62" s="53">
        <f>'дод. 4'!F99</f>
        <v>788</v>
      </c>
      <c r="G62" s="53">
        <f>'дод. 4'!G99</f>
        <v>0</v>
      </c>
      <c r="H62" s="53">
        <f>'дод. 4'!H99</f>
        <v>0</v>
      </c>
      <c r="I62" s="53">
        <f>'дод. 4'!I99</f>
        <v>0</v>
      </c>
      <c r="J62" s="53">
        <f t="shared" si="15"/>
        <v>0</v>
      </c>
      <c r="K62" s="53">
        <f>'дод. 4'!K99</f>
        <v>0</v>
      </c>
      <c r="L62" s="53">
        <f>'дод. 4'!L99</f>
        <v>0</v>
      </c>
      <c r="M62" s="53">
        <f>'дод. 4'!M99</f>
        <v>0</v>
      </c>
      <c r="N62" s="53">
        <f>'дод. 4'!N99</f>
        <v>0</v>
      </c>
      <c r="O62" s="53">
        <f>'дод. 4'!O99</f>
        <v>0</v>
      </c>
      <c r="P62" s="53">
        <f t="shared" si="13"/>
        <v>788</v>
      </c>
      <c r="Q62" s="99"/>
    </row>
    <row r="63" spans="1:17" s="25" customFormat="1" ht="15">
      <c r="A63" s="23"/>
      <c r="B63" s="26"/>
      <c r="C63" s="26"/>
      <c r="D63" s="27" t="s">
        <v>266</v>
      </c>
      <c r="E63" s="53">
        <f t="shared" si="14"/>
        <v>788</v>
      </c>
      <c r="F63" s="53">
        <f>'дод. 4'!F100</f>
        <v>788</v>
      </c>
      <c r="G63" s="53">
        <f>'дод. 4'!G100</f>
        <v>0</v>
      </c>
      <c r="H63" s="53">
        <f>'дод. 4'!H100</f>
        <v>0</v>
      </c>
      <c r="I63" s="53">
        <f>'дод. 4'!I100</f>
        <v>0</v>
      </c>
      <c r="J63" s="53">
        <f t="shared" si="15"/>
        <v>0</v>
      </c>
      <c r="K63" s="53">
        <f>'дод. 4'!K100</f>
        <v>0</v>
      </c>
      <c r="L63" s="53">
        <f>'дод. 4'!L100</f>
        <v>0</v>
      </c>
      <c r="M63" s="53">
        <f>'дод. 4'!M100</f>
        <v>0</v>
      </c>
      <c r="N63" s="53">
        <f>'дод. 4'!N100</f>
        <v>0</v>
      </c>
      <c r="O63" s="53">
        <f>'дод. 4'!O100</f>
        <v>0</v>
      </c>
      <c r="P63" s="53">
        <f t="shared" si="13"/>
        <v>788</v>
      </c>
      <c r="Q63" s="99"/>
    </row>
    <row r="64" spans="1:17" s="25" customFormat="1" ht="197.25" customHeight="1">
      <c r="A64" s="23"/>
      <c r="B64" s="26" t="s">
        <v>301</v>
      </c>
      <c r="C64" s="26" t="s">
        <v>165</v>
      </c>
      <c r="D64" s="27" t="s">
        <v>302</v>
      </c>
      <c r="E64" s="53">
        <f t="shared" si="14"/>
        <v>110300</v>
      </c>
      <c r="F64" s="53">
        <f>'дод. 4'!F101</f>
        <v>110300</v>
      </c>
      <c r="G64" s="53">
        <f>'дод. 4'!G101</f>
        <v>0</v>
      </c>
      <c r="H64" s="53">
        <f>'дод. 4'!H101</f>
        <v>0</v>
      </c>
      <c r="I64" s="53">
        <f>'дод. 4'!I101</f>
        <v>0</v>
      </c>
      <c r="J64" s="53">
        <f t="shared" si="15"/>
        <v>0</v>
      </c>
      <c r="K64" s="53">
        <f>'дод. 4'!K101</f>
        <v>0</v>
      </c>
      <c r="L64" s="53">
        <f>'дод. 4'!L101</f>
        <v>0</v>
      </c>
      <c r="M64" s="53">
        <f>'дод. 4'!M101</f>
        <v>0</v>
      </c>
      <c r="N64" s="53">
        <f>'дод. 4'!N101</f>
        <v>0</v>
      </c>
      <c r="O64" s="53">
        <f>'дод. 4'!O101</f>
        <v>0</v>
      </c>
      <c r="P64" s="53">
        <f t="shared" si="13"/>
        <v>110300</v>
      </c>
      <c r="Q64" s="99"/>
    </row>
    <row r="65" spans="1:17" s="25" customFormat="1" ht="15">
      <c r="A65" s="23"/>
      <c r="B65" s="26"/>
      <c r="C65" s="26"/>
      <c r="D65" s="27" t="s">
        <v>266</v>
      </c>
      <c r="E65" s="53">
        <f t="shared" si="14"/>
        <v>110300</v>
      </c>
      <c r="F65" s="53">
        <f>'дод. 4'!F102</f>
        <v>110300</v>
      </c>
      <c r="G65" s="53">
        <f>'дод. 4'!G102</f>
        <v>0</v>
      </c>
      <c r="H65" s="53">
        <f>'дод. 4'!H102</f>
        <v>0</v>
      </c>
      <c r="I65" s="53">
        <f>'дод. 4'!I102</f>
        <v>0</v>
      </c>
      <c r="J65" s="53">
        <f t="shared" si="15"/>
        <v>0</v>
      </c>
      <c r="K65" s="53">
        <f>'дод. 4'!K102</f>
        <v>0</v>
      </c>
      <c r="L65" s="53">
        <f>'дод. 4'!L102</f>
        <v>0</v>
      </c>
      <c r="M65" s="53">
        <f>'дод. 4'!M102</f>
        <v>0</v>
      </c>
      <c r="N65" s="53">
        <f>'дод. 4'!N102</f>
        <v>0</v>
      </c>
      <c r="O65" s="53">
        <f>'дод. 4'!O102</f>
        <v>0</v>
      </c>
      <c r="P65" s="53">
        <f t="shared" si="13"/>
        <v>110300</v>
      </c>
      <c r="Q65" s="99"/>
    </row>
    <row r="66" spans="1:17" s="25" customFormat="1" ht="45">
      <c r="A66" s="23"/>
      <c r="B66" s="26" t="s">
        <v>208</v>
      </c>
      <c r="C66" s="26" t="s">
        <v>165</v>
      </c>
      <c r="D66" s="27" t="s">
        <v>209</v>
      </c>
      <c r="E66" s="53">
        <f t="shared" si="14"/>
        <v>882700</v>
      </c>
      <c r="F66" s="53">
        <f>'дод. 4'!F103</f>
        <v>882700</v>
      </c>
      <c r="G66" s="53">
        <f>'дод. 4'!G103</f>
        <v>0</v>
      </c>
      <c r="H66" s="53">
        <f>'дод. 4'!H103</f>
        <v>0</v>
      </c>
      <c r="I66" s="53">
        <f>'дод. 4'!I103</f>
        <v>0</v>
      </c>
      <c r="J66" s="53">
        <f t="shared" si="15"/>
        <v>0</v>
      </c>
      <c r="K66" s="53">
        <f>'дод. 4'!K103</f>
        <v>0</v>
      </c>
      <c r="L66" s="53">
        <f>'дод. 4'!L103</f>
        <v>0</v>
      </c>
      <c r="M66" s="53">
        <f>'дод. 4'!M103</f>
        <v>0</v>
      </c>
      <c r="N66" s="53">
        <f>'дод. 4'!N103</f>
        <v>0</v>
      </c>
      <c r="O66" s="53">
        <f>'дод. 4'!O103</f>
        <v>0</v>
      </c>
      <c r="P66" s="53">
        <f t="shared" si="13"/>
        <v>882700</v>
      </c>
      <c r="Q66" s="99" t="s">
        <v>339</v>
      </c>
    </row>
    <row r="67" spans="1:17" s="25" customFormat="1" ht="150">
      <c r="A67" s="23"/>
      <c r="B67" s="26" t="s">
        <v>303</v>
      </c>
      <c r="C67" s="26" t="s">
        <v>165</v>
      </c>
      <c r="D67" s="27" t="s">
        <v>304</v>
      </c>
      <c r="E67" s="53">
        <f t="shared" si="14"/>
        <v>2195200</v>
      </c>
      <c r="F67" s="53">
        <f>'дод. 4'!F104</f>
        <v>2195200</v>
      </c>
      <c r="G67" s="53">
        <f>'дод. 4'!G104</f>
        <v>0</v>
      </c>
      <c r="H67" s="53">
        <f>'дод. 4'!H104</f>
        <v>0</v>
      </c>
      <c r="I67" s="53">
        <f>'дод. 4'!I104</f>
        <v>0</v>
      </c>
      <c r="J67" s="53">
        <f t="shared" si="15"/>
        <v>0</v>
      </c>
      <c r="K67" s="53">
        <f>'дод. 4'!K104</f>
        <v>0</v>
      </c>
      <c r="L67" s="53">
        <f>'дод. 4'!L104</f>
        <v>0</v>
      </c>
      <c r="M67" s="53">
        <f>'дод. 4'!M104</f>
        <v>0</v>
      </c>
      <c r="N67" s="53">
        <f>'дод. 4'!N104</f>
        <v>0</v>
      </c>
      <c r="O67" s="53">
        <f>'дод. 4'!O104</f>
        <v>0</v>
      </c>
      <c r="P67" s="53">
        <f t="shared" si="13"/>
        <v>2195200</v>
      </c>
      <c r="Q67" s="99"/>
    </row>
    <row r="68" spans="1:17" s="25" customFormat="1" ht="15">
      <c r="A68" s="23"/>
      <c r="B68" s="26"/>
      <c r="C68" s="26"/>
      <c r="D68" s="27" t="s">
        <v>266</v>
      </c>
      <c r="E68" s="53">
        <f t="shared" si="14"/>
        <v>2195200</v>
      </c>
      <c r="F68" s="53">
        <f>'дод. 4'!F105</f>
        <v>2195200</v>
      </c>
      <c r="G68" s="53">
        <f>'дод. 4'!G105</f>
        <v>0</v>
      </c>
      <c r="H68" s="53">
        <f>'дод. 4'!H105</f>
        <v>0</v>
      </c>
      <c r="I68" s="53">
        <f>'дод. 4'!I105</f>
        <v>0</v>
      </c>
      <c r="J68" s="53">
        <f t="shared" si="15"/>
        <v>0</v>
      </c>
      <c r="K68" s="53">
        <f>'дод. 4'!K105</f>
        <v>0</v>
      </c>
      <c r="L68" s="53">
        <f>'дод. 4'!L105</f>
        <v>0</v>
      </c>
      <c r="M68" s="53">
        <f>'дод. 4'!M105</f>
        <v>0</v>
      </c>
      <c r="N68" s="53">
        <f>'дод. 4'!N105</f>
        <v>0</v>
      </c>
      <c r="O68" s="53">
        <f>'дод. 4'!O105</f>
        <v>0</v>
      </c>
      <c r="P68" s="53">
        <f t="shared" si="13"/>
        <v>2195200</v>
      </c>
      <c r="Q68" s="99"/>
    </row>
    <row r="69" spans="1:17" s="25" customFormat="1" ht="150">
      <c r="A69" s="23"/>
      <c r="B69" s="29" t="s">
        <v>305</v>
      </c>
      <c r="C69" s="29" t="s">
        <v>165</v>
      </c>
      <c r="D69" s="27" t="s">
        <v>306</v>
      </c>
      <c r="E69" s="53">
        <f t="shared" si="14"/>
        <v>7515.26</v>
      </c>
      <c r="F69" s="53">
        <f>'дод. 4'!F106</f>
        <v>7515.26</v>
      </c>
      <c r="G69" s="53">
        <f>'дод. 4'!G106</f>
        <v>0</v>
      </c>
      <c r="H69" s="53">
        <f>'дод. 4'!H106</f>
        <v>0</v>
      </c>
      <c r="I69" s="53">
        <f>'дод. 4'!I106</f>
        <v>0</v>
      </c>
      <c r="J69" s="53">
        <f t="shared" si="15"/>
        <v>0</v>
      </c>
      <c r="K69" s="53">
        <f>'дод. 4'!K106</f>
        <v>0</v>
      </c>
      <c r="L69" s="53">
        <f>'дод. 4'!L106</f>
        <v>0</v>
      </c>
      <c r="M69" s="53">
        <f>'дод. 4'!M106</f>
        <v>0</v>
      </c>
      <c r="N69" s="53">
        <f>'дод. 4'!N106</f>
        <v>0</v>
      </c>
      <c r="O69" s="53">
        <f>'дод. 4'!O106</f>
        <v>0</v>
      </c>
      <c r="P69" s="53">
        <f t="shared" si="13"/>
        <v>7515.26</v>
      </c>
      <c r="Q69" s="99"/>
    </row>
    <row r="70" spans="1:17" s="25" customFormat="1" ht="15">
      <c r="A70" s="23"/>
      <c r="B70" s="29"/>
      <c r="C70" s="29"/>
      <c r="D70" s="27" t="s">
        <v>266</v>
      </c>
      <c r="E70" s="53">
        <f t="shared" si="14"/>
        <v>7515.26</v>
      </c>
      <c r="F70" s="53">
        <f>'дод. 4'!F107</f>
        <v>7515.26</v>
      </c>
      <c r="G70" s="53">
        <f>'дод. 4'!G107</f>
        <v>0</v>
      </c>
      <c r="H70" s="53">
        <f>'дод. 4'!H107</f>
        <v>0</v>
      </c>
      <c r="I70" s="53">
        <f>'дод. 4'!I107</f>
        <v>0</v>
      </c>
      <c r="J70" s="53">
        <f t="shared" si="15"/>
        <v>0</v>
      </c>
      <c r="K70" s="53">
        <f>'дод. 4'!K107</f>
        <v>0</v>
      </c>
      <c r="L70" s="53">
        <f>'дод. 4'!L107</f>
        <v>0</v>
      </c>
      <c r="M70" s="53">
        <f>'дод. 4'!M107</f>
        <v>0</v>
      </c>
      <c r="N70" s="53">
        <f>'дод. 4'!N107</f>
        <v>0</v>
      </c>
      <c r="O70" s="53">
        <f>'дод. 4'!O107</f>
        <v>0</v>
      </c>
      <c r="P70" s="53">
        <f t="shared" si="13"/>
        <v>7515.26</v>
      </c>
      <c r="Q70" s="99"/>
    </row>
    <row r="71" spans="1:17" s="25" customFormat="1" ht="30">
      <c r="A71" s="23"/>
      <c r="B71" s="26" t="s">
        <v>267</v>
      </c>
      <c r="C71" s="26" t="s">
        <v>139</v>
      </c>
      <c r="D71" s="27" t="s">
        <v>268</v>
      </c>
      <c r="E71" s="53">
        <f t="shared" si="14"/>
        <v>2957400</v>
      </c>
      <c r="F71" s="53">
        <f>'дод. 4'!F108</f>
        <v>2957400</v>
      </c>
      <c r="G71" s="53">
        <f>'дод. 4'!G108</f>
        <v>0</v>
      </c>
      <c r="H71" s="53">
        <f>'дод. 4'!H108</f>
        <v>0</v>
      </c>
      <c r="I71" s="53">
        <f>'дод. 4'!I108</f>
        <v>0</v>
      </c>
      <c r="J71" s="53">
        <f t="shared" si="15"/>
        <v>0</v>
      </c>
      <c r="K71" s="53">
        <f>'дод. 4'!K108</f>
        <v>0</v>
      </c>
      <c r="L71" s="53">
        <f>'дод. 4'!L108</f>
        <v>0</v>
      </c>
      <c r="M71" s="53">
        <f>'дод. 4'!M108</f>
        <v>0</v>
      </c>
      <c r="N71" s="53">
        <f>'дод. 4'!N108</f>
        <v>0</v>
      </c>
      <c r="O71" s="53">
        <f>'дод. 4'!O108</f>
        <v>0</v>
      </c>
      <c r="P71" s="53">
        <f t="shared" si="13"/>
        <v>2957400</v>
      </c>
      <c r="Q71" s="99"/>
    </row>
    <row r="72" spans="1:17" s="25" customFormat="1" ht="15">
      <c r="A72" s="23"/>
      <c r="B72" s="26"/>
      <c r="C72" s="26"/>
      <c r="D72" s="27" t="s">
        <v>266</v>
      </c>
      <c r="E72" s="53">
        <f t="shared" si="14"/>
        <v>2957400</v>
      </c>
      <c r="F72" s="53">
        <f>'дод. 4'!F109</f>
        <v>2957400</v>
      </c>
      <c r="G72" s="53">
        <f>'дод. 4'!G109</f>
        <v>0</v>
      </c>
      <c r="H72" s="53">
        <f>'дод. 4'!H109</f>
        <v>0</v>
      </c>
      <c r="I72" s="53">
        <f>'дод. 4'!I109</f>
        <v>0</v>
      </c>
      <c r="J72" s="53">
        <f t="shared" si="15"/>
        <v>0</v>
      </c>
      <c r="K72" s="53">
        <f>'дод. 4'!K109</f>
        <v>0</v>
      </c>
      <c r="L72" s="53">
        <f>'дод. 4'!L109</f>
        <v>0</v>
      </c>
      <c r="M72" s="53">
        <f>'дод. 4'!M109</f>
        <v>0</v>
      </c>
      <c r="N72" s="53">
        <f>'дод. 4'!N109</f>
        <v>0</v>
      </c>
      <c r="O72" s="53">
        <f>'дод. 4'!O109</f>
        <v>0</v>
      </c>
      <c r="P72" s="53">
        <f t="shared" si="13"/>
        <v>2957400</v>
      </c>
      <c r="Q72" s="99"/>
    </row>
    <row r="73" spans="1:17" s="25" customFormat="1" ht="30">
      <c r="A73" s="23"/>
      <c r="B73" s="26" t="s">
        <v>269</v>
      </c>
      <c r="C73" s="26" t="s">
        <v>139</v>
      </c>
      <c r="D73" s="27" t="s">
        <v>270</v>
      </c>
      <c r="E73" s="53">
        <f t="shared" si="14"/>
        <v>2340000</v>
      </c>
      <c r="F73" s="53">
        <f>'дод. 4'!F110</f>
        <v>2340000</v>
      </c>
      <c r="G73" s="53">
        <f>'дод. 4'!G110</f>
        <v>0</v>
      </c>
      <c r="H73" s="53">
        <f>'дод. 4'!H110</f>
        <v>0</v>
      </c>
      <c r="I73" s="53">
        <f>'дод. 4'!I110</f>
        <v>0</v>
      </c>
      <c r="J73" s="53">
        <f t="shared" si="15"/>
        <v>0</v>
      </c>
      <c r="K73" s="53">
        <f>'дод. 4'!K110</f>
        <v>0</v>
      </c>
      <c r="L73" s="53">
        <f>'дод. 4'!L110</f>
        <v>0</v>
      </c>
      <c r="M73" s="53">
        <f>'дод. 4'!M110</f>
        <v>0</v>
      </c>
      <c r="N73" s="53">
        <f>'дод. 4'!N110</f>
        <v>0</v>
      </c>
      <c r="O73" s="53">
        <f>'дод. 4'!O110</f>
        <v>0</v>
      </c>
      <c r="P73" s="53">
        <f t="shared" si="13"/>
        <v>2340000</v>
      </c>
      <c r="Q73" s="99"/>
    </row>
    <row r="74" spans="1:17" s="25" customFormat="1" ht="15">
      <c r="A74" s="23"/>
      <c r="B74" s="26"/>
      <c r="C74" s="26"/>
      <c r="D74" s="27" t="s">
        <v>266</v>
      </c>
      <c r="E74" s="53">
        <f t="shared" si="14"/>
        <v>2340000</v>
      </c>
      <c r="F74" s="53">
        <f>'дод. 4'!F111</f>
        <v>2340000</v>
      </c>
      <c r="G74" s="53">
        <f>'дод. 4'!G111</f>
        <v>0</v>
      </c>
      <c r="H74" s="53">
        <f>'дод. 4'!H111</f>
        <v>0</v>
      </c>
      <c r="I74" s="53">
        <f>'дод. 4'!I111</f>
        <v>0</v>
      </c>
      <c r="J74" s="53">
        <f t="shared" si="15"/>
        <v>0</v>
      </c>
      <c r="K74" s="53">
        <f>'дод. 4'!K111</f>
        <v>0</v>
      </c>
      <c r="L74" s="53">
        <f>'дод. 4'!L111</f>
        <v>0</v>
      </c>
      <c r="M74" s="53">
        <f>'дод. 4'!M111</f>
        <v>0</v>
      </c>
      <c r="N74" s="53">
        <f>'дод. 4'!N111</f>
        <v>0</v>
      </c>
      <c r="O74" s="53">
        <f>'дод. 4'!O111</f>
        <v>0</v>
      </c>
      <c r="P74" s="53">
        <f t="shared" si="13"/>
        <v>2340000</v>
      </c>
      <c r="Q74" s="99"/>
    </row>
    <row r="75" spans="1:17" s="25" customFormat="1" ht="15">
      <c r="A75" s="23"/>
      <c r="B75" s="26" t="s">
        <v>271</v>
      </c>
      <c r="C75" s="26" t="s">
        <v>139</v>
      </c>
      <c r="D75" s="27" t="s">
        <v>272</v>
      </c>
      <c r="E75" s="53">
        <f t="shared" si="14"/>
        <v>132914300</v>
      </c>
      <c r="F75" s="53">
        <f>'дод. 4'!F112</f>
        <v>132914300</v>
      </c>
      <c r="G75" s="53">
        <f>'дод. 4'!G112</f>
        <v>0</v>
      </c>
      <c r="H75" s="53">
        <f>'дод. 4'!H112</f>
        <v>0</v>
      </c>
      <c r="I75" s="53">
        <f>'дод. 4'!I112</f>
        <v>0</v>
      </c>
      <c r="J75" s="53">
        <f t="shared" si="15"/>
        <v>0</v>
      </c>
      <c r="K75" s="53">
        <f>'дод. 4'!K112</f>
        <v>0</v>
      </c>
      <c r="L75" s="53">
        <f>'дод. 4'!L112</f>
        <v>0</v>
      </c>
      <c r="M75" s="53">
        <f>'дод. 4'!M112</f>
        <v>0</v>
      </c>
      <c r="N75" s="53">
        <f>'дод. 4'!N112</f>
        <v>0</v>
      </c>
      <c r="O75" s="53">
        <f>'дод. 4'!O112</f>
        <v>0</v>
      </c>
      <c r="P75" s="53">
        <f t="shared" si="13"/>
        <v>132914300</v>
      </c>
      <c r="Q75" s="99"/>
    </row>
    <row r="76" spans="1:17" s="25" customFormat="1" ht="15">
      <c r="A76" s="23"/>
      <c r="B76" s="26"/>
      <c r="C76" s="26"/>
      <c r="D76" s="27" t="s">
        <v>266</v>
      </c>
      <c r="E76" s="53">
        <f t="shared" si="14"/>
        <v>132914300</v>
      </c>
      <c r="F76" s="53">
        <f>'дод. 4'!F113</f>
        <v>132914300</v>
      </c>
      <c r="G76" s="53">
        <f>'дод. 4'!G113</f>
        <v>0</v>
      </c>
      <c r="H76" s="53">
        <f>'дод. 4'!H113</f>
        <v>0</v>
      </c>
      <c r="I76" s="53">
        <f>'дод. 4'!I113</f>
        <v>0</v>
      </c>
      <c r="J76" s="53">
        <f t="shared" si="15"/>
        <v>0</v>
      </c>
      <c r="K76" s="53">
        <f>'дод. 4'!K113</f>
        <v>0</v>
      </c>
      <c r="L76" s="53">
        <f>'дод. 4'!L113</f>
        <v>0</v>
      </c>
      <c r="M76" s="53">
        <f>'дод. 4'!M113</f>
        <v>0</v>
      </c>
      <c r="N76" s="53">
        <f>'дод. 4'!N113</f>
        <v>0</v>
      </c>
      <c r="O76" s="53">
        <f>'дод. 4'!O113</f>
        <v>0</v>
      </c>
      <c r="P76" s="53">
        <f t="shared" si="13"/>
        <v>132914300</v>
      </c>
      <c r="Q76" s="99"/>
    </row>
    <row r="77" spans="1:17" s="25" customFormat="1" ht="30">
      <c r="A77" s="23"/>
      <c r="B77" s="26" t="s">
        <v>273</v>
      </c>
      <c r="C77" s="26" t="s">
        <v>139</v>
      </c>
      <c r="D77" s="27" t="s">
        <v>274</v>
      </c>
      <c r="E77" s="53">
        <f t="shared" si="14"/>
        <v>4769000</v>
      </c>
      <c r="F77" s="53">
        <f>'дод. 4'!F114</f>
        <v>4769000</v>
      </c>
      <c r="G77" s="53">
        <f>'дод. 4'!G114</f>
        <v>0</v>
      </c>
      <c r="H77" s="53">
        <f>'дод. 4'!H114</f>
        <v>0</v>
      </c>
      <c r="I77" s="53">
        <f>'дод. 4'!I114</f>
        <v>0</v>
      </c>
      <c r="J77" s="53">
        <f t="shared" si="15"/>
        <v>0</v>
      </c>
      <c r="K77" s="53">
        <f>'дод. 4'!K114</f>
        <v>0</v>
      </c>
      <c r="L77" s="53">
        <f>'дод. 4'!L114</f>
        <v>0</v>
      </c>
      <c r="M77" s="53">
        <f>'дод. 4'!M114</f>
        <v>0</v>
      </c>
      <c r="N77" s="53">
        <f>'дод. 4'!N114</f>
        <v>0</v>
      </c>
      <c r="O77" s="53">
        <f>'дод. 4'!O114</f>
        <v>0</v>
      </c>
      <c r="P77" s="53">
        <f t="shared" si="13"/>
        <v>4769000</v>
      </c>
      <c r="Q77" s="99"/>
    </row>
    <row r="78" spans="1:17" s="25" customFormat="1" ht="15">
      <c r="A78" s="23"/>
      <c r="B78" s="26"/>
      <c r="C78" s="26"/>
      <c r="D78" s="27" t="s">
        <v>266</v>
      </c>
      <c r="E78" s="53">
        <f t="shared" si="14"/>
        <v>4769000</v>
      </c>
      <c r="F78" s="53">
        <f>'дод. 4'!F115</f>
        <v>4769000</v>
      </c>
      <c r="G78" s="53">
        <f>'дод. 4'!G115</f>
        <v>0</v>
      </c>
      <c r="H78" s="53">
        <f>'дод. 4'!H115</f>
        <v>0</v>
      </c>
      <c r="I78" s="53">
        <f>'дод. 4'!I115</f>
        <v>0</v>
      </c>
      <c r="J78" s="53">
        <f t="shared" si="15"/>
        <v>0</v>
      </c>
      <c r="K78" s="53">
        <f>'дод. 4'!K115</f>
        <v>0</v>
      </c>
      <c r="L78" s="53">
        <f>'дод. 4'!L115</f>
        <v>0</v>
      </c>
      <c r="M78" s="53">
        <f>'дод. 4'!M115</f>
        <v>0</v>
      </c>
      <c r="N78" s="53">
        <f>'дод. 4'!N115</f>
        <v>0</v>
      </c>
      <c r="O78" s="53">
        <f>'дод. 4'!O115</f>
        <v>0</v>
      </c>
      <c r="P78" s="53">
        <f t="shared" si="13"/>
        <v>4769000</v>
      </c>
      <c r="Q78" s="99"/>
    </row>
    <row r="79" spans="1:17" s="25" customFormat="1" ht="15">
      <c r="A79" s="23"/>
      <c r="B79" s="26" t="s">
        <v>275</v>
      </c>
      <c r="C79" s="26" t="s">
        <v>139</v>
      </c>
      <c r="D79" s="27" t="s">
        <v>276</v>
      </c>
      <c r="E79" s="53">
        <f t="shared" si="14"/>
        <v>22750500</v>
      </c>
      <c r="F79" s="53">
        <f>'дод. 4'!F116</f>
        <v>22750500</v>
      </c>
      <c r="G79" s="53">
        <f>'дод. 4'!G116</f>
        <v>0</v>
      </c>
      <c r="H79" s="53">
        <f>'дод. 4'!H116</f>
        <v>0</v>
      </c>
      <c r="I79" s="53">
        <f>'дод. 4'!I116</f>
        <v>0</v>
      </c>
      <c r="J79" s="53">
        <f t="shared" si="15"/>
        <v>0</v>
      </c>
      <c r="K79" s="53">
        <f>'дод. 4'!K116</f>
        <v>0</v>
      </c>
      <c r="L79" s="53">
        <f>'дод. 4'!L116</f>
        <v>0</v>
      </c>
      <c r="M79" s="53">
        <f>'дод. 4'!M116</f>
        <v>0</v>
      </c>
      <c r="N79" s="53">
        <f>'дод. 4'!N116</f>
        <v>0</v>
      </c>
      <c r="O79" s="53">
        <f>'дод. 4'!O116</f>
        <v>0</v>
      </c>
      <c r="P79" s="53">
        <f t="shared" si="13"/>
        <v>22750500</v>
      </c>
      <c r="Q79" s="99"/>
    </row>
    <row r="80" spans="1:17" s="25" customFormat="1" ht="15">
      <c r="A80" s="23"/>
      <c r="B80" s="26"/>
      <c r="C80" s="26"/>
      <c r="D80" s="27" t="s">
        <v>266</v>
      </c>
      <c r="E80" s="53">
        <f t="shared" si="14"/>
        <v>22750500</v>
      </c>
      <c r="F80" s="53">
        <f>'дод. 4'!F117</f>
        <v>22750500</v>
      </c>
      <c r="G80" s="53">
        <f>'дод. 4'!G117</f>
        <v>0</v>
      </c>
      <c r="H80" s="53">
        <f>'дод. 4'!H117</f>
        <v>0</v>
      </c>
      <c r="I80" s="53">
        <f>'дод. 4'!I117</f>
        <v>0</v>
      </c>
      <c r="J80" s="53">
        <f t="shared" si="15"/>
        <v>0</v>
      </c>
      <c r="K80" s="53">
        <f>'дод. 4'!K117</f>
        <v>0</v>
      </c>
      <c r="L80" s="53">
        <f>'дод. 4'!L117</f>
        <v>0</v>
      </c>
      <c r="M80" s="53">
        <f>'дод. 4'!M117</f>
        <v>0</v>
      </c>
      <c r="N80" s="53">
        <f>'дод. 4'!N117</f>
        <v>0</v>
      </c>
      <c r="O80" s="53">
        <f>'дод. 4'!O117</f>
        <v>0</v>
      </c>
      <c r="P80" s="53">
        <f t="shared" si="13"/>
        <v>22750500</v>
      </c>
      <c r="Q80" s="99"/>
    </row>
    <row r="81" spans="1:17" s="25" customFormat="1" ht="15">
      <c r="A81" s="23"/>
      <c r="B81" s="26" t="s">
        <v>277</v>
      </c>
      <c r="C81" s="26" t="s">
        <v>139</v>
      </c>
      <c r="D81" s="27" t="s">
        <v>278</v>
      </c>
      <c r="E81" s="53">
        <f t="shared" si="14"/>
        <v>2174200</v>
      </c>
      <c r="F81" s="53">
        <f>'дод. 4'!F118</f>
        <v>2174200</v>
      </c>
      <c r="G81" s="53">
        <f>'дод. 4'!G118</f>
        <v>0</v>
      </c>
      <c r="H81" s="53">
        <f>'дод. 4'!H118</f>
        <v>0</v>
      </c>
      <c r="I81" s="53">
        <f>'дод. 4'!I118</f>
        <v>0</v>
      </c>
      <c r="J81" s="53">
        <f t="shared" si="15"/>
        <v>0</v>
      </c>
      <c r="K81" s="53">
        <f>'дод. 4'!K118</f>
        <v>0</v>
      </c>
      <c r="L81" s="53">
        <f>'дод. 4'!L118</f>
        <v>0</v>
      </c>
      <c r="M81" s="53">
        <f>'дод. 4'!M118</f>
        <v>0</v>
      </c>
      <c r="N81" s="53">
        <f>'дод. 4'!N118</f>
        <v>0</v>
      </c>
      <c r="O81" s="53">
        <f>'дод. 4'!O118</f>
        <v>0</v>
      </c>
      <c r="P81" s="53">
        <f t="shared" si="13"/>
        <v>2174200</v>
      </c>
      <c r="Q81" s="99"/>
    </row>
    <row r="82" spans="1:17" s="25" customFormat="1" ht="15">
      <c r="A82" s="23"/>
      <c r="B82" s="26"/>
      <c r="C82" s="26"/>
      <c r="D82" s="27" t="s">
        <v>266</v>
      </c>
      <c r="E82" s="53">
        <f t="shared" si="14"/>
        <v>2174200</v>
      </c>
      <c r="F82" s="53">
        <f>'дод. 4'!F119</f>
        <v>2174200</v>
      </c>
      <c r="G82" s="53">
        <f>'дод. 4'!G119</f>
        <v>0</v>
      </c>
      <c r="H82" s="53">
        <f>'дод. 4'!H119</f>
        <v>0</v>
      </c>
      <c r="I82" s="53">
        <f>'дод. 4'!I119</f>
        <v>0</v>
      </c>
      <c r="J82" s="53">
        <f t="shared" si="15"/>
        <v>0</v>
      </c>
      <c r="K82" s="53">
        <f>'дод. 4'!K119</f>
        <v>0</v>
      </c>
      <c r="L82" s="53">
        <f>'дод. 4'!L119</f>
        <v>0</v>
      </c>
      <c r="M82" s="53">
        <f>'дод. 4'!M119</f>
        <v>0</v>
      </c>
      <c r="N82" s="53">
        <f>'дод. 4'!N119</f>
        <v>0</v>
      </c>
      <c r="O82" s="53">
        <f>'дод. 4'!O119</f>
        <v>0</v>
      </c>
      <c r="P82" s="53">
        <f t="shared" si="13"/>
        <v>2174200</v>
      </c>
      <c r="Q82" s="99"/>
    </row>
    <row r="83" spans="1:17" s="25" customFormat="1" ht="15">
      <c r="A83" s="23"/>
      <c r="B83" s="26" t="s">
        <v>279</v>
      </c>
      <c r="C83" s="26" t="s">
        <v>139</v>
      </c>
      <c r="D83" s="27" t="s">
        <v>280</v>
      </c>
      <c r="E83" s="53">
        <f t="shared" si="14"/>
        <v>312200</v>
      </c>
      <c r="F83" s="53">
        <f>'дод. 4'!F120</f>
        <v>312200</v>
      </c>
      <c r="G83" s="53">
        <f>'дод. 4'!G120</f>
        <v>0</v>
      </c>
      <c r="H83" s="53">
        <f>'дод. 4'!H120</f>
        <v>0</v>
      </c>
      <c r="I83" s="53">
        <f>'дод. 4'!I120</f>
        <v>0</v>
      </c>
      <c r="J83" s="53">
        <f t="shared" si="15"/>
        <v>0</v>
      </c>
      <c r="K83" s="53">
        <f>'дод. 4'!K120</f>
        <v>0</v>
      </c>
      <c r="L83" s="53">
        <f>'дод. 4'!L120</f>
        <v>0</v>
      </c>
      <c r="M83" s="53">
        <f>'дод. 4'!M120</f>
        <v>0</v>
      </c>
      <c r="N83" s="53">
        <f>'дод. 4'!N120</f>
        <v>0</v>
      </c>
      <c r="O83" s="53">
        <f>'дод. 4'!O120</f>
        <v>0</v>
      </c>
      <c r="P83" s="53">
        <f t="shared" si="13"/>
        <v>312200</v>
      </c>
      <c r="Q83" s="99"/>
    </row>
    <row r="84" spans="1:17" s="25" customFormat="1" ht="15">
      <c r="A84" s="23"/>
      <c r="B84" s="26"/>
      <c r="C84" s="26"/>
      <c r="D84" s="27" t="s">
        <v>266</v>
      </c>
      <c r="E84" s="53">
        <f t="shared" si="14"/>
        <v>312200</v>
      </c>
      <c r="F84" s="53">
        <f>'дод. 4'!F121</f>
        <v>312200</v>
      </c>
      <c r="G84" s="53">
        <f>'дод. 4'!G121</f>
        <v>0</v>
      </c>
      <c r="H84" s="53">
        <f>'дод. 4'!H121</f>
        <v>0</v>
      </c>
      <c r="I84" s="53">
        <f>'дод. 4'!I121</f>
        <v>0</v>
      </c>
      <c r="J84" s="53">
        <f t="shared" si="15"/>
        <v>0</v>
      </c>
      <c r="K84" s="53">
        <f>'дод. 4'!K121</f>
        <v>0</v>
      </c>
      <c r="L84" s="53">
        <f>'дод. 4'!L121</f>
        <v>0</v>
      </c>
      <c r="M84" s="53">
        <f>'дод. 4'!M121</f>
        <v>0</v>
      </c>
      <c r="N84" s="53">
        <f>'дод. 4'!N121</f>
        <v>0</v>
      </c>
      <c r="O84" s="53">
        <f>'дод. 4'!O121</f>
        <v>0</v>
      </c>
      <c r="P84" s="53">
        <f t="shared" si="13"/>
        <v>312200</v>
      </c>
      <c r="Q84" s="99"/>
    </row>
    <row r="85" spans="1:17" s="25" customFormat="1" ht="30">
      <c r="A85" s="23"/>
      <c r="B85" s="26" t="s">
        <v>281</v>
      </c>
      <c r="C85" s="26" t="s">
        <v>139</v>
      </c>
      <c r="D85" s="27" t="s">
        <v>282</v>
      </c>
      <c r="E85" s="53">
        <f t="shared" si="14"/>
        <v>41101000</v>
      </c>
      <c r="F85" s="53">
        <f>'дод. 4'!F122</f>
        <v>41101000</v>
      </c>
      <c r="G85" s="53">
        <f>'дод. 4'!G122</f>
        <v>0</v>
      </c>
      <c r="H85" s="53">
        <f>'дод. 4'!H122</f>
        <v>0</v>
      </c>
      <c r="I85" s="53">
        <f>'дод. 4'!I122</f>
        <v>0</v>
      </c>
      <c r="J85" s="53">
        <f t="shared" si="15"/>
        <v>0</v>
      </c>
      <c r="K85" s="53">
        <f>'дод. 4'!K122</f>
        <v>0</v>
      </c>
      <c r="L85" s="53">
        <f>'дод. 4'!L122</f>
        <v>0</v>
      </c>
      <c r="M85" s="53">
        <f>'дод. 4'!M122</f>
        <v>0</v>
      </c>
      <c r="N85" s="53">
        <f>'дод. 4'!N122</f>
        <v>0</v>
      </c>
      <c r="O85" s="53">
        <f>'дод. 4'!O122</f>
        <v>0</v>
      </c>
      <c r="P85" s="53">
        <f t="shared" si="13"/>
        <v>41101000</v>
      </c>
      <c r="Q85" s="99"/>
    </row>
    <row r="86" spans="1:17" s="25" customFormat="1" ht="15">
      <c r="A86" s="23"/>
      <c r="B86" s="26"/>
      <c r="C86" s="26"/>
      <c r="D86" s="27" t="s">
        <v>266</v>
      </c>
      <c r="E86" s="53">
        <f t="shared" si="14"/>
        <v>41101000</v>
      </c>
      <c r="F86" s="53">
        <f>'дод. 4'!F123</f>
        <v>41101000</v>
      </c>
      <c r="G86" s="53">
        <f>'дод. 4'!G123</f>
        <v>0</v>
      </c>
      <c r="H86" s="53">
        <f>'дод. 4'!H123</f>
        <v>0</v>
      </c>
      <c r="I86" s="53">
        <f>'дод. 4'!I123</f>
        <v>0</v>
      </c>
      <c r="J86" s="53">
        <f t="shared" si="15"/>
        <v>0</v>
      </c>
      <c r="K86" s="53">
        <f>'дод. 4'!K123</f>
        <v>0</v>
      </c>
      <c r="L86" s="53">
        <f>'дод. 4'!L123</f>
        <v>0</v>
      </c>
      <c r="M86" s="53">
        <f>'дод. 4'!M123</f>
        <v>0</v>
      </c>
      <c r="N86" s="53">
        <f>'дод. 4'!N123</f>
        <v>0</v>
      </c>
      <c r="O86" s="53">
        <f>'дод. 4'!O123</f>
        <v>0</v>
      </c>
      <c r="P86" s="53">
        <f t="shared" si="13"/>
        <v>41101000</v>
      </c>
      <c r="Q86" s="99"/>
    </row>
    <row r="87" spans="1:17" s="25" customFormat="1" ht="45">
      <c r="A87" s="23"/>
      <c r="B87" s="26" t="s">
        <v>285</v>
      </c>
      <c r="C87" s="26" t="s">
        <v>166</v>
      </c>
      <c r="D87" s="27" t="s">
        <v>286</v>
      </c>
      <c r="E87" s="53">
        <f t="shared" si="14"/>
        <v>365245700</v>
      </c>
      <c r="F87" s="53">
        <f>'дод. 4'!F124</f>
        <v>365245700</v>
      </c>
      <c r="G87" s="53">
        <f>'дод. 4'!G124</f>
        <v>0</v>
      </c>
      <c r="H87" s="53">
        <f>'дод. 4'!H124</f>
        <v>0</v>
      </c>
      <c r="I87" s="53">
        <f>'дод. 4'!I124</f>
        <v>0</v>
      </c>
      <c r="J87" s="53">
        <f t="shared" si="15"/>
        <v>0</v>
      </c>
      <c r="K87" s="53">
        <f>'дод. 4'!K124</f>
        <v>0</v>
      </c>
      <c r="L87" s="53">
        <f>'дод. 4'!L124</f>
        <v>0</v>
      </c>
      <c r="M87" s="53">
        <f>'дод. 4'!M124</f>
        <v>0</v>
      </c>
      <c r="N87" s="53">
        <f>'дод. 4'!N124</f>
        <v>0</v>
      </c>
      <c r="O87" s="53">
        <f>'дод. 4'!O124</f>
        <v>0</v>
      </c>
      <c r="P87" s="53">
        <f t="shared" si="13"/>
        <v>365245700</v>
      </c>
      <c r="Q87" s="99" t="s">
        <v>340</v>
      </c>
    </row>
    <row r="88" spans="1:17" s="25" customFormat="1" ht="15">
      <c r="A88" s="23"/>
      <c r="B88" s="26"/>
      <c r="C88" s="26"/>
      <c r="D88" s="27" t="s">
        <v>266</v>
      </c>
      <c r="E88" s="53">
        <f t="shared" si="14"/>
        <v>365245700</v>
      </c>
      <c r="F88" s="53">
        <f>'дод. 4'!F125</f>
        <v>365245700</v>
      </c>
      <c r="G88" s="53">
        <f>'дод. 4'!G125</f>
        <v>0</v>
      </c>
      <c r="H88" s="53">
        <f>'дод. 4'!H125</f>
        <v>0</v>
      </c>
      <c r="I88" s="53">
        <f>'дод. 4'!I125</f>
        <v>0</v>
      </c>
      <c r="J88" s="53">
        <f t="shared" si="15"/>
        <v>0</v>
      </c>
      <c r="K88" s="53">
        <f>'дод. 4'!K125</f>
        <v>0</v>
      </c>
      <c r="L88" s="53">
        <f>'дод. 4'!L125</f>
        <v>0</v>
      </c>
      <c r="M88" s="53">
        <f>'дод. 4'!M125</f>
        <v>0</v>
      </c>
      <c r="N88" s="53">
        <f>'дод. 4'!N125</f>
        <v>0</v>
      </c>
      <c r="O88" s="53">
        <f>'дод. 4'!O125</f>
        <v>0</v>
      </c>
      <c r="P88" s="53">
        <f t="shared" si="13"/>
        <v>365245700</v>
      </c>
      <c r="Q88" s="99"/>
    </row>
    <row r="89" spans="1:17" s="25" customFormat="1" ht="60">
      <c r="A89" s="23"/>
      <c r="B89" s="26" t="s">
        <v>287</v>
      </c>
      <c r="C89" s="26" t="s">
        <v>166</v>
      </c>
      <c r="D89" s="27" t="s">
        <v>288</v>
      </c>
      <c r="E89" s="53">
        <f t="shared" si="14"/>
        <v>134338.44</v>
      </c>
      <c r="F89" s="53">
        <f>'дод. 4'!F126</f>
        <v>134338.44</v>
      </c>
      <c r="G89" s="53">
        <f>'дод. 4'!G126</f>
        <v>0</v>
      </c>
      <c r="H89" s="53">
        <f>'дод. 4'!H126</f>
        <v>0</v>
      </c>
      <c r="I89" s="53">
        <f>'дод. 4'!I126</f>
        <v>0</v>
      </c>
      <c r="J89" s="53">
        <f t="shared" si="15"/>
        <v>0</v>
      </c>
      <c r="K89" s="53">
        <f>'дод. 4'!K126</f>
        <v>0</v>
      </c>
      <c r="L89" s="53">
        <f>'дод. 4'!L126</f>
        <v>0</v>
      </c>
      <c r="M89" s="53">
        <f>'дод. 4'!M126</f>
        <v>0</v>
      </c>
      <c r="N89" s="53">
        <f>'дод. 4'!N126</f>
        <v>0</v>
      </c>
      <c r="O89" s="53">
        <f>'дод. 4'!O126</f>
        <v>0</v>
      </c>
      <c r="P89" s="53">
        <f t="shared" si="13"/>
        <v>134338.44</v>
      </c>
      <c r="Q89" s="99"/>
    </row>
    <row r="90" spans="1:17" s="25" customFormat="1" ht="15">
      <c r="A90" s="23"/>
      <c r="B90" s="26"/>
      <c r="C90" s="26"/>
      <c r="D90" s="27" t="s">
        <v>266</v>
      </c>
      <c r="E90" s="53">
        <f t="shared" si="14"/>
        <v>134338.44</v>
      </c>
      <c r="F90" s="53">
        <f>'дод. 4'!F127</f>
        <v>134338.44</v>
      </c>
      <c r="G90" s="53">
        <f>'дод. 4'!G127</f>
        <v>0</v>
      </c>
      <c r="H90" s="53">
        <f>'дод. 4'!H127</f>
        <v>0</v>
      </c>
      <c r="I90" s="53">
        <f>'дод. 4'!I127</f>
        <v>0</v>
      </c>
      <c r="J90" s="53">
        <f t="shared" si="15"/>
        <v>0</v>
      </c>
      <c r="K90" s="53">
        <f>'дод. 4'!K127</f>
        <v>0</v>
      </c>
      <c r="L90" s="53">
        <f>'дод. 4'!L127</f>
        <v>0</v>
      </c>
      <c r="M90" s="53">
        <f>'дод. 4'!M127</f>
        <v>0</v>
      </c>
      <c r="N90" s="53">
        <f>'дод. 4'!N127</f>
        <v>0</v>
      </c>
      <c r="O90" s="53">
        <f>'дод. 4'!O127</f>
        <v>0</v>
      </c>
      <c r="P90" s="53">
        <f t="shared" si="13"/>
        <v>134338.44</v>
      </c>
      <c r="Q90" s="99"/>
    </row>
    <row r="91" spans="1:17" s="25" customFormat="1" ht="30">
      <c r="A91" s="23"/>
      <c r="B91" s="26" t="s">
        <v>17</v>
      </c>
      <c r="C91" s="26" t="s">
        <v>138</v>
      </c>
      <c r="D91" s="27" t="s">
        <v>18</v>
      </c>
      <c r="E91" s="53">
        <f t="shared" si="14"/>
        <v>3389055</v>
      </c>
      <c r="F91" s="53">
        <f>'дод. 4'!F128+'дод. 4'!F13</f>
        <v>3389055</v>
      </c>
      <c r="G91" s="53">
        <f>'дод. 4'!G128+'дод. 4'!G13</f>
        <v>0</v>
      </c>
      <c r="H91" s="53">
        <f>'дод. 4'!H128+'дод. 4'!H13</f>
        <v>0</v>
      </c>
      <c r="I91" s="53">
        <f>'дод. 4'!I128+'дод. 4'!I13</f>
        <v>0</v>
      </c>
      <c r="J91" s="53">
        <f t="shared" si="15"/>
        <v>0</v>
      </c>
      <c r="K91" s="53">
        <f>'дод. 4'!K128+'дод. 4'!K13</f>
        <v>0</v>
      </c>
      <c r="L91" s="53">
        <f>'дод. 4'!L128+'дод. 4'!L13</f>
        <v>0</v>
      </c>
      <c r="M91" s="53">
        <f>'дод. 4'!M128+'дод. 4'!M13</f>
        <v>0</v>
      </c>
      <c r="N91" s="53">
        <f>'дод. 4'!N128+'дод. 4'!N13</f>
        <v>0</v>
      </c>
      <c r="O91" s="53">
        <f>'дод. 4'!O128+'дод. 4'!O13</f>
        <v>0</v>
      </c>
      <c r="P91" s="53">
        <f t="shared" si="13"/>
        <v>3389055</v>
      </c>
      <c r="Q91" s="99"/>
    </row>
    <row r="92" spans="1:17" s="25" customFormat="1" ht="30">
      <c r="A92" s="23"/>
      <c r="B92" s="26" t="s">
        <v>283</v>
      </c>
      <c r="C92" s="26" t="s">
        <v>167</v>
      </c>
      <c r="D92" s="27" t="s">
        <v>284</v>
      </c>
      <c r="E92" s="53">
        <f t="shared" si="14"/>
        <v>7229000</v>
      </c>
      <c r="F92" s="53">
        <f>'дод. 4'!F129</f>
        <v>7229000</v>
      </c>
      <c r="G92" s="53"/>
      <c r="H92" s="53"/>
      <c r="I92" s="53"/>
      <c r="J92" s="53">
        <f t="shared" si="15"/>
        <v>0</v>
      </c>
      <c r="K92" s="53"/>
      <c r="L92" s="53"/>
      <c r="M92" s="53"/>
      <c r="N92" s="53"/>
      <c r="O92" s="53"/>
      <c r="P92" s="53">
        <f t="shared" si="13"/>
        <v>7229000</v>
      </c>
      <c r="Q92" s="99"/>
    </row>
    <row r="93" spans="1:17" s="25" customFormat="1" ht="15">
      <c r="A93" s="23"/>
      <c r="B93" s="26"/>
      <c r="C93" s="26"/>
      <c r="D93" s="27" t="s">
        <v>266</v>
      </c>
      <c r="E93" s="53">
        <f t="shared" si="14"/>
        <v>7229000</v>
      </c>
      <c r="F93" s="53">
        <f>'дод. 4'!F130</f>
        <v>7229000</v>
      </c>
      <c r="G93" s="53"/>
      <c r="H93" s="53"/>
      <c r="I93" s="53"/>
      <c r="J93" s="53">
        <f t="shared" si="15"/>
        <v>0</v>
      </c>
      <c r="K93" s="53"/>
      <c r="L93" s="53"/>
      <c r="M93" s="53"/>
      <c r="N93" s="53"/>
      <c r="O93" s="53"/>
      <c r="P93" s="53">
        <f t="shared" si="13"/>
        <v>7229000</v>
      </c>
      <c r="Q93" s="99"/>
    </row>
    <row r="94" spans="1:17" s="25" customFormat="1" ht="30">
      <c r="A94" s="23"/>
      <c r="B94" s="26" t="s">
        <v>95</v>
      </c>
      <c r="C94" s="26" t="s">
        <v>164</v>
      </c>
      <c r="D94" s="27" t="s">
        <v>96</v>
      </c>
      <c r="E94" s="53">
        <f t="shared" si="14"/>
        <v>986804</v>
      </c>
      <c r="F94" s="53">
        <f>'дод. 4'!F131</f>
        <v>986804</v>
      </c>
      <c r="G94" s="53">
        <f>'дод. 4'!G131</f>
        <v>0</v>
      </c>
      <c r="H94" s="53">
        <f>'дод. 4'!H131</f>
        <v>0</v>
      </c>
      <c r="I94" s="53">
        <f>'дод. 4'!I131</f>
        <v>0</v>
      </c>
      <c r="J94" s="53">
        <f t="shared" si="15"/>
        <v>0</v>
      </c>
      <c r="K94" s="53">
        <f>'дод. 4'!K131</f>
        <v>0</v>
      </c>
      <c r="L94" s="53">
        <f>'дод. 4'!L131</f>
        <v>0</v>
      </c>
      <c r="M94" s="53">
        <f>'дод. 4'!M131</f>
        <v>0</v>
      </c>
      <c r="N94" s="53">
        <f>'дод. 4'!N131</f>
        <v>0</v>
      </c>
      <c r="O94" s="53">
        <f>'дод. 4'!O131</f>
        <v>0</v>
      </c>
      <c r="P94" s="53">
        <f t="shared" si="13"/>
        <v>986804</v>
      </c>
      <c r="Q94" s="99"/>
    </row>
    <row r="95" spans="1:17" s="25" customFormat="1" ht="30">
      <c r="A95" s="23"/>
      <c r="B95" s="26" t="s">
        <v>258</v>
      </c>
      <c r="C95" s="26" t="s">
        <v>164</v>
      </c>
      <c r="D95" s="27" t="s">
        <v>259</v>
      </c>
      <c r="E95" s="53">
        <f t="shared" si="14"/>
        <v>181400</v>
      </c>
      <c r="F95" s="35">
        <f>'дод. 4'!F132</f>
        <v>181400</v>
      </c>
      <c r="G95" s="35">
        <f>'дод. 4'!G132</f>
        <v>0</v>
      </c>
      <c r="H95" s="35">
        <f>'дод. 4'!H132</f>
        <v>0</v>
      </c>
      <c r="I95" s="35">
        <f>'дод. 4'!I132</f>
        <v>0</v>
      </c>
      <c r="J95" s="53">
        <f t="shared" si="15"/>
        <v>0</v>
      </c>
      <c r="K95" s="35">
        <f>'дод. 4'!K132</f>
        <v>0</v>
      </c>
      <c r="L95" s="35">
        <f>'дод. 4'!L132</f>
        <v>0</v>
      </c>
      <c r="M95" s="35">
        <f>'дод. 4'!M132</f>
        <v>0</v>
      </c>
      <c r="N95" s="35">
        <f>'дод. 4'!N132</f>
        <v>0</v>
      </c>
      <c r="O95" s="35">
        <f>'дод. 4'!O132</f>
        <v>0</v>
      </c>
      <c r="P95" s="53">
        <f t="shared" si="13"/>
        <v>181400</v>
      </c>
      <c r="Q95" s="99"/>
    </row>
    <row r="96" spans="1:17" s="25" customFormat="1" ht="30">
      <c r="A96" s="23"/>
      <c r="B96" s="26" t="s">
        <v>210</v>
      </c>
      <c r="C96" s="26" t="s">
        <v>211</v>
      </c>
      <c r="D96" s="27" t="s">
        <v>212</v>
      </c>
      <c r="E96" s="53">
        <f t="shared" si="14"/>
        <v>724903.0700000001</v>
      </c>
      <c r="F96" s="35">
        <f>'дод. 4'!F133+'дод. 4'!F156</f>
        <v>724903.0700000001</v>
      </c>
      <c r="G96" s="35">
        <f>'дод. 4'!G133+'дод. 4'!G156</f>
        <v>307212.86</v>
      </c>
      <c r="H96" s="35">
        <f>'дод. 4'!H133+'дод. 4'!H156</f>
        <v>0</v>
      </c>
      <c r="I96" s="35">
        <f>'дод. 4'!I133+'дод. 4'!I156</f>
        <v>0</v>
      </c>
      <c r="J96" s="53">
        <f t="shared" si="15"/>
        <v>0</v>
      </c>
      <c r="K96" s="35">
        <f>'дод. 4'!K133+'дод. 4'!K156</f>
        <v>0</v>
      </c>
      <c r="L96" s="35">
        <f>'дод. 4'!L133+'дод. 4'!L156</f>
        <v>0</v>
      </c>
      <c r="M96" s="35">
        <f>'дод. 4'!M133+'дод. 4'!M156</f>
        <v>0</v>
      </c>
      <c r="N96" s="35">
        <f>'дод. 4'!N133+'дод. 4'!N156</f>
        <v>0</v>
      </c>
      <c r="O96" s="35">
        <f>'дод. 4'!O133+'дод. 4'!O156</f>
        <v>0</v>
      </c>
      <c r="P96" s="53">
        <f t="shared" si="13"/>
        <v>724903.0700000001</v>
      </c>
      <c r="Q96" s="99"/>
    </row>
    <row r="97" spans="1:17" s="25" customFormat="1" ht="15">
      <c r="A97" s="23"/>
      <c r="B97" s="26" t="s">
        <v>109</v>
      </c>
      <c r="C97" s="26" t="s">
        <v>139</v>
      </c>
      <c r="D97" s="27" t="s">
        <v>110</v>
      </c>
      <c r="E97" s="53">
        <f t="shared" si="14"/>
        <v>50000</v>
      </c>
      <c r="F97" s="35">
        <f>'дод. 4'!F147</f>
        <v>50000</v>
      </c>
      <c r="G97" s="35">
        <f>'дод. 4'!G147</f>
        <v>0</v>
      </c>
      <c r="H97" s="35">
        <f>'дод. 4'!H147</f>
        <v>0</v>
      </c>
      <c r="I97" s="35">
        <f>'дод. 4'!I147</f>
        <v>0</v>
      </c>
      <c r="J97" s="53">
        <f t="shared" si="15"/>
        <v>0</v>
      </c>
      <c r="K97" s="35">
        <f>'дод. 4'!K147</f>
        <v>0</v>
      </c>
      <c r="L97" s="35">
        <f>'дод. 4'!L147</f>
        <v>0</v>
      </c>
      <c r="M97" s="35">
        <f>'дод. 4'!M147</f>
        <v>0</v>
      </c>
      <c r="N97" s="35">
        <f>'дод. 4'!N147</f>
        <v>0</v>
      </c>
      <c r="O97" s="35">
        <f>'дод. 4'!O147</f>
        <v>0</v>
      </c>
      <c r="P97" s="53">
        <f t="shared" si="13"/>
        <v>50000</v>
      </c>
      <c r="Q97" s="99"/>
    </row>
    <row r="98" spans="1:17" s="25" customFormat="1" ht="30">
      <c r="A98" s="23"/>
      <c r="B98" s="26" t="s">
        <v>19</v>
      </c>
      <c r="C98" s="26" t="s">
        <v>139</v>
      </c>
      <c r="D98" s="27" t="s">
        <v>20</v>
      </c>
      <c r="E98" s="53">
        <f t="shared" si="14"/>
        <v>687000</v>
      </c>
      <c r="F98" s="35">
        <f>'дод. 4'!F14</f>
        <v>687000</v>
      </c>
      <c r="G98" s="35">
        <f>'дод. 4'!G14</f>
        <v>492950</v>
      </c>
      <c r="H98" s="35">
        <f>'дод. 4'!H14</f>
        <v>55897</v>
      </c>
      <c r="I98" s="35">
        <f>'дод. 4'!I14</f>
        <v>0</v>
      </c>
      <c r="J98" s="53">
        <f t="shared" si="15"/>
        <v>0</v>
      </c>
      <c r="K98" s="35">
        <f>'дод. 4'!K14</f>
        <v>0</v>
      </c>
      <c r="L98" s="35">
        <f>'дод. 4'!L14</f>
        <v>0</v>
      </c>
      <c r="M98" s="35">
        <f>'дод. 4'!M14</f>
        <v>0</v>
      </c>
      <c r="N98" s="35">
        <f>'дод. 4'!N14</f>
        <v>0</v>
      </c>
      <c r="O98" s="35">
        <f>'дод. 4'!O14</f>
        <v>0</v>
      </c>
      <c r="P98" s="53">
        <f t="shared" si="13"/>
        <v>687000</v>
      </c>
      <c r="Q98" s="99"/>
    </row>
    <row r="99" spans="1:17" s="25" customFormat="1" ht="30">
      <c r="A99" s="23"/>
      <c r="B99" s="26" t="s">
        <v>21</v>
      </c>
      <c r="C99" s="26" t="s">
        <v>139</v>
      </c>
      <c r="D99" s="27" t="s">
        <v>22</v>
      </c>
      <c r="E99" s="53">
        <f t="shared" si="14"/>
        <v>40000</v>
      </c>
      <c r="F99" s="35">
        <f>'дод. 4'!F15</f>
        <v>40000</v>
      </c>
      <c r="G99" s="35">
        <f>'дод. 4'!G15</f>
        <v>0</v>
      </c>
      <c r="H99" s="35">
        <f>'дод. 4'!H15</f>
        <v>0</v>
      </c>
      <c r="I99" s="35">
        <f>'дод. 4'!I15</f>
        <v>0</v>
      </c>
      <c r="J99" s="53">
        <f t="shared" si="15"/>
        <v>0</v>
      </c>
      <c r="K99" s="35">
        <f>'дод. 4'!K15</f>
        <v>0</v>
      </c>
      <c r="L99" s="35">
        <f>'дод. 4'!L15</f>
        <v>0</v>
      </c>
      <c r="M99" s="35">
        <f>'дод. 4'!M15</f>
        <v>0</v>
      </c>
      <c r="N99" s="35">
        <f>'дод. 4'!N15</f>
        <v>0</v>
      </c>
      <c r="O99" s="35">
        <f>'дод. 4'!O15</f>
        <v>0</v>
      </c>
      <c r="P99" s="53">
        <f t="shared" si="13"/>
        <v>40000</v>
      </c>
      <c r="Q99" s="99"/>
    </row>
    <row r="100" spans="1:17" s="25" customFormat="1" ht="30">
      <c r="A100" s="23"/>
      <c r="B100" s="26" t="s">
        <v>23</v>
      </c>
      <c r="C100" s="26" t="s">
        <v>139</v>
      </c>
      <c r="D100" s="27" t="s">
        <v>24</v>
      </c>
      <c r="E100" s="53">
        <f t="shared" si="14"/>
        <v>605000</v>
      </c>
      <c r="F100" s="35">
        <f>'дод. 4'!F16</f>
        <v>605000</v>
      </c>
      <c r="G100" s="35">
        <f>'дод. 4'!G16</f>
        <v>0</v>
      </c>
      <c r="H100" s="35">
        <f>'дод. 4'!H16</f>
        <v>0</v>
      </c>
      <c r="I100" s="35">
        <f>'дод. 4'!I16</f>
        <v>0</v>
      </c>
      <c r="J100" s="53">
        <f t="shared" si="15"/>
        <v>0</v>
      </c>
      <c r="K100" s="35">
        <f>'дод. 4'!K16</f>
        <v>0</v>
      </c>
      <c r="L100" s="35">
        <f>'дод. 4'!L16</f>
        <v>0</v>
      </c>
      <c r="M100" s="35">
        <f>'дод. 4'!M16</f>
        <v>0</v>
      </c>
      <c r="N100" s="35">
        <f>'дод. 4'!N16</f>
        <v>0</v>
      </c>
      <c r="O100" s="35">
        <f>'дод. 4'!O16</f>
        <v>0</v>
      </c>
      <c r="P100" s="53">
        <f t="shared" si="13"/>
        <v>605000</v>
      </c>
      <c r="Q100" s="99"/>
    </row>
    <row r="101" spans="1:17" s="25" customFormat="1" ht="15">
      <c r="A101" s="23"/>
      <c r="B101" s="26" t="s">
        <v>25</v>
      </c>
      <c r="C101" s="26" t="s">
        <v>139</v>
      </c>
      <c r="D101" s="27" t="s">
        <v>26</v>
      </c>
      <c r="E101" s="53">
        <f t="shared" si="14"/>
        <v>509900</v>
      </c>
      <c r="F101" s="35">
        <f>'дод. 4'!F17</f>
        <v>509900</v>
      </c>
      <c r="G101" s="35">
        <f>'дод. 4'!G17</f>
        <v>337300</v>
      </c>
      <c r="H101" s="35">
        <f>'дод. 4'!H17</f>
        <v>72433</v>
      </c>
      <c r="I101" s="35">
        <f>'дод. 4'!I17</f>
        <v>0</v>
      </c>
      <c r="J101" s="53">
        <f t="shared" si="15"/>
        <v>9645</v>
      </c>
      <c r="K101" s="35">
        <f>'дод. 4'!K17</f>
        <v>0</v>
      </c>
      <c r="L101" s="35">
        <f>'дод. 4'!L17</f>
        <v>0</v>
      </c>
      <c r="M101" s="35">
        <f>'дод. 4'!M17</f>
        <v>0</v>
      </c>
      <c r="N101" s="35">
        <f>'дод. 4'!N17</f>
        <v>9645</v>
      </c>
      <c r="O101" s="35">
        <f>'дод. 4'!O17</f>
        <v>9645</v>
      </c>
      <c r="P101" s="53">
        <f t="shared" si="13"/>
        <v>519545</v>
      </c>
      <c r="Q101" s="99"/>
    </row>
    <row r="102" spans="1:17" s="25" customFormat="1" ht="75">
      <c r="A102" s="23"/>
      <c r="B102" s="26" t="s">
        <v>27</v>
      </c>
      <c r="C102" s="26" t="s">
        <v>139</v>
      </c>
      <c r="D102" s="28" t="s">
        <v>28</v>
      </c>
      <c r="E102" s="53">
        <f t="shared" si="14"/>
        <v>3106888</v>
      </c>
      <c r="F102" s="35">
        <f>'дод. 4'!F18+'дод. 4'!F61</f>
        <v>3106888</v>
      </c>
      <c r="G102" s="35">
        <f>'дод. 4'!G18+'дод. 4'!G61</f>
        <v>0</v>
      </c>
      <c r="H102" s="35">
        <f>'дод. 4'!H18+'дод. 4'!H61</f>
        <v>0</v>
      </c>
      <c r="I102" s="35">
        <f>'дод. 4'!I18+'дод. 4'!I61</f>
        <v>0</v>
      </c>
      <c r="J102" s="53">
        <f t="shared" si="15"/>
        <v>0</v>
      </c>
      <c r="K102" s="35">
        <f>'дод. 4'!K18+'дод. 4'!K61</f>
        <v>0</v>
      </c>
      <c r="L102" s="35">
        <f>'дод. 4'!L18+'дод. 4'!L61</f>
        <v>0</v>
      </c>
      <c r="M102" s="35">
        <f>'дод. 4'!M18+'дод. 4'!M61</f>
        <v>0</v>
      </c>
      <c r="N102" s="35">
        <f>'дод. 4'!N18+'дод. 4'!N61</f>
        <v>0</v>
      </c>
      <c r="O102" s="35">
        <f>'дод. 4'!O18+'дод. 4'!O61</f>
        <v>0</v>
      </c>
      <c r="P102" s="53">
        <f t="shared" si="13"/>
        <v>3106888</v>
      </c>
      <c r="Q102" s="99"/>
    </row>
    <row r="103" spans="1:17" s="25" customFormat="1" ht="45">
      <c r="A103" s="23"/>
      <c r="B103" s="26" t="s">
        <v>97</v>
      </c>
      <c r="C103" s="26" t="s">
        <v>168</v>
      </c>
      <c r="D103" s="27" t="s">
        <v>98</v>
      </c>
      <c r="E103" s="53">
        <f t="shared" si="14"/>
        <v>5915300</v>
      </c>
      <c r="F103" s="35">
        <f>'дод. 4'!F134</f>
        <v>5915300</v>
      </c>
      <c r="G103" s="35">
        <f>'дод. 4'!G134</f>
        <v>4389500</v>
      </c>
      <c r="H103" s="35">
        <f>'дод. 4'!H134</f>
        <v>156566</v>
      </c>
      <c r="I103" s="35">
        <f>'дод. 4'!I134</f>
        <v>0</v>
      </c>
      <c r="J103" s="53">
        <f t="shared" si="15"/>
        <v>467800</v>
      </c>
      <c r="K103" s="35">
        <f>'дод. 4'!K134</f>
        <v>27800</v>
      </c>
      <c r="L103" s="35">
        <f>'дод. 4'!L134</f>
        <v>18822</v>
      </c>
      <c r="M103" s="35">
        <f>'дод. 4'!M134</f>
        <v>0</v>
      </c>
      <c r="N103" s="35">
        <f>'дод. 4'!N134</f>
        <v>440000</v>
      </c>
      <c r="O103" s="35">
        <f>'дод. 4'!O134</f>
        <v>440000</v>
      </c>
      <c r="P103" s="53">
        <f t="shared" si="13"/>
        <v>6383100</v>
      </c>
      <c r="Q103" s="99"/>
    </row>
    <row r="104" spans="1:17" s="25" customFormat="1" ht="90">
      <c r="A104" s="23"/>
      <c r="B104" s="26" t="s">
        <v>99</v>
      </c>
      <c r="C104" s="26" t="s">
        <v>167</v>
      </c>
      <c r="D104" s="27" t="s">
        <v>100</v>
      </c>
      <c r="E104" s="53">
        <f t="shared" si="14"/>
        <v>1397200</v>
      </c>
      <c r="F104" s="35">
        <f>'дод. 4'!F135</f>
        <v>1397200</v>
      </c>
      <c r="G104" s="35">
        <f>'дод. 4'!G135</f>
        <v>0</v>
      </c>
      <c r="H104" s="35">
        <f>'дод. 4'!H135</f>
        <v>0</v>
      </c>
      <c r="I104" s="35">
        <f>'дод. 4'!I135</f>
        <v>0</v>
      </c>
      <c r="J104" s="53">
        <f t="shared" si="15"/>
        <v>0</v>
      </c>
      <c r="K104" s="35">
        <f>'дод. 4'!K135</f>
        <v>0</v>
      </c>
      <c r="L104" s="35">
        <f>'дод. 4'!L135</f>
        <v>0</v>
      </c>
      <c r="M104" s="35">
        <f>'дод. 4'!M135</f>
        <v>0</v>
      </c>
      <c r="N104" s="35">
        <f>'дод. 4'!N135</f>
        <v>0</v>
      </c>
      <c r="O104" s="35">
        <f>'дод. 4'!O135</f>
        <v>0</v>
      </c>
      <c r="P104" s="53">
        <f t="shared" si="13"/>
        <v>1397200</v>
      </c>
      <c r="Q104" s="99"/>
    </row>
    <row r="105" spans="1:17" s="25" customFormat="1" ht="90">
      <c r="A105" s="23"/>
      <c r="B105" s="26" t="s">
        <v>101</v>
      </c>
      <c r="C105" s="26" t="s">
        <v>166</v>
      </c>
      <c r="D105" s="27" t="s">
        <v>102</v>
      </c>
      <c r="E105" s="53">
        <f t="shared" si="14"/>
        <v>2482439</v>
      </c>
      <c r="F105" s="35">
        <f>'дод. 4'!F136</f>
        <v>2482439</v>
      </c>
      <c r="G105" s="35">
        <f>'дод. 4'!G136</f>
        <v>0</v>
      </c>
      <c r="H105" s="35">
        <f>'дод. 4'!H136</f>
        <v>0</v>
      </c>
      <c r="I105" s="35">
        <f>'дод. 4'!I136</f>
        <v>0</v>
      </c>
      <c r="J105" s="53">
        <f t="shared" si="15"/>
        <v>0</v>
      </c>
      <c r="K105" s="35">
        <f>'дод. 4'!K136</f>
        <v>0</v>
      </c>
      <c r="L105" s="35">
        <f>'дод. 4'!L136</f>
        <v>0</v>
      </c>
      <c r="M105" s="35">
        <f>'дод. 4'!M136</f>
        <v>0</v>
      </c>
      <c r="N105" s="35">
        <f>'дод. 4'!N136</f>
        <v>0</v>
      </c>
      <c r="O105" s="35">
        <f>'дод. 4'!O136</f>
        <v>0</v>
      </c>
      <c r="P105" s="53">
        <f t="shared" si="13"/>
        <v>2482439</v>
      </c>
      <c r="Q105" s="99" t="s">
        <v>341</v>
      </c>
    </row>
    <row r="106" spans="1:17" s="25" customFormat="1" ht="30">
      <c r="A106" s="23"/>
      <c r="B106" s="26" t="s">
        <v>103</v>
      </c>
      <c r="C106" s="26" t="s">
        <v>164</v>
      </c>
      <c r="D106" s="27" t="s">
        <v>104</v>
      </c>
      <c r="E106" s="53">
        <f t="shared" si="14"/>
        <v>798900</v>
      </c>
      <c r="F106" s="35">
        <f>'дод. 4'!F137</f>
        <v>798900</v>
      </c>
      <c r="G106" s="35">
        <f>'дод. 4'!G137</f>
        <v>0</v>
      </c>
      <c r="H106" s="35">
        <f>'дод. 4'!H137</f>
        <v>0</v>
      </c>
      <c r="I106" s="35">
        <f>'дод. 4'!I137</f>
        <v>0</v>
      </c>
      <c r="J106" s="53">
        <f t="shared" si="15"/>
        <v>0</v>
      </c>
      <c r="K106" s="35">
        <f>'дод. 4'!K137</f>
        <v>0</v>
      </c>
      <c r="L106" s="35">
        <f>'дод. 4'!L137</f>
        <v>0</v>
      </c>
      <c r="M106" s="35">
        <f>'дод. 4'!M137</f>
        <v>0</v>
      </c>
      <c r="N106" s="35">
        <f>'дод. 4'!N137</f>
        <v>0</v>
      </c>
      <c r="O106" s="35">
        <f>'дод. 4'!O137</f>
        <v>0</v>
      </c>
      <c r="P106" s="53">
        <f t="shared" si="13"/>
        <v>798900</v>
      </c>
      <c r="Q106" s="99"/>
    </row>
    <row r="107" spans="1:17" s="25" customFormat="1" ht="30">
      <c r="A107" s="23"/>
      <c r="B107" s="26" t="s">
        <v>254</v>
      </c>
      <c r="C107" s="26" t="s">
        <v>138</v>
      </c>
      <c r="D107" s="27" t="s">
        <v>255</v>
      </c>
      <c r="E107" s="53">
        <f t="shared" si="14"/>
        <v>111717</v>
      </c>
      <c r="F107" s="35">
        <f>'дод. 4'!F138</f>
        <v>111717</v>
      </c>
      <c r="G107" s="35">
        <f>'дод. 4'!G138</f>
        <v>0</v>
      </c>
      <c r="H107" s="35">
        <f>'дод. 4'!H138</f>
        <v>0</v>
      </c>
      <c r="I107" s="35">
        <f>'дод. 4'!I138</f>
        <v>0</v>
      </c>
      <c r="J107" s="53">
        <f t="shared" si="15"/>
        <v>0</v>
      </c>
      <c r="K107" s="35">
        <f>'дод. 4'!K138</f>
        <v>0</v>
      </c>
      <c r="L107" s="35">
        <f>'дод. 4'!L138</f>
        <v>0</v>
      </c>
      <c r="M107" s="35">
        <f>'дод. 4'!M138</f>
        <v>0</v>
      </c>
      <c r="N107" s="35">
        <f>'дод. 4'!N138</f>
        <v>0</v>
      </c>
      <c r="O107" s="35">
        <f>'дод. 4'!O138</f>
        <v>0</v>
      </c>
      <c r="P107" s="53">
        <f t="shared" si="13"/>
        <v>111717</v>
      </c>
      <c r="Q107" s="99"/>
    </row>
    <row r="108" spans="1:17" s="25" customFormat="1" ht="15">
      <c r="A108" s="23"/>
      <c r="B108" s="26" t="s">
        <v>105</v>
      </c>
      <c r="C108" s="26" t="s">
        <v>138</v>
      </c>
      <c r="D108" s="27" t="s">
        <v>106</v>
      </c>
      <c r="E108" s="53">
        <f t="shared" si="14"/>
        <v>1474000</v>
      </c>
      <c r="F108" s="35">
        <f>'дод. 4'!F139</f>
        <v>1474000</v>
      </c>
      <c r="G108" s="35">
        <f>'дод. 4'!G139</f>
        <v>894200</v>
      </c>
      <c r="H108" s="35">
        <f>'дод. 4'!H139</f>
        <v>127230</v>
      </c>
      <c r="I108" s="35">
        <f>'дод. 4'!I139</f>
        <v>0</v>
      </c>
      <c r="J108" s="53">
        <f t="shared" si="15"/>
        <v>243500</v>
      </c>
      <c r="K108" s="35">
        <f>'дод. 4'!K139</f>
        <v>0</v>
      </c>
      <c r="L108" s="35">
        <f>'дод. 4'!L139</f>
        <v>0</v>
      </c>
      <c r="M108" s="35">
        <f>'дод. 4'!M139</f>
        <v>0</v>
      </c>
      <c r="N108" s="35">
        <f>'дод. 4'!N139</f>
        <v>243500</v>
      </c>
      <c r="O108" s="35">
        <f>'дод. 4'!O139</f>
        <v>243500</v>
      </c>
      <c r="P108" s="53">
        <f t="shared" si="13"/>
        <v>1717500</v>
      </c>
      <c r="Q108" s="99"/>
    </row>
    <row r="109" spans="1:17" s="25" customFormat="1" ht="30">
      <c r="A109" s="23"/>
      <c r="B109" s="26" t="s">
        <v>264</v>
      </c>
      <c r="C109" s="26" t="s">
        <v>167</v>
      </c>
      <c r="D109" s="27" t="s">
        <v>265</v>
      </c>
      <c r="E109" s="53">
        <f t="shared" si="14"/>
        <v>43245500</v>
      </c>
      <c r="F109" s="35">
        <f>'дод. 4'!F140</f>
        <v>43245500</v>
      </c>
      <c r="G109" s="35">
        <f>'дод. 4'!G140</f>
        <v>0</v>
      </c>
      <c r="H109" s="35">
        <f>'дод. 4'!H140</f>
        <v>0</v>
      </c>
      <c r="I109" s="35">
        <f>'дод. 4'!I140</f>
        <v>0</v>
      </c>
      <c r="J109" s="53">
        <f t="shared" si="15"/>
        <v>0</v>
      </c>
      <c r="K109" s="35">
        <f>'дод. 4'!K140</f>
        <v>0</v>
      </c>
      <c r="L109" s="35">
        <f>'дод. 4'!L140</f>
        <v>0</v>
      </c>
      <c r="M109" s="35">
        <f>'дод. 4'!M140</f>
        <v>0</v>
      </c>
      <c r="N109" s="35">
        <f>'дод. 4'!N140</f>
        <v>0</v>
      </c>
      <c r="O109" s="35">
        <f>'дод. 4'!O140</f>
        <v>0</v>
      </c>
      <c r="P109" s="53">
        <f t="shared" si="13"/>
        <v>43245500</v>
      </c>
      <c r="Q109" s="99"/>
    </row>
    <row r="110" spans="1:17" s="25" customFormat="1" ht="15">
      <c r="A110" s="23"/>
      <c r="B110" s="26"/>
      <c r="C110" s="26"/>
      <c r="D110" s="27" t="s">
        <v>266</v>
      </c>
      <c r="E110" s="53">
        <f t="shared" si="14"/>
        <v>43245500</v>
      </c>
      <c r="F110" s="35">
        <f>'дод. 4'!F141</f>
        <v>43245500</v>
      </c>
      <c r="G110" s="35">
        <f>'дод. 4'!G141</f>
        <v>0</v>
      </c>
      <c r="H110" s="35">
        <f>'дод. 4'!H141</f>
        <v>0</v>
      </c>
      <c r="I110" s="35">
        <f>'дод. 4'!I141</f>
        <v>0</v>
      </c>
      <c r="J110" s="53">
        <f t="shared" si="15"/>
        <v>0</v>
      </c>
      <c r="K110" s="35">
        <f>'дод. 4'!K141</f>
        <v>0</v>
      </c>
      <c r="L110" s="35">
        <f>'дод. 4'!L141</f>
        <v>0</v>
      </c>
      <c r="M110" s="35">
        <f>'дод. 4'!M141</f>
        <v>0</v>
      </c>
      <c r="N110" s="35">
        <f>'дод. 4'!N141</f>
        <v>0</v>
      </c>
      <c r="O110" s="35">
        <f>'дод. 4'!O141</f>
        <v>0</v>
      </c>
      <c r="P110" s="53">
        <f t="shared" si="13"/>
        <v>43245500</v>
      </c>
      <c r="Q110" s="99"/>
    </row>
    <row r="111" spans="1:17" s="25" customFormat="1" ht="60">
      <c r="A111" s="23"/>
      <c r="B111" s="26" t="s">
        <v>260</v>
      </c>
      <c r="C111" s="26" t="s">
        <v>167</v>
      </c>
      <c r="D111" s="27" t="s">
        <v>261</v>
      </c>
      <c r="E111" s="53">
        <f t="shared" si="14"/>
        <v>162275</v>
      </c>
      <c r="F111" s="35">
        <f>'дод. 4'!F142</f>
        <v>162275</v>
      </c>
      <c r="G111" s="35">
        <f>'дод. 4'!G142</f>
        <v>0</v>
      </c>
      <c r="H111" s="35">
        <f>'дод. 4'!H142</f>
        <v>0</v>
      </c>
      <c r="I111" s="35">
        <f>'дод. 4'!I142</f>
        <v>0</v>
      </c>
      <c r="J111" s="53">
        <f t="shared" si="15"/>
        <v>0</v>
      </c>
      <c r="K111" s="35">
        <f>'дод. 4'!K142</f>
        <v>0</v>
      </c>
      <c r="L111" s="35">
        <f>'дод. 4'!L142</f>
        <v>0</v>
      </c>
      <c r="M111" s="35">
        <f>'дод. 4'!M142</f>
        <v>0</v>
      </c>
      <c r="N111" s="35">
        <f>'дод. 4'!N142</f>
        <v>0</v>
      </c>
      <c r="O111" s="35">
        <f>'дод. 4'!O142</f>
        <v>0</v>
      </c>
      <c r="P111" s="53">
        <f t="shared" si="13"/>
        <v>162275</v>
      </c>
      <c r="Q111" s="99"/>
    </row>
    <row r="112" spans="1:17" s="25" customFormat="1" ht="30">
      <c r="A112" s="23"/>
      <c r="B112" s="26" t="s">
        <v>262</v>
      </c>
      <c r="C112" s="26" t="s">
        <v>167</v>
      </c>
      <c r="D112" s="27" t="s">
        <v>263</v>
      </c>
      <c r="E112" s="53">
        <f t="shared" si="14"/>
        <v>4800</v>
      </c>
      <c r="F112" s="35">
        <f>'дод. 4'!F143</f>
        <v>4800</v>
      </c>
      <c r="G112" s="35">
        <f>'дод. 4'!G143</f>
        <v>0</v>
      </c>
      <c r="H112" s="35">
        <f>'дод. 4'!H143</f>
        <v>0</v>
      </c>
      <c r="I112" s="35">
        <f>'дод. 4'!I143</f>
        <v>0</v>
      </c>
      <c r="J112" s="53">
        <f t="shared" si="15"/>
        <v>0</v>
      </c>
      <c r="K112" s="35">
        <f>'дод. 4'!K143</f>
        <v>0</v>
      </c>
      <c r="L112" s="35">
        <f>'дод. 4'!L143</f>
        <v>0</v>
      </c>
      <c r="M112" s="35">
        <f>'дод. 4'!M143</f>
        <v>0</v>
      </c>
      <c r="N112" s="35">
        <f>'дод. 4'!N143</f>
        <v>0</v>
      </c>
      <c r="O112" s="35">
        <f>'дод. 4'!O143</f>
        <v>0</v>
      </c>
      <c r="P112" s="53">
        <f t="shared" si="13"/>
        <v>4800</v>
      </c>
      <c r="Q112" s="99"/>
    </row>
    <row r="113" spans="1:17" s="25" customFormat="1" ht="15">
      <c r="A113" s="23"/>
      <c r="B113" s="66" t="s">
        <v>224</v>
      </c>
      <c r="C113" s="67"/>
      <c r="D113" s="67" t="s">
        <v>225</v>
      </c>
      <c r="E113" s="70">
        <f>E114+E115+E116+E117+E118+E119+E120</f>
        <v>92521614.78999999</v>
      </c>
      <c r="F113" s="70">
        <f aca="true" t="shared" si="16" ref="F113:P113">F114+F115+F116+F117+F118+F119+F120</f>
        <v>72472899.78999999</v>
      </c>
      <c r="G113" s="70">
        <f t="shared" si="16"/>
        <v>0</v>
      </c>
      <c r="H113" s="70">
        <f t="shared" si="16"/>
        <v>7268679.79</v>
      </c>
      <c r="I113" s="70">
        <f t="shared" si="16"/>
        <v>20048715</v>
      </c>
      <c r="J113" s="70">
        <f t="shared" si="16"/>
        <v>154289738.34</v>
      </c>
      <c r="K113" s="70">
        <f t="shared" si="16"/>
        <v>0</v>
      </c>
      <c r="L113" s="70">
        <f t="shared" si="16"/>
        <v>0</v>
      </c>
      <c r="M113" s="70">
        <f t="shared" si="16"/>
        <v>0</v>
      </c>
      <c r="N113" s="70">
        <f t="shared" si="16"/>
        <v>154289738.34</v>
      </c>
      <c r="O113" s="70">
        <f t="shared" si="16"/>
        <v>154289738.34</v>
      </c>
      <c r="P113" s="70">
        <f t="shared" si="16"/>
        <v>246811353.13</v>
      </c>
      <c r="Q113" s="99"/>
    </row>
    <row r="114" spans="1:17" s="25" customFormat="1" ht="15">
      <c r="A114" s="23"/>
      <c r="B114" s="26" t="s">
        <v>252</v>
      </c>
      <c r="C114" s="26" t="s">
        <v>174</v>
      </c>
      <c r="D114" s="27" t="s">
        <v>253</v>
      </c>
      <c r="E114" s="35">
        <f aca="true" t="shared" si="17" ref="E114:E120">F114+I114</f>
        <v>1680000</v>
      </c>
      <c r="F114" s="35">
        <f>'дод. 4'!F157</f>
        <v>1680000</v>
      </c>
      <c r="G114" s="35">
        <f>'дод. 4'!G157</f>
        <v>0</v>
      </c>
      <c r="H114" s="35">
        <f>'дод. 4'!H157</f>
        <v>0</v>
      </c>
      <c r="I114" s="35">
        <f>'дод. 4'!I157</f>
        <v>0</v>
      </c>
      <c r="J114" s="35">
        <f aca="true" t="shared" si="18" ref="J114:J120">K114+N114</f>
        <v>0</v>
      </c>
      <c r="K114" s="35">
        <f>'дод. 4'!K157</f>
        <v>0</v>
      </c>
      <c r="L114" s="35">
        <f>'дод. 4'!L157</f>
        <v>0</v>
      </c>
      <c r="M114" s="35">
        <f>'дод. 4'!M157</f>
        <v>0</v>
      </c>
      <c r="N114" s="35">
        <f>'дод. 4'!N157</f>
        <v>0</v>
      </c>
      <c r="O114" s="35">
        <f>'дод. 4'!O157</f>
        <v>0</v>
      </c>
      <c r="P114" s="35">
        <f aca="true" t="shared" si="19" ref="P114:P120">E114+J114</f>
        <v>1680000</v>
      </c>
      <c r="Q114" s="99"/>
    </row>
    <row r="115" spans="1:17" s="25" customFormat="1" ht="30">
      <c r="A115" s="23"/>
      <c r="B115" s="26" t="s">
        <v>117</v>
      </c>
      <c r="C115" s="26" t="s">
        <v>174</v>
      </c>
      <c r="D115" s="27" t="s">
        <v>118</v>
      </c>
      <c r="E115" s="35">
        <f t="shared" si="17"/>
        <v>195000</v>
      </c>
      <c r="F115" s="35">
        <f>'дод. 4'!F158</f>
        <v>195000</v>
      </c>
      <c r="G115" s="35">
        <f>'дод. 4'!G158</f>
        <v>0</v>
      </c>
      <c r="H115" s="35">
        <f>'дод. 4'!H158</f>
        <v>0</v>
      </c>
      <c r="I115" s="35">
        <f>'дод. 4'!I158</f>
        <v>0</v>
      </c>
      <c r="J115" s="35">
        <f t="shared" si="18"/>
        <v>51271723.14</v>
      </c>
      <c r="K115" s="35">
        <f>'дод. 4'!K158</f>
        <v>0</v>
      </c>
      <c r="L115" s="35">
        <f>'дод. 4'!L158</f>
        <v>0</v>
      </c>
      <c r="M115" s="35">
        <f>'дод. 4'!M158</f>
        <v>0</v>
      </c>
      <c r="N115" s="35">
        <f>'дод. 4'!N158</f>
        <v>51271723.14</v>
      </c>
      <c r="O115" s="35">
        <f>'дод. 4'!O158</f>
        <v>51271723.14</v>
      </c>
      <c r="P115" s="35">
        <f t="shared" si="19"/>
        <v>51466723.14</v>
      </c>
      <c r="Q115" s="99"/>
    </row>
    <row r="116" spans="1:17" s="25" customFormat="1" ht="45">
      <c r="A116" s="23"/>
      <c r="B116" s="26" t="s">
        <v>119</v>
      </c>
      <c r="C116" s="26" t="s">
        <v>174</v>
      </c>
      <c r="D116" s="27" t="s">
        <v>120</v>
      </c>
      <c r="E116" s="35">
        <f t="shared" si="17"/>
        <v>0</v>
      </c>
      <c r="F116" s="35">
        <f>'дод. 4'!F159</f>
        <v>0</v>
      </c>
      <c r="G116" s="35">
        <f>'дод. 4'!G159</f>
        <v>0</v>
      </c>
      <c r="H116" s="35">
        <f>'дод. 4'!H159</f>
        <v>0</v>
      </c>
      <c r="I116" s="35">
        <f>'дод. 4'!I159</f>
        <v>0</v>
      </c>
      <c r="J116" s="35">
        <f t="shared" si="18"/>
        <v>6000000</v>
      </c>
      <c r="K116" s="35">
        <f>'дод. 4'!K159</f>
        <v>0</v>
      </c>
      <c r="L116" s="35">
        <f>'дод. 4'!L159</f>
        <v>0</v>
      </c>
      <c r="M116" s="35">
        <f>'дод. 4'!M159</f>
        <v>0</v>
      </c>
      <c r="N116" s="35">
        <f>'дод. 4'!N159</f>
        <v>6000000</v>
      </c>
      <c r="O116" s="35">
        <f>'дод. 4'!O159</f>
        <v>6000000</v>
      </c>
      <c r="P116" s="35">
        <f t="shared" si="19"/>
        <v>6000000</v>
      </c>
      <c r="Q116" s="99"/>
    </row>
    <row r="117" spans="1:17" s="25" customFormat="1" ht="15">
      <c r="A117" s="23"/>
      <c r="B117" s="26" t="s">
        <v>121</v>
      </c>
      <c r="C117" s="26" t="s">
        <v>140</v>
      </c>
      <c r="D117" s="27" t="s">
        <v>122</v>
      </c>
      <c r="E117" s="35">
        <f t="shared" si="17"/>
        <v>2445103</v>
      </c>
      <c r="F117" s="35">
        <f>'дод. 4'!F160</f>
        <v>0</v>
      </c>
      <c r="G117" s="35">
        <f>'дод. 4'!G160</f>
        <v>0</v>
      </c>
      <c r="H117" s="35">
        <f>'дод. 4'!H160</f>
        <v>0</v>
      </c>
      <c r="I117" s="35">
        <f>'дод. 4'!I160</f>
        <v>2445103</v>
      </c>
      <c r="J117" s="35">
        <f t="shared" si="18"/>
        <v>4094734</v>
      </c>
      <c r="K117" s="35">
        <f>'дод. 4'!K160</f>
        <v>0</v>
      </c>
      <c r="L117" s="35">
        <f>'дод. 4'!L160</f>
        <v>0</v>
      </c>
      <c r="M117" s="35">
        <f>'дод. 4'!M160</f>
        <v>0</v>
      </c>
      <c r="N117" s="35">
        <f>'дод. 4'!N160</f>
        <v>4094734</v>
      </c>
      <c r="O117" s="35">
        <f>'дод. 4'!O160</f>
        <v>4094734</v>
      </c>
      <c r="P117" s="35">
        <f t="shared" si="19"/>
        <v>6539837</v>
      </c>
      <c r="Q117" s="99"/>
    </row>
    <row r="118" spans="1:17" s="25" customFormat="1" ht="15">
      <c r="A118" s="23"/>
      <c r="B118" s="26" t="s">
        <v>29</v>
      </c>
      <c r="C118" s="26" t="s">
        <v>140</v>
      </c>
      <c r="D118" s="27" t="s">
        <v>30</v>
      </c>
      <c r="E118" s="35">
        <f t="shared" si="17"/>
        <v>88101511.78999999</v>
      </c>
      <c r="F118" s="35">
        <f>'дод. 4'!F161+'дод. 4'!F19+'дод. 4'!F183</f>
        <v>70597899.78999999</v>
      </c>
      <c r="G118" s="35">
        <f>'дод. 4'!G161+'дод. 4'!G19+'дод. 4'!G183</f>
        <v>0</v>
      </c>
      <c r="H118" s="35">
        <f>'дод. 4'!H161+'дод. 4'!H19+'дод. 4'!H183</f>
        <v>7268679.79</v>
      </c>
      <c r="I118" s="35">
        <f>'дод. 4'!I161+'дод. 4'!I19+'дод. 4'!I183</f>
        <v>17503612</v>
      </c>
      <c r="J118" s="35">
        <f t="shared" si="18"/>
        <v>92077343.2</v>
      </c>
      <c r="K118" s="35">
        <f>'дод. 4'!K161+'дод. 4'!K19+'дод. 4'!K183</f>
        <v>0</v>
      </c>
      <c r="L118" s="35">
        <f>'дод. 4'!L161+'дод. 4'!L19+'дод. 4'!L183</f>
        <v>0</v>
      </c>
      <c r="M118" s="35">
        <f>'дод. 4'!M161+'дод. 4'!M19+'дод. 4'!M183</f>
        <v>0</v>
      </c>
      <c r="N118" s="35">
        <f>'дод. 4'!N161+'дод. 4'!N19+'дод. 4'!N183</f>
        <v>92077343.2</v>
      </c>
      <c r="O118" s="35">
        <f>'дод. 4'!O161+'дод. 4'!O19+'дод. 4'!O183</f>
        <v>92077343.2</v>
      </c>
      <c r="P118" s="35">
        <f t="shared" si="19"/>
        <v>180178854.99</v>
      </c>
      <c r="Q118" s="99"/>
    </row>
    <row r="119" spans="1:17" s="25" customFormat="1" ht="45">
      <c r="A119" s="23"/>
      <c r="B119" s="26" t="s">
        <v>315</v>
      </c>
      <c r="C119" s="26" t="s">
        <v>140</v>
      </c>
      <c r="D119" s="27" t="s">
        <v>316</v>
      </c>
      <c r="E119" s="35">
        <f t="shared" si="17"/>
        <v>0</v>
      </c>
      <c r="F119" s="35">
        <f>'дод. 4'!F162</f>
        <v>0</v>
      </c>
      <c r="G119" s="35">
        <f>'дод. 4'!G162</f>
        <v>0</v>
      </c>
      <c r="H119" s="35">
        <f>'дод. 4'!H162</f>
        <v>0</v>
      </c>
      <c r="I119" s="35">
        <f>'дод. 4'!I162</f>
        <v>0</v>
      </c>
      <c r="J119" s="35">
        <f t="shared" si="18"/>
        <v>845938</v>
      </c>
      <c r="K119" s="35">
        <f>'дод. 4'!K162</f>
        <v>0</v>
      </c>
      <c r="L119" s="35">
        <f>'дод. 4'!L162</f>
        <v>0</v>
      </c>
      <c r="M119" s="35">
        <f>'дод. 4'!M162</f>
        <v>0</v>
      </c>
      <c r="N119" s="35">
        <f>'дод. 4'!N162</f>
        <v>845938</v>
      </c>
      <c r="O119" s="35">
        <f>'дод. 4'!O162</f>
        <v>845938</v>
      </c>
      <c r="P119" s="35">
        <f t="shared" si="19"/>
        <v>845938</v>
      </c>
      <c r="Q119" s="99"/>
    </row>
    <row r="120" spans="1:17" s="25" customFormat="1" ht="60">
      <c r="A120" s="23"/>
      <c r="B120" s="26" t="s">
        <v>329</v>
      </c>
      <c r="C120" s="26" t="s">
        <v>140</v>
      </c>
      <c r="D120" s="27" t="s">
        <v>330</v>
      </c>
      <c r="E120" s="35">
        <f t="shared" si="17"/>
        <v>100000</v>
      </c>
      <c r="F120" s="35">
        <f>'дод. 4'!F163</f>
        <v>0</v>
      </c>
      <c r="G120" s="35">
        <f>'дод. 4'!G163</f>
        <v>0</v>
      </c>
      <c r="H120" s="35">
        <f>'дод. 4'!H163</f>
        <v>0</v>
      </c>
      <c r="I120" s="35">
        <f>'дод. 4'!I163</f>
        <v>100000</v>
      </c>
      <c r="J120" s="35">
        <f t="shared" si="18"/>
        <v>0</v>
      </c>
      <c r="K120" s="35">
        <f>'дод. 4'!K163</f>
        <v>0</v>
      </c>
      <c r="L120" s="35">
        <f>'дод. 4'!L163</f>
        <v>0</v>
      </c>
      <c r="M120" s="35">
        <f>'дод. 4'!M163</f>
        <v>0</v>
      </c>
      <c r="N120" s="35">
        <f>'дод. 4'!N163</f>
        <v>0</v>
      </c>
      <c r="O120" s="35">
        <f>'дод. 4'!O163</f>
        <v>0</v>
      </c>
      <c r="P120" s="35">
        <f t="shared" si="19"/>
        <v>100000</v>
      </c>
      <c r="Q120" s="99"/>
    </row>
    <row r="121" spans="1:17" s="25" customFormat="1" ht="15">
      <c r="A121" s="23"/>
      <c r="B121" s="66" t="s">
        <v>226</v>
      </c>
      <c r="C121" s="67"/>
      <c r="D121" s="67" t="s">
        <v>227</v>
      </c>
      <c r="E121" s="70">
        <f>E122+E123+E124+E125</f>
        <v>30822201</v>
      </c>
      <c r="F121" s="70">
        <f aca="true" t="shared" si="20" ref="F121:P121">F122+F123+F124+F125</f>
        <v>30822201</v>
      </c>
      <c r="G121" s="70">
        <f t="shared" si="20"/>
        <v>21670640</v>
      </c>
      <c r="H121" s="70">
        <f t="shared" si="20"/>
        <v>1855080</v>
      </c>
      <c r="I121" s="70">
        <f t="shared" si="20"/>
        <v>0</v>
      </c>
      <c r="J121" s="70">
        <f t="shared" si="20"/>
        <v>2622179</v>
      </c>
      <c r="K121" s="70">
        <f t="shared" si="20"/>
        <v>1320320</v>
      </c>
      <c r="L121" s="70">
        <f t="shared" si="20"/>
        <v>953732</v>
      </c>
      <c r="M121" s="70">
        <f t="shared" si="20"/>
        <v>0</v>
      </c>
      <c r="N121" s="70">
        <f t="shared" si="20"/>
        <v>1301859</v>
      </c>
      <c r="O121" s="70">
        <f t="shared" si="20"/>
        <v>1297259</v>
      </c>
      <c r="P121" s="70">
        <f t="shared" si="20"/>
        <v>33444380</v>
      </c>
      <c r="Q121" s="99"/>
    </row>
    <row r="122" spans="1:17" s="25" customFormat="1" ht="30">
      <c r="A122" s="23"/>
      <c r="B122" s="26" t="s">
        <v>111</v>
      </c>
      <c r="C122" s="26" t="s">
        <v>171</v>
      </c>
      <c r="D122" s="27" t="s">
        <v>112</v>
      </c>
      <c r="E122" s="35">
        <f>F122+I122</f>
        <v>1030000</v>
      </c>
      <c r="F122" s="35">
        <f>'дод. 4'!F150</f>
        <v>1030000</v>
      </c>
      <c r="G122" s="35">
        <f>'дод. 4'!G150</f>
        <v>0</v>
      </c>
      <c r="H122" s="35">
        <f>'дод. 4'!H150</f>
        <v>0</v>
      </c>
      <c r="I122" s="35">
        <f>'дод. 4'!I150</f>
        <v>0</v>
      </c>
      <c r="J122" s="35">
        <f>K122+N122</f>
        <v>0</v>
      </c>
      <c r="K122" s="35">
        <f>'дод. 4'!K150</f>
        <v>0</v>
      </c>
      <c r="L122" s="35">
        <f>'дод. 4'!L150</f>
        <v>0</v>
      </c>
      <c r="M122" s="35">
        <f>'дод. 4'!M150</f>
        <v>0</v>
      </c>
      <c r="N122" s="35">
        <f>'дод. 4'!N150</f>
        <v>0</v>
      </c>
      <c r="O122" s="35">
        <f>'дод. 4'!O150</f>
        <v>0</v>
      </c>
      <c r="P122" s="35">
        <f>E122+J122</f>
        <v>1030000</v>
      </c>
      <c r="Q122" s="99"/>
    </row>
    <row r="123" spans="1:17" s="25" customFormat="1" ht="15">
      <c r="A123" s="23"/>
      <c r="B123" s="26" t="s">
        <v>113</v>
      </c>
      <c r="C123" s="26" t="s">
        <v>172</v>
      </c>
      <c r="D123" s="27" t="s">
        <v>114</v>
      </c>
      <c r="E123" s="35">
        <f>F123+I123</f>
        <v>10424631</v>
      </c>
      <c r="F123" s="35">
        <f>'дод. 4'!F151</f>
        <v>10424631</v>
      </c>
      <c r="G123" s="35">
        <f>'дод. 4'!G151</f>
        <v>7077480</v>
      </c>
      <c r="H123" s="35">
        <f>'дод. 4'!H151</f>
        <v>1039633</v>
      </c>
      <c r="I123" s="35">
        <f>'дод. 4'!I151</f>
        <v>0</v>
      </c>
      <c r="J123" s="35">
        <f>K123+N123</f>
        <v>709000</v>
      </c>
      <c r="K123" s="35">
        <f>'дод. 4'!K151</f>
        <v>21000</v>
      </c>
      <c r="L123" s="35">
        <f>'дод. 4'!L151</f>
        <v>5000</v>
      </c>
      <c r="M123" s="35">
        <f>'дод. 4'!M151</f>
        <v>0</v>
      </c>
      <c r="N123" s="35">
        <f>'дод. 4'!N151</f>
        <v>688000</v>
      </c>
      <c r="O123" s="35">
        <f>'дод. 4'!O151</f>
        <v>688000</v>
      </c>
      <c r="P123" s="35">
        <f>E123+J123</f>
        <v>11133631</v>
      </c>
      <c r="Q123" s="99"/>
    </row>
    <row r="124" spans="1:17" s="51" customFormat="1" ht="15">
      <c r="A124" s="50"/>
      <c r="B124" s="26" t="s">
        <v>115</v>
      </c>
      <c r="C124" s="26" t="s">
        <v>154</v>
      </c>
      <c r="D124" s="27" t="s">
        <v>116</v>
      </c>
      <c r="E124" s="35">
        <f>F124+I124</f>
        <v>16952076</v>
      </c>
      <c r="F124" s="35">
        <f>'дод. 4'!F152</f>
        <v>16952076</v>
      </c>
      <c r="G124" s="35">
        <f>'дод. 4'!G152</f>
        <v>13068040</v>
      </c>
      <c r="H124" s="35">
        <f>'дод. 4'!H152</f>
        <v>702306</v>
      </c>
      <c r="I124" s="35">
        <f>'дод. 4'!I152</f>
        <v>0</v>
      </c>
      <c r="J124" s="35">
        <f>K124+N124</f>
        <v>1739420</v>
      </c>
      <c r="K124" s="35">
        <f>'дод. 4'!K152</f>
        <v>1299320</v>
      </c>
      <c r="L124" s="35">
        <f>'дод. 4'!L152</f>
        <v>948732</v>
      </c>
      <c r="M124" s="35">
        <f>'дод. 4'!M152</f>
        <v>0</v>
      </c>
      <c r="N124" s="35">
        <f>'дод. 4'!N152</f>
        <v>440100</v>
      </c>
      <c r="O124" s="35">
        <f>'дод. 4'!O152</f>
        <v>435500</v>
      </c>
      <c r="P124" s="35">
        <f>E124+J124</f>
        <v>18691496</v>
      </c>
      <c r="Q124" s="99"/>
    </row>
    <row r="125" spans="1:17" s="25" customFormat="1" ht="15">
      <c r="A125" s="23"/>
      <c r="B125" s="26" t="s">
        <v>31</v>
      </c>
      <c r="C125" s="26" t="s">
        <v>141</v>
      </c>
      <c r="D125" s="27" t="s">
        <v>32</v>
      </c>
      <c r="E125" s="35">
        <f>F125+I125</f>
        <v>2415494</v>
      </c>
      <c r="F125" s="35">
        <f>'дод. 4'!F153+'дод. 4'!F20</f>
        <v>2415494</v>
      </c>
      <c r="G125" s="35">
        <f>'дод. 4'!G153+'дод. 4'!G20</f>
        <v>1525120</v>
      </c>
      <c r="H125" s="35">
        <f>'дод. 4'!H153+'дод. 4'!H20</f>
        <v>113141</v>
      </c>
      <c r="I125" s="35">
        <f>'дод. 4'!I153+'дод. 4'!I20</f>
        <v>0</v>
      </c>
      <c r="J125" s="35">
        <f>K125+N125</f>
        <v>173759</v>
      </c>
      <c r="K125" s="35">
        <f>'дод. 4'!K153+'дод. 4'!K20</f>
        <v>0</v>
      </c>
      <c r="L125" s="35">
        <f>'дод. 4'!L153+'дод. 4'!L20</f>
        <v>0</v>
      </c>
      <c r="M125" s="35">
        <f>'дод. 4'!M153+'дод. 4'!M20</f>
        <v>0</v>
      </c>
      <c r="N125" s="35">
        <f>'дод. 4'!N153+'дод. 4'!N20</f>
        <v>173759</v>
      </c>
      <c r="O125" s="35">
        <f>'дод. 4'!O153+'дод. 4'!O20</f>
        <v>173759</v>
      </c>
      <c r="P125" s="35">
        <f>E125+J125</f>
        <v>2589253</v>
      </c>
      <c r="Q125" s="99"/>
    </row>
    <row r="126" spans="1:17" s="25" customFormat="1" ht="15">
      <c r="A126" s="23"/>
      <c r="B126" s="66" t="s">
        <v>228</v>
      </c>
      <c r="C126" s="67"/>
      <c r="D126" s="67" t="s">
        <v>229</v>
      </c>
      <c r="E126" s="70">
        <f>E127</f>
        <v>90300</v>
      </c>
      <c r="F126" s="70">
        <f aca="true" t="shared" si="21" ref="F126:P126">F127</f>
        <v>90300</v>
      </c>
      <c r="G126" s="70">
        <f t="shared" si="21"/>
        <v>0</v>
      </c>
      <c r="H126" s="70">
        <f t="shared" si="21"/>
        <v>0</v>
      </c>
      <c r="I126" s="70">
        <f t="shared" si="21"/>
        <v>0</v>
      </c>
      <c r="J126" s="70">
        <f t="shared" si="21"/>
        <v>0</v>
      </c>
      <c r="K126" s="70">
        <f t="shared" si="21"/>
        <v>0</v>
      </c>
      <c r="L126" s="70">
        <f t="shared" si="21"/>
        <v>0</v>
      </c>
      <c r="M126" s="70">
        <f t="shared" si="21"/>
        <v>0</v>
      </c>
      <c r="N126" s="70">
        <f t="shared" si="21"/>
        <v>0</v>
      </c>
      <c r="O126" s="70">
        <f t="shared" si="21"/>
        <v>0</v>
      </c>
      <c r="P126" s="70">
        <f t="shared" si="21"/>
        <v>90300</v>
      </c>
      <c r="Q126" s="99"/>
    </row>
    <row r="127" spans="1:17" s="25" customFormat="1" ht="15">
      <c r="A127" s="23"/>
      <c r="B127" s="26" t="s">
        <v>193</v>
      </c>
      <c r="C127" s="26" t="s">
        <v>195</v>
      </c>
      <c r="D127" s="27" t="s">
        <v>194</v>
      </c>
      <c r="E127" s="35">
        <f>F127+I127</f>
        <v>90300</v>
      </c>
      <c r="F127" s="35">
        <f>'дод. 4'!F21</f>
        <v>90300</v>
      </c>
      <c r="G127" s="35">
        <f>'дод. 4'!G21</f>
        <v>0</v>
      </c>
      <c r="H127" s="35">
        <f>'дод. 4'!H21</f>
        <v>0</v>
      </c>
      <c r="I127" s="35">
        <f>'дод. 4'!I21</f>
        <v>0</v>
      </c>
      <c r="J127" s="35">
        <f>K127+N127</f>
        <v>0</v>
      </c>
      <c r="K127" s="35">
        <f>'дод. 4'!K21</f>
        <v>0</v>
      </c>
      <c r="L127" s="35">
        <f>'дод. 4'!L21</f>
        <v>0</v>
      </c>
      <c r="M127" s="35">
        <f>'дод. 4'!M21</f>
        <v>0</v>
      </c>
      <c r="N127" s="35">
        <f>'дод. 4'!N21</f>
        <v>0</v>
      </c>
      <c r="O127" s="35">
        <f>'дод. 4'!O21</f>
        <v>0</v>
      </c>
      <c r="P127" s="35">
        <f>E127+J127</f>
        <v>90300</v>
      </c>
      <c r="Q127" s="99"/>
    </row>
    <row r="128" spans="1:17" s="25" customFormat="1" ht="15">
      <c r="A128" s="23"/>
      <c r="B128" s="66" t="s">
        <v>230</v>
      </c>
      <c r="C128" s="67"/>
      <c r="D128" s="67" t="s">
        <v>231</v>
      </c>
      <c r="E128" s="70">
        <f>E129+E130+E131+E132+E133+E134</f>
        <v>16924200</v>
      </c>
      <c r="F128" s="70">
        <f aca="true" t="shared" si="22" ref="F128:P128">F129+F130+F131+F132+F133+F134</f>
        <v>16924200</v>
      </c>
      <c r="G128" s="70">
        <f t="shared" si="22"/>
        <v>6280345</v>
      </c>
      <c r="H128" s="70">
        <f t="shared" si="22"/>
        <v>976907</v>
      </c>
      <c r="I128" s="70">
        <f t="shared" si="22"/>
        <v>0</v>
      </c>
      <c r="J128" s="70">
        <f t="shared" si="22"/>
        <v>1027714</v>
      </c>
      <c r="K128" s="70">
        <f t="shared" si="22"/>
        <v>317714</v>
      </c>
      <c r="L128" s="70">
        <f t="shared" si="22"/>
        <v>144491</v>
      </c>
      <c r="M128" s="70">
        <f t="shared" si="22"/>
        <v>97628</v>
      </c>
      <c r="N128" s="70">
        <f t="shared" si="22"/>
        <v>710000</v>
      </c>
      <c r="O128" s="70">
        <f t="shared" si="22"/>
        <v>710000</v>
      </c>
      <c r="P128" s="70">
        <f t="shared" si="22"/>
        <v>17951914</v>
      </c>
      <c r="Q128" s="99"/>
    </row>
    <row r="129" spans="1:17" s="25" customFormat="1" ht="30">
      <c r="A129" s="23"/>
      <c r="B129" s="26" t="s">
        <v>33</v>
      </c>
      <c r="C129" s="26" t="s">
        <v>142</v>
      </c>
      <c r="D129" s="27" t="s">
        <v>34</v>
      </c>
      <c r="E129" s="35">
        <f aca="true" t="shared" si="23" ref="E129:E134">F129+I129</f>
        <v>500000</v>
      </c>
      <c r="F129" s="35">
        <f>'дод. 4'!F22</f>
        <v>500000</v>
      </c>
      <c r="G129" s="35">
        <f>'дод. 4'!G22</f>
        <v>0</v>
      </c>
      <c r="H129" s="35">
        <f>'дод. 4'!H22</f>
        <v>0</v>
      </c>
      <c r="I129" s="35">
        <f>'дод. 4'!I22</f>
        <v>0</v>
      </c>
      <c r="J129" s="35">
        <f aca="true" t="shared" si="24" ref="J129:J134">K129+N129</f>
        <v>0</v>
      </c>
      <c r="K129" s="35">
        <f>'дод. 4'!K22</f>
        <v>0</v>
      </c>
      <c r="L129" s="35">
        <f>'дод. 4'!L22</f>
        <v>0</v>
      </c>
      <c r="M129" s="35">
        <f>'дод. 4'!M22</f>
        <v>0</v>
      </c>
      <c r="N129" s="35">
        <f>'дод. 4'!N22</f>
        <v>0</v>
      </c>
      <c r="O129" s="35">
        <f>'дод. 4'!O22</f>
        <v>0</v>
      </c>
      <c r="P129" s="35">
        <f aca="true" t="shared" si="25" ref="P129:P134">E129+J129</f>
        <v>500000</v>
      </c>
      <c r="Q129" s="99"/>
    </row>
    <row r="130" spans="1:17" s="25" customFormat="1" ht="45">
      <c r="A130" s="23"/>
      <c r="B130" s="26" t="s">
        <v>35</v>
      </c>
      <c r="C130" s="26" t="s">
        <v>142</v>
      </c>
      <c r="D130" s="27" t="s">
        <v>36</v>
      </c>
      <c r="E130" s="35">
        <f t="shared" si="23"/>
        <v>523780</v>
      </c>
      <c r="F130" s="35">
        <f>'дод. 4'!F23</f>
        <v>523780</v>
      </c>
      <c r="G130" s="35">
        <f>'дод. 4'!G23</f>
        <v>0</v>
      </c>
      <c r="H130" s="35">
        <f>'дод. 4'!H23</f>
        <v>0</v>
      </c>
      <c r="I130" s="35">
        <f>'дод. 4'!I23</f>
        <v>0</v>
      </c>
      <c r="J130" s="35">
        <f t="shared" si="24"/>
        <v>0</v>
      </c>
      <c r="K130" s="35">
        <f>'дод. 4'!K23</f>
        <v>0</v>
      </c>
      <c r="L130" s="35">
        <f>'дод. 4'!L23</f>
        <v>0</v>
      </c>
      <c r="M130" s="35">
        <f>'дод. 4'!M23</f>
        <v>0</v>
      </c>
      <c r="N130" s="35">
        <f>'дод. 4'!N23</f>
        <v>0</v>
      </c>
      <c r="O130" s="35">
        <f>'дод. 4'!O23</f>
        <v>0</v>
      </c>
      <c r="P130" s="35">
        <f t="shared" si="25"/>
        <v>523780</v>
      </c>
      <c r="Q130" s="99" t="s">
        <v>342</v>
      </c>
    </row>
    <row r="131" spans="1:17" s="25" customFormat="1" ht="45">
      <c r="A131" s="23"/>
      <c r="B131" s="26" t="s">
        <v>37</v>
      </c>
      <c r="C131" s="26" t="s">
        <v>142</v>
      </c>
      <c r="D131" s="27" t="s">
        <v>38</v>
      </c>
      <c r="E131" s="35">
        <f t="shared" si="23"/>
        <v>7713195</v>
      </c>
      <c r="F131" s="35">
        <f>'дод. 4'!F24+'дод. 4'!F62</f>
        <v>7713195</v>
      </c>
      <c r="G131" s="35">
        <f>'дод. 4'!G24+'дод. 4'!G62</f>
        <v>5350039</v>
      </c>
      <c r="H131" s="35">
        <f>'дод. 4'!H24+'дод. 4'!H62</f>
        <v>592617</v>
      </c>
      <c r="I131" s="35">
        <f>'дод. 4'!I24+'дод. 4'!I62</f>
        <v>0</v>
      </c>
      <c r="J131" s="35">
        <f t="shared" si="24"/>
        <v>210000</v>
      </c>
      <c r="K131" s="35">
        <f>'дод. 4'!K24+'дод. 4'!K62</f>
        <v>0</v>
      </c>
      <c r="L131" s="35">
        <f>'дод. 4'!L24+'дод. 4'!L62</f>
        <v>0</v>
      </c>
      <c r="M131" s="35">
        <f>'дод. 4'!M24+'дод. 4'!M62</f>
        <v>0</v>
      </c>
      <c r="N131" s="35">
        <f>'дод. 4'!N24+'дод. 4'!N62</f>
        <v>210000</v>
      </c>
      <c r="O131" s="35">
        <f>'дод. 4'!O24+'дод. 4'!O62</f>
        <v>210000</v>
      </c>
      <c r="P131" s="35">
        <f t="shared" si="25"/>
        <v>7923195</v>
      </c>
      <c r="Q131" s="99"/>
    </row>
    <row r="132" spans="1:17" s="25" customFormat="1" ht="15">
      <c r="A132" s="23"/>
      <c r="B132" s="26" t="s">
        <v>39</v>
      </c>
      <c r="C132" s="26" t="s">
        <v>142</v>
      </c>
      <c r="D132" s="27" t="s">
        <v>26</v>
      </c>
      <c r="E132" s="35">
        <f t="shared" si="23"/>
        <v>2347168</v>
      </c>
      <c r="F132" s="35">
        <f>'дод. 4'!F25</f>
        <v>2347168</v>
      </c>
      <c r="G132" s="35">
        <f>'дод. 4'!G25</f>
        <v>0</v>
      </c>
      <c r="H132" s="35">
        <f>'дод. 4'!H25</f>
        <v>0</v>
      </c>
      <c r="I132" s="35">
        <f>'дод. 4'!I25</f>
        <v>0</v>
      </c>
      <c r="J132" s="35">
        <f t="shared" si="24"/>
        <v>0</v>
      </c>
      <c r="K132" s="35">
        <f>'дод. 4'!K25</f>
        <v>0</v>
      </c>
      <c r="L132" s="35">
        <f>'дод. 4'!L25</f>
        <v>0</v>
      </c>
      <c r="M132" s="35">
        <f>'дод. 4'!M25</f>
        <v>0</v>
      </c>
      <c r="N132" s="35">
        <f>'дод. 4'!N25</f>
        <v>0</v>
      </c>
      <c r="O132" s="35">
        <f>'дод. 4'!O25</f>
        <v>0</v>
      </c>
      <c r="P132" s="35">
        <f t="shared" si="25"/>
        <v>2347168</v>
      </c>
      <c r="Q132" s="99"/>
    </row>
    <row r="133" spans="1:17" s="25" customFormat="1" ht="30">
      <c r="A133" s="23"/>
      <c r="B133" s="26" t="s">
        <v>40</v>
      </c>
      <c r="C133" s="26" t="s">
        <v>142</v>
      </c>
      <c r="D133" s="27" t="s">
        <v>41</v>
      </c>
      <c r="E133" s="35">
        <f t="shared" si="23"/>
        <v>1718839</v>
      </c>
      <c r="F133" s="35">
        <f>'дод. 4'!F26</f>
        <v>1718839</v>
      </c>
      <c r="G133" s="35">
        <f>'дод. 4'!G26</f>
        <v>930306</v>
      </c>
      <c r="H133" s="35">
        <f>'дод. 4'!H26</f>
        <v>384290</v>
      </c>
      <c r="I133" s="35">
        <f>'дод. 4'!I26</f>
        <v>0</v>
      </c>
      <c r="J133" s="35">
        <f t="shared" si="24"/>
        <v>817714</v>
      </c>
      <c r="K133" s="35">
        <f>'дод. 4'!K26</f>
        <v>317714</v>
      </c>
      <c r="L133" s="35">
        <f>'дод. 4'!L26</f>
        <v>144491</v>
      </c>
      <c r="M133" s="35">
        <f>'дод. 4'!M26</f>
        <v>97628</v>
      </c>
      <c r="N133" s="35">
        <f>'дод. 4'!N26</f>
        <v>500000</v>
      </c>
      <c r="O133" s="35">
        <f>'дод. 4'!O26</f>
        <v>500000</v>
      </c>
      <c r="P133" s="35">
        <f t="shared" si="25"/>
        <v>2536553</v>
      </c>
      <c r="Q133" s="99"/>
    </row>
    <row r="134" spans="1:17" s="25" customFormat="1" ht="75">
      <c r="A134" s="23"/>
      <c r="B134" s="26" t="s">
        <v>42</v>
      </c>
      <c r="C134" s="26" t="s">
        <v>142</v>
      </c>
      <c r="D134" s="27" t="s">
        <v>43</v>
      </c>
      <c r="E134" s="35">
        <f t="shared" si="23"/>
        <v>4121218</v>
      </c>
      <c r="F134" s="35">
        <f>'дод. 4'!F27</f>
        <v>4121218</v>
      </c>
      <c r="G134" s="35">
        <f>'дод. 4'!G27</f>
        <v>0</v>
      </c>
      <c r="H134" s="35">
        <f>'дод. 4'!H27</f>
        <v>0</v>
      </c>
      <c r="I134" s="35">
        <f>'дод. 4'!I27</f>
        <v>0</v>
      </c>
      <c r="J134" s="35">
        <f t="shared" si="24"/>
        <v>0</v>
      </c>
      <c r="K134" s="35">
        <f>'дод. 4'!K27</f>
        <v>0</v>
      </c>
      <c r="L134" s="35">
        <f>'дод. 4'!L27</f>
        <v>0</v>
      </c>
      <c r="M134" s="35">
        <f>'дод. 4'!M27</f>
        <v>0</v>
      </c>
      <c r="N134" s="35">
        <f>'дод. 4'!N27</f>
        <v>0</v>
      </c>
      <c r="O134" s="35">
        <f>'дод. 4'!O27</f>
        <v>0</v>
      </c>
      <c r="P134" s="35">
        <f t="shared" si="25"/>
        <v>4121218</v>
      </c>
      <c r="Q134" s="99"/>
    </row>
    <row r="135" spans="1:17" s="25" customFormat="1" ht="15">
      <c r="A135" s="23"/>
      <c r="B135" s="66" t="s">
        <v>232</v>
      </c>
      <c r="C135" s="67"/>
      <c r="D135" s="67" t="s">
        <v>233</v>
      </c>
      <c r="E135" s="70">
        <f>E136+E137</f>
        <v>764000</v>
      </c>
      <c r="F135" s="70">
        <f aca="true" t="shared" si="26" ref="F135:P135">F136+F137</f>
        <v>99000</v>
      </c>
      <c r="G135" s="70">
        <f t="shared" si="26"/>
        <v>0</v>
      </c>
      <c r="H135" s="70">
        <f t="shared" si="26"/>
        <v>0</v>
      </c>
      <c r="I135" s="70">
        <f t="shared" si="26"/>
        <v>665000</v>
      </c>
      <c r="J135" s="70">
        <f t="shared" si="26"/>
        <v>140801584.94</v>
      </c>
      <c r="K135" s="70">
        <f t="shared" si="26"/>
        <v>0</v>
      </c>
      <c r="L135" s="70">
        <f t="shared" si="26"/>
        <v>0</v>
      </c>
      <c r="M135" s="70">
        <f t="shared" si="26"/>
        <v>0</v>
      </c>
      <c r="N135" s="70">
        <f t="shared" si="26"/>
        <v>140801584.94</v>
      </c>
      <c r="O135" s="70">
        <f t="shared" si="26"/>
        <v>140801584.94</v>
      </c>
      <c r="P135" s="70">
        <f t="shared" si="26"/>
        <v>141565584.94</v>
      </c>
      <c r="Q135" s="99"/>
    </row>
    <row r="136" spans="1:17" s="25" customFormat="1" ht="15">
      <c r="A136" s="23"/>
      <c r="B136" s="26" t="s">
        <v>129</v>
      </c>
      <c r="C136" s="26" t="s">
        <v>145</v>
      </c>
      <c r="D136" s="27" t="s">
        <v>130</v>
      </c>
      <c r="E136" s="35">
        <f>F136+I136</f>
        <v>0</v>
      </c>
      <c r="F136" s="35">
        <f>'дод. 4'!F184</f>
        <v>0</v>
      </c>
      <c r="G136" s="35">
        <f>'дод. 4'!G184</f>
        <v>0</v>
      </c>
      <c r="H136" s="35">
        <f>'дод. 4'!H184</f>
        <v>0</v>
      </c>
      <c r="I136" s="35">
        <f>'дод. 4'!I184</f>
        <v>0</v>
      </c>
      <c r="J136" s="35">
        <f>K136+N136</f>
        <v>140801584.94</v>
      </c>
      <c r="K136" s="35">
        <f>'дод. 4'!K184</f>
        <v>0</v>
      </c>
      <c r="L136" s="35">
        <f>'дод. 4'!L184</f>
        <v>0</v>
      </c>
      <c r="M136" s="35">
        <f>'дод. 4'!M184</f>
        <v>0</v>
      </c>
      <c r="N136" s="35">
        <f>'дод. 4'!N184</f>
        <v>140801584.94</v>
      </c>
      <c r="O136" s="35">
        <f>'дод. 4'!O184</f>
        <v>140801584.94</v>
      </c>
      <c r="P136" s="35">
        <f>E136+J136</f>
        <v>140801584.94</v>
      </c>
      <c r="Q136" s="99"/>
    </row>
    <row r="137" spans="1:17" s="25" customFormat="1" ht="30">
      <c r="A137" s="23"/>
      <c r="B137" s="26" t="s">
        <v>196</v>
      </c>
      <c r="C137" s="26" t="s">
        <v>198</v>
      </c>
      <c r="D137" s="27" t="s">
        <v>197</v>
      </c>
      <c r="E137" s="35">
        <f>F137+I137</f>
        <v>764000</v>
      </c>
      <c r="F137" s="35">
        <f>'дод. 4'!F164+'дод. 4'!F28+'дод. 4'!F185</f>
        <v>99000</v>
      </c>
      <c r="G137" s="35">
        <f>'дод. 4'!G164+'дод. 4'!G28+'дод. 4'!G185</f>
        <v>0</v>
      </c>
      <c r="H137" s="35">
        <f>'дод. 4'!H164+'дод. 4'!H28+'дод. 4'!H185</f>
        <v>0</v>
      </c>
      <c r="I137" s="35">
        <f>'дод. 4'!I164+'дод. 4'!I28+'дод. 4'!I185</f>
        <v>665000</v>
      </c>
      <c r="J137" s="35">
        <f>K137+N137</f>
        <v>0</v>
      </c>
      <c r="K137" s="35">
        <f>'дод. 4'!K164+'дод. 4'!K28+'дод. 4'!K185</f>
        <v>0</v>
      </c>
      <c r="L137" s="35">
        <f>'дод. 4'!L164+'дод. 4'!L28+'дод. 4'!L185</f>
        <v>0</v>
      </c>
      <c r="M137" s="35">
        <f>'дод. 4'!M164+'дод. 4'!M28+'дод. 4'!M185</f>
        <v>0</v>
      </c>
      <c r="N137" s="35">
        <f>'дод. 4'!N164+'дод. 4'!N28+'дод. 4'!N185</f>
        <v>0</v>
      </c>
      <c r="O137" s="35">
        <f>'дод. 4'!O164+'дод. 4'!O28+'дод. 4'!O185</f>
        <v>0</v>
      </c>
      <c r="P137" s="35">
        <f>E137+J137</f>
        <v>764000</v>
      </c>
      <c r="Q137" s="99"/>
    </row>
    <row r="138" spans="1:17" s="25" customFormat="1" ht="28.5">
      <c r="A138" s="23"/>
      <c r="B138" s="66" t="s">
        <v>234</v>
      </c>
      <c r="C138" s="67"/>
      <c r="D138" s="67" t="s">
        <v>235</v>
      </c>
      <c r="E138" s="70">
        <f>E139</f>
        <v>1725500</v>
      </c>
      <c r="F138" s="70">
        <f aca="true" t="shared" si="27" ref="F138:P138">F139</f>
        <v>1725500</v>
      </c>
      <c r="G138" s="70">
        <f t="shared" si="27"/>
        <v>0</v>
      </c>
      <c r="H138" s="70">
        <f t="shared" si="27"/>
        <v>0</v>
      </c>
      <c r="I138" s="70">
        <f t="shared" si="27"/>
        <v>0</v>
      </c>
      <c r="J138" s="70">
        <f t="shared" si="27"/>
        <v>148000</v>
      </c>
      <c r="K138" s="70">
        <f t="shared" si="27"/>
        <v>0</v>
      </c>
      <c r="L138" s="70">
        <f t="shared" si="27"/>
        <v>0</v>
      </c>
      <c r="M138" s="70">
        <f t="shared" si="27"/>
        <v>0</v>
      </c>
      <c r="N138" s="70">
        <f t="shared" si="27"/>
        <v>148000</v>
      </c>
      <c r="O138" s="70">
        <f t="shared" si="27"/>
        <v>148000</v>
      </c>
      <c r="P138" s="70">
        <f t="shared" si="27"/>
        <v>1873500</v>
      </c>
      <c r="Q138" s="99"/>
    </row>
    <row r="139" spans="1:17" s="25" customFormat="1" ht="15">
      <c r="A139" s="23"/>
      <c r="B139" s="26" t="s">
        <v>123</v>
      </c>
      <c r="C139" s="26" t="s">
        <v>175</v>
      </c>
      <c r="D139" s="27" t="s">
        <v>124</v>
      </c>
      <c r="E139" s="35">
        <f>F139+I139</f>
        <v>1725500</v>
      </c>
      <c r="F139" s="35">
        <f>'дод. 4'!F178+'дод. 4'!F195+'дод. 4'!F165+'дод. 4'!F186</f>
        <v>1725500</v>
      </c>
      <c r="G139" s="35">
        <f>'дод. 4'!G178+'дод. 4'!G195+'дод. 4'!G165+'дод. 4'!G186</f>
        <v>0</v>
      </c>
      <c r="H139" s="35">
        <f>'дод. 4'!H178+'дод. 4'!H195+'дод. 4'!H165+'дод. 4'!H186</f>
        <v>0</v>
      </c>
      <c r="I139" s="35">
        <f>'дод. 4'!I178+'дод. 4'!I195+'дод. 4'!I165+'дод. 4'!I186</f>
        <v>0</v>
      </c>
      <c r="J139" s="35">
        <f>K139+N139</f>
        <v>148000</v>
      </c>
      <c r="K139" s="35">
        <f>'дод. 4'!K178+'дод. 4'!K195+'дод. 4'!K165+'дод. 4'!K186</f>
        <v>0</v>
      </c>
      <c r="L139" s="35">
        <f>'дод. 4'!L178+'дод. 4'!L195+'дод. 4'!L165+'дод. 4'!L186</f>
        <v>0</v>
      </c>
      <c r="M139" s="35">
        <f>'дод. 4'!M178+'дод. 4'!M195+'дод. 4'!M165+'дод. 4'!M186</f>
        <v>0</v>
      </c>
      <c r="N139" s="35">
        <f>'дод. 4'!N178+'дод. 4'!N195+'дод. 4'!N165+'дод. 4'!N186</f>
        <v>148000</v>
      </c>
      <c r="O139" s="35">
        <f>'дод. 4'!O178+'дод. 4'!O195+'дод. 4'!O165+'дод. 4'!O186</f>
        <v>148000</v>
      </c>
      <c r="P139" s="35">
        <f>E139+J139</f>
        <v>1873500</v>
      </c>
      <c r="Q139" s="99"/>
    </row>
    <row r="140" spans="1:18" s="25" customFormat="1" ht="42.75">
      <c r="A140" s="23"/>
      <c r="B140" s="66" t="s">
        <v>236</v>
      </c>
      <c r="C140" s="67"/>
      <c r="D140" s="67" t="s">
        <v>237</v>
      </c>
      <c r="E140" s="70">
        <f>E141+E142+E143+E144+E145</f>
        <v>18511340</v>
      </c>
      <c r="F140" s="70">
        <f aca="true" t="shared" si="28" ref="F140:O140">F141+F142+F143+F144+F145</f>
        <v>162500</v>
      </c>
      <c r="G140" s="70">
        <f t="shared" si="28"/>
        <v>0</v>
      </c>
      <c r="H140" s="70">
        <f t="shared" si="28"/>
        <v>0</v>
      </c>
      <c r="I140" s="70">
        <f t="shared" si="28"/>
        <v>18348840</v>
      </c>
      <c r="J140" s="70">
        <f t="shared" si="28"/>
        <v>0</v>
      </c>
      <c r="K140" s="70">
        <f t="shared" si="28"/>
        <v>0</v>
      </c>
      <c r="L140" s="70">
        <f t="shared" si="28"/>
        <v>0</v>
      </c>
      <c r="M140" s="70">
        <f t="shared" si="28"/>
        <v>0</v>
      </c>
      <c r="N140" s="70">
        <f t="shared" si="28"/>
        <v>0</v>
      </c>
      <c r="O140" s="70">
        <f t="shared" si="28"/>
        <v>0</v>
      </c>
      <c r="P140" s="70">
        <f>P141+P142+P143+P144+P145</f>
        <v>18511340</v>
      </c>
      <c r="Q140" s="99"/>
      <c r="R140" s="48"/>
    </row>
    <row r="141" spans="1:17" s="25" customFormat="1" ht="30">
      <c r="A141" s="23"/>
      <c r="B141" s="26" t="s">
        <v>200</v>
      </c>
      <c r="C141" s="26" t="s">
        <v>203</v>
      </c>
      <c r="D141" s="27" t="s">
        <v>202</v>
      </c>
      <c r="E141" s="35">
        <f>F141+I141</f>
        <v>1642000</v>
      </c>
      <c r="F141" s="35">
        <f>'дод. 4'!F29</f>
        <v>0</v>
      </c>
      <c r="G141" s="35">
        <f>'дод. 4'!G29</f>
        <v>0</v>
      </c>
      <c r="H141" s="35">
        <f>'дод. 4'!H29</f>
        <v>0</v>
      </c>
      <c r="I141" s="35">
        <f>'дод. 4'!I29</f>
        <v>1642000</v>
      </c>
      <c r="J141" s="35">
        <f>K141+N141</f>
        <v>0</v>
      </c>
      <c r="K141" s="35">
        <f>'дод. 4'!K29</f>
        <v>0</v>
      </c>
      <c r="L141" s="35">
        <f>'дод. 4'!L29</f>
        <v>0</v>
      </c>
      <c r="M141" s="35">
        <f>'дод. 4'!M29</f>
        <v>0</v>
      </c>
      <c r="N141" s="35">
        <f>'дод. 4'!N29</f>
        <v>0</v>
      </c>
      <c r="O141" s="35">
        <f>'дод. 4'!O29</f>
        <v>0</v>
      </c>
      <c r="P141" s="35">
        <f>E141+J141</f>
        <v>1642000</v>
      </c>
      <c r="Q141" s="99"/>
    </row>
    <row r="142" spans="1:17" s="25" customFormat="1" ht="30">
      <c r="A142" s="23"/>
      <c r="B142" s="26" t="s">
        <v>320</v>
      </c>
      <c r="C142" s="26" t="s">
        <v>203</v>
      </c>
      <c r="D142" s="27" t="s">
        <v>321</v>
      </c>
      <c r="E142" s="35">
        <f>F142+I142</f>
        <v>2447500</v>
      </c>
      <c r="F142" s="35">
        <f>'дод. 4'!F30</f>
        <v>0</v>
      </c>
      <c r="G142" s="35">
        <f>'дод. 4'!G30</f>
        <v>0</v>
      </c>
      <c r="H142" s="35">
        <f>'дод. 4'!H30</f>
        <v>0</v>
      </c>
      <c r="I142" s="35">
        <f>'дод. 4'!I30</f>
        <v>2447500</v>
      </c>
      <c r="J142" s="35">
        <f>K142+N142</f>
        <v>0</v>
      </c>
      <c r="K142" s="35">
        <f>'дод. 4'!K30</f>
        <v>0</v>
      </c>
      <c r="L142" s="35">
        <f>'дод. 4'!L30</f>
        <v>0</v>
      </c>
      <c r="M142" s="35">
        <f>'дод. 4'!M30</f>
        <v>0</v>
      </c>
      <c r="N142" s="35">
        <f>'дод. 4'!N30</f>
        <v>0</v>
      </c>
      <c r="O142" s="35">
        <f>'дод. 4'!O30</f>
        <v>0</v>
      </c>
      <c r="P142" s="35">
        <f>E142+J142</f>
        <v>2447500</v>
      </c>
      <c r="Q142" s="99"/>
    </row>
    <row r="143" spans="1:17" s="25" customFormat="1" ht="30">
      <c r="A143" s="23"/>
      <c r="B143" s="26" t="s">
        <v>201</v>
      </c>
      <c r="C143" s="26" t="s">
        <v>205</v>
      </c>
      <c r="D143" s="27" t="s">
        <v>204</v>
      </c>
      <c r="E143" s="35">
        <f>F143+I143</f>
        <v>3607600</v>
      </c>
      <c r="F143" s="35">
        <f>'дод. 4'!F31</f>
        <v>0</v>
      </c>
      <c r="G143" s="35">
        <f>'дод. 4'!G31</f>
        <v>0</v>
      </c>
      <c r="H143" s="35">
        <f>'дод. 4'!H31</f>
        <v>0</v>
      </c>
      <c r="I143" s="35">
        <f>'дод. 4'!I31</f>
        <v>3607600</v>
      </c>
      <c r="J143" s="35">
        <f>K143+N143</f>
        <v>0</v>
      </c>
      <c r="K143" s="35">
        <f>'дод. 4'!K31</f>
        <v>0</v>
      </c>
      <c r="L143" s="35">
        <f>'дод. 4'!L31</f>
        <v>0</v>
      </c>
      <c r="M143" s="35">
        <f>'дод. 4'!M31</f>
        <v>0</v>
      </c>
      <c r="N143" s="35">
        <f>'дод. 4'!N31</f>
        <v>0</v>
      </c>
      <c r="O143" s="35">
        <f>'дод. 4'!O31</f>
        <v>0</v>
      </c>
      <c r="P143" s="35">
        <f>E143+J143</f>
        <v>3607600</v>
      </c>
      <c r="Q143" s="99"/>
    </row>
    <row r="144" spans="1:17" s="25" customFormat="1" ht="45">
      <c r="A144" s="23"/>
      <c r="B144" s="26" t="s">
        <v>107</v>
      </c>
      <c r="C144" s="26" t="s">
        <v>165</v>
      </c>
      <c r="D144" s="27" t="s">
        <v>108</v>
      </c>
      <c r="E144" s="35">
        <f>F144+I144</f>
        <v>162500</v>
      </c>
      <c r="F144" s="35">
        <f>'дод. 4'!F32+'дод. 4'!F144</f>
        <v>162500</v>
      </c>
      <c r="G144" s="35">
        <f>'дод. 4'!G32+'дод. 4'!G144</f>
        <v>0</v>
      </c>
      <c r="H144" s="35">
        <f>'дод. 4'!H32+'дод. 4'!H144</f>
        <v>0</v>
      </c>
      <c r="I144" s="35">
        <f>'дод. 4'!I32+'дод. 4'!I144</f>
        <v>0</v>
      </c>
      <c r="J144" s="35">
        <f>K144+N144</f>
        <v>0</v>
      </c>
      <c r="K144" s="35">
        <f>'дод. 4'!K32+'дод. 4'!K144</f>
        <v>0</v>
      </c>
      <c r="L144" s="35">
        <f>'дод. 4'!L32+'дод. 4'!L144</f>
        <v>0</v>
      </c>
      <c r="M144" s="35">
        <f>'дод. 4'!M32+'дод. 4'!M144</f>
        <v>0</v>
      </c>
      <c r="N144" s="35">
        <f>'дод. 4'!N32+'дод. 4'!N144</f>
        <v>0</v>
      </c>
      <c r="O144" s="35">
        <f>'дод. 4'!O32+'дод. 4'!O144</f>
        <v>0</v>
      </c>
      <c r="P144" s="35">
        <f>E144+J144</f>
        <v>162500</v>
      </c>
      <c r="Q144" s="99"/>
    </row>
    <row r="145" spans="1:17" s="25" customFormat="1" ht="15">
      <c r="A145" s="23"/>
      <c r="B145" s="26" t="s">
        <v>44</v>
      </c>
      <c r="C145" s="26" t="s">
        <v>143</v>
      </c>
      <c r="D145" s="27" t="s">
        <v>45</v>
      </c>
      <c r="E145" s="35">
        <f>F145+I145</f>
        <v>10651740</v>
      </c>
      <c r="F145" s="35">
        <f>'дод. 4'!F33</f>
        <v>0</v>
      </c>
      <c r="G145" s="35">
        <f>'дод. 4'!G33</f>
        <v>0</v>
      </c>
      <c r="H145" s="35">
        <f>'дод. 4'!H33</f>
        <v>0</v>
      </c>
      <c r="I145" s="35">
        <f>'дод. 4'!I33</f>
        <v>10651740</v>
      </c>
      <c r="J145" s="35">
        <f>K145+N145</f>
        <v>0</v>
      </c>
      <c r="K145" s="35">
        <f>'дод. 4'!K33</f>
        <v>0</v>
      </c>
      <c r="L145" s="35">
        <f>'дод. 4'!L33</f>
        <v>0</v>
      </c>
      <c r="M145" s="35">
        <f>'дод. 4'!M33</f>
        <v>0</v>
      </c>
      <c r="N145" s="35">
        <f>'дод. 4'!N33</f>
        <v>0</v>
      </c>
      <c r="O145" s="35">
        <f>'дод. 4'!O33</f>
        <v>0</v>
      </c>
      <c r="P145" s="35">
        <f>E145+J145</f>
        <v>10651740</v>
      </c>
      <c r="Q145" s="99"/>
    </row>
    <row r="146" spans="1:17" s="25" customFormat="1" ht="28.5">
      <c r="A146" s="23"/>
      <c r="B146" s="66" t="s">
        <v>238</v>
      </c>
      <c r="C146" s="67"/>
      <c r="D146" s="67" t="s">
        <v>239</v>
      </c>
      <c r="E146" s="70">
        <f>E147+E148+E149+E150</f>
        <v>1952300</v>
      </c>
      <c r="F146" s="70">
        <f aca="true" t="shared" si="29" ref="F146:P146">F147+F148+F149+F150</f>
        <v>1922300</v>
      </c>
      <c r="G146" s="70">
        <f t="shared" si="29"/>
        <v>0</v>
      </c>
      <c r="H146" s="70">
        <f t="shared" si="29"/>
        <v>0</v>
      </c>
      <c r="I146" s="70">
        <f t="shared" si="29"/>
        <v>30000</v>
      </c>
      <c r="J146" s="70">
        <f t="shared" si="29"/>
        <v>82946509</v>
      </c>
      <c r="K146" s="70">
        <f t="shared" si="29"/>
        <v>0</v>
      </c>
      <c r="L146" s="70">
        <f t="shared" si="29"/>
        <v>0</v>
      </c>
      <c r="M146" s="70">
        <f t="shared" si="29"/>
        <v>0</v>
      </c>
      <c r="N146" s="70">
        <f t="shared" si="29"/>
        <v>82946509</v>
      </c>
      <c r="O146" s="70">
        <f t="shared" si="29"/>
        <v>82946509</v>
      </c>
      <c r="P146" s="70">
        <f t="shared" si="29"/>
        <v>84898809</v>
      </c>
      <c r="Q146" s="99"/>
    </row>
    <row r="147" spans="1:17" s="25" customFormat="1" ht="15">
      <c r="A147" s="23"/>
      <c r="B147" s="26" t="s">
        <v>125</v>
      </c>
      <c r="C147" s="26" t="s">
        <v>176</v>
      </c>
      <c r="D147" s="27" t="s">
        <v>126</v>
      </c>
      <c r="E147" s="35">
        <f>F147+I147</f>
        <v>1030000</v>
      </c>
      <c r="F147" s="35">
        <f>'дод. 4'!F166</f>
        <v>1000000</v>
      </c>
      <c r="G147" s="35">
        <f>'дод. 4'!G166</f>
        <v>0</v>
      </c>
      <c r="H147" s="35">
        <f>'дод. 4'!H166</f>
        <v>0</v>
      </c>
      <c r="I147" s="35">
        <f>'дод. 4'!I166</f>
        <v>30000</v>
      </c>
      <c r="J147" s="35">
        <f>K147+N147</f>
        <v>0</v>
      </c>
      <c r="K147" s="35">
        <f>'дод. 4'!K166</f>
        <v>0</v>
      </c>
      <c r="L147" s="35">
        <f>'дод. 4'!L166</f>
        <v>0</v>
      </c>
      <c r="M147" s="35">
        <f>'дод. 4'!M166</f>
        <v>0</v>
      </c>
      <c r="N147" s="35">
        <f>'дод. 4'!N166</f>
        <v>0</v>
      </c>
      <c r="O147" s="35">
        <f>'дод. 4'!O166</f>
        <v>0</v>
      </c>
      <c r="P147" s="35">
        <f>E147+J147</f>
        <v>1030000</v>
      </c>
      <c r="Q147" s="99"/>
    </row>
    <row r="148" spans="1:17" s="25" customFormat="1" ht="30">
      <c r="A148" s="23"/>
      <c r="B148" s="26" t="s">
        <v>46</v>
      </c>
      <c r="C148" s="26" t="s">
        <v>144</v>
      </c>
      <c r="D148" s="27" t="s">
        <v>47</v>
      </c>
      <c r="E148" s="35">
        <f>F148+I148</f>
        <v>85000</v>
      </c>
      <c r="F148" s="35">
        <f>'дод. 4'!F34</f>
        <v>85000</v>
      </c>
      <c r="G148" s="35">
        <f>'дод. 4'!G34</f>
        <v>0</v>
      </c>
      <c r="H148" s="35">
        <f>'дод. 4'!H34</f>
        <v>0</v>
      </c>
      <c r="I148" s="35">
        <f>'дод. 4'!I34</f>
        <v>0</v>
      </c>
      <c r="J148" s="35">
        <f>K148+N148</f>
        <v>0</v>
      </c>
      <c r="K148" s="35">
        <f>'дод. 4'!K34</f>
        <v>0</v>
      </c>
      <c r="L148" s="35">
        <f>'дод. 4'!L34</f>
        <v>0</v>
      </c>
      <c r="M148" s="35">
        <f>'дод. 4'!M34</f>
        <v>0</v>
      </c>
      <c r="N148" s="35">
        <f>'дод. 4'!N34</f>
        <v>0</v>
      </c>
      <c r="O148" s="35">
        <f>'дод. 4'!O34</f>
        <v>0</v>
      </c>
      <c r="P148" s="35">
        <f>E148+J148</f>
        <v>85000</v>
      </c>
      <c r="Q148" s="99"/>
    </row>
    <row r="149" spans="1:17" s="25" customFormat="1" ht="60">
      <c r="A149" s="23"/>
      <c r="B149" s="26" t="s">
        <v>48</v>
      </c>
      <c r="C149" s="26" t="s">
        <v>145</v>
      </c>
      <c r="D149" s="27" t="s">
        <v>49</v>
      </c>
      <c r="E149" s="35">
        <f>F149+I149</f>
        <v>0</v>
      </c>
      <c r="F149" s="35">
        <f>'дод. 4'!F35+'дод. 4'!F167+'дод. 4'!F187+'дод. 4'!F196</f>
        <v>0</v>
      </c>
      <c r="G149" s="35">
        <f>'дод. 4'!G35+'дод. 4'!G167+'дод. 4'!G187+'дод. 4'!G196</f>
        <v>0</v>
      </c>
      <c r="H149" s="35">
        <f>'дод. 4'!H35+'дод. 4'!H167+'дод. 4'!H187+'дод. 4'!H196</f>
        <v>0</v>
      </c>
      <c r="I149" s="35">
        <f>'дод. 4'!I35+'дод. 4'!I167+'дод. 4'!I187+'дод. 4'!I196</f>
        <v>0</v>
      </c>
      <c r="J149" s="35">
        <f>K149+N149</f>
        <v>82946509</v>
      </c>
      <c r="K149" s="35">
        <f>'дод. 4'!K35+'дод. 4'!K167+'дод. 4'!K187+'дод. 4'!K196</f>
        <v>0</v>
      </c>
      <c r="L149" s="35">
        <f>'дод. 4'!L35+'дод. 4'!L167+'дод. 4'!L187+'дод. 4'!L196</f>
        <v>0</v>
      </c>
      <c r="M149" s="35">
        <f>'дод. 4'!M35+'дод. 4'!M167+'дод. 4'!M187+'дод. 4'!M196</f>
        <v>0</v>
      </c>
      <c r="N149" s="35">
        <f>'дод. 4'!N35+'дод. 4'!N167+'дод. 4'!N187+'дод. 4'!N196</f>
        <v>82946509</v>
      </c>
      <c r="O149" s="35">
        <f>'дод. 4'!O35+'дод. 4'!O167+'дод. 4'!O187+'дод. 4'!O196</f>
        <v>82946509</v>
      </c>
      <c r="P149" s="35">
        <f>E149+J149</f>
        <v>82946509</v>
      </c>
      <c r="Q149" s="99"/>
    </row>
    <row r="150" spans="1:17" s="25" customFormat="1" ht="30">
      <c r="A150" s="23"/>
      <c r="B150" s="26" t="s">
        <v>50</v>
      </c>
      <c r="C150" s="26" t="s">
        <v>144</v>
      </c>
      <c r="D150" s="27" t="s">
        <v>51</v>
      </c>
      <c r="E150" s="35">
        <f>F150+I150</f>
        <v>837300</v>
      </c>
      <c r="F150" s="35">
        <f>'дод. 4'!F36</f>
        <v>837300</v>
      </c>
      <c r="G150" s="35">
        <f>'дод. 4'!G36</f>
        <v>0</v>
      </c>
      <c r="H150" s="35">
        <f>'дод. 4'!H36</f>
        <v>0</v>
      </c>
      <c r="I150" s="35">
        <f>'дод. 4'!I36</f>
        <v>0</v>
      </c>
      <c r="J150" s="35">
        <f>K150+N150</f>
        <v>0</v>
      </c>
      <c r="K150" s="35">
        <f>'дод. 4'!K36</f>
        <v>0</v>
      </c>
      <c r="L150" s="35">
        <f>'дод. 4'!L36</f>
        <v>0</v>
      </c>
      <c r="M150" s="35">
        <f>'дод. 4'!M36</f>
        <v>0</v>
      </c>
      <c r="N150" s="35">
        <f>'дод. 4'!N36</f>
        <v>0</v>
      </c>
      <c r="O150" s="35">
        <f>'дод. 4'!O36</f>
        <v>0</v>
      </c>
      <c r="P150" s="35">
        <f>E150+J150</f>
        <v>837300</v>
      </c>
      <c r="Q150" s="99"/>
    </row>
    <row r="151" spans="1:17" s="25" customFormat="1" ht="28.5">
      <c r="A151" s="23"/>
      <c r="B151" s="68" t="s">
        <v>247</v>
      </c>
      <c r="C151" s="68"/>
      <c r="D151" s="67" t="s">
        <v>248</v>
      </c>
      <c r="E151" s="70">
        <f>E152</f>
        <v>158800</v>
      </c>
      <c r="F151" s="70">
        <f aca="true" t="shared" si="30" ref="F151:P151">F152</f>
        <v>158800</v>
      </c>
      <c r="G151" s="70">
        <f t="shared" si="30"/>
        <v>0</v>
      </c>
      <c r="H151" s="70">
        <f t="shared" si="30"/>
        <v>0</v>
      </c>
      <c r="I151" s="70">
        <f t="shared" si="30"/>
        <v>0</v>
      </c>
      <c r="J151" s="70">
        <f t="shared" si="30"/>
        <v>0</v>
      </c>
      <c r="K151" s="70">
        <f t="shared" si="30"/>
        <v>0</v>
      </c>
      <c r="L151" s="70">
        <f t="shared" si="30"/>
        <v>0</v>
      </c>
      <c r="M151" s="70">
        <f t="shared" si="30"/>
        <v>0</v>
      </c>
      <c r="N151" s="70">
        <f t="shared" si="30"/>
        <v>0</v>
      </c>
      <c r="O151" s="70">
        <f t="shared" si="30"/>
        <v>0</v>
      </c>
      <c r="P151" s="70">
        <f t="shared" si="30"/>
        <v>158800</v>
      </c>
      <c r="Q151" s="99"/>
    </row>
    <row r="152" spans="1:17" s="25" customFormat="1" ht="15">
      <c r="A152" s="23"/>
      <c r="B152" s="26" t="s">
        <v>199</v>
      </c>
      <c r="C152" s="26" t="s">
        <v>156</v>
      </c>
      <c r="D152" s="27" t="s">
        <v>81</v>
      </c>
      <c r="E152" s="35">
        <f>F152+I152</f>
        <v>158800</v>
      </c>
      <c r="F152" s="35">
        <f>'дод. 4'!F168</f>
        <v>158800</v>
      </c>
      <c r="G152" s="35">
        <f>'дод. 4'!G168</f>
        <v>0</v>
      </c>
      <c r="H152" s="35">
        <f>'дод. 4'!H168</f>
        <v>0</v>
      </c>
      <c r="I152" s="35">
        <f>'дод. 4'!I168</f>
        <v>0</v>
      </c>
      <c r="J152" s="35">
        <f>K152+N152</f>
        <v>0</v>
      </c>
      <c r="K152" s="35">
        <f>'дод. 4'!K168</f>
        <v>0</v>
      </c>
      <c r="L152" s="35">
        <f>'дод. 4'!L168</f>
        <v>0</v>
      </c>
      <c r="M152" s="35">
        <f>'дод. 4'!M168</f>
        <v>0</v>
      </c>
      <c r="N152" s="35">
        <f>'дод. 4'!N168</f>
        <v>0</v>
      </c>
      <c r="O152" s="35">
        <f>'дод. 4'!O168</f>
        <v>0</v>
      </c>
      <c r="P152" s="35">
        <f>E152+J152</f>
        <v>158800</v>
      </c>
      <c r="Q152" s="99" t="s">
        <v>343</v>
      </c>
    </row>
    <row r="153" spans="1:17" s="25" customFormat="1" ht="42.75">
      <c r="A153" s="23"/>
      <c r="B153" s="66" t="s">
        <v>240</v>
      </c>
      <c r="C153" s="67"/>
      <c r="D153" s="67" t="s">
        <v>241</v>
      </c>
      <c r="E153" s="70">
        <f>E154+E155</f>
        <v>1059826</v>
      </c>
      <c r="F153" s="70">
        <f aca="true" t="shared" si="31" ref="F153:P153">F154+F155</f>
        <v>1059826</v>
      </c>
      <c r="G153" s="70">
        <f t="shared" si="31"/>
        <v>638100</v>
      </c>
      <c r="H153" s="70">
        <f t="shared" si="31"/>
        <v>50677</v>
      </c>
      <c r="I153" s="70">
        <f t="shared" si="31"/>
        <v>0</v>
      </c>
      <c r="J153" s="70">
        <f t="shared" si="31"/>
        <v>348574</v>
      </c>
      <c r="K153" s="70">
        <f t="shared" si="31"/>
        <v>4700</v>
      </c>
      <c r="L153" s="70">
        <f t="shared" si="31"/>
        <v>0</v>
      </c>
      <c r="M153" s="70">
        <f t="shared" si="31"/>
        <v>720</v>
      </c>
      <c r="N153" s="70">
        <f t="shared" si="31"/>
        <v>343874</v>
      </c>
      <c r="O153" s="70">
        <f t="shared" si="31"/>
        <v>343874</v>
      </c>
      <c r="P153" s="70">
        <f t="shared" si="31"/>
        <v>1408400</v>
      </c>
      <c r="Q153" s="99"/>
    </row>
    <row r="154" spans="1:17" s="25" customFormat="1" ht="45">
      <c r="A154" s="23"/>
      <c r="B154" s="26" t="s">
        <v>52</v>
      </c>
      <c r="C154" s="26" t="s">
        <v>146</v>
      </c>
      <c r="D154" s="27" t="s">
        <v>53</v>
      </c>
      <c r="E154" s="35">
        <f>F154+I154</f>
        <v>162726</v>
      </c>
      <c r="F154" s="35">
        <f>'дод. 4'!F37</f>
        <v>162726</v>
      </c>
      <c r="G154" s="35">
        <f>'дод. 4'!G37</f>
        <v>0</v>
      </c>
      <c r="H154" s="35">
        <f>'дод. 4'!H37</f>
        <v>4300</v>
      </c>
      <c r="I154" s="35">
        <f>'дод. 4'!I37</f>
        <v>0</v>
      </c>
      <c r="J154" s="35">
        <f>K154+N154</f>
        <v>343874</v>
      </c>
      <c r="K154" s="35">
        <f>'дод. 4'!K37</f>
        <v>0</v>
      </c>
      <c r="L154" s="35">
        <f>'дод. 4'!L37</f>
        <v>0</v>
      </c>
      <c r="M154" s="35">
        <f>'дод. 4'!M37</f>
        <v>0</v>
      </c>
      <c r="N154" s="35">
        <f>'дод. 4'!N37</f>
        <v>343874</v>
      </c>
      <c r="O154" s="35">
        <f>'дод. 4'!O37</f>
        <v>343874</v>
      </c>
      <c r="P154" s="35">
        <f>E154+J154</f>
        <v>506600</v>
      </c>
      <c r="Q154" s="99"/>
    </row>
    <row r="155" spans="1:17" s="25" customFormat="1" ht="15">
      <c r="A155" s="23"/>
      <c r="B155" s="29" t="s">
        <v>54</v>
      </c>
      <c r="C155" s="29" t="s">
        <v>147</v>
      </c>
      <c r="D155" s="27" t="s">
        <v>55</v>
      </c>
      <c r="E155" s="35">
        <f>F155+I155</f>
        <v>897100</v>
      </c>
      <c r="F155" s="35">
        <f>'дод. 4'!F38</f>
        <v>897100</v>
      </c>
      <c r="G155" s="35">
        <f>'дод. 4'!G38</f>
        <v>638100</v>
      </c>
      <c r="H155" s="35">
        <f>'дод. 4'!H38</f>
        <v>46377</v>
      </c>
      <c r="I155" s="35">
        <f>'дод. 4'!I38</f>
        <v>0</v>
      </c>
      <c r="J155" s="35">
        <f>K155+N155</f>
        <v>4700</v>
      </c>
      <c r="K155" s="35">
        <f>'дод. 4'!K38</f>
        <v>4700</v>
      </c>
      <c r="L155" s="35">
        <f>'дод. 4'!L38</f>
        <v>0</v>
      </c>
      <c r="M155" s="35">
        <f>'дод. 4'!M38</f>
        <v>720</v>
      </c>
      <c r="N155" s="35">
        <f>'дод. 4'!N38</f>
        <v>0</v>
      </c>
      <c r="O155" s="35">
        <f>'дод. 4'!O38</f>
        <v>0</v>
      </c>
      <c r="P155" s="35">
        <f>E155+J155</f>
        <v>901800</v>
      </c>
      <c r="Q155" s="99"/>
    </row>
    <row r="156" spans="1:17" s="25" customFormat="1" ht="15">
      <c r="A156" s="23"/>
      <c r="B156" s="68" t="s">
        <v>206</v>
      </c>
      <c r="C156" s="68"/>
      <c r="D156" s="67" t="s">
        <v>207</v>
      </c>
      <c r="E156" s="70">
        <f>E157</f>
        <v>198694.54</v>
      </c>
      <c r="F156" s="70">
        <f aca="true" t="shared" si="32" ref="F156:P156">F157</f>
        <v>198694.54</v>
      </c>
      <c r="G156" s="70">
        <f t="shared" si="32"/>
        <v>0</v>
      </c>
      <c r="H156" s="70">
        <f t="shared" si="32"/>
        <v>0</v>
      </c>
      <c r="I156" s="70">
        <f t="shared" si="32"/>
        <v>0</v>
      </c>
      <c r="J156" s="70">
        <f t="shared" si="32"/>
        <v>0</v>
      </c>
      <c r="K156" s="70">
        <f t="shared" si="32"/>
        <v>0</v>
      </c>
      <c r="L156" s="70">
        <f t="shared" si="32"/>
        <v>0</v>
      </c>
      <c r="M156" s="70">
        <f t="shared" si="32"/>
        <v>0</v>
      </c>
      <c r="N156" s="70">
        <f t="shared" si="32"/>
        <v>0</v>
      </c>
      <c r="O156" s="70">
        <f t="shared" si="32"/>
        <v>0</v>
      </c>
      <c r="P156" s="70">
        <f t="shared" si="32"/>
        <v>198694.54</v>
      </c>
      <c r="Q156" s="99"/>
    </row>
    <row r="157" spans="1:17" s="25" customFormat="1" ht="15">
      <c r="A157" s="23"/>
      <c r="B157" s="26" t="s">
        <v>206</v>
      </c>
      <c r="C157" s="26" t="s">
        <v>214</v>
      </c>
      <c r="D157" s="27" t="s">
        <v>207</v>
      </c>
      <c r="E157" s="35">
        <f>F157+I157</f>
        <v>198694.54</v>
      </c>
      <c r="F157" s="35">
        <f>'дод. 4'!F207</f>
        <v>198694.54</v>
      </c>
      <c r="G157" s="35">
        <f>'дод. 4'!G207</f>
        <v>0</v>
      </c>
      <c r="H157" s="35">
        <f>'дод. 4'!H207</f>
        <v>0</v>
      </c>
      <c r="I157" s="35">
        <f>'дод. 4'!I207</f>
        <v>0</v>
      </c>
      <c r="J157" s="35">
        <f>K157+N157</f>
        <v>0</v>
      </c>
      <c r="K157" s="35">
        <f>'дод. 4'!K207</f>
        <v>0</v>
      </c>
      <c r="L157" s="35">
        <f>'дод. 4'!L207</f>
        <v>0</v>
      </c>
      <c r="M157" s="35">
        <f>'дод. 4'!M207</f>
        <v>0</v>
      </c>
      <c r="N157" s="35">
        <f>'дод. 4'!N207</f>
        <v>0</v>
      </c>
      <c r="O157" s="35">
        <f>'дод. 4'!O207</f>
        <v>0</v>
      </c>
      <c r="P157" s="35">
        <f>E157+J157</f>
        <v>198694.54</v>
      </c>
      <c r="Q157" s="99"/>
    </row>
    <row r="158" spans="1:17" s="25" customFormat="1" ht="15">
      <c r="A158" s="23"/>
      <c r="B158" s="66" t="s">
        <v>242</v>
      </c>
      <c r="C158" s="67"/>
      <c r="D158" s="67" t="s">
        <v>243</v>
      </c>
      <c r="E158" s="70">
        <f>E159+E160+E162+E163+E164+E161</f>
        <v>0</v>
      </c>
      <c r="F158" s="70">
        <f aca="true" t="shared" si="33" ref="F158:P158">F159+F160+F162+F163+F164+F161</f>
        <v>0</v>
      </c>
      <c r="G158" s="70">
        <f t="shared" si="33"/>
        <v>0</v>
      </c>
      <c r="H158" s="70">
        <f t="shared" si="33"/>
        <v>0</v>
      </c>
      <c r="I158" s="70">
        <f t="shared" si="33"/>
        <v>0</v>
      </c>
      <c r="J158" s="70">
        <f t="shared" si="33"/>
        <v>9500040.79</v>
      </c>
      <c r="K158" s="70">
        <f t="shared" si="33"/>
        <v>1830743.47</v>
      </c>
      <c r="L158" s="70">
        <f t="shared" si="33"/>
        <v>0</v>
      </c>
      <c r="M158" s="70">
        <f t="shared" si="33"/>
        <v>0</v>
      </c>
      <c r="N158" s="70">
        <f>N159+N160+N162+N163+N164+N161</f>
        <v>7669297.32</v>
      </c>
      <c r="O158" s="70">
        <f t="shared" si="33"/>
        <v>0</v>
      </c>
      <c r="P158" s="70">
        <f t="shared" si="33"/>
        <v>9500040.79</v>
      </c>
      <c r="Q158" s="99"/>
    </row>
    <row r="159" spans="1:17" s="25" customFormat="1" ht="30">
      <c r="A159" s="23"/>
      <c r="B159" s="26" t="s">
        <v>127</v>
      </c>
      <c r="C159" s="26" t="s">
        <v>177</v>
      </c>
      <c r="D159" s="27" t="s">
        <v>128</v>
      </c>
      <c r="E159" s="35">
        <f aca="true" t="shared" si="34" ref="E159:E164">F159+I159</f>
        <v>0</v>
      </c>
      <c r="F159" s="35">
        <f>'дод. 4'!F169+'дод. 4'!F188</f>
        <v>0</v>
      </c>
      <c r="G159" s="35">
        <f>'дод. 4'!G169+'дод. 4'!G188</f>
        <v>0</v>
      </c>
      <c r="H159" s="35">
        <f>'дод. 4'!H169+'дод. 4'!H188</f>
        <v>0</v>
      </c>
      <c r="I159" s="35">
        <f>'дод. 4'!I169+'дод. 4'!I188</f>
        <v>0</v>
      </c>
      <c r="J159" s="35">
        <f aca="true" t="shared" si="35" ref="J159:J164">K159+N159</f>
        <v>5806738</v>
      </c>
      <c r="K159" s="35">
        <f>'дод. 4'!K169+'дод. 4'!K188</f>
        <v>470000</v>
      </c>
      <c r="L159" s="35">
        <f>'дод. 4'!L169+'дод. 4'!L188</f>
        <v>0</v>
      </c>
      <c r="M159" s="35">
        <f>'дод. 4'!M169+'дод. 4'!M188</f>
        <v>0</v>
      </c>
      <c r="N159" s="35">
        <f>'дод. 4'!N169+'дод. 4'!N188</f>
        <v>5336738</v>
      </c>
      <c r="O159" s="35">
        <f>'дод. 4'!O169+'дод. 4'!O188</f>
        <v>0</v>
      </c>
      <c r="P159" s="35">
        <f aca="true" t="shared" si="36" ref="P159:P164">E159+J159</f>
        <v>5806738</v>
      </c>
      <c r="Q159" s="99"/>
    </row>
    <row r="160" spans="1:17" s="25" customFormat="1" ht="15">
      <c r="A160" s="23"/>
      <c r="B160" s="26" t="s">
        <v>309</v>
      </c>
      <c r="C160" s="26" t="s">
        <v>310</v>
      </c>
      <c r="D160" s="27" t="s">
        <v>311</v>
      </c>
      <c r="E160" s="35">
        <f t="shared" si="34"/>
        <v>0</v>
      </c>
      <c r="F160" s="35">
        <f>'дод. 4'!F170</f>
        <v>0</v>
      </c>
      <c r="G160" s="35">
        <f>'дод. 4'!G170</f>
        <v>0</v>
      </c>
      <c r="H160" s="35">
        <f>'дод. 4'!H170</f>
        <v>0</v>
      </c>
      <c r="I160" s="35">
        <f>'дод. 4'!I170</f>
        <v>0</v>
      </c>
      <c r="J160" s="35">
        <f t="shared" si="35"/>
        <v>250000</v>
      </c>
      <c r="K160" s="35">
        <f>'дод. 4'!K170</f>
        <v>250000</v>
      </c>
      <c r="L160" s="35">
        <f>'дод. 4'!L170</f>
        <v>0</v>
      </c>
      <c r="M160" s="35">
        <f>'дод. 4'!M170</f>
        <v>0</v>
      </c>
      <c r="N160" s="35">
        <f>'дод. 4'!N170</f>
        <v>0</v>
      </c>
      <c r="O160" s="35">
        <f>'дод. 4'!O170</f>
        <v>0</v>
      </c>
      <c r="P160" s="35">
        <f t="shared" si="36"/>
        <v>250000</v>
      </c>
      <c r="Q160" s="99"/>
    </row>
    <row r="161" spans="1:17" s="25" customFormat="1" ht="30">
      <c r="A161" s="23"/>
      <c r="B161" s="26" t="s">
        <v>324</v>
      </c>
      <c r="C161" s="26" t="s">
        <v>326</v>
      </c>
      <c r="D161" s="27" t="s">
        <v>325</v>
      </c>
      <c r="E161" s="35">
        <f t="shared" si="34"/>
        <v>0</v>
      </c>
      <c r="F161" s="35">
        <f>'дод. 4'!F189</f>
        <v>0</v>
      </c>
      <c r="G161" s="35">
        <f>'дод. 4'!G189</f>
        <v>0</v>
      </c>
      <c r="H161" s="35">
        <f>'дод. 4'!H189</f>
        <v>0</v>
      </c>
      <c r="I161" s="35">
        <f>'дод. 4'!I189</f>
        <v>0</v>
      </c>
      <c r="J161" s="35">
        <f t="shared" si="35"/>
        <v>1340330</v>
      </c>
      <c r="K161" s="35">
        <f>'дод. 4'!K189</f>
        <v>0</v>
      </c>
      <c r="L161" s="35">
        <f>'дод. 4'!L189</f>
        <v>0</v>
      </c>
      <c r="M161" s="35">
        <f>'дод. 4'!M189</f>
        <v>0</v>
      </c>
      <c r="N161" s="35">
        <f>'дод. 4'!N189</f>
        <v>1340330</v>
      </c>
      <c r="O161" s="35">
        <f>'дод. 4'!O189</f>
        <v>0</v>
      </c>
      <c r="P161" s="35">
        <f t="shared" si="36"/>
        <v>1340330</v>
      </c>
      <c r="Q161" s="99"/>
    </row>
    <row r="162" spans="1:17" s="25" customFormat="1" ht="30">
      <c r="A162" s="23"/>
      <c r="B162" s="26" t="s">
        <v>312</v>
      </c>
      <c r="C162" s="26" t="s">
        <v>148</v>
      </c>
      <c r="D162" s="27" t="s">
        <v>313</v>
      </c>
      <c r="E162" s="35">
        <f t="shared" si="34"/>
        <v>0</v>
      </c>
      <c r="F162" s="35">
        <f>'дод. 4'!F39+'дод. 4'!F63+'дод. 4'!F171</f>
        <v>0</v>
      </c>
      <c r="G162" s="35">
        <f>'дод. 4'!G39+'дод. 4'!G63+'дод. 4'!G171</f>
        <v>0</v>
      </c>
      <c r="H162" s="35">
        <f>'дод. 4'!H39+'дод. 4'!H63+'дод. 4'!H171</f>
        <v>0</v>
      </c>
      <c r="I162" s="35">
        <f>'дод. 4'!I39+'дод. 4'!I63+'дод. 4'!I171</f>
        <v>0</v>
      </c>
      <c r="J162" s="35">
        <f t="shared" si="35"/>
        <v>118600</v>
      </c>
      <c r="K162" s="35">
        <f>'дод. 4'!K39+'дод. 4'!K63+'дод. 4'!K171</f>
        <v>88600</v>
      </c>
      <c r="L162" s="35">
        <f>'дод. 4'!L39+'дод. 4'!L63+'дод. 4'!L171</f>
        <v>0</v>
      </c>
      <c r="M162" s="35">
        <f>'дод. 4'!M39+'дод. 4'!M63+'дод. 4'!M171</f>
        <v>0</v>
      </c>
      <c r="N162" s="35">
        <f>'дод. 4'!N39+'дод. 4'!N63+'дод. 4'!N171</f>
        <v>30000</v>
      </c>
      <c r="O162" s="35">
        <f>'дод. 4'!O39+'дод. 4'!O63+'дод. 4'!O171</f>
        <v>0</v>
      </c>
      <c r="P162" s="35">
        <f t="shared" si="36"/>
        <v>118600</v>
      </c>
      <c r="Q162" s="99"/>
    </row>
    <row r="163" spans="1:17" s="25" customFormat="1" ht="15">
      <c r="A163" s="23"/>
      <c r="B163" s="26" t="s">
        <v>314</v>
      </c>
      <c r="C163" s="26" t="s">
        <v>156</v>
      </c>
      <c r="D163" s="27" t="s">
        <v>81</v>
      </c>
      <c r="E163" s="35">
        <f t="shared" si="34"/>
        <v>0</v>
      </c>
      <c r="F163" s="35">
        <f>'дод. 4'!F172+'дод. 4'!F64+'дод. 4'!F190</f>
        <v>0</v>
      </c>
      <c r="G163" s="35">
        <f>'дод. 4'!G172+'дод. 4'!G64+'дод. 4'!G190</f>
        <v>0</v>
      </c>
      <c r="H163" s="35">
        <f>'дод. 4'!H172+'дод. 4'!H64+'дод. 4'!H190</f>
        <v>0</v>
      </c>
      <c r="I163" s="35">
        <f>'дод. 4'!I172+'дод. 4'!I64+'дод. 4'!I190</f>
        <v>0</v>
      </c>
      <c r="J163" s="35">
        <f t="shared" si="35"/>
        <v>901200</v>
      </c>
      <c r="K163" s="35">
        <f>'дод. 4'!K172+'дод. 4'!K64+'дод. 4'!K190</f>
        <v>411200</v>
      </c>
      <c r="L163" s="35">
        <f>'дод. 4'!L172+'дод. 4'!L64+'дод. 4'!L190</f>
        <v>0</v>
      </c>
      <c r="M163" s="35">
        <f>'дод. 4'!M172+'дод. 4'!M64+'дод. 4'!M190</f>
        <v>0</v>
      </c>
      <c r="N163" s="35">
        <f>'дод. 4'!N172+'дод. 4'!N64+'дод. 4'!N190</f>
        <v>490000</v>
      </c>
      <c r="O163" s="35">
        <f>'дод. 4'!O172+'дод. 4'!O64+'дод. 4'!O190</f>
        <v>0</v>
      </c>
      <c r="P163" s="35">
        <f t="shared" si="36"/>
        <v>901200</v>
      </c>
      <c r="Q163" s="99"/>
    </row>
    <row r="164" spans="1:17" s="25" customFormat="1" ht="60">
      <c r="A164" s="23"/>
      <c r="B164" s="26" t="s">
        <v>56</v>
      </c>
      <c r="C164" s="26" t="s">
        <v>149</v>
      </c>
      <c r="D164" s="27" t="s">
        <v>57</v>
      </c>
      <c r="E164" s="35">
        <f t="shared" si="34"/>
        <v>0</v>
      </c>
      <c r="F164" s="35">
        <f>'дод. 4'!F40+'дод. 4'!F173+'дод. 4'!F197</f>
        <v>0</v>
      </c>
      <c r="G164" s="35">
        <f>'дод. 4'!G40+'дод. 4'!G173+'дод. 4'!G197</f>
        <v>0</v>
      </c>
      <c r="H164" s="35">
        <f>'дод. 4'!H40+'дод. 4'!H173+'дод. 4'!H197</f>
        <v>0</v>
      </c>
      <c r="I164" s="35">
        <f>'дод. 4'!I40+'дод. 4'!I173+'дод. 4'!I197</f>
        <v>0</v>
      </c>
      <c r="J164" s="35">
        <f t="shared" si="35"/>
        <v>1083172.79</v>
      </c>
      <c r="K164" s="35">
        <f>'дод. 4'!K40+'дод. 4'!K173+'дод. 4'!K197</f>
        <v>610943.47</v>
      </c>
      <c r="L164" s="35">
        <f>'дод. 4'!L40+'дод. 4'!L173+'дод. 4'!L197</f>
        <v>0</v>
      </c>
      <c r="M164" s="35">
        <f>'дод. 4'!M40+'дод. 4'!M173+'дод. 4'!M197</f>
        <v>0</v>
      </c>
      <c r="N164" s="35">
        <f>'дод. 4'!N40+'дод. 4'!N173+'дод. 4'!N197</f>
        <v>472229.32</v>
      </c>
      <c r="O164" s="35">
        <f>'дод. 4'!O40+'дод. 4'!O173+'дод. 4'!O197</f>
        <v>0</v>
      </c>
      <c r="P164" s="35">
        <f t="shared" si="36"/>
        <v>1083172.79</v>
      </c>
      <c r="Q164" s="99"/>
    </row>
    <row r="165" spans="1:17" s="25" customFormat="1" ht="28.5">
      <c r="A165" s="23"/>
      <c r="B165" s="66" t="s">
        <v>244</v>
      </c>
      <c r="C165" s="67"/>
      <c r="D165" s="67" t="s">
        <v>245</v>
      </c>
      <c r="E165" s="70">
        <f>E166+E167+E168</f>
        <v>16506888.46</v>
      </c>
      <c r="F165" s="70">
        <f aca="true" t="shared" si="37" ref="F165:P165">F166+F167+F168</f>
        <v>5118451</v>
      </c>
      <c r="G165" s="70">
        <f t="shared" si="37"/>
        <v>0</v>
      </c>
      <c r="H165" s="70">
        <f t="shared" si="37"/>
        <v>268820</v>
      </c>
      <c r="I165" s="70">
        <f t="shared" si="37"/>
        <v>0</v>
      </c>
      <c r="J165" s="70">
        <f t="shared" si="37"/>
        <v>154984.53</v>
      </c>
      <c r="K165" s="70">
        <f t="shared" si="37"/>
        <v>40984.53</v>
      </c>
      <c r="L165" s="70">
        <f t="shared" si="37"/>
        <v>0</v>
      </c>
      <c r="M165" s="70">
        <f t="shared" si="37"/>
        <v>0</v>
      </c>
      <c r="N165" s="70">
        <f t="shared" si="37"/>
        <v>114000</v>
      </c>
      <c r="O165" s="70">
        <f t="shared" si="37"/>
        <v>114000</v>
      </c>
      <c r="P165" s="70">
        <f t="shared" si="37"/>
        <v>16661872.99</v>
      </c>
      <c r="Q165" s="99"/>
    </row>
    <row r="166" spans="1:17" s="25" customFormat="1" ht="15">
      <c r="A166" s="23"/>
      <c r="B166" s="26" t="s">
        <v>133</v>
      </c>
      <c r="C166" s="26" t="s">
        <v>149</v>
      </c>
      <c r="D166" s="27" t="s">
        <v>134</v>
      </c>
      <c r="E166" s="35">
        <f>'дод. 4'!E209</f>
        <v>11388437.46</v>
      </c>
      <c r="F166" s="35">
        <f>'дод. 4'!F209</f>
        <v>0</v>
      </c>
      <c r="G166" s="35">
        <f>'дод. 4'!G209</f>
        <v>0</v>
      </c>
      <c r="H166" s="35">
        <f>'дод. 4'!H209</f>
        <v>0</v>
      </c>
      <c r="I166" s="35">
        <f>'дод. 4'!I209</f>
        <v>0</v>
      </c>
      <c r="J166" s="35">
        <f>K166+N166</f>
        <v>0</v>
      </c>
      <c r="K166" s="35">
        <f>'дод. 4'!K209</f>
        <v>0</v>
      </c>
      <c r="L166" s="35">
        <f>'дод. 4'!L209</f>
        <v>0</v>
      </c>
      <c r="M166" s="35">
        <f>'дод. 4'!M209</f>
        <v>0</v>
      </c>
      <c r="N166" s="35">
        <f>'дод. 4'!N209</f>
        <v>0</v>
      </c>
      <c r="O166" s="35">
        <f>'дод. 4'!O209</f>
        <v>0</v>
      </c>
      <c r="P166" s="35">
        <f>E166+J166</f>
        <v>11388437.46</v>
      </c>
      <c r="Q166" s="99"/>
    </row>
    <row r="167" spans="1:17" s="25" customFormat="1" ht="15">
      <c r="A167" s="23"/>
      <c r="B167" s="26" t="s">
        <v>58</v>
      </c>
      <c r="C167" s="26" t="s">
        <v>149</v>
      </c>
      <c r="D167" s="27" t="s">
        <v>26</v>
      </c>
      <c r="E167" s="35">
        <f>F167+I167</f>
        <v>5033546</v>
      </c>
      <c r="F167" s="35">
        <f>'дод. 4'!F42+'дод. 4'!F175+'дод. 4'!F179+'дод. 4'!F191+'дод. 4'!F198+'дод. 4'!F204</f>
        <v>5033546</v>
      </c>
      <c r="G167" s="35">
        <f>'дод. 4'!G42+'дод. 4'!G175+'дод. 4'!G179+'дод. 4'!G191+'дод. 4'!G198+'дод. 4'!G204</f>
        <v>0</v>
      </c>
      <c r="H167" s="35">
        <f>'дод. 4'!H42+'дод. 4'!H175+'дод. 4'!H179+'дод. 4'!H191+'дод. 4'!H198+'дод. 4'!H204</f>
        <v>268820</v>
      </c>
      <c r="I167" s="35">
        <f>'дод. 4'!I42+'дод. 4'!I175+'дод. 4'!I179+'дод. 4'!I191+'дод. 4'!I198+'дод. 4'!I204</f>
        <v>0</v>
      </c>
      <c r="J167" s="35">
        <f>K167+N167</f>
        <v>114000</v>
      </c>
      <c r="K167" s="35">
        <f>'дод. 4'!K42+'дод. 4'!K175+'дод. 4'!K179+'дод. 4'!K191+'дод. 4'!K198+'дод. 4'!K204</f>
        <v>0</v>
      </c>
      <c r="L167" s="35">
        <f>'дод. 4'!L42+'дод. 4'!L175+'дод. 4'!L179+'дод. 4'!L191+'дод. 4'!L198+'дод. 4'!L204</f>
        <v>0</v>
      </c>
      <c r="M167" s="35">
        <f>'дод. 4'!M42+'дод. 4'!M175+'дод. 4'!M179+'дод. 4'!M191+'дод. 4'!M198+'дод. 4'!M204</f>
        <v>0</v>
      </c>
      <c r="N167" s="35">
        <f>'дод. 4'!N42+'дод. 4'!N175+'дод. 4'!N179+'дод. 4'!N191+'дод. 4'!N198+'дод. 4'!N204</f>
        <v>114000</v>
      </c>
      <c r="O167" s="35">
        <f>'дод. 4'!O42+'дод. 4'!O175+'дод. 4'!O179+'дод. 4'!O191+'дод. 4'!O198+'дод. 4'!O204</f>
        <v>114000</v>
      </c>
      <c r="P167" s="35">
        <f>E167+J167</f>
        <v>5147546</v>
      </c>
      <c r="Q167" s="99"/>
    </row>
    <row r="168" spans="1:17" s="25" customFormat="1" ht="75">
      <c r="A168" s="23"/>
      <c r="B168" s="29" t="s">
        <v>131</v>
      </c>
      <c r="C168" s="29" t="s">
        <v>166</v>
      </c>
      <c r="D168" s="27" t="s">
        <v>132</v>
      </c>
      <c r="E168" s="35">
        <f>F168+I168</f>
        <v>84905</v>
      </c>
      <c r="F168" s="35">
        <f>'дод. 4'!F192</f>
        <v>84905</v>
      </c>
      <c r="G168" s="35">
        <f>'дод. 4'!G192</f>
        <v>0</v>
      </c>
      <c r="H168" s="35">
        <f>'дод. 4'!H192</f>
        <v>0</v>
      </c>
      <c r="I168" s="35">
        <f>'дод. 4'!I192</f>
        <v>0</v>
      </c>
      <c r="J168" s="35">
        <f>K168+N168</f>
        <v>40984.53</v>
      </c>
      <c r="K168" s="35">
        <f>'дод. 4'!K192</f>
        <v>40984.53</v>
      </c>
      <c r="L168" s="35">
        <f>'дод. 4'!L192</f>
        <v>0</v>
      </c>
      <c r="M168" s="35">
        <f>'дод. 4'!M192</f>
        <v>0</v>
      </c>
      <c r="N168" s="35">
        <f>'дод. 4'!N192</f>
        <v>0</v>
      </c>
      <c r="O168" s="35">
        <f>'дод. 4'!O192</f>
        <v>0</v>
      </c>
      <c r="P168" s="35">
        <f>E168+J168</f>
        <v>125889.53</v>
      </c>
      <c r="Q168" s="99"/>
    </row>
    <row r="169" spans="1:17" s="25" customFormat="1" ht="15">
      <c r="A169" s="23"/>
      <c r="B169" s="26"/>
      <c r="C169" s="26"/>
      <c r="D169" s="67" t="s">
        <v>2</v>
      </c>
      <c r="E169" s="70">
        <f>E11+E13+E32+E50+E113+E121+E126+E128+E135+E138+E140+E146+E151+E153+E156+E158+E165</f>
        <v>1592068170.1799998</v>
      </c>
      <c r="F169" s="70">
        <f aca="true" t="shared" si="38" ref="F169:P169">F11+F13+F32+F50+F113+F121+F126+F128+F135+F138+F140+F146+F151+F153+F156+F158+F165</f>
        <v>1541587177.7199998</v>
      </c>
      <c r="G169" s="70">
        <f t="shared" si="38"/>
        <v>452034405.86</v>
      </c>
      <c r="H169" s="70">
        <f t="shared" si="38"/>
        <v>92369121.79</v>
      </c>
      <c r="I169" s="70">
        <f t="shared" si="38"/>
        <v>39092555</v>
      </c>
      <c r="J169" s="70">
        <f t="shared" si="38"/>
        <v>489288849.59999996</v>
      </c>
      <c r="K169" s="70">
        <f t="shared" si="38"/>
        <v>53848757</v>
      </c>
      <c r="L169" s="70">
        <f t="shared" si="38"/>
        <v>11367440</v>
      </c>
      <c r="M169" s="70">
        <f t="shared" si="38"/>
        <v>2168292</v>
      </c>
      <c r="N169" s="70">
        <f t="shared" si="38"/>
        <v>435440092.59999996</v>
      </c>
      <c r="O169" s="70">
        <f t="shared" si="38"/>
        <v>427360695.28</v>
      </c>
      <c r="P169" s="70">
        <f t="shared" si="38"/>
        <v>2081357019.78</v>
      </c>
      <c r="Q169" s="99"/>
    </row>
    <row r="170" spans="1:17" s="25" customFormat="1" ht="28.5">
      <c r="A170" s="23"/>
      <c r="B170" s="26"/>
      <c r="C170" s="26"/>
      <c r="D170" s="67" t="s">
        <v>215</v>
      </c>
      <c r="E170" s="70">
        <f>E14+E33+E51</f>
        <v>1073624544.52</v>
      </c>
      <c r="F170" s="70">
        <f aca="true" t="shared" si="39" ref="F170:P170">F14+F33+F51</f>
        <v>1073624544.52</v>
      </c>
      <c r="G170" s="70">
        <f t="shared" si="39"/>
        <v>259015420</v>
      </c>
      <c r="H170" s="70">
        <f t="shared" si="39"/>
        <v>47607786</v>
      </c>
      <c r="I170" s="70">
        <f t="shared" si="39"/>
        <v>0</v>
      </c>
      <c r="J170" s="70">
        <f t="shared" si="39"/>
        <v>0</v>
      </c>
      <c r="K170" s="70">
        <f t="shared" si="39"/>
        <v>0</v>
      </c>
      <c r="L170" s="70">
        <f t="shared" si="39"/>
        <v>0</v>
      </c>
      <c r="M170" s="70">
        <f t="shared" si="39"/>
        <v>0</v>
      </c>
      <c r="N170" s="70">
        <f t="shared" si="39"/>
        <v>0</v>
      </c>
      <c r="O170" s="70">
        <f t="shared" si="39"/>
        <v>0</v>
      </c>
      <c r="P170" s="70">
        <f t="shared" si="39"/>
        <v>1073624544.52</v>
      </c>
      <c r="Q170" s="99"/>
    </row>
    <row r="171" spans="1:17" s="25" customFormat="1" ht="15">
      <c r="A171" s="23"/>
      <c r="B171" s="26"/>
      <c r="C171" s="26"/>
      <c r="D171" s="67" t="s">
        <v>246</v>
      </c>
      <c r="E171" s="70">
        <f>E172+E173+E175+E174</f>
        <v>57221257</v>
      </c>
      <c r="F171" s="70">
        <f aca="true" t="shared" si="40" ref="F171:P171">F172+F173+F175+F174</f>
        <v>57221257</v>
      </c>
      <c r="G171" s="70">
        <f t="shared" si="40"/>
        <v>0</v>
      </c>
      <c r="H171" s="70">
        <f t="shared" si="40"/>
        <v>0</v>
      </c>
      <c r="I171" s="70">
        <f t="shared" si="40"/>
        <v>0</v>
      </c>
      <c r="J171" s="70">
        <f t="shared" si="40"/>
        <v>1550000</v>
      </c>
      <c r="K171" s="70">
        <f t="shared" si="40"/>
        <v>0</v>
      </c>
      <c r="L171" s="70">
        <f t="shared" si="40"/>
        <v>0</v>
      </c>
      <c r="M171" s="70">
        <f t="shared" si="40"/>
        <v>0</v>
      </c>
      <c r="N171" s="70">
        <f t="shared" si="40"/>
        <v>1550000</v>
      </c>
      <c r="O171" s="70">
        <f t="shared" si="40"/>
        <v>1550000</v>
      </c>
      <c r="P171" s="70">
        <f t="shared" si="40"/>
        <v>58771257</v>
      </c>
      <c r="Q171" s="99"/>
    </row>
    <row r="172" spans="1:17" s="25" customFormat="1" ht="15">
      <c r="A172" s="23"/>
      <c r="B172" s="26" t="s">
        <v>185</v>
      </c>
      <c r="C172" s="26" t="s">
        <v>183</v>
      </c>
      <c r="D172" s="27" t="s">
        <v>186</v>
      </c>
      <c r="E172" s="35">
        <f>F172+I172</f>
        <v>56401300</v>
      </c>
      <c r="F172" s="35">
        <f>'дод. 4'!F210</f>
        <v>56401300</v>
      </c>
      <c r="G172" s="35">
        <f>'дод. 4'!G210</f>
        <v>0</v>
      </c>
      <c r="H172" s="35">
        <f>'дод. 4'!H210</f>
        <v>0</v>
      </c>
      <c r="I172" s="35">
        <f>'дод. 4'!I210</f>
        <v>0</v>
      </c>
      <c r="J172" s="35">
        <f>K172+N172</f>
        <v>0</v>
      </c>
      <c r="K172" s="35">
        <f>'дод. 4'!K210</f>
        <v>0</v>
      </c>
      <c r="L172" s="35">
        <f>'дод. 4'!L210</f>
        <v>0</v>
      </c>
      <c r="M172" s="35">
        <f>'дод. 4'!M210</f>
        <v>0</v>
      </c>
      <c r="N172" s="35">
        <f>'дод. 4'!N210</f>
        <v>0</v>
      </c>
      <c r="O172" s="35">
        <f>'дод. 4'!O210</f>
        <v>0</v>
      </c>
      <c r="P172" s="35">
        <f>E172+J172</f>
        <v>56401300</v>
      </c>
      <c r="Q172" s="99"/>
    </row>
    <row r="173" spans="1:17" s="25" customFormat="1" ht="15">
      <c r="A173" s="23"/>
      <c r="B173" s="26" t="s">
        <v>187</v>
      </c>
      <c r="C173" s="26" t="s">
        <v>183</v>
      </c>
      <c r="D173" s="27" t="s">
        <v>189</v>
      </c>
      <c r="E173" s="35">
        <f>F173+I173</f>
        <v>141957</v>
      </c>
      <c r="F173" s="35">
        <f>'дод. 4'!F211</f>
        <v>141957</v>
      </c>
      <c r="G173" s="35">
        <f>'дод. 4'!G211</f>
        <v>0</v>
      </c>
      <c r="H173" s="35">
        <f>'дод. 4'!H211</f>
        <v>0</v>
      </c>
      <c r="I173" s="35">
        <f>'дод. 4'!I211</f>
        <v>0</v>
      </c>
      <c r="J173" s="35">
        <f>K173+N173</f>
        <v>0</v>
      </c>
      <c r="K173" s="35">
        <f>'дод. 4'!K211</f>
        <v>0</v>
      </c>
      <c r="L173" s="35">
        <f>'дод. 4'!L211</f>
        <v>0</v>
      </c>
      <c r="M173" s="35">
        <f>'дод. 4'!M211</f>
        <v>0</v>
      </c>
      <c r="N173" s="35">
        <f>'дод. 4'!N211</f>
        <v>0</v>
      </c>
      <c r="O173" s="35">
        <f>'дод. 4'!O211</f>
        <v>0</v>
      </c>
      <c r="P173" s="35">
        <f>E173+J173</f>
        <v>141957</v>
      </c>
      <c r="Q173" s="99"/>
    </row>
    <row r="174" spans="1:17" s="25" customFormat="1" ht="60">
      <c r="A174" s="23"/>
      <c r="B174" s="26" t="s">
        <v>322</v>
      </c>
      <c r="C174" s="26" t="s">
        <v>183</v>
      </c>
      <c r="D174" s="27" t="s">
        <v>323</v>
      </c>
      <c r="E174" s="35">
        <f>F174+I174</f>
        <v>250000</v>
      </c>
      <c r="F174" s="35">
        <f>'дод. 4'!F41</f>
        <v>250000</v>
      </c>
      <c r="G174" s="35">
        <f>'дод. 4'!G41</f>
        <v>0</v>
      </c>
      <c r="H174" s="35">
        <f>'дод. 4'!H41</f>
        <v>0</v>
      </c>
      <c r="I174" s="35">
        <f>'дод. 4'!I41</f>
        <v>0</v>
      </c>
      <c r="J174" s="35">
        <f>K174+N174</f>
        <v>0</v>
      </c>
      <c r="K174" s="35">
        <f>'дод. 4'!K41</f>
        <v>0</v>
      </c>
      <c r="L174" s="35">
        <f>'дод. 4'!L41</f>
        <v>0</v>
      </c>
      <c r="M174" s="35">
        <f>'дод. 4'!M41</f>
        <v>0</v>
      </c>
      <c r="N174" s="35">
        <f>'дод. 4'!N41</f>
        <v>0</v>
      </c>
      <c r="O174" s="35">
        <f>'дод. 4'!O41</f>
        <v>0</v>
      </c>
      <c r="P174" s="35">
        <f>E174+J174</f>
        <v>250000</v>
      </c>
      <c r="Q174" s="99"/>
    </row>
    <row r="175" spans="1:17" s="25" customFormat="1" ht="15" customHeight="1">
      <c r="A175" s="23"/>
      <c r="B175" s="26" t="s">
        <v>135</v>
      </c>
      <c r="C175" s="26" t="s">
        <v>183</v>
      </c>
      <c r="D175" s="34" t="s">
        <v>136</v>
      </c>
      <c r="E175" s="35">
        <f>F175+I175</f>
        <v>428000</v>
      </c>
      <c r="F175" s="35">
        <f>'дод. 4'!F212+'дод. 4'!F174+'дод. 4'!F199</f>
        <v>428000</v>
      </c>
      <c r="G175" s="35">
        <f>'дод. 4'!G212+'дод. 4'!G174+'дод. 4'!G199</f>
        <v>0</v>
      </c>
      <c r="H175" s="35">
        <f>'дод. 4'!H212+'дод. 4'!H174+'дод. 4'!H199</f>
        <v>0</v>
      </c>
      <c r="I175" s="35">
        <f>'дод. 4'!I212+'дод. 4'!I174+'дод. 4'!I199</f>
        <v>0</v>
      </c>
      <c r="J175" s="35">
        <f>K175+N175</f>
        <v>1550000</v>
      </c>
      <c r="K175" s="35">
        <f>'дод. 4'!K212+'дод. 4'!K174+'дод. 4'!K199</f>
        <v>0</v>
      </c>
      <c r="L175" s="35">
        <f>'дод. 4'!L212+'дод. 4'!L174+'дод. 4'!L199</f>
        <v>0</v>
      </c>
      <c r="M175" s="35">
        <f>'дод. 4'!M212+'дод. 4'!M174+'дод. 4'!M199</f>
        <v>0</v>
      </c>
      <c r="N175" s="35">
        <f>'дод. 4'!N212+'дод. 4'!N174+'дод. 4'!N199</f>
        <v>1550000</v>
      </c>
      <c r="O175" s="35">
        <f>'дод. 4'!O212+'дод. 4'!O174+'дод. 4'!O199</f>
        <v>1550000</v>
      </c>
      <c r="P175" s="35">
        <f>E175+J175</f>
        <v>1978000</v>
      </c>
      <c r="Q175" s="98" t="s">
        <v>344</v>
      </c>
    </row>
    <row r="176" spans="1:17" s="25" customFormat="1" ht="15">
      <c r="A176" s="23"/>
      <c r="B176" s="30"/>
      <c r="C176" s="30"/>
      <c r="D176" s="31" t="s">
        <v>137</v>
      </c>
      <c r="E176" s="37">
        <f>E169+E171</f>
        <v>1649289427.1799998</v>
      </c>
      <c r="F176" s="37">
        <f aca="true" t="shared" si="41" ref="F176:P176">F169+F171</f>
        <v>1598808434.7199998</v>
      </c>
      <c r="G176" s="37">
        <f t="shared" si="41"/>
        <v>452034405.86</v>
      </c>
      <c r="H176" s="37">
        <f t="shared" si="41"/>
        <v>92369121.79</v>
      </c>
      <c r="I176" s="37">
        <f t="shared" si="41"/>
        <v>39092555</v>
      </c>
      <c r="J176" s="37">
        <f t="shared" si="41"/>
        <v>490838849.59999996</v>
      </c>
      <c r="K176" s="37">
        <f t="shared" si="41"/>
        <v>53848757</v>
      </c>
      <c r="L176" s="37">
        <f t="shared" si="41"/>
        <v>11367440</v>
      </c>
      <c r="M176" s="37">
        <f t="shared" si="41"/>
        <v>2168292</v>
      </c>
      <c r="N176" s="37">
        <f t="shared" si="41"/>
        <v>436990092.59999996</v>
      </c>
      <c r="O176" s="37">
        <f t="shared" si="41"/>
        <v>428910695.28</v>
      </c>
      <c r="P176" s="37">
        <f t="shared" si="41"/>
        <v>2140128276.78</v>
      </c>
      <c r="Q176" s="98"/>
    </row>
    <row r="177" spans="1:17" s="25" customFormat="1" ht="28.5">
      <c r="A177" s="23"/>
      <c r="B177" s="30"/>
      <c r="C177" s="30"/>
      <c r="D177" s="31" t="s">
        <v>215</v>
      </c>
      <c r="E177" s="37">
        <f>E170</f>
        <v>1073624544.52</v>
      </c>
      <c r="F177" s="37">
        <f aca="true" t="shared" si="42" ref="F177:P177">F170</f>
        <v>1073624544.52</v>
      </c>
      <c r="G177" s="37">
        <f t="shared" si="42"/>
        <v>259015420</v>
      </c>
      <c r="H177" s="37">
        <f t="shared" si="42"/>
        <v>47607786</v>
      </c>
      <c r="I177" s="37">
        <f t="shared" si="42"/>
        <v>0</v>
      </c>
      <c r="J177" s="37">
        <f t="shared" si="42"/>
        <v>0</v>
      </c>
      <c r="K177" s="37">
        <f t="shared" si="42"/>
        <v>0</v>
      </c>
      <c r="L177" s="37">
        <f t="shared" si="42"/>
        <v>0</v>
      </c>
      <c r="M177" s="37">
        <f t="shared" si="42"/>
        <v>0</v>
      </c>
      <c r="N177" s="37">
        <f t="shared" si="42"/>
        <v>0</v>
      </c>
      <c r="O177" s="37">
        <f t="shared" si="42"/>
        <v>0</v>
      </c>
      <c r="P177" s="37">
        <f t="shared" si="42"/>
        <v>1073624544.52</v>
      </c>
      <c r="Q177" s="98"/>
    </row>
    <row r="178" spans="5:17" ht="15" customHeight="1">
      <c r="E178" s="64"/>
      <c r="F178" s="64"/>
      <c r="G178" s="64"/>
      <c r="H178" s="64"/>
      <c r="I178" s="64"/>
      <c r="J178" s="64"/>
      <c r="K178" s="64"/>
      <c r="L178" s="64"/>
      <c r="M178" s="64"/>
      <c r="N178" s="64"/>
      <c r="O178" s="64"/>
      <c r="P178" s="64"/>
      <c r="Q178" s="98"/>
    </row>
    <row r="179" spans="5:17" ht="29.25" customHeight="1">
      <c r="E179" s="64"/>
      <c r="F179" s="64"/>
      <c r="G179" s="64"/>
      <c r="H179" s="64"/>
      <c r="I179" s="64"/>
      <c r="J179" s="64"/>
      <c r="K179" s="64"/>
      <c r="L179" s="64"/>
      <c r="M179" s="64"/>
      <c r="N179" s="64"/>
      <c r="O179" s="64"/>
      <c r="P179" s="64"/>
      <c r="Q179" s="98"/>
    </row>
    <row r="180" spans="1:19" s="46" customFormat="1" ht="24" customHeight="1">
      <c r="A180" s="43"/>
      <c r="B180" s="93" t="s">
        <v>357</v>
      </c>
      <c r="C180" s="93"/>
      <c r="D180" s="93"/>
      <c r="E180" s="93"/>
      <c r="F180" s="93"/>
      <c r="G180" s="93"/>
      <c r="H180" s="93"/>
      <c r="I180" s="93"/>
      <c r="J180" s="44"/>
      <c r="K180" s="44"/>
      <c r="L180" s="44"/>
      <c r="M180" s="103"/>
      <c r="N180" s="103"/>
      <c r="O180" s="103"/>
      <c r="P180" s="45"/>
      <c r="Q180" s="98"/>
      <c r="S180" s="59"/>
    </row>
    <row r="181" spans="1:19" s="10" customFormat="1" ht="57.75" customHeight="1">
      <c r="A181" s="8"/>
      <c r="B181" s="93"/>
      <c r="C181" s="93"/>
      <c r="D181" s="93"/>
      <c r="E181" s="93"/>
      <c r="F181" s="93"/>
      <c r="G181" s="93"/>
      <c r="H181" s="93"/>
      <c r="I181" s="93"/>
      <c r="J181" s="9"/>
      <c r="K181" s="9"/>
      <c r="L181" s="102" t="s">
        <v>358</v>
      </c>
      <c r="M181" s="102"/>
      <c r="N181" s="102"/>
      <c r="O181" s="102"/>
      <c r="P181" s="8"/>
      <c r="Q181" s="98"/>
      <c r="S181" s="60"/>
    </row>
    <row r="182" spans="1:19" s="10" customFormat="1" ht="23.25">
      <c r="A182" s="8"/>
      <c r="C182" s="11"/>
      <c r="D182" s="11"/>
      <c r="E182" s="11"/>
      <c r="F182" s="11"/>
      <c r="G182" s="11"/>
      <c r="H182" s="11"/>
      <c r="I182" s="11"/>
      <c r="J182" s="11"/>
      <c r="K182" s="11"/>
      <c r="L182" s="11"/>
      <c r="M182" s="11"/>
      <c r="N182" s="8"/>
      <c r="O182" s="8"/>
      <c r="P182" s="8"/>
      <c r="Q182" s="98"/>
      <c r="S182" s="60"/>
    </row>
    <row r="183" spans="1:20" s="56" customFormat="1" ht="26.25">
      <c r="A183" s="55"/>
      <c r="D183" s="57"/>
      <c r="E183" s="58"/>
      <c r="F183" s="58"/>
      <c r="G183" s="58"/>
      <c r="H183" s="58"/>
      <c r="I183" s="58"/>
      <c r="J183" s="58"/>
      <c r="K183" s="58"/>
      <c r="L183" s="58"/>
      <c r="M183" s="58"/>
      <c r="N183" s="58"/>
      <c r="O183" s="58"/>
      <c r="P183" s="58"/>
      <c r="Q183" s="98"/>
      <c r="R183" s="58"/>
      <c r="S183" s="59"/>
      <c r="T183" s="58"/>
    </row>
    <row r="184" spans="1:19" s="7" customFormat="1" ht="26.25">
      <c r="A184" s="6"/>
      <c r="B184" s="16"/>
      <c r="C184" s="8"/>
      <c r="D184" s="8"/>
      <c r="E184" s="8"/>
      <c r="F184" s="8"/>
      <c r="G184" s="8"/>
      <c r="H184" s="8"/>
      <c r="I184" s="8"/>
      <c r="J184" s="8"/>
      <c r="K184" s="8"/>
      <c r="L184" s="8"/>
      <c r="M184" s="8"/>
      <c r="N184" s="8"/>
      <c r="O184" s="8"/>
      <c r="P184" s="6"/>
      <c r="Q184" s="98"/>
      <c r="S184" s="59"/>
    </row>
    <row r="185" spans="17:19" ht="26.25">
      <c r="Q185" s="98"/>
      <c r="S185" s="59"/>
    </row>
    <row r="186" spans="17:19" ht="26.25">
      <c r="Q186" s="98"/>
      <c r="S186" s="59"/>
    </row>
    <row r="187" spans="17:19" ht="26.25">
      <c r="Q187" s="98"/>
      <c r="S187" s="59"/>
    </row>
    <row r="188" ht="15" customHeight="1">
      <c r="Q188" s="98"/>
    </row>
    <row r="189" ht="15" customHeight="1">
      <c r="Q189" s="98"/>
    </row>
    <row r="190" ht="15" customHeight="1">
      <c r="Q190" s="98"/>
    </row>
    <row r="191" ht="15" customHeight="1">
      <c r="Q191" s="98"/>
    </row>
    <row r="192" ht="15" customHeight="1">
      <c r="Q192" s="98"/>
    </row>
    <row r="193" ht="15" customHeight="1">
      <c r="Q193" s="98"/>
    </row>
    <row r="194" ht="15" customHeight="1">
      <c r="Q194" s="98"/>
    </row>
    <row r="195" ht="15" customHeight="1">
      <c r="Q195" s="98"/>
    </row>
    <row r="196" ht="15" customHeight="1">
      <c r="Q196" s="98"/>
    </row>
    <row r="197" ht="15" customHeight="1">
      <c r="Q197" s="98"/>
    </row>
    <row r="198" ht="15" customHeight="1">
      <c r="Q198" s="98"/>
    </row>
    <row r="199" ht="15" customHeight="1">
      <c r="Q199" s="98"/>
    </row>
    <row r="200" ht="15" customHeight="1">
      <c r="Q200" s="98"/>
    </row>
    <row r="201" ht="15" customHeight="1">
      <c r="Q201" s="98"/>
    </row>
    <row r="202" ht="15" customHeight="1">
      <c r="Q202" s="86"/>
    </row>
    <row r="203" ht="15" customHeight="1">
      <c r="Q203" s="86"/>
    </row>
    <row r="204" ht="15" customHeight="1">
      <c r="Q204" s="86"/>
    </row>
    <row r="205" ht="15" customHeight="1">
      <c r="Q205" s="86"/>
    </row>
    <row r="206" ht="15" customHeight="1">
      <c r="Q206" s="86"/>
    </row>
    <row r="207" ht="15" customHeight="1">
      <c r="Q207" s="86"/>
    </row>
    <row r="208" ht="15" customHeight="1">
      <c r="Q208" s="86"/>
    </row>
    <row r="209" ht="15" customHeight="1">
      <c r="Q209" s="86"/>
    </row>
    <row r="210" ht="15" customHeight="1">
      <c r="Q210" s="86"/>
    </row>
    <row r="211" ht="15" customHeight="1">
      <c r="Q211" s="86"/>
    </row>
    <row r="212" ht="15" customHeight="1">
      <c r="Q212" s="86"/>
    </row>
    <row r="213" ht="15" customHeight="1">
      <c r="Q213" s="86"/>
    </row>
    <row r="214" ht="15" customHeight="1">
      <c r="Q214" s="86"/>
    </row>
    <row r="215" ht="15" customHeight="1">
      <c r="Q215" s="86"/>
    </row>
    <row r="216" ht="15" customHeight="1">
      <c r="Q216" s="86"/>
    </row>
    <row r="217" ht="15" customHeight="1">
      <c r="Q217" s="86"/>
    </row>
    <row r="218" ht="15" customHeight="1">
      <c r="Q218" s="86"/>
    </row>
    <row r="219" ht="15" customHeight="1">
      <c r="Q219" s="86"/>
    </row>
    <row r="220" ht="15" customHeight="1">
      <c r="Q220" s="86"/>
    </row>
    <row r="221" ht="15" customHeight="1">
      <c r="Q221" s="86"/>
    </row>
    <row r="222" ht="15" customHeight="1">
      <c r="Q222" s="86"/>
    </row>
    <row r="223" ht="15" customHeight="1">
      <c r="Q223" s="86"/>
    </row>
    <row r="224" ht="15" customHeight="1">
      <c r="Q224" s="86"/>
    </row>
  </sheetData>
  <sheetProtection/>
  <mergeCells count="35">
    <mergeCell ref="L181:O181"/>
    <mergeCell ref="M180:O180"/>
    <mergeCell ref="L3:P3"/>
    <mergeCell ref="J7:O7"/>
    <mergeCell ref="P7:P10"/>
    <mergeCell ref="L8:M8"/>
    <mergeCell ref="Q175:Q201"/>
    <mergeCell ref="Q66:Q86"/>
    <mergeCell ref="Q87:Q104"/>
    <mergeCell ref="Q105:Q129"/>
    <mergeCell ref="Q130:Q151"/>
    <mergeCell ref="Q152:Q174"/>
    <mergeCell ref="Q1:Q33"/>
    <mergeCell ref="Q34:Q53"/>
    <mergeCell ref="Q54:Q57"/>
    <mergeCell ref="Q58:Q65"/>
    <mergeCell ref="B180:I181"/>
    <mergeCell ref="L1:O1"/>
    <mergeCell ref="B5:P5"/>
    <mergeCell ref="N8:N10"/>
    <mergeCell ref="G8:H8"/>
    <mergeCell ref="D7:D10"/>
    <mergeCell ref="E8:E10"/>
    <mergeCell ref="K8:K10"/>
    <mergeCell ref="I8:I10"/>
    <mergeCell ref="O9:O10"/>
    <mergeCell ref="M9:M10"/>
    <mergeCell ref="B7:B10"/>
    <mergeCell ref="C7:C10"/>
    <mergeCell ref="J8:J10"/>
    <mergeCell ref="L9:L10"/>
    <mergeCell ref="F8:F10"/>
    <mergeCell ref="G9:G10"/>
    <mergeCell ref="E7:I7"/>
    <mergeCell ref="H9:H10"/>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5" r:id="rId1"/>
  <headerFooter alignWithMargins="0">
    <oddHeader>&amp;R&amp;18Продовження додатку 3</oddHeader>
  </headerFooter>
  <rowBreaks count="5" manualBreakCount="5">
    <brk id="86" min="1" max="16" man="1"/>
    <brk id="104" min="1" max="16" man="1"/>
    <brk id="129" min="1" max="16" man="1"/>
    <brk id="151" min="1" max="16" man="1"/>
    <brk id="174" min="1" max="16" man="1"/>
  </rowBreaks>
</worksheet>
</file>

<file path=xl/worksheets/sheet2.xml><?xml version="1.0" encoding="utf-8"?>
<worksheet xmlns="http://schemas.openxmlformats.org/spreadsheetml/2006/main" xmlns:r="http://schemas.openxmlformats.org/officeDocument/2006/relationships">
  <sheetPr codeName="Лист2"/>
  <dimension ref="A1:T236"/>
  <sheetViews>
    <sheetView showGridLines="0" showZeros="0" view="pageBreakPreview" zoomScale="55" zoomScaleNormal="70" zoomScaleSheetLayoutView="55" zoomScalePageLayoutView="0" workbookViewId="0" topLeftCell="B193">
      <selection activeCell="M216" sqref="M216"/>
    </sheetView>
  </sheetViews>
  <sheetFormatPr defaultColWidth="9.16015625" defaultRowHeight="12.75"/>
  <cols>
    <col min="1" max="1" width="3.83203125" style="13" hidden="1" customWidth="1"/>
    <col min="2" max="3" width="11.66015625" style="13" customWidth="1"/>
    <col min="4" max="4" width="46" style="13" customWidth="1"/>
    <col min="5" max="5" width="19.33203125" style="13" customWidth="1"/>
    <col min="6" max="6" width="19.5" style="13" customWidth="1"/>
    <col min="7" max="7" width="20" style="13" customWidth="1"/>
    <col min="8" max="8" width="16.83203125" style="13" customWidth="1"/>
    <col min="9" max="9" width="17" style="13" customWidth="1"/>
    <col min="10" max="11" width="18" style="13" customWidth="1"/>
    <col min="12" max="12" width="15.83203125" style="13" customWidth="1"/>
    <col min="13" max="13" width="13.66015625" style="13" customWidth="1"/>
    <col min="14" max="14" width="17.66015625" style="13" customWidth="1"/>
    <col min="15" max="15" width="19.16015625" style="13" customWidth="1"/>
    <col min="16" max="16" width="19.66015625" style="13" customWidth="1"/>
    <col min="17" max="17" width="6.5" style="85" customWidth="1"/>
    <col min="18" max="18" width="14.16015625" style="12" bestFit="1" customWidth="1"/>
    <col min="19" max="19" width="29.66015625" style="12" bestFit="1" customWidth="1"/>
    <col min="20" max="16384" width="9.16015625" style="12" customWidth="1"/>
  </cols>
  <sheetData>
    <row r="1" spans="1:17" ht="26.25">
      <c r="A1" s="1"/>
      <c r="B1" s="1"/>
      <c r="C1" s="1"/>
      <c r="D1" s="1"/>
      <c r="E1" s="1"/>
      <c r="F1" s="1" t="s">
        <v>328</v>
      </c>
      <c r="G1" s="1"/>
      <c r="H1" s="1"/>
      <c r="I1" s="1"/>
      <c r="J1" s="1"/>
      <c r="K1" s="1"/>
      <c r="L1" s="94" t="s">
        <v>331</v>
      </c>
      <c r="M1" s="94"/>
      <c r="N1" s="94"/>
      <c r="O1" s="94"/>
      <c r="P1" s="42"/>
      <c r="Q1" s="98" t="s">
        <v>345</v>
      </c>
    </row>
    <row r="2" spans="1:17" ht="26.25">
      <c r="A2" s="1"/>
      <c r="B2" s="1"/>
      <c r="C2" s="1"/>
      <c r="D2" s="1"/>
      <c r="E2" s="1"/>
      <c r="F2" s="1"/>
      <c r="G2" s="1"/>
      <c r="H2" s="1"/>
      <c r="I2" s="1"/>
      <c r="J2" s="1"/>
      <c r="K2" s="1"/>
      <c r="L2" s="42" t="s">
        <v>332</v>
      </c>
      <c r="M2" s="42"/>
      <c r="N2" s="42"/>
      <c r="O2" s="42"/>
      <c r="P2" s="42"/>
      <c r="Q2" s="98"/>
    </row>
    <row r="3" spans="1:17" ht="26.25" customHeight="1">
      <c r="A3" s="1"/>
      <c r="B3" s="1"/>
      <c r="C3" s="1"/>
      <c r="D3" s="1"/>
      <c r="E3" s="1"/>
      <c r="F3" s="1"/>
      <c r="G3" s="1"/>
      <c r="H3" s="1"/>
      <c r="I3" s="1"/>
      <c r="J3" s="1"/>
      <c r="K3" s="1"/>
      <c r="L3" s="100" t="s">
        <v>333</v>
      </c>
      <c r="M3" s="100"/>
      <c r="N3" s="100"/>
      <c r="O3" s="100"/>
      <c r="P3" s="100"/>
      <c r="Q3" s="98"/>
    </row>
    <row r="4" spans="1:17" ht="39" customHeight="1">
      <c r="A4" s="1"/>
      <c r="B4" s="1"/>
      <c r="C4" s="1"/>
      <c r="D4" s="1"/>
      <c r="E4" s="1"/>
      <c r="F4" s="1"/>
      <c r="G4" s="1"/>
      <c r="H4" s="1"/>
      <c r="I4" s="1"/>
      <c r="J4" s="1"/>
      <c r="K4" s="1"/>
      <c r="L4" s="49"/>
      <c r="M4" s="49"/>
      <c r="N4" s="49"/>
      <c r="O4" s="49"/>
      <c r="P4" s="49"/>
      <c r="Q4" s="98"/>
    </row>
    <row r="5" spans="1:17" ht="45" customHeight="1">
      <c r="A5" s="15"/>
      <c r="B5" s="95" t="s">
        <v>250</v>
      </c>
      <c r="C5" s="95"/>
      <c r="D5" s="95"/>
      <c r="E5" s="95"/>
      <c r="F5" s="95"/>
      <c r="G5" s="95"/>
      <c r="H5" s="95"/>
      <c r="I5" s="95"/>
      <c r="J5" s="95"/>
      <c r="K5" s="95"/>
      <c r="L5" s="95"/>
      <c r="M5" s="95"/>
      <c r="N5" s="95"/>
      <c r="O5" s="95"/>
      <c r="P5" s="95"/>
      <c r="Q5" s="98"/>
    </row>
    <row r="6" spans="2:17" ht="18.75">
      <c r="B6" s="36"/>
      <c r="C6" s="36"/>
      <c r="D6" s="36"/>
      <c r="E6" s="36"/>
      <c r="F6" s="36"/>
      <c r="G6" s="5"/>
      <c r="H6" s="2"/>
      <c r="I6" s="2"/>
      <c r="J6" s="3"/>
      <c r="K6" s="4"/>
      <c r="L6" s="4"/>
      <c r="M6" s="4"/>
      <c r="N6" s="4"/>
      <c r="O6" s="4"/>
      <c r="P6" s="41" t="s">
        <v>14</v>
      </c>
      <c r="Q6" s="98"/>
    </row>
    <row r="7" spans="1:17" s="19" customFormat="1" ht="21.75" customHeight="1">
      <c r="A7" s="17"/>
      <c r="B7" s="87" t="s">
        <v>13</v>
      </c>
      <c r="C7" s="87" t="s">
        <v>10</v>
      </c>
      <c r="D7" s="87" t="s">
        <v>188</v>
      </c>
      <c r="E7" s="96" t="s">
        <v>0</v>
      </c>
      <c r="F7" s="101"/>
      <c r="G7" s="101"/>
      <c r="H7" s="101"/>
      <c r="I7" s="97"/>
      <c r="J7" s="96" t="s">
        <v>1</v>
      </c>
      <c r="K7" s="101"/>
      <c r="L7" s="101"/>
      <c r="M7" s="101"/>
      <c r="N7" s="101"/>
      <c r="O7" s="97"/>
      <c r="P7" s="87" t="s">
        <v>2</v>
      </c>
      <c r="Q7" s="98"/>
    </row>
    <row r="8" spans="1:17" s="19" customFormat="1" ht="16.5" customHeight="1">
      <c r="A8" s="20"/>
      <c r="B8" s="89"/>
      <c r="C8" s="89"/>
      <c r="D8" s="89"/>
      <c r="E8" s="87" t="s">
        <v>3</v>
      </c>
      <c r="F8" s="90" t="s">
        <v>4</v>
      </c>
      <c r="G8" s="96" t="s">
        <v>5</v>
      </c>
      <c r="H8" s="97"/>
      <c r="I8" s="90" t="s">
        <v>6</v>
      </c>
      <c r="J8" s="87" t="s">
        <v>3</v>
      </c>
      <c r="K8" s="90" t="s">
        <v>4</v>
      </c>
      <c r="L8" s="96" t="s">
        <v>5</v>
      </c>
      <c r="M8" s="97"/>
      <c r="N8" s="90" t="s">
        <v>6</v>
      </c>
      <c r="O8" s="18" t="s">
        <v>5</v>
      </c>
      <c r="P8" s="89"/>
      <c r="Q8" s="98"/>
    </row>
    <row r="9" spans="1:17" s="19" customFormat="1" ht="20.25" customHeight="1">
      <c r="A9" s="21"/>
      <c r="B9" s="89"/>
      <c r="C9" s="89"/>
      <c r="D9" s="89"/>
      <c r="E9" s="89"/>
      <c r="F9" s="91"/>
      <c r="G9" s="87" t="s">
        <v>7</v>
      </c>
      <c r="H9" s="87" t="s">
        <v>8</v>
      </c>
      <c r="I9" s="91"/>
      <c r="J9" s="89"/>
      <c r="K9" s="91"/>
      <c r="L9" s="87" t="s">
        <v>7</v>
      </c>
      <c r="M9" s="87" t="s">
        <v>8</v>
      </c>
      <c r="N9" s="91"/>
      <c r="O9" s="87" t="s">
        <v>12</v>
      </c>
      <c r="P9" s="89"/>
      <c r="Q9" s="98"/>
    </row>
    <row r="10" spans="1:17" s="19" customFormat="1" ht="110.25" customHeight="1">
      <c r="A10" s="22"/>
      <c r="B10" s="88"/>
      <c r="C10" s="88"/>
      <c r="D10" s="88"/>
      <c r="E10" s="88"/>
      <c r="F10" s="92"/>
      <c r="G10" s="88"/>
      <c r="H10" s="88"/>
      <c r="I10" s="92"/>
      <c r="J10" s="88"/>
      <c r="K10" s="92"/>
      <c r="L10" s="88"/>
      <c r="M10" s="88"/>
      <c r="N10" s="92"/>
      <c r="O10" s="88"/>
      <c r="P10" s="88"/>
      <c r="Q10" s="98"/>
    </row>
    <row r="11" spans="1:17" s="25" customFormat="1" ht="28.5">
      <c r="A11" s="23"/>
      <c r="B11" s="52"/>
      <c r="C11" s="52"/>
      <c r="D11" s="24" t="s">
        <v>15</v>
      </c>
      <c r="E11" s="37">
        <f>E12+E13+E14+E15+E16+E17+E18+E19+E20+E21+E22+E23+E24+E25+E26+E27+E29+E30+E31+E32+E33+E34+E35+E36+E37+E38+E40+E42+E28+E41+E39</f>
        <v>71411195.78999999</v>
      </c>
      <c r="F11" s="37">
        <f aca="true" t="shared" si="0" ref="F11:P11">F12+F13+F14+F15+F16+F17+F18+F19+F20+F21+F22+F23+F24+F25+F26+F27+F29+F30+F31+F32+F33+F34+F35+F36+F37+F38+F40+F42+F28+F41+F39</f>
        <v>53062355.79</v>
      </c>
      <c r="G11" s="37">
        <f t="shared" si="0"/>
        <v>25015688</v>
      </c>
      <c r="H11" s="37">
        <f t="shared" si="0"/>
        <v>2945047.79</v>
      </c>
      <c r="I11" s="37">
        <f t="shared" si="0"/>
        <v>18348840</v>
      </c>
      <c r="J11" s="37">
        <f t="shared" si="0"/>
        <v>57238215.47</v>
      </c>
      <c r="K11" s="37">
        <f t="shared" si="0"/>
        <v>473457.47</v>
      </c>
      <c r="L11" s="37">
        <f t="shared" si="0"/>
        <v>144491</v>
      </c>
      <c r="M11" s="37">
        <f t="shared" si="0"/>
        <v>98348</v>
      </c>
      <c r="N11" s="37">
        <f t="shared" si="0"/>
        <v>56764758</v>
      </c>
      <c r="O11" s="37">
        <f t="shared" si="0"/>
        <v>56764758</v>
      </c>
      <c r="P11" s="37">
        <f t="shared" si="0"/>
        <v>128649411.25999999</v>
      </c>
      <c r="Q11" s="98"/>
    </row>
    <row r="12" spans="1:17" s="25" customFormat="1" ht="15">
      <c r="A12" s="23"/>
      <c r="B12" s="26" t="s">
        <v>11</v>
      </c>
      <c r="C12" s="26" t="s">
        <v>9</v>
      </c>
      <c r="D12" s="27" t="s">
        <v>16</v>
      </c>
      <c r="E12" s="35">
        <f>F12+I12</f>
        <v>29212649</v>
      </c>
      <c r="F12" s="35">
        <f>27284910+1516344+285000+126395</f>
        <v>29212649</v>
      </c>
      <c r="G12" s="35">
        <f>16195850+1873700</f>
        <v>18069550</v>
      </c>
      <c r="H12" s="35">
        <v>1520550</v>
      </c>
      <c r="I12" s="35"/>
      <c r="J12" s="35">
        <f>K12+N12</f>
        <v>4043480</v>
      </c>
      <c r="K12" s="35"/>
      <c r="L12" s="35"/>
      <c r="M12" s="35"/>
      <c r="N12" s="35">
        <f>1100000+2043480+900000</f>
        <v>4043480</v>
      </c>
      <c r="O12" s="35">
        <f>1100000+2043480+900000</f>
        <v>4043480</v>
      </c>
      <c r="P12" s="35">
        <f>E12+J12</f>
        <v>33256129</v>
      </c>
      <c r="Q12" s="98"/>
    </row>
    <row r="13" spans="1:17" s="25" customFormat="1" ht="30">
      <c r="A13" s="23"/>
      <c r="B13" s="26" t="s">
        <v>17</v>
      </c>
      <c r="C13" s="26" t="s">
        <v>138</v>
      </c>
      <c r="D13" s="27" t="s">
        <v>18</v>
      </c>
      <c r="E13" s="35">
        <f aca="true" t="shared" si="1" ref="E13:E42">F13+I13</f>
        <v>176953</v>
      </c>
      <c r="F13" s="35">
        <f>143404+22688+10861</f>
        <v>176953</v>
      </c>
      <c r="G13" s="37"/>
      <c r="H13" s="37"/>
      <c r="I13" s="37"/>
      <c r="J13" s="35">
        <f aca="true" t="shared" si="2" ref="J13:J42">K13+N13</f>
        <v>0</v>
      </c>
      <c r="K13" s="37"/>
      <c r="L13" s="37"/>
      <c r="M13" s="37"/>
      <c r="N13" s="37"/>
      <c r="O13" s="37"/>
      <c r="P13" s="35">
        <f aca="true" t="shared" si="3" ref="P13:P42">E13+J13</f>
        <v>176953</v>
      </c>
      <c r="Q13" s="98"/>
    </row>
    <row r="14" spans="1:17" s="25" customFormat="1" ht="30">
      <c r="A14" s="23"/>
      <c r="B14" s="26" t="s">
        <v>19</v>
      </c>
      <c r="C14" s="26" t="s">
        <v>139</v>
      </c>
      <c r="D14" s="27" t="s">
        <v>20</v>
      </c>
      <c r="E14" s="35">
        <f t="shared" si="1"/>
        <v>687000</v>
      </c>
      <c r="F14" s="35">
        <f>847250-160250</f>
        <v>687000</v>
      </c>
      <c r="G14" s="35">
        <f>564500-71550</f>
        <v>492950</v>
      </c>
      <c r="H14" s="35">
        <v>55897</v>
      </c>
      <c r="I14" s="35"/>
      <c r="J14" s="35">
        <f t="shared" si="2"/>
        <v>0</v>
      </c>
      <c r="K14" s="35"/>
      <c r="L14" s="35"/>
      <c r="M14" s="35"/>
      <c r="N14" s="35"/>
      <c r="O14" s="35"/>
      <c r="P14" s="35">
        <f t="shared" si="3"/>
        <v>687000</v>
      </c>
      <c r="Q14" s="98"/>
    </row>
    <row r="15" spans="1:17" s="25" customFormat="1" ht="30">
      <c r="A15" s="23"/>
      <c r="B15" s="26" t="s">
        <v>21</v>
      </c>
      <c r="C15" s="26" t="s">
        <v>139</v>
      </c>
      <c r="D15" s="27" t="s">
        <v>22</v>
      </c>
      <c r="E15" s="35">
        <f t="shared" si="1"/>
        <v>40000</v>
      </c>
      <c r="F15" s="35">
        <v>40000</v>
      </c>
      <c r="G15" s="35"/>
      <c r="H15" s="35"/>
      <c r="I15" s="35"/>
      <c r="J15" s="35">
        <f t="shared" si="2"/>
        <v>0</v>
      </c>
      <c r="K15" s="35"/>
      <c r="L15" s="35"/>
      <c r="M15" s="35"/>
      <c r="N15" s="35"/>
      <c r="O15" s="35"/>
      <c r="P15" s="35">
        <f t="shared" si="3"/>
        <v>40000</v>
      </c>
      <c r="Q15" s="98"/>
    </row>
    <row r="16" spans="1:17" s="25" customFormat="1" ht="30">
      <c r="A16" s="23"/>
      <c r="B16" s="26" t="s">
        <v>23</v>
      </c>
      <c r="C16" s="26" t="s">
        <v>139</v>
      </c>
      <c r="D16" s="27" t="s">
        <v>24</v>
      </c>
      <c r="E16" s="35">
        <f t="shared" si="1"/>
        <v>605000</v>
      </c>
      <c r="F16" s="35">
        <f>105000+500000</f>
        <v>605000</v>
      </c>
      <c r="G16" s="35"/>
      <c r="H16" s="35"/>
      <c r="I16" s="35"/>
      <c r="J16" s="35">
        <f t="shared" si="2"/>
        <v>0</v>
      </c>
      <c r="K16" s="35"/>
      <c r="L16" s="35"/>
      <c r="M16" s="35"/>
      <c r="N16" s="35"/>
      <c r="O16" s="35"/>
      <c r="P16" s="35">
        <f t="shared" si="3"/>
        <v>605000</v>
      </c>
      <c r="Q16" s="98"/>
    </row>
    <row r="17" spans="1:17" s="25" customFormat="1" ht="15">
      <c r="A17" s="23"/>
      <c r="B17" s="26" t="s">
        <v>25</v>
      </c>
      <c r="C17" s="26" t="s">
        <v>139</v>
      </c>
      <c r="D17" s="27" t="s">
        <v>26</v>
      </c>
      <c r="E17" s="35">
        <f t="shared" si="1"/>
        <v>509900</v>
      </c>
      <c r="F17" s="35">
        <f>582100-72200</f>
        <v>509900</v>
      </c>
      <c r="G17" s="35">
        <f>354900-17600</f>
        <v>337300</v>
      </c>
      <c r="H17" s="35">
        <v>72433</v>
      </c>
      <c r="I17" s="35"/>
      <c r="J17" s="35">
        <f t="shared" si="2"/>
        <v>9645</v>
      </c>
      <c r="K17" s="35"/>
      <c r="L17" s="35"/>
      <c r="M17" s="35"/>
      <c r="N17" s="35">
        <v>9645</v>
      </c>
      <c r="O17" s="35">
        <v>9645</v>
      </c>
      <c r="P17" s="35">
        <f t="shared" si="3"/>
        <v>519545</v>
      </c>
      <c r="Q17" s="98"/>
    </row>
    <row r="18" spans="1:17" s="25" customFormat="1" ht="75">
      <c r="A18" s="23"/>
      <c r="B18" s="26" t="s">
        <v>27</v>
      </c>
      <c r="C18" s="26" t="s">
        <v>139</v>
      </c>
      <c r="D18" s="28" t="s">
        <v>28</v>
      </c>
      <c r="E18" s="35">
        <f t="shared" si="1"/>
        <v>1106888</v>
      </c>
      <c r="F18" s="35">
        <f>189000+917888</f>
        <v>1106888</v>
      </c>
      <c r="G18" s="35"/>
      <c r="H18" s="35"/>
      <c r="I18" s="35"/>
      <c r="J18" s="35">
        <f t="shared" si="2"/>
        <v>0</v>
      </c>
      <c r="K18" s="35"/>
      <c r="L18" s="35"/>
      <c r="M18" s="35"/>
      <c r="N18" s="35"/>
      <c r="O18" s="35"/>
      <c r="P18" s="35">
        <f t="shared" si="3"/>
        <v>1106888</v>
      </c>
      <c r="Q18" s="98"/>
    </row>
    <row r="19" spans="1:17" s="25" customFormat="1" ht="15">
      <c r="A19" s="23"/>
      <c r="B19" s="26" t="s">
        <v>29</v>
      </c>
      <c r="C19" s="26" t="s">
        <v>140</v>
      </c>
      <c r="D19" s="27" t="s">
        <v>30</v>
      </c>
      <c r="E19" s="35">
        <f t="shared" si="1"/>
        <v>162579.79</v>
      </c>
      <c r="F19" s="35">
        <f>125140+37439.79</f>
        <v>162579.79</v>
      </c>
      <c r="G19" s="35"/>
      <c r="H19" s="35">
        <f>124940+37439.79</f>
        <v>162379.79</v>
      </c>
      <c r="I19" s="35"/>
      <c r="J19" s="35">
        <f t="shared" si="2"/>
        <v>0</v>
      </c>
      <c r="K19" s="35"/>
      <c r="L19" s="35"/>
      <c r="M19" s="35"/>
      <c r="N19" s="35"/>
      <c r="O19" s="35"/>
      <c r="P19" s="35">
        <f t="shared" si="3"/>
        <v>162579.79</v>
      </c>
      <c r="Q19" s="98"/>
    </row>
    <row r="20" spans="1:17" s="25" customFormat="1" ht="15">
      <c r="A20" s="23"/>
      <c r="B20" s="26" t="s">
        <v>31</v>
      </c>
      <c r="C20" s="26" t="s">
        <v>141</v>
      </c>
      <c r="D20" s="27" t="s">
        <v>32</v>
      </c>
      <c r="E20" s="35">
        <f t="shared" si="1"/>
        <v>1663302</v>
      </c>
      <c r="F20" s="35">
        <f>1692120-160464+21446+105200+5000</f>
        <v>1663302</v>
      </c>
      <c r="G20" s="35">
        <f>1009375-13215</f>
        <v>996160</v>
      </c>
      <c r="H20" s="35">
        <v>91785</v>
      </c>
      <c r="I20" s="37"/>
      <c r="J20" s="35">
        <f t="shared" si="2"/>
        <v>143759</v>
      </c>
      <c r="K20" s="35"/>
      <c r="L20" s="35"/>
      <c r="M20" s="35"/>
      <c r="N20" s="35">
        <f>70000+4759+69000</f>
        <v>143759</v>
      </c>
      <c r="O20" s="35">
        <f>70000+4759+69000</f>
        <v>143759</v>
      </c>
      <c r="P20" s="35">
        <f t="shared" si="3"/>
        <v>1807061</v>
      </c>
      <c r="Q20" s="98"/>
    </row>
    <row r="21" spans="1:17" s="25" customFormat="1" ht="15">
      <c r="A21" s="23"/>
      <c r="B21" s="26" t="s">
        <v>193</v>
      </c>
      <c r="C21" s="26" t="s">
        <v>195</v>
      </c>
      <c r="D21" s="27" t="s">
        <v>194</v>
      </c>
      <c r="E21" s="35">
        <f t="shared" si="1"/>
        <v>90300</v>
      </c>
      <c r="F21" s="35">
        <v>90300</v>
      </c>
      <c r="G21" s="35"/>
      <c r="H21" s="35"/>
      <c r="I21" s="37"/>
      <c r="J21" s="35">
        <f t="shared" si="2"/>
        <v>0</v>
      </c>
      <c r="K21" s="35"/>
      <c r="L21" s="35"/>
      <c r="M21" s="35"/>
      <c r="N21" s="35"/>
      <c r="O21" s="35"/>
      <c r="P21" s="35">
        <f t="shared" si="3"/>
        <v>90300</v>
      </c>
      <c r="Q21" s="98"/>
    </row>
    <row r="22" spans="1:17" s="25" customFormat="1" ht="30">
      <c r="A22" s="23"/>
      <c r="B22" s="26" t="s">
        <v>33</v>
      </c>
      <c r="C22" s="26" t="s">
        <v>142</v>
      </c>
      <c r="D22" s="27" t="s">
        <v>34</v>
      </c>
      <c r="E22" s="35">
        <f t="shared" si="1"/>
        <v>500000</v>
      </c>
      <c r="F22" s="35">
        <v>500000</v>
      </c>
      <c r="G22" s="35"/>
      <c r="H22" s="35"/>
      <c r="I22" s="37"/>
      <c r="J22" s="35">
        <f t="shared" si="2"/>
        <v>0</v>
      </c>
      <c r="K22" s="35"/>
      <c r="L22" s="35"/>
      <c r="M22" s="35"/>
      <c r="N22" s="35"/>
      <c r="O22" s="35"/>
      <c r="P22" s="35">
        <f t="shared" si="3"/>
        <v>500000</v>
      </c>
      <c r="Q22" s="98"/>
    </row>
    <row r="23" spans="1:17" s="25" customFormat="1" ht="44.25" customHeight="1">
      <c r="A23" s="23"/>
      <c r="B23" s="26" t="s">
        <v>35</v>
      </c>
      <c r="C23" s="26" t="s">
        <v>142</v>
      </c>
      <c r="D23" s="27" t="s">
        <v>36</v>
      </c>
      <c r="E23" s="35">
        <f t="shared" si="1"/>
        <v>523780</v>
      </c>
      <c r="F23" s="35">
        <f>500000+16500+7280</f>
        <v>523780</v>
      </c>
      <c r="G23" s="35"/>
      <c r="H23" s="35"/>
      <c r="I23" s="37"/>
      <c r="J23" s="35">
        <f t="shared" si="2"/>
        <v>0</v>
      </c>
      <c r="K23" s="35"/>
      <c r="L23" s="35"/>
      <c r="M23" s="35"/>
      <c r="N23" s="35"/>
      <c r="O23" s="35"/>
      <c r="P23" s="35">
        <f t="shared" si="3"/>
        <v>523780</v>
      </c>
      <c r="Q23" s="98"/>
    </row>
    <row r="24" spans="1:17" s="25" customFormat="1" ht="45" customHeight="1">
      <c r="A24" s="23"/>
      <c r="B24" s="26" t="s">
        <v>37</v>
      </c>
      <c r="C24" s="26" t="s">
        <v>142</v>
      </c>
      <c r="D24" s="27" t="s">
        <v>38</v>
      </c>
      <c r="E24" s="35">
        <f t="shared" si="1"/>
        <v>5121691</v>
      </c>
      <c r="F24" s="35">
        <f>5633420-548729+30000+7000</f>
        <v>5121691</v>
      </c>
      <c r="G24" s="35">
        <f>3602473-51151</f>
        <v>3551322</v>
      </c>
      <c r="H24" s="35">
        <v>410216</v>
      </c>
      <c r="I24" s="37"/>
      <c r="J24" s="35">
        <f t="shared" si="2"/>
        <v>210000</v>
      </c>
      <c r="K24" s="37"/>
      <c r="L24" s="37"/>
      <c r="M24" s="37"/>
      <c r="N24" s="35">
        <f>200000+10000</f>
        <v>210000</v>
      </c>
      <c r="O24" s="35">
        <f>200000+10000</f>
        <v>210000</v>
      </c>
      <c r="P24" s="35">
        <f t="shared" si="3"/>
        <v>5331691</v>
      </c>
      <c r="Q24" s="98"/>
    </row>
    <row r="25" spans="1:17" s="25" customFormat="1" ht="15">
      <c r="A25" s="23"/>
      <c r="B25" s="26" t="s">
        <v>39</v>
      </c>
      <c r="C25" s="26" t="s">
        <v>142</v>
      </c>
      <c r="D25" s="27" t="s">
        <v>26</v>
      </c>
      <c r="E25" s="35">
        <f t="shared" si="1"/>
        <v>2347168</v>
      </c>
      <c r="F25" s="35">
        <f>2545380-198212</f>
        <v>2347168</v>
      </c>
      <c r="G25" s="35"/>
      <c r="H25" s="35"/>
      <c r="I25" s="37"/>
      <c r="J25" s="35">
        <f t="shared" si="2"/>
        <v>0</v>
      </c>
      <c r="K25" s="37"/>
      <c r="L25" s="37"/>
      <c r="M25" s="37"/>
      <c r="N25" s="35"/>
      <c r="O25" s="35"/>
      <c r="P25" s="35">
        <f t="shared" si="3"/>
        <v>2347168</v>
      </c>
      <c r="Q25" s="98"/>
    </row>
    <row r="26" spans="1:17" s="25" customFormat="1" ht="30">
      <c r="A26" s="23"/>
      <c r="B26" s="26" t="s">
        <v>40</v>
      </c>
      <c r="C26" s="26" t="s">
        <v>142</v>
      </c>
      <c r="D26" s="27" t="s">
        <v>41</v>
      </c>
      <c r="E26" s="35">
        <f t="shared" si="1"/>
        <v>1718839</v>
      </c>
      <c r="F26" s="35">
        <f>1995340-308001+14500+17000</f>
        <v>1718839</v>
      </c>
      <c r="G26" s="35">
        <f>1058675-128369</f>
        <v>930306</v>
      </c>
      <c r="H26" s="35">
        <v>384290</v>
      </c>
      <c r="I26" s="37"/>
      <c r="J26" s="35">
        <f t="shared" si="2"/>
        <v>817714</v>
      </c>
      <c r="K26" s="35">
        <v>317714</v>
      </c>
      <c r="L26" s="35">
        <v>144491</v>
      </c>
      <c r="M26" s="35">
        <v>97628</v>
      </c>
      <c r="N26" s="35">
        <v>500000</v>
      </c>
      <c r="O26" s="35">
        <v>500000</v>
      </c>
      <c r="P26" s="35">
        <f t="shared" si="3"/>
        <v>2536553</v>
      </c>
      <c r="Q26" s="98"/>
    </row>
    <row r="27" spans="1:17" s="25" customFormat="1" ht="79.5" customHeight="1">
      <c r="A27" s="23"/>
      <c r="B27" s="26" t="s">
        <v>42</v>
      </c>
      <c r="C27" s="26" t="s">
        <v>142</v>
      </c>
      <c r="D27" s="27" t="s">
        <v>43</v>
      </c>
      <c r="E27" s="35">
        <f t="shared" si="1"/>
        <v>4121218</v>
      </c>
      <c r="F27" s="35">
        <f>4485660-399442+10000+25000</f>
        <v>4121218</v>
      </c>
      <c r="G27" s="35"/>
      <c r="H27" s="35"/>
      <c r="I27" s="37"/>
      <c r="J27" s="35">
        <f t="shared" si="2"/>
        <v>0</v>
      </c>
      <c r="K27" s="37"/>
      <c r="L27" s="37"/>
      <c r="M27" s="37"/>
      <c r="N27" s="35"/>
      <c r="O27" s="35"/>
      <c r="P27" s="35">
        <f t="shared" si="3"/>
        <v>4121218</v>
      </c>
      <c r="Q27" s="98"/>
    </row>
    <row r="28" spans="1:17" s="25" customFormat="1" ht="30">
      <c r="A28" s="23"/>
      <c r="B28" s="26" t="s">
        <v>196</v>
      </c>
      <c r="C28" s="26" t="s">
        <v>198</v>
      </c>
      <c r="D28" s="27" t="s">
        <v>197</v>
      </c>
      <c r="E28" s="35">
        <f t="shared" si="1"/>
        <v>99000</v>
      </c>
      <c r="F28" s="35">
        <v>99000</v>
      </c>
      <c r="G28" s="35"/>
      <c r="H28" s="35"/>
      <c r="I28" s="37"/>
      <c r="J28" s="35">
        <f t="shared" si="2"/>
        <v>0</v>
      </c>
      <c r="K28" s="37"/>
      <c r="L28" s="37"/>
      <c r="M28" s="37"/>
      <c r="N28" s="35"/>
      <c r="O28" s="35"/>
      <c r="P28" s="35">
        <f t="shared" si="3"/>
        <v>99000</v>
      </c>
      <c r="Q28" s="99" t="s">
        <v>346</v>
      </c>
    </row>
    <row r="29" spans="1:17" s="25" customFormat="1" ht="30">
      <c r="A29" s="23"/>
      <c r="B29" s="26" t="s">
        <v>200</v>
      </c>
      <c r="C29" s="26" t="s">
        <v>203</v>
      </c>
      <c r="D29" s="27" t="s">
        <v>202</v>
      </c>
      <c r="E29" s="35">
        <f>F29+I29</f>
        <v>1642000</v>
      </c>
      <c r="F29" s="35"/>
      <c r="G29" s="35"/>
      <c r="H29" s="35"/>
      <c r="I29" s="35">
        <v>1642000</v>
      </c>
      <c r="J29" s="35">
        <f t="shared" si="2"/>
        <v>0</v>
      </c>
      <c r="K29" s="37"/>
      <c r="L29" s="37"/>
      <c r="M29" s="37"/>
      <c r="N29" s="35"/>
      <c r="O29" s="35"/>
      <c r="P29" s="35">
        <f t="shared" si="3"/>
        <v>1642000</v>
      </c>
      <c r="Q29" s="99"/>
    </row>
    <row r="30" spans="1:17" s="25" customFormat="1" ht="30">
      <c r="A30" s="23"/>
      <c r="B30" s="26" t="s">
        <v>320</v>
      </c>
      <c r="C30" s="26" t="s">
        <v>203</v>
      </c>
      <c r="D30" s="27" t="s">
        <v>321</v>
      </c>
      <c r="E30" s="35">
        <f>F30+I30</f>
        <v>2447500</v>
      </c>
      <c r="F30" s="35"/>
      <c r="G30" s="35"/>
      <c r="H30" s="35"/>
      <c r="I30" s="35">
        <f>150000+200000+156400+1941100</f>
        <v>2447500</v>
      </c>
      <c r="J30" s="35">
        <f t="shared" si="2"/>
        <v>0</v>
      </c>
      <c r="K30" s="37"/>
      <c r="L30" s="37"/>
      <c r="M30" s="37"/>
      <c r="N30" s="35"/>
      <c r="O30" s="35"/>
      <c r="P30" s="35">
        <f t="shared" si="3"/>
        <v>2447500</v>
      </c>
      <c r="Q30" s="99"/>
    </row>
    <row r="31" spans="1:17" s="25" customFormat="1" ht="30">
      <c r="A31" s="23"/>
      <c r="B31" s="26" t="s">
        <v>201</v>
      </c>
      <c r="C31" s="26" t="s">
        <v>205</v>
      </c>
      <c r="D31" s="27" t="s">
        <v>204</v>
      </c>
      <c r="E31" s="35">
        <f t="shared" si="1"/>
        <v>3607600</v>
      </c>
      <c r="F31" s="35"/>
      <c r="G31" s="35"/>
      <c r="H31" s="35"/>
      <c r="I31" s="35">
        <v>3607600</v>
      </c>
      <c r="J31" s="35">
        <f t="shared" si="2"/>
        <v>0</v>
      </c>
      <c r="K31" s="37"/>
      <c r="L31" s="37"/>
      <c r="M31" s="37"/>
      <c r="N31" s="35"/>
      <c r="O31" s="35"/>
      <c r="P31" s="35">
        <f t="shared" si="3"/>
        <v>3607600</v>
      </c>
      <c r="Q31" s="99"/>
    </row>
    <row r="32" spans="1:17" s="25" customFormat="1" ht="45">
      <c r="A32" s="23"/>
      <c r="B32" s="26" t="s">
        <v>107</v>
      </c>
      <c r="C32" s="26" t="s">
        <v>165</v>
      </c>
      <c r="D32" s="27" t="s">
        <v>108</v>
      </c>
      <c r="E32" s="35">
        <f t="shared" si="1"/>
        <v>32500</v>
      </c>
      <c r="F32" s="35">
        <v>32500</v>
      </c>
      <c r="G32" s="35"/>
      <c r="H32" s="35"/>
      <c r="I32" s="37"/>
      <c r="J32" s="35">
        <f t="shared" si="2"/>
        <v>0</v>
      </c>
      <c r="K32" s="37"/>
      <c r="L32" s="37"/>
      <c r="M32" s="37"/>
      <c r="N32" s="35"/>
      <c r="O32" s="35"/>
      <c r="P32" s="35">
        <f t="shared" si="3"/>
        <v>32500</v>
      </c>
      <c r="Q32" s="99"/>
    </row>
    <row r="33" spans="1:17" s="25" customFormat="1" ht="15">
      <c r="A33" s="23"/>
      <c r="B33" s="26" t="s">
        <v>44</v>
      </c>
      <c r="C33" s="26" t="s">
        <v>143</v>
      </c>
      <c r="D33" s="27" t="s">
        <v>45</v>
      </c>
      <c r="E33" s="35">
        <f t="shared" si="1"/>
        <v>10651740</v>
      </c>
      <c r="F33" s="35"/>
      <c r="G33" s="37"/>
      <c r="H33" s="37"/>
      <c r="I33" s="53">
        <f>2000000+2000000+98040+1600000+420000+1474800+3058900</f>
        <v>10651740</v>
      </c>
      <c r="J33" s="35">
        <f t="shared" si="2"/>
        <v>0</v>
      </c>
      <c r="K33" s="35"/>
      <c r="L33" s="35"/>
      <c r="M33" s="35"/>
      <c r="N33" s="35"/>
      <c r="O33" s="35"/>
      <c r="P33" s="35">
        <f t="shared" si="3"/>
        <v>10651740</v>
      </c>
      <c r="Q33" s="99"/>
    </row>
    <row r="34" spans="1:17" s="25" customFormat="1" ht="30">
      <c r="A34" s="23"/>
      <c r="B34" s="26" t="s">
        <v>46</v>
      </c>
      <c r="C34" s="26" t="s">
        <v>144</v>
      </c>
      <c r="D34" s="27" t="s">
        <v>47</v>
      </c>
      <c r="E34" s="35">
        <f t="shared" si="1"/>
        <v>85000</v>
      </c>
      <c r="F34" s="35">
        <v>85000</v>
      </c>
      <c r="G34" s="37"/>
      <c r="H34" s="37"/>
      <c r="I34" s="37"/>
      <c r="J34" s="35">
        <f t="shared" si="2"/>
        <v>0</v>
      </c>
      <c r="K34" s="37"/>
      <c r="L34" s="37"/>
      <c r="M34" s="37"/>
      <c r="N34" s="35"/>
      <c r="O34" s="35"/>
      <c r="P34" s="35">
        <f t="shared" si="3"/>
        <v>85000</v>
      </c>
      <c r="Q34" s="99"/>
    </row>
    <row r="35" spans="1:17" s="25" customFormat="1" ht="66.75" customHeight="1">
      <c r="A35" s="23"/>
      <c r="B35" s="26" t="s">
        <v>48</v>
      </c>
      <c r="C35" s="26" t="s">
        <v>145</v>
      </c>
      <c r="D35" s="27" t="s">
        <v>49</v>
      </c>
      <c r="E35" s="35">
        <f t="shared" si="1"/>
        <v>0</v>
      </c>
      <c r="F35" s="37"/>
      <c r="G35" s="37"/>
      <c r="H35" s="37"/>
      <c r="I35" s="37"/>
      <c r="J35" s="35">
        <f t="shared" si="2"/>
        <v>51400000</v>
      </c>
      <c r="K35" s="37"/>
      <c r="L35" s="37"/>
      <c r="M35" s="37"/>
      <c r="N35" s="35">
        <f>46000000+5400000</f>
        <v>51400000</v>
      </c>
      <c r="O35" s="35">
        <f>46000000+5400000</f>
        <v>51400000</v>
      </c>
      <c r="P35" s="35">
        <f t="shared" si="3"/>
        <v>51400000</v>
      </c>
      <c r="Q35" s="99"/>
    </row>
    <row r="36" spans="1:17" s="25" customFormat="1" ht="30">
      <c r="A36" s="23"/>
      <c r="B36" s="26" t="s">
        <v>50</v>
      </c>
      <c r="C36" s="26" t="s">
        <v>144</v>
      </c>
      <c r="D36" s="27" t="s">
        <v>51</v>
      </c>
      <c r="E36" s="35">
        <f t="shared" si="1"/>
        <v>837300</v>
      </c>
      <c r="F36" s="35">
        <f>737300+100000</f>
        <v>837300</v>
      </c>
      <c r="G36" s="37"/>
      <c r="H36" s="37"/>
      <c r="I36" s="37"/>
      <c r="J36" s="35">
        <f t="shared" si="2"/>
        <v>0</v>
      </c>
      <c r="K36" s="37"/>
      <c r="L36" s="37"/>
      <c r="M36" s="37"/>
      <c r="N36" s="37"/>
      <c r="O36" s="37"/>
      <c r="P36" s="35">
        <f t="shared" si="3"/>
        <v>837300</v>
      </c>
      <c r="Q36" s="99"/>
    </row>
    <row r="37" spans="1:17" s="25" customFormat="1" ht="45">
      <c r="A37" s="23"/>
      <c r="B37" s="26" t="s">
        <v>52</v>
      </c>
      <c r="C37" s="26" t="s">
        <v>146</v>
      </c>
      <c r="D37" s="27" t="s">
        <v>53</v>
      </c>
      <c r="E37" s="35">
        <f t="shared" si="1"/>
        <v>162726</v>
      </c>
      <c r="F37" s="35">
        <f>6600+156126</f>
        <v>162726</v>
      </c>
      <c r="G37" s="37"/>
      <c r="H37" s="35">
        <v>4300</v>
      </c>
      <c r="I37" s="37"/>
      <c r="J37" s="35">
        <f t="shared" si="2"/>
        <v>343874</v>
      </c>
      <c r="K37" s="35"/>
      <c r="L37" s="35"/>
      <c r="M37" s="35"/>
      <c r="N37" s="35">
        <v>343874</v>
      </c>
      <c r="O37" s="35">
        <v>343874</v>
      </c>
      <c r="P37" s="35">
        <f t="shared" si="3"/>
        <v>506600</v>
      </c>
      <c r="Q37" s="99"/>
    </row>
    <row r="38" spans="1:17" s="25" customFormat="1" ht="15">
      <c r="A38" s="23"/>
      <c r="B38" s="29" t="s">
        <v>54</v>
      </c>
      <c r="C38" s="29" t="s">
        <v>147</v>
      </c>
      <c r="D38" s="27" t="s">
        <v>55</v>
      </c>
      <c r="E38" s="35">
        <f t="shared" si="1"/>
        <v>897100</v>
      </c>
      <c r="F38" s="35">
        <f>1027600-160500+30000</f>
        <v>897100</v>
      </c>
      <c r="G38" s="35">
        <f>690800-52700</f>
        <v>638100</v>
      </c>
      <c r="H38" s="35">
        <v>46377</v>
      </c>
      <c r="I38" s="35"/>
      <c r="J38" s="35">
        <f t="shared" si="2"/>
        <v>4700</v>
      </c>
      <c r="K38" s="35">
        <v>4700</v>
      </c>
      <c r="L38" s="35"/>
      <c r="M38" s="35">
        <v>720</v>
      </c>
      <c r="N38" s="35"/>
      <c r="O38" s="35"/>
      <c r="P38" s="35">
        <f t="shared" si="3"/>
        <v>901800</v>
      </c>
      <c r="Q38" s="99"/>
    </row>
    <row r="39" spans="1:17" s="25" customFormat="1" ht="30">
      <c r="A39" s="23"/>
      <c r="B39" s="26" t="s">
        <v>312</v>
      </c>
      <c r="C39" s="26" t="s">
        <v>148</v>
      </c>
      <c r="D39" s="27" t="s">
        <v>313</v>
      </c>
      <c r="E39" s="35">
        <f>F39+I39</f>
        <v>0</v>
      </c>
      <c r="F39" s="35"/>
      <c r="G39" s="35"/>
      <c r="H39" s="35"/>
      <c r="I39" s="35"/>
      <c r="J39" s="35">
        <f>K39+N39</f>
        <v>30600</v>
      </c>
      <c r="K39" s="35">
        <v>30600</v>
      </c>
      <c r="L39" s="35"/>
      <c r="M39" s="35"/>
      <c r="N39" s="35"/>
      <c r="O39" s="35"/>
      <c r="P39" s="35">
        <f>E39+J39</f>
        <v>30600</v>
      </c>
      <c r="Q39" s="99"/>
    </row>
    <row r="40" spans="1:17" s="25" customFormat="1" ht="60">
      <c r="A40" s="23"/>
      <c r="B40" s="26" t="s">
        <v>56</v>
      </c>
      <c r="C40" s="26" t="s">
        <v>149</v>
      </c>
      <c r="D40" s="27" t="s">
        <v>57</v>
      </c>
      <c r="E40" s="35">
        <f t="shared" si="1"/>
        <v>0</v>
      </c>
      <c r="F40" s="35"/>
      <c r="G40" s="35"/>
      <c r="H40" s="35"/>
      <c r="I40" s="35"/>
      <c r="J40" s="35">
        <f t="shared" si="2"/>
        <v>120443.47</v>
      </c>
      <c r="K40" s="35">
        <f>119543+900.47</f>
        <v>120443.47</v>
      </c>
      <c r="L40" s="35"/>
      <c r="M40" s="35"/>
      <c r="N40" s="35"/>
      <c r="O40" s="35"/>
      <c r="P40" s="35">
        <f t="shared" si="3"/>
        <v>120443.47</v>
      </c>
      <c r="Q40" s="99"/>
    </row>
    <row r="41" spans="1:17" s="25" customFormat="1" ht="60">
      <c r="A41" s="23"/>
      <c r="B41" s="26" t="s">
        <v>322</v>
      </c>
      <c r="C41" s="26" t="s">
        <v>183</v>
      </c>
      <c r="D41" s="27" t="s">
        <v>323</v>
      </c>
      <c r="E41" s="35">
        <f t="shared" si="1"/>
        <v>250000</v>
      </c>
      <c r="F41" s="35">
        <f>100000+150000</f>
        <v>250000</v>
      </c>
      <c r="G41" s="35"/>
      <c r="H41" s="35"/>
      <c r="I41" s="35"/>
      <c r="J41" s="35">
        <f t="shared" si="2"/>
        <v>0</v>
      </c>
      <c r="K41" s="35"/>
      <c r="L41" s="35"/>
      <c r="M41" s="35"/>
      <c r="N41" s="35"/>
      <c r="O41" s="35"/>
      <c r="P41" s="35">
        <f t="shared" si="3"/>
        <v>250000</v>
      </c>
      <c r="Q41" s="99"/>
    </row>
    <row r="42" spans="1:17" s="25" customFormat="1" ht="15">
      <c r="A42" s="23"/>
      <c r="B42" s="26" t="s">
        <v>58</v>
      </c>
      <c r="C42" s="26" t="s">
        <v>149</v>
      </c>
      <c r="D42" s="27" t="s">
        <v>26</v>
      </c>
      <c r="E42" s="35">
        <f t="shared" si="1"/>
        <v>2111462</v>
      </c>
      <c r="F42" s="35">
        <f>952700+602640+80580+303921+268723-97102</f>
        <v>2111462</v>
      </c>
      <c r="G42" s="35"/>
      <c r="H42" s="35">
        <v>196820</v>
      </c>
      <c r="I42" s="37"/>
      <c r="J42" s="35">
        <f t="shared" si="2"/>
        <v>114000</v>
      </c>
      <c r="K42" s="37"/>
      <c r="L42" s="37"/>
      <c r="M42" s="37"/>
      <c r="N42" s="53">
        <f>89000+25000</f>
        <v>114000</v>
      </c>
      <c r="O42" s="53">
        <f>89000+25000</f>
        <v>114000</v>
      </c>
      <c r="P42" s="35">
        <f t="shared" si="3"/>
        <v>2225462</v>
      </c>
      <c r="Q42" s="99"/>
    </row>
    <row r="43" spans="1:17" s="25" customFormat="1" ht="28.5">
      <c r="A43" s="23"/>
      <c r="B43" s="30"/>
      <c r="C43" s="30"/>
      <c r="D43" s="31" t="s">
        <v>150</v>
      </c>
      <c r="E43" s="37">
        <f>E45+E46+E47+E49+E51+E53+E54+E55+E56+E57+E58+E59+E60+E61+E62+E63+E64</f>
        <v>430366103.89</v>
      </c>
      <c r="F43" s="37">
        <f aca="true" t="shared" si="4" ref="F43:P43">F45+F46+F47+F49+F51+F53+F54+F55+F56+F57+F58+F59+F60+F61+F62+F63+F64</f>
        <v>430366103.89</v>
      </c>
      <c r="G43" s="37">
        <f t="shared" si="4"/>
        <v>249391917</v>
      </c>
      <c r="H43" s="37">
        <f t="shared" si="4"/>
        <v>59900211</v>
      </c>
      <c r="I43" s="37">
        <f t="shared" si="4"/>
        <v>0</v>
      </c>
      <c r="J43" s="37">
        <f t="shared" si="4"/>
        <v>53202558</v>
      </c>
      <c r="K43" s="37">
        <f t="shared" si="4"/>
        <v>36441117</v>
      </c>
      <c r="L43" s="37">
        <f t="shared" si="4"/>
        <v>2470383</v>
      </c>
      <c r="M43" s="37">
        <f t="shared" si="4"/>
        <v>1518188</v>
      </c>
      <c r="N43" s="37">
        <f>N45+N46+N47+N49+N51+N53+N54+N55+N56+N57+N58+N59+N60+N61+N62+N63+N64</f>
        <v>16761441</v>
      </c>
      <c r="O43" s="37">
        <f t="shared" si="4"/>
        <v>16336441</v>
      </c>
      <c r="P43" s="37">
        <f t="shared" si="4"/>
        <v>483568661.89</v>
      </c>
      <c r="Q43" s="99"/>
    </row>
    <row r="44" spans="1:17" s="51" customFormat="1" ht="15">
      <c r="A44" s="50"/>
      <c r="B44" s="47"/>
      <c r="C44" s="47"/>
      <c r="D44" s="40" t="s">
        <v>213</v>
      </c>
      <c r="E44" s="35">
        <f>F44+I44</f>
        <v>193272245.09</v>
      </c>
      <c r="F44" s="53">
        <f>F48+F50+F52</f>
        <v>193272245.09</v>
      </c>
      <c r="G44" s="53">
        <f aca="true" t="shared" si="5" ref="G44:O44">G48+G50+G52</f>
        <v>132708061</v>
      </c>
      <c r="H44" s="53">
        <f t="shared" si="5"/>
        <v>28492381</v>
      </c>
      <c r="I44" s="53">
        <f t="shared" si="5"/>
        <v>0</v>
      </c>
      <c r="J44" s="35">
        <f>K44+N44</f>
        <v>0</v>
      </c>
      <c r="K44" s="53">
        <f t="shared" si="5"/>
        <v>0</v>
      </c>
      <c r="L44" s="53">
        <f t="shared" si="5"/>
        <v>0</v>
      </c>
      <c r="M44" s="53">
        <f t="shared" si="5"/>
        <v>0</v>
      </c>
      <c r="N44" s="53">
        <f t="shared" si="5"/>
        <v>0</v>
      </c>
      <c r="O44" s="53">
        <f t="shared" si="5"/>
        <v>0</v>
      </c>
      <c r="P44" s="35">
        <f>E44+J44</f>
        <v>193272245.09</v>
      </c>
      <c r="Q44" s="99"/>
    </row>
    <row r="45" spans="1:17" s="25" customFormat="1" ht="15">
      <c r="A45" s="23"/>
      <c r="B45" s="26" t="s">
        <v>11</v>
      </c>
      <c r="C45" s="26" t="s">
        <v>9</v>
      </c>
      <c r="D45" s="27" t="s">
        <v>16</v>
      </c>
      <c r="E45" s="35">
        <f aca="true" t="shared" si="6" ref="E45:E64">F45+I45</f>
        <v>954900</v>
      </c>
      <c r="F45" s="35">
        <f>1009660-118390+63630</f>
        <v>954900</v>
      </c>
      <c r="G45" s="35">
        <f>667920-18750+52156</f>
        <v>701326</v>
      </c>
      <c r="H45" s="35">
        <v>24724</v>
      </c>
      <c r="I45" s="37"/>
      <c r="J45" s="35">
        <f>K45+N45</f>
        <v>194000</v>
      </c>
      <c r="K45" s="37"/>
      <c r="L45" s="37"/>
      <c r="M45" s="37"/>
      <c r="N45" s="35">
        <f>20000+150000+24000</f>
        <v>194000</v>
      </c>
      <c r="O45" s="35">
        <f>20000+150000+24000</f>
        <v>194000</v>
      </c>
      <c r="P45" s="35">
        <f aca="true" t="shared" si="7" ref="P45:P64">E45+J45</f>
        <v>1148900</v>
      </c>
      <c r="Q45" s="99"/>
    </row>
    <row r="46" spans="1:17" s="25" customFormat="1" ht="15">
      <c r="A46" s="23"/>
      <c r="B46" s="26" t="s">
        <v>59</v>
      </c>
      <c r="C46" s="26" t="s">
        <v>151</v>
      </c>
      <c r="D46" s="27" t="s">
        <v>60</v>
      </c>
      <c r="E46" s="35">
        <f t="shared" si="6"/>
        <v>112931234</v>
      </c>
      <c r="F46" s="35">
        <f>127615802+181800-17960782+85000+2791744+55100+20000+15000+65000+62570</f>
        <v>112931234</v>
      </c>
      <c r="G46" s="35">
        <f>70161106-6341216</f>
        <v>63819890</v>
      </c>
      <c r="H46" s="35">
        <v>19789563</v>
      </c>
      <c r="I46" s="37"/>
      <c r="J46" s="35">
        <f aca="true" t="shared" si="8" ref="J46:J64">K46+N46</f>
        <v>15167016</v>
      </c>
      <c r="K46" s="35">
        <v>11284686</v>
      </c>
      <c r="L46" s="35"/>
      <c r="M46" s="35"/>
      <c r="N46" s="35">
        <f>2750000+850000+125000+35900+15000+42000+15000+49430</f>
        <v>3882330</v>
      </c>
      <c r="O46" s="35">
        <f>2750000+850000+125000+35900+15000+42000+15000+49430</f>
        <v>3882330</v>
      </c>
      <c r="P46" s="35">
        <f t="shared" si="7"/>
        <v>128098250</v>
      </c>
      <c r="Q46" s="99"/>
    </row>
    <row r="47" spans="1:17" s="25" customFormat="1" ht="60">
      <c r="A47" s="23"/>
      <c r="B47" s="26" t="s">
        <v>61</v>
      </c>
      <c r="C47" s="26" t="s">
        <v>152</v>
      </c>
      <c r="D47" s="27" t="s">
        <v>62</v>
      </c>
      <c r="E47" s="35">
        <f t="shared" si="6"/>
        <v>232423046.14000002</v>
      </c>
      <c r="F47" s="35">
        <f>241356212+318200+8795512-31986943+4220760+3940000+192036+4086044+727101.34+332450+191339+164032.8+19908+54675+11719</f>
        <v>232423046.14000002</v>
      </c>
      <c r="G47" s="35">
        <f>142701242+16080119-18252562</f>
        <v>140528799</v>
      </c>
      <c r="H47" s="35">
        <f>31014749+1000000-1000000</f>
        <v>31014749</v>
      </c>
      <c r="I47" s="37"/>
      <c r="J47" s="35">
        <f t="shared" si="8"/>
        <v>29718282</v>
      </c>
      <c r="K47" s="35">
        <v>18497171</v>
      </c>
      <c r="L47" s="35">
        <v>740455</v>
      </c>
      <c r="M47" s="35">
        <v>47940</v>
      </c>
      <c r="N47" s="35">
        <f>6090000+2150000+190000+134464+500000+184300+1498110+78400+185661-15000+148820+88075-11719</f>
        <v>11221111</v>
      </c>
      <c r="O47" s="35">
        <f>6090000+2150000+190000+134464+500000+184300+1498110+78400+185661-15000+148820+88075-11719</f>
        <v>11221111</v>
      </c>
      <c r="P47" s="35">
        <f t="shared" si="7"/>
        <v>262141328.14000002</v>
      </c>
      <c r="Q47" s="99"/>
    </row>
    <row r="48" spans="1:17" s="25" customFormat="1" ht="15">
      <c r="A48" s="23"/>
      <c r="B48" s="26"/>
      <c r="C48" s="26"/>
      <c r="D48" s="40" t="s">
        <v>213</v>
      </c>
      <c r="E48" s="35">
        <f t="shared" si="6"/>
        <v>188621912.34</v>
      </c>
      <c r="F48" s="35">
        <f>179099299+8795512+727101.34</f>
        <v>188621912.34</v>
      </c>
      <c r="G48" s="35">
        <f>113504164+16080119</f>
        <v>129584283</v>
      </c>
      <c r="H48" s="35">
        <f>19360798+1000000+7664491</f>
        <v>28025289</v>
      </c>
      <c r="I48" s="37"/>
      <c r="J48" s="35">
        <f t="shared" si="8"/>
        <v>0</v>
      </c>
      <c r="K48" s="35"/>
      <c r="L48" s="35"/>
      <c r="M48" s="35"/>
      <c r="N48" s="35"/>
      <c r="O48" s="35"/>
      <c r="P48" s="35">
        <f t="shared" si="7"/>
        <v>188621912.34</v>
      </c>
      <c r="Q48" s="99"/>
    </row>
    <row r="49" spans="1:17" s="25" customFormat="1" ht="15">
      <c r="A49" s="23"/>
      <c r="B49" s="26" t="s">
        <v>63</v>
      </c>
      <c r="C49" s="26" t="s">
        <v>152</v>
      </c>
      <c r="D49" s="27" t="s">
        <v>64</v>
      </c>
      <c r="E49" s="35">
        <f t="shared" si="6"/>
        <v>357724</v>
      </c>
      <c r="F49" s="35">
        <f>372150+25184-39610</f>
        <v>357724</v>
      </c>
      <c r="G49" s="35">
        <f>277448+45301-29836</f>
        <v>292913</v>
      </c>
      <c r="H49" s="35"/>
      <c r="I49" s="37"/>
      <c r="J49" s="35">
        <f t="shared" si="8"/>
        <v>0</v>
      </c>
      <c r="K49" s="35"/>
      <c r="L49" s="35"/>
      <c r="M49" s="35"/>
      <c r="N49" s="35"/>
      <c r="O49" s="35"/>
      <c r="P49" s="35">
        <f t="shared" si="7"/>
        <v>357724</v>
      </c>
      <c r="Q49" s="99"/>
    </row>
    <row r="50" spans="1:17" s="25" customFormat="1" ht="15">
      <c r="A50" s="23"/>
      <c r="B50" s="26"/>
      <c r="C50" s="26"/>
      <c r="D50" s="40" t="s">
        <v>213</v>
      </c>
      <c r="E50" s="35">
        <f t="shared" si="6"/>
        <v>357354</v>
      </c>
      <c r="F50" s="35">
        <f>332170+25184</f>
        <v>357354</v>
      </c>
      <c r="G50" s="35">
        <f>247612+45301</f>
        <v>292913</v>
      </c>
      <c r="H50" s="35"/>
      <c r="I50" s="37"/>
      <c r="J50" s="35">
        <f t="shared" si="8"/>
        <v>0</v>
      </c>
      <c r="K50" s="35"/>
      <c r="L50" s="35"/>
      <c r="M50" s="35"/>
      <c r="N50" s="35"/>
      <c r="O50" s="35"/>
      <c r="P50" s="35">
        <f t="shared" si="7"/>
        <v>357354</v>
      </c>
      <c r="Q50" s="99"/>
    </row>
    <row r="51" spans="1:17" s="25" customFormat="1" ht="60">
      <c r="A51" s="23"/>
      <c r="B51" s="26" t="s">
        <v>65</v>
      </c>
      <c r="C51" s="26" t="s">
        <v>153</v>
      </c>
      <c r="D51" s="27" t="s">
        <v>66</v>
      </c>
      <c r="E51" s="35">
        <f t="shared" si="6"/>
        <v>4509826.75</v>
      </c>
      <c r="F51" s="35">
        <f>4650387+37304-453788+49980+60000+30000+97943.75+23000+15000</f>
        <v>4509826.75</v>
      </c>
      <c r="G51" s="35">
        <f>2854137+321793-345065</f>
        <v>2830865</v>
      </c>
      <c r="H51" s="35">
        <v>517072</v>
      </c>
      <c r="I51" s="37"/>
      <c r="J51" s="35">
        <f t="shared" si="8"/>
        <v>150000</v>
      </c>
      <c r="K51" s="35"/>
      <c r="L51" s="35"/>
      <c r="M51" s="35"/>
      <c r="N51" s="35">
        <v>150000</v>
      </c>
      <c r="O51" s="35">
        <v>150000</v>
      </c>
      <c r="P51" s="35">
        <f t="shared" si="7"/>
        <v>4659826.75</v>
      </c>
      <c r="Q51" s="99" t="s">
        <v>347</v>
      </c>
    </row>
    <row r="52" spans="1:17" s="25" customFormat="1" ht="15">
      <c r="A52" s="23"/>
      <c r="B52" s="26"/>
      <c r="C52" s="26"/>
      <c r="D52" s="40" t="s">
        <v>213</v>
      </c>
      <c r="E52" s="35">
        <f t="shared" si="6"/>
        <v>4292978.75</v>
      </c>
      <c r="F52" s="35">
        <f>4157731+37304+97943.75</f>
        <v>4292978.75</v>
      </c>
      <c r="G52" s="35">
        <f>2509072+321793</f>
        <v>2830865</v>
      </c>
      <c r="H52" s="35">
        <f>517072-49980</f>
        <v>467092</v>
      </c>
      <c r="I52" s="37"/>
      <c r="J52" s="35">
        <f t="shared" si="8"/>
        <v>0</v>
      </c>
      <c r="K52" s="35"/>
      <c r="L52" s="35"/>
      <c r="M52" s="35"/>
      <c r="N52" s="35"/>
      <c r="O52" s="35"/>
      <c r="P52" s="35">
        <f t="shared" si="7"/>
        <v>4292978.75</v>
      </c>
      <c r="Q52" s="99"/>
    </row>
    <row r="53" spans="1:17" s="25" customFormat="1" ht="30">
      <c r="A53" s="23"/>
      <c r="B53" s="26" t="s">
        <v>67</v>
      </c>
      <c r="C53" s="26" t="s">
        <v>154</v>
      </c>
      <c r="D53" s="27" t="s">
        <v>68</v>
      </c>
      <c r="E53" s="35">
        <f t="shared" si="6"/>
        <v>12432899</v>
      </c>
      <c r="F53" s="35">
        <f>14471495-2278502+222906+17000</f>
        <v>12432899</v>
      </c>
      <c r="G53" s="35">
        <f>9257594-784442</f>
        <v>8473152</v>
      </c>
      <c r="H53" s="35">
        <v>1785662</v>
      </c>
      <c r="I53" s="37"/>
      <c r="J53" s="35">
        <f t="shared" si="8"/>
        <v>525000</v>
      </c>
      <c r="K53" s="35"/>
      <c r="L53" s="35"/>
      <c r="M53" s="35"/>
      <c r="N53" s="35">
        <v>525000</v>
      </c>
      <c r="O53" s="35">
        <v>525000</v>
      </c>
      <c r="P53" s="35">
        <f t="shared" si="7"/>
        <v>12957899</v>
      </c>
      <c r="Q53" s="99"/>
    </row>
    <row r="54" spans="1:17" s="25" customFormat="1" ht="15">
      <c r="A54" s="23"/>
      <c r="B54" s="26" t="s">
        <v>317</v>
      </c>
      <c r="C54" s="26" t="s">
        <v>319</v>
      </c>
      <c r="D54" s="27" t="s">
        <v>318</v>
      </c>
      <c r="E54" s="35">
        <f t="shared" si="6"/>
        <v>55886018</v>
      </c>
      <c r="F54" s="35">
        <v>55886018</v>
      </c>
      <c r="G54" s="35">
        <v>26608329</v>
      </c>
      <c r="H54" s="35">
        <v>6083140</v>
      </c>
      <c r="I54" s="37"/>
      <c r="J54" s="35">
        <f t="shared" si="8"/>
        <v>6764260</v>
      </c>
      <c r="K54" s="35">
        <v>6459260</v>
      </c>
      <c r="L54" s="35">
        <v>1729928</v>
      </c>
      <c r="M54" s="35">
        <v>1470248</v>
      </c>
      <c r="N54" s="35">
        <v>305000</v>
      </c>
      <c r="O54" s="35"/>
      <c r="P54" s="35">
        <f t="shared" si="7"/>
        <v>62650278</v>
      </c>
      <c r="Q54" s="99"/>
    </row>
    <row r="55" spans="1:17" s="25" customFormat="1" ht="30">
      <c r="A55" s="23"/>
      <c r="B55" s="26" t="s">
        <v>69</v>
      </c>
      <c r="C55" s="26" t="s">
        <v>155</v>
      </c>
      <c r="D55" s="27" t="s">
        <v>70</v>
      </c>
      <c r="E55" s="35">
        <f t="shared" si="6"/>
        <v>1772574</v>
      </c>
      <c r="F55" s="35">
        <f>2094920-330296+4000+3950</f>
        <v>1772574</v>
      </c>
      <c r="G55" s="35">
        <f>1451158-100640</f>
        <v>1350518</v>
      </c>
      <c r="H55" s="35">
        <v>79885</v>
      </c>
      <c r="I55" s="37"/>
      <c r="J55" s="35">
        <f t="shared" si="8"/>
        <v>121000</v>
      </c>
      <c r="K55" s="35"/>
      <c r="L55" s="35"/>
      <c r="M55" s="35"/>
      <c r="N55" s="35">
        <f>110000+11000</f>
        <v>121000</v>
      </c>
      <c r="O55" s="35">
        <f>110000+11000</f>
        <v>121000</v>
      </c>
      <c r="P55" s="35">
        <f t="shared" si="7"/>
        <v>1893574</v>
      </c>
      <c r="Q55" s="99"/>
    </row>
    <row r="56" spans="1:17" s="25" customFormat="1" ht="30">
      <c r="A56" s="23"/>
      <c r="B56" s="26" t="s">
        <v>71</v>
      </c>
      <c r="C56" s="26" t="s">
        <v>155</v>
      </c>
      <c r="D56" s="27" t="s">
        <v>72</v>
      </c>
      <c r="E56" s="35">
        <f t="shared" si="6"/>
        <v>1645336</v>
      </c>
      <c r="F56" s="35">
        <f>1911767-371097+104666</f>
        <v>1645336</v>
      </c>
      <c r="G56" s="35">
        <f>1242033-158595+85792</f>
        <v>1169230</v>
      </c>
      <c r="H56" s="35">
        <v>82225</v>
      </c>
      <c r="I56" s="37"/>
      <c r="J56" s="35">
        <f t="shared" si="8"/>
        <v>93000</v>
      </c>
      <c r="K56" s="35"/>
      <c r="L56" s="35"/>
      <c r="M56" s="35"/>
      <c r="N56" s="35">
        <f>75000+18000</f>
        <v>93000</v>
      </c>
      <c r="O56" s="35">
        <f>75000+18000</f>
        <v>93000</v>
      </c>
      <c r="P56" s="35">
        <f t="shared" si="7"/>
        <v>1738336</v>
      </c>
      <c r="Q56" s="99"/>
    </row>
    <row r="57" spans="1:17" s="25" customFormat="1" ht="30">
      <c r="A57" s="23"/>
      <c r="B57" s="26" t="s">
        <v>73</v>
      </c>
      <c r="C57" s="26" t="s">
        <v>155</v>
      </c>
      <c r="D57" s="27" t="s">
        <v>74</v>
      </c>
      <c r="E57" s="35">
        <f t="shared" si="6"/>
        <v>162138</v>
      </c>
      <c r="F57" s="35">
        <f>206673-44535</f>
        <v>162138</v>
      </c>
      <c r="G57" s="35">
        <f>145804-19414</f>
        <v>126390</v>
      </c>
      <c r="H57" s="35">
        <v>5147</v>
      </c>
      <c r="I57" s="37"/>
      <c r="J57" s="35">
        <f t="shared" si="8"/>
        <v>0</v>
      </c>
      <c r="K57" s="35"/>
      <c r="L57" s="35"/>
      <c r="M57" s="35"/>
      <c r="N57" s="35"/>
      <c r="O57" s="35"/>
      <c r="P57" s="35">
        <f t="shared" si="7"/>
        <v>162138</v>
      </c>
      <c r="Q57" s="99"/>
    </row>
    <row r="58" spans="1:17" s="25" customFormat="1" ht="15">
      <c r="A58" s="23"/>
      <c r="B58" s="26" t="s">
        <v>75</v>
      </c>
      <c r="C58" s="26" t="s">
        <v>155</v>
      </c>
      <c r="D58" s="27" t="s">
        <v>76</v>
      </c>
      <c r="E58" s="35">
        <f t="shared" si="6"/>
        <v>2600414</v>
      </c>
      <c r="F58" s="35">
        <f>2955196-425073+45291+15000+10000</f>
        <v>2600414</v>
      </c>
      <c r="G58" s="35">
        <f>1837478-145690</f>
        <v>1691788</v>
      </c>
      <c r="H58" s="35">
        <v>335643</v>
      </c>
      <c r="I58" s="37"/>
      <c r="J58" s="35">
        <f t="shared" si="8"/>
        <v>150000</v>
      </c>
      <c r="K58" s="35"/>
      <c r="L58" s="35"/>
      <c r="M58" s="35"/>
      <c r="N58" s="35">
        <v>150000</v>
      </c>
      <c r="O58" s="35">
        <v>150000</v>
      </c>
      <c r="P58" s="35">
        <f t="shared" si="7"/>
        <v>2750414</v>
      </c>
      <c r="Q58" s="99"/>
    </row>
    <row r="59" spans="1:17" s="25" customFormat="1" ht="15">
      <c r="A59" s="23"/>
      <c r="B59" s="26" t="s">
        <v>77</v>
      </c>
      <c r="C59" s="26" t="s">
        <v>155</v>
      </c>
      <c r="D59" s="27" t="s">
        <v>78</v>
      </c>
      <c r="E59" s="35">
        <f t="shared" si="6"/>
        <v>53240</v>
      </c>
      <c r="F59" s="35">
        <f>73148-19908</f>
        <v>53240</v>
      </c>
      <c r="G59" s="35"/>
      <c r="H59" s="35"/>
      <c r="I59" s="37"/>
      <c r="J59" s="35">
        <f t="shared" si="8"/>
        <v>0</v>
      </c>
      <c r="K59" s="35"/>
      <c r="L59" s="35"/>
      <c r="M59" s="35"/>
      <c r="N59" s="35"/>
      <c r="O59" s="35"/>
      <c r="P59" s="35">
        <f t="shared" si="7"/>
        <v>53240</v>
      </c>
      <c r="Q59" s="99"/>
    </row>
    <row r="60" spans="1:17" s="25" customFormat="1" ht="45">
      <c r="A60" s="23"/>
      <c r="B60" s="26" t="s">
        <v>79</v>
      </c>
      <c r="C60" s="26" t="s">
        <v>155</v>
      </c>
      <c r="D60" s="27" t="s">
        <v>80</v>
      </c>
      <c r="E60" s="35">
        <f t="shared" si="6"/>
        <v>45250</v>
      </c>
      <c r="F60" s="35">
        <v>45250</v>
      </c>
      <c r="G60" s="35"/>
      <c r="H60" s="35"/>
      <c r="I60" s="37"/>
      <c r="J60" s="35">
        <f t="shared" si="8"/>
        <v>0</v>
      </c>
      <c r="K60" s="35"/>
      <c r="L60" s="35"/>
      <c r="M60" s="35"/>
      <c r="N60" s="35"/>
      <c r="O60" s="35"/>
      <c r="P60" s="35">
        <f t="shared" si="7"/>
        <v>45250</v>
      </c>
      <c r="Q60" s="99"/>
    </row>
    <row r="61" spans="1:17" s="25" customFormat="1" ht="75">
      <c r="A61" s="23"/>
      <c r="B61" s="26" t="s">
        <v>27</v>
      </c>
      <c r="C61" s="26" t="s">
        <v>139</v>
      </c>
      <c r="D61" s="28" t="s">
        <v>28</v>
      </c>
      <c r="E61" s="35">
        <f t="shared" si="6"/>
        <v>2000000</v>
      </c>
      <c r="F61" s="35">
        <v>2000000</v>
      </c>
      <c r="G61" s="35"/>
      <c r="H61" s="35"/>
      <c r="I61" s="37"/>
      <c r="J61" s="35">
        <f t="shared" si="8"/>
        <v>0</v>
      </c>
      <c r="K61" s="35"/>
      <c r="L61" s="35"/>
      <c r="M61" s="35"/>
      <c r="N61" s="35"/>
      <c r="O61" s="35"/>
      <c r="P61" s="35">
        <f t="shared" si="7"/>
        <v>2000000</v>
      </c>
      <c r="Q61" s="99"/>
    </row>
    <row r="62" spans="1:17" s="25" customFormat="1" ht="45">
      <c r="A62" s="23"/>
      <c r="B62" s="26" t="s">
        <v>37</v>
      </c>
      <c r="C62" s="26" t="s">
        <v>142</v>
      </c>
      <c r="D62" s="27" t="s">
        <v>38</v>
      </c>
      <c r="E62" s="35">
        <f t="shared" si="6"/>
        <v>2591504</v>
      </c>
      <c r="F62" s="35">
        <f>2940630-378096+28970</f>
        <v>2591504</v>
      </c>
      <c r="G62" s="35">
        <f>1887404-88687</f>
        <v>1798717</v>
      </c>
      <c r="H62" s="35">
        <v>182401</v>
      </c>
      <c r="I62" s="37"/>
      <c r="J62" s="35">
        <f t="shared" si="8"/>
        <v>0</v>
      </c>
      <c r="K62" s="37"/>
      <c r="L62" s="37"/>
      <c r="M62" s="37"/>
      <c r="N62" s="37"/>
      <c r="O62" s="37"/>
      <c r="P62" s="35">
        <f t="shared" si="7"/>
        <v>2591504</v>
      </c>
      <c r="Q62" s="99"/>
    </row>
    <row r="63" spans="1:17" s="25" customFormat="1" ht="30">
      <c r="A63" s="23"/>
      <c r="B63" s="26" t="s">
        <v>312</v>
      </c>
      <c r="C63" s="26" t="s">
        <v>148</v>
      </c>
      <c r="D63" s="27" t="s">
        <v>313</v>
      </c>
      <c r="E63" s="35">
        <f t="shared" si="6"/>
        <v>0</v>
      </c>
      <c r="F63" s="35"/>
      <c r="G63" s="35"/>
      <c r="H63" s="35"/>
      <c r="I63" s="37"/>
      <c r="J63" s="35">
        <f t="shared" si="8"/>
        <v>70000</v>
      </c>
      <c r="K63" s="53">
        <v>40000</v>
      </c>
      <c r="L63" s="53"/>
      <c r="M63" s="53"/>
      <c r="N63" s="53">
        <v>30000</v>
      </c>
      <c r="O63" s="37"/>
      <c r="P63" s="35">
        <f t="shared" si="7"/>
        <v>70000</v>
      </c>
      <c r="Q63" s="99"/>
    </row>
    <row r="64" spans="1:17" s="25" customFormat="1" ht="15">
      <c r="A64" s="23"/>
      <c r="B64" s="26" t="s">
        <v>314</v>
      </c>
      <c r="C64" s="26" t="s">
        <v>156</v>
      </c>
      <c r="D64" s="27" t="s">
        <v>81</v>
      </c>
      <c r="E64" s="35">
        <f t="shared" si="6"/>
        <v>0</v>
      </c>
      <c r="F64" s="35"/>
      <c r="G64" s="35"/>
      <c r="H64" s="35"/>
      <c r="I64" s="37"/>
      <c r="J64" s="35">
        <f t="shared" si="8"/>
        <v>250000</v>
      </c>
      <c r="K64" s="53">
        <v>160000</v>
      </c>
      <c r="L64" s="53"/>
      <c r="M64" s="53"/>
      <c r="N64" s="53">
        <v>90000</v>
      </c>
      <c r="O64" s="37"/>
      <c r="P64" s="35">
        <f t="shared" si="7"/>
        <v>250000</v>
      </c>
      <c r="Q64" s="99"/>
    </row>
    <row r="65" spans="1:17" s="25" customFormat="1" ht="28.5">
      <c r="A65" s="23"/>
      <c r="B65" s="30"/>
      <c r="C65" s="30"/>
      <c r="D65" s="31" t="s">
        <v>157</v>
      </c>
      <c r="E65" s="37">
        <f aca="true" t="shared" si="9" ref="E65:O65">E67+E68+E70+E72+E74+E76+E78+E80+E82</f>
        <v>224188894.43</v>
      </c>
      <c r="F65" s="37">
        <f t="shared" si="9"/>
        <v>224188894.43</v>
      </c>
      <c r="G65" s="37">
        <f t="shared" si="9"/>
        <v>126678264</v>
      </c>
      <c r="H65" s="37">
        <f t="shared" si="9"/>
        <v>19133584</v>
      </c>
      <c r="I65" s="37">
        <f t="shared" si="9"/>
        <v>0</v>
      </c>
      <c r="J65" s="37">
        <f t="shared" si="9"/>
        <v>34943378</v>
      </c>
      <c r="K65" s="37">
        <f t="shared" si="9"/>
        <v>11785214</v>
      </c>
      <c r="L65" s="37">
        <f t="shared" si="9"/>
        <v>6366242</v>
      </c>
      <c r="M65" s="37">
        <f t="shared" si="9"/>
        <v>500810</v>
      </c>
      <c r="N65" s="37">
        <f t="shared" si="9"/>
        <v>23158164</v>
      </c>
      <c r="O65" s="37">
        <f t="shared" si="9"/>
        <v>23158164</v>
      </c>
      <c r="P65" s="37">
        <f>P67+P68+P70+P72+P74+P76+P78+P80+P82</f>
        <v>259132272.43</v>
      </c>
      <c r="Q65" s="99"/>
    </row>
    <row r="66" spans="1:17" s="51" customFormat="1" ht="15">
      <c r="A66" s="50"/>
      <c r="B66" s="47"/>
      <c r="C66" s="47"/>
      <c r="D66" s="40" t="s">
        <v>213</v>
      </c>
      <c r="E66" s="35">
        <f>F66+I66</f>
        <v>205797569.43</v>
      </c>
      <c r="F66" s="53">
        <f>F69+F71+F73+F75+F77+F79+F81+F83</f>
        <v>205797569.43</v>
      </c>
      <c r="G66" s="53">
        <f>G69+G71+G73+G75+G77+G79+G81+G83</f>
        <v>126307359</v>
      </c>
      <c r="H66" s="53">
        <f>H69+H71+H73+H75+H77+H79+H81+H83</f>
        <v>19115405</v>
      </c>
      <c r="I66" s="53">
        <f>I69+I71+I73+I75+I77+I79+I81+I83</f>
        <v>0</v>
      </c>
      <c r="J66" s="35">
        <f>K66+N66</f>
        <v>0</v>
      </c>
      <c r="K66" s="53">
        <f>K69+K71+K73+K75+K77+K79+K81+K83</f>
        <v>0</v>
      </c>
      <c r="L66" s="53">
        <f>L69+L71+L73+L75+L77+L79+L81+L83</f>
        <v>0</v>
      </c>
      <c r="M66" s="53">
        <f>M69+M71+M73+M75+M77+M79+M81+M83</f>
        <v>0</v>
      </c>
      <c r="N66" s="53">
        <f>N69+N71+N73+N75+N77+N79+N81+N83</f>
        <v>0</v>
      </c>
      <c r="O66" s="53">
        <f>O69+O71+O73+O75+O77+O79+O81+O83</f>
        <v>0</v>
      </c>
      <c r="P66" s="35">
        <f>E66+J66</f>
        <v>205797569.43</v>
      </c>
      <c r="Q66" s="99"/>
    </row>
    <row r="67" spans="1:17" s="25" customFormat="1" ht="15">
      <c r="A67" s="23"/>
      <c r="B67" s="26" t="s">
        <v>11</v>
      </c>
      <c r="C67" s="26" t="s">
        <v>9</v>
      </c>
      <c r="D67" s="27" t="s">
        <v>16</v>
      </c>
      <c r="E67" s="35">
        <f aca="true" t="shared" si="10" ref="E67:E83">F67+I67</f>
        <v>527067</v>
      </c>
      <c r="F67" s="35">
        <f>501690-36350+9175+52552</f>
        <v>527067</v>
      </c>
      <c r="G67" s="35">
        <f>324260+3570+43075</f>
        <v>370905</v>
      </c>
      <c r="H67" s="35">
        <v>18179</v>
      </c>
      <c r="I67" s="37"/>
      <c r="J67" s="35">
        <f aca="true" t="shared" si="11" ref="J67:J83">K67+N67</f>
        <v>333200</v>
      </c>
      <c r="K67" s="37"/>
      <c r="L67" s="37"/>
      <c r="M67" s="37"/>
      <c r="N67" s="53">
        <f>320200+13000</f>
        <v>333200</v>
      </c>
      <c r="O67" s="53">
        <f>320200+13000</f>
        <v>333200</v>
      </c>
      <c r="P67" s="35">
        <f aca="true" t="shared" si="12" ref="P67:P83">E67+J67</f>
        <v>860267</v>
      </c>
      <c r="Q67" s="99"/>
    </row>
    <row r="68" spans="1:17" s="25" customFormat="1" ht="15">
      <c r="A68" s="23"/>
      <c r="B68" s="26" t="s">
        <v>82</v>
      </c>
      <c r="C68" s="26" t="s">
        <v>158</v>
      </c>
      <c r="D68" s="27" t="s">
        <v>83</v>
      </c>
      <c r="E68" s="35">
        <f t="shared" si="10"/>
        <v>177106558.43</v>
      </c>
      <c r="F68" s="35">
        <f>185364829+8898601-3182667-22578004-57471+416936+263064.43+10000+150000+30000+57500+20000+7536470+25000+152300</f>
        <v>177106558.43</v>
      </c>
      <c r="G68" s="35">
        <f>111910141+7414009-15923234</f>
        <v>103400916</v>
      </c>
      <c r="H68" s="35">
        <v>15447851</v>
      </c>
      <c r="I68" s="37"/>
      <c r="J68" s="35">
        <f t="shared" si="11"/>
        <v>24296082</v>
      </c>
      <c r="K68" s="35">
        <v>7844182</v>
      </c>
      <c r="L68" s="35">
        <v>4083407</v>
      </c>
      <c r="M68" s="35">
        <v>177480</v>
      </c>
      <c r="N68" s="35">
        <f>11900000+100000+4331400+40000+30000+30000+20500</f>
        <v>16451900</v>
      </c>
      <c r="O68" s="35">
        <f>11900000+100000+4331400+40000+30000+30000+20500</f>
        <v>16451900</v>
      </c>
      <c r="P68" s="35">
        <f t="shared" si="12"/>
        <v>201402640.43</v>
      </c>
      <c r="Q68" s="99"/>
    </row>
    <row r="69" spans="1:17" s="25" customFormat="1" ht="15">
      <c r="A69" s="23"/>
      <c r="B69" s="26"/>
      <c r="C69" s="26"/>
      <c r="D69" s="40" t="s">
        <v>213</v>
      </c>
      <c r="E69" s="35">
        <f t="shared" si="10"/>
        <v>162855627.43</v>
      </c>
      <c r="F69" s="35">
        <f>148777515-3182667+263064.43+7536470+8841130+620115</f>
        <v>162855627.43</v>
      </c>
      <c r="G69" s="35">
        <f>95557155+7414009+429752</f>
        <v>103400916</v>
      </c>
      <c r="H69" s="35">
        <f>15388080+59771</f>
        <v>15447851</v>
      </c>
      <c r="I69" s="37"/>
      <c r="J69" s="35">
        <f t="shared" si="11"/>
        <v>0</v>
      </c>
      <c r="K69" s="35"/>
      <c r="L69" s="35"/>
      <c r="M69" s="35"/>
      <c r="N69" s="35"/>
      <c r="O69" s="35"/>
      <c r="P69" s="35">
        <f t="shared" si="12"/>
        <v>162855627.43</v>
      </c>
      <c r="Q69" s="99"/>
    </row>
    <row r="70" spans="1:17" s="25" customFormat="1" ht="15" customHeight="1">
      <c r="A70" s="23"/>
      <c r="B70" s="32" t="s">
        <v>84</v>
      </c>
      <c r="C70" s="32" t="s">
        <v>159</v>
      </c>
      <c r="D70" s="33" t="s">
        <v>85</v>
      </c>
      <c r="E70" s="35">
        <f t="shared" si="10"/>
        <v>18320764</v>
      </c>
      <c r="F70" s="35">
        <f>21492078-514223-2712091+15000+4400+25000+10600</f>
        <v>18320764</v>
      </c>
      <c r="G70" s="35">
        <f>12880040+855030-1989840</f>
        <v>11745230</v>
      </c>
      <c r="H70" s="35">
        <v>2655803</v>
      </c>
      <c r="I70" s="37"/>
      <c r="J70" s="35">
        <f t="shared" si="11"/>
        <v>2919304</v>
      </c>
      <c r="K70" s="35">
        <v>25240</v>
      </c>
      <c r="L70" s="35">
        <v>9460</v>
      </c>
      <c r="M70" s="35">
        <v>4150</v>
      </c>
      <c r="N70" s="35">
        <f>1500000+500000+879064+15000</f>
        <v>2894064</v>
      </c>
      <c r="O70" s="35">
        <f>1500000+500000+879064+15000</f>
        <v>2894064</v>
      </c>
      <c r="P70" s="35">
        <f t="shared" si="12"/>
        <v>21240068</v>
      </c>
      <c r="Q70" s="99"/>
    </row>
    <row r="71" spans="1:17" s="25" customFormat="1" ht="15" customHeight="1">
      <c r="A71" s="23"/>
      <c r="B71" s="32"/>
      <c r="C71" s="32"/>
      <c r="D71" s="40" t="s">
        <v>213</v>
      </c>
      <c r="E71" s="35">
        <f t="shared" si="10"/>
        <v>17257714</v>
      </c>
      <c r="F71" s="35">
        <f>17756937-514223+15000</f>
        <v>17257714</v>
      </c>
      <c r="G71" s="35">
        <f>10890200+855030</f>
        <v>11745230</v>
      </c>
      <c r="H71" s="35">
        <v>2655803</v>
      </c>
      <c r="I71" s="37"/>
      <c r="J71" s="35">
        <f t="shared" si="11"/>
        <v>0</v>
      </c>
      <c r="K71" s="35"/>
      <c r="L71" s="35"/>
      <c r="M71" s="35"/>
      <c r="N71" s="35"/>
      <c r="O71" s="35"/>
      <c r="P71" s="35">
        <f t="shared" si="12"/>
        <v>17257714</v>
      </c>
      <c r="Q71" s="99"/>
    </row>
    <row r="72" spans="1:17" s="25" customFormat="1" ht="60">
      <c r="A72" s="23"/>
      <c r="B72" s="47" t="s">
        <v>190</v>
      </c>
      <c r="C72" s="47" t="s">
        <v>191</v>
      </c>
      <c r="D72" s="40" t="s">
        <v>192</v>
      </c>
      <c r="E72" s="35">
        <f t="shared" si="10"/>
        <v>1631938</v>
      </c>
      <c r="F72" s="35">
        <f>2196578-72487-512653+1000+19500</f>
        <v>1631938</v>
      </c>
      <c r="G72" s="35">
        <f>1538529+67981-378621</f>
        <v>1227889</v>
      </c>
      <c r="H72" s="35">
        <v>76813</v>
      </c>
      <c r="I72" s="37"/>
      <c r="J72" s="35">
        <f t="shared" si="11"/>
        <v>407000</v>
      </c>
      <c r="K72" s="35">
        <v>407000</v>
      </c>
      <c r="L72" s="35">
        <v>98000</v>
      </c>
      <c r="M72" s="35">
        <v>132800</v>
      </c>
      <c r="N72" s="35"/>
      <c r="O72" s="35"/>
      <c r="P72" s="35">
        <f t="shared" si="12"/>
        <v>2038938</v>
      </c>
      <c r="Q72" s="99"/>
    </row>
    <row r="73" spans="1:17" s="25" customFormat="1" ht="15">
      <c r="A73" s="23"/>
      <c r="B73" s="47"/>
      <c r="C73" s="47"/>
      <c r="D73" s="40" t="s">
        <v>213</v>
      </c>
      <c r="E73" s="35">
        <f t="shared" si="10"/>
        <v>1581988</v>
      </c>
      <c r="F73" s="35">
        <f>1653475-72487+1000</f>
        <v>1581988</v>
      </c>
      <c r="G73" s="35">
        <f>1159908+67981</f>
        <v>1227889</v>
      </c>
      <c r="H73" s="35">
        <v>76813</v>
      </c>
      <c r="I73" s="37"/>
      <c r="J73" s="35">
        <f t="shared" si="11"/>
        <v>0</v>
      </c>
      <c r="K73" s="35"/>
      <c r="L73" s="35"/>
      <c r="M73" s="35"/>
      <c r="N73" s="35"/>
      <c r="O73" s="35"/>
      <c r="P73" s="35">
        <f t="shared" si="12"/>
        <v>1581988</v>
      </c>
      <c r="Q73" s="99"/>
    </row>
    <row r="74" spans="1:17" s="25" customFormat="1" ht="30">
      <c r="A74" s="23"/>
      <c r="B74" s="26" t="s">
        <v>86</v>
      </c>
      <c r="C74" s="26" t="s">
        <v>160</v>
      </c>
      <c r="D74" s="27" t="s">
        <v>87</v>
      </c>
      <c r="E74" s="35">
        <f t="shared" si="10"/>
        <v>4298380</v>
      </c>
      <c r="F74" s="35">
        <f>5135524-113812-743432+5000+10000+5100</f>
        <v>4298380</v>
      </c>
      <c r="G74" s="35">
        <f>3329538+233048-545438</f>
        <v>3017148</v>
      </c>
      <c r="H74" s="35">
        <v>339954</v>
      </c>
      <c r="I74" s="37"/>
      <c r="J74" s="35">
        <f t="shared" si="11"/>
        <v>4353292</v>
      </c>
      <c r="K74" s="35">
        <v>3353292</v>
      </c>
      <c r="L74" s="35">
        <v>2153375</v>
      </c>
      <c r="M74" s="35">
        <v>166719</v>
      </c>
      <c r="N74" s="35">
        <v>1000000</v>
      </c>
      <c r="O74" s="35">
        <v>1000000</v>
      </c>
      <c r="P74" s="35">
        <f t="shared" si="12"/>
        <v>8651672</v>
      </c>
      <c r="Q74" s="99"/>
    </row>
    <row r="75" spans="1:17" s="25" customFormat="1" ht="15">
      <c r="A75" s="23"/>
      <c r="B75" s="26"/>
      <c r="C75" s="26"/>
      <c r="D75" s="40" t="s">
        <v>213</v>
      </c>
      <c r="E75" s="35">
        <f t="shared" si="10"/>
        <v>4103275</v>
      </c>
      <c r="F75" s="35">
        <f>4212087-113812+5000</f>
        <v>4103275</v>
      </c>
      <c r="G75" s="35">
        <f>2784100+233048</f>
        <v>3017148</v>
      </c>
      <c r="H75" s="35">
        <v>339954</v>
      </c>
      <c r="I75" s="37"/>
      <c r="J75" s="35">
        <f t="shared" si="11"/>
        <v>0</v>
      </c>
      <c r="K75" s="35"/>
      <c r="L75" s="35"/>
      <c r="M75" s="35"/>
      <c r="N75" s="35"/>
      <c r="O75" s="35"/>
      <c r="P75" s="35">
        <f t="shared" si="12"/>
        <v>4103275</v>
      </c>
      <c r="Q75" s="99"/>
    </row>
    <row r="76" spans="1:17" s="25" customFormat="1" ht="30">
      <c r="A76" s="23"/>
      <c r="B76" s="26" t="s">
        <v>88</v>
      </c>
      <c r="C76" s="26" t="s">
        <v>161</v>
      </c>
      <c r="D76" s="33" t="s">
        <v>89</v>
      </c>
      <c r="E76" s="35">
        <f t="shared" si="10"/>
        <v>9327474</v>
      </c>
      <c r="F76" s="35">
        <f>10647211-240883-1135554+37700+19000</f>
        <v>9327474</v>
      </c>
      <c r="G76" s="35">
        <v>6060985</v>
      </c>
      <c r="H76" s="35">
        <v>564989</v>
      </c>
      <c r="I76" s="37"/>
      <c r="J76" s="35">
        <f t="shared" si="11"/>
        <v>2574500</v>
      </c>
      <c r="K76" s="35">
        <v>155500</v>
      </c>
      <c r="L76" s="35">
        <v>22000</v>
      </c>
      <c r="M76" s="35">
        <v>19661</v>
      </c>
      <c r="N76" s="35">
        <f>1700000+719000</f>
        <v>2419000</v>
      </c>
      <c r="O76" s="35">
        <f>1700000+719000</f>
        <v>2419000</v>
      </c>
      <c r="P76" s="35">
        <f t="shared" si="12"/>
        <v>11901974</v>
      </c>
      <c r="Q76" s="99"/>
    </row>
    <row r="77" spans="1:17" s="25" customFormat="1" ht="15">
      <c r="A77" s="23"/>
      <c r="B77" s="26"/>
      <c r="C77" s="26"/>
      <c r="D77" s="40" t="s">
        <v>213</v>
      </c>
      <c r="E77" s="35">
        <f t="shared" si="10"/>
        <v>8308340</v>
      </c>
      <c r="F77" s="35">
        <f>8511523-240883+37700</f>
        <v>8308340</v>
      </c>
      <c r="G77" s="35">
        <v>6060985</v>
      </c>
      <c r="H77" s="35">
        <v>564989</v>
      </c>
      <c r="I77" s="37"/>
      <c r="J77" s="35">
        <f t="shared" si="11"/>
        <v>0</v>
      </c>
      <c r="K77" s="35"/>
      <c r="L77" s="35"/>
      <c r="M77" s="35"/>
      <c r="N77" s="35"/>
      <c r="O77" s="35"/>
      <c r="P77" s="35">
        <f t="shared" si="12"/>
        <v>8308340</v>
      </c>
      <c r="Q77" s="99" t="s">
        <v>348</v>
      </c>
    </row>
    <row r="78" spans="1:17" s="25" customFormat="1" ht="15">
      <c r="A78" s="23"/>
      <c r="B78" s="26" t="s">
        <v>90</v>
      </c>
      <c r="C78" s="26" t="s">
        <v>162</v>
      </c>
      <c r="D78" s="27" t="s">
        <v>91</v>
      </c>
      <c r="E78" s="35">
        <f t="shared" si="10"/>
        <v>1979149</v>
      </c>
      <c r="F78" s="35">
        <f>1881157-9626-42382+150000</f>
        <v>1979149</v>
      </c>
      <c r="G78" s="35">
        <f>415979+34677-31279</f>
        <v>419377</v>
      </c>
      <c r="H78" s="35">
        <v>11415</v>
      </c>
      <c r="I78" s="37"/>
      <c r="J78" s="35">
        <f t="shared" si="11"/>
        <v>20000</v>
      </c>
      <c r="K78" s="37"/>
      <c r="L78" s="37"/>
      <c r="M78" s="37"/>
      <c r="N78" s="35">
        <v>20000</v>
      </c>
      <c r="O78" s="35">
        <v>20000</v>
      </c>
      <c r="P78" s="35">
        <f t="shared" si="12"/>
        <v>1999149</v>
      </c>
      <c r="Q78" s="99"/>
    </row>
    <row r="79" spans="1:17" s="25" customFormat="1" ht="15">
      <c r="A79" s="23"/>
      <c r="B79" s="26"/>
      <c r="C79" s="26"/>
      <c r="D79" s="40" t="s">
        <v>213</v>
      </c>
      <c r="E79" s="35">
        <f t="shared" si="10"/>
        <v>768065</v>
      </c>
      <c r="F79" s="35">
        <f>777691-9626</f>
        <v>768065</v>
      </c>
      <c r="G79" s="35">
        <f>384700+34677</f>
        <v>419377</v>
      </c>
      <c r="H79" s="35">
        <v>11415</v>
      </c>
      <c r="I79" s="37"/>
      <c r="J79" s="35">
        <f t="shared" si="11"/>
        <v>0</v>
      </c>
      <c r="K79" s="37"/>
      <c r="L79" s="37"/>
      <c r="M79" s="37"/>
      <c r="N79" s="37"/>
      <c r="O79" s="37"/>
      <c r="P79" s="35">
        <f t="shared" si="12"/>
        <v>768065</v>
      </c>
      <c r="Q79" s="99"/>
    </row>
    <row r="80" spans="1:17" s="25" customFormat="1" ht="66" customHeight="1">
      <c r="A80" s="23"/>
      <c r="B80" s="32" t="s">
        <v>92</v>
      </c>
      <c r="C80" s="32" t="s">
        <v>162</v>
      </c>
      <c r="D80" s="33" t="s">
        <v>93</v>
      </c>
      <c r="E80" s="35">
        <f t="shared" si="10"/>
        <v>650274</v>
      </c>
      <c r="F80" s="35">
        <f>701177-6802-44101</f>
        <v>650274</v>
      </c>
      <c r="G80" s="35">
        <f>430788+37639-32613</f>
        <v>435814</v>
      </c>
      <c r="H80" s="35">
        <v>18580</v>
      </c>
      <c r="I80" s="37"/>
      <c r="J80" s="35">
        <f t="shared" si="11"/>
        <v>40000</v>
      </c>
      <c r="K80" s="37"/>
      <c r="L80" s="37"/>
      <c r="M80" s="37"/>
      <c r="N80" s="35">
        <v>40000</v>
      </c>
      <c r="O80" s="35">
        <v>40000</v>
      </c>
      <c r="P80" s="35">
        <f t="shared" si="12"/>
        <v>690274</v>
      </c>
      <c r="Q80" s="99"/>
    </row>
    <row r="81" spans="1:17" s="25" customFormat="1" ht="15">
      <c r="A81" s="23"/>
      <c r="B81" s="32"/>
      <c r="C81" s="32"/>
      <c r="D81" s="40" t="s">
        <v>213</v>
      </c>
      <c r="E81" s="35">
        <f t="shared" si="10"/>
        <v>575270</v>
      </c>
      <c r="F81" s="35">
        <f>582072-6802</f>
        <v>575270</v>
      </c>
      <c r="G81" s="35">
        <f>398175+37639</f>
        <v>435814</v>
      </c>
      <c r="H81" s="35">
        <v>18580</v>
      </c>
      <c r="I81" s="37"/>
      <c r="J81" s="35">
        <f t="shared" si="11"/>
        <v>0</v>
      </c>
      <c r="K81" s="37"/>
      <c r="L81" s="37"/>
      <c r="M81" s="37"/>
      <c r="N81" s="35"/>
      <c r="O81" s="35"/>
      <c r="P81" s="35">
        <f t="shared" si="12"/>
        <v>575270</v>
      </c>
      <c r="Q81" s="99"/>
    </row>
    <row r="82" spans="1:17" s="25" customFormat="1" ht="45">
      <c r="A82" s="23"/>
      <c r="B82" s="32" t="s">
        <v>256</v>
      </c>
      <c r="C82" s="32" t="s">
        <v>162</v>
      </c>
      <c r="D82" s="27" t="s">
        <v>257</v>
      </c>
      <c r="E82" s="35">
        <f t="shared" si="10"/>
        <v>10347290</v>
      </c>
      <c r="F82" s="35">
        <f>4846847+371153+5129290</f>
        <v>10347290</v>
      </c>
      <c r="G82" s="35"/>
      <c r="H82" s="35"/>
      <c r="I82" s="37"/>
      <c r="J82" s="35">
        <f t="shared" si="11"/>
        <v>0</v>
      </c>
      <c r="K82" s="37"/>
      <c r="L82" s="37"/>
      <c r="M82" s="37"/>
      <c r="N82" s="35"/>
      <c r="O82" s="35"/>
      <c r="P82" s="35">
        <f t="shared" si="12"/>
        <v>10347290</v>
      </c>
      <c r="Q82" s="99"/>
    </row>
    <row r="83" spans="1:17" s="25" customFormat="1" ht="15">
      <c r="A83" s="23"/>
      <c r="B83" s="32"/>
      <c r="C83" s="32"/>
      <c r="D83" s="40" t="s">
        <v>213</v>
      </c>
      <c r="E83" s="35">
        <f t="shared" si="10"/>
        <v>10347290</v>
      </c>
      <c r="F83" s="35">
        <f>5129290+5218000</f>
        <v>10347290</v>
      </c>
      <c r="G83" s="35"/>
      <c r="H83" s="35"/>
      <c r="I83" s="37"/>
      <c r="J83" s="35">
        <f t="shared" si="11"/>
        <v>0</v>
      </c>
      <c r="K83" s="37"/>
      <c r="L83" s="37"/>
      <c r="M83" s="37"/>
      <c r="N83" s="35"/>
      <c r="O83" s="35"/>
      <c r="P83" s="35">
        <f t="shared" si="12"/>
        <v>10347290</v>
      </c>
      <c r="Q83" s="99"/>
    </row>
    <row r="84" spans="1:18" s="25" customFormat="1" ht="28.5">
      <c r="A84" s="23"/>
      <c r="B84" s="30"/>
      <c r="C84" s="30"/>
      <c r="D84" s="31" t="s">
        <v>163</v>
      </c>
      <c r="E84" s="37">
        <f>E86+E87+E89+E91+E93+E97+E99+E101+E103+E104+E106+E108+E110+E112+E114+E116+E118+E120+E122+E124+E126+E128+E129+E131+E132+E133+E134+E135+E136+E137+E138+E139+E140+E142+E143+E144</f>
        <v>707093315.07</v>
      </c>
      <c r="F84" s="37">
        <f aca="true" t="shared" si="13" ref="F84:P84">F86+F87+F89+F91+F93+F97+F99+F101+F103+F104+F106+F108+F110+F112+F114+F116+F118+F120+F122+F124+F126+F128+F129+F131+F132+F133+F134+F135+F136+F137+F138+F139+F140+F142+F143+F144</f>
        <v>707093315.07</v>
      </c>
      <c r="G84" s="37">
        <f t="shared" si="13"/>
        <v>16370922.86</v>
      </c>
      <c r="H84" s="37">
        <f t="shared" si="13"/>
        <v>653269</v>
      </c>
      <c r="I84" s="37">
        <f t="shared" si="13"/>
        <v>0</v>
      </c>
      <c r="J84" s="37">
        <f t="shared" si="13"/>
        <v>911300</v>
      </c>
      <c r="K84" s="37">
        <f t="shared" si="13"/>
        <v>27800</v>
      </c>
      <c r="L84" s="37">
        <f t="shared" si="13"/>
        <v>18822</v>
      </c>
      <c r="M84" s="37">
        <f t="shared" si="13"/>
        <v>0</v>
      </c>
      <c r="N84" s="37">
        <f t="shared" si="13"/>
        <v>883500</v>
      </c>
      <c r="O84" s="37">
        <f t="shared" si="13"/>
        <v>883500</v>
      </c>
      <c r="P84" s="37">
        <f t="shared" si="13"/>
        <v>708004615.07</v>
      </c>
      <c r="Q84" s="99"/>
      <c r="R84" s="48"/>
    </row>
    <row r="85" spans="1:18" s="25" customFormat="1" ht="15">
      <c r="A85" s="23"/>
      <c r="B85" s="30"/>
      <c r="C85" s="30"/>
      <c r="D85" s="40" t="s">
        <v>213</v>
      </c>
      <c r="E85" s="35">
        <f>F85+I85</f>
        <v>674554730</v>
      </c>
      <c r="F85" s="53">
        <f>F88+F90+F92+F96+F98+F100+F102+F105+F107+F109+F111+F113+F115+F117+F119+F121+F123+F125+F127+F130+F141</f>
        <v>674554730</v>
      </c>
      <c r="G85" s="53">
        <f>G88+G90+G92+G96+G98+G100+G102+G105+G107+G109+G111+G113+G115+G117+G119+G121+G123+G125+G127+G130+G141</f>
        <v>0</v>
      </c>
      <c r="H85" s="53">
        <f>H88+H90+H92+H96+H98+H100+H102+H105+H107+H109+H111+H113+H115+H117+H119+H121+H123+H125+H127+H130+H141</f>
        <v>0</v>
      </c>
      <c r="I85" s="53">
        <f>I88+I90+I92+I96+I98+I100+I102+I105+I107+I109+I111+I113+I115+I117+I119+I121+I123+I125+I127+I130+I141</f>
        <v>0</v>
      </c>
      <c r="J85" s="35">
        <f>K85+N85</f>
        <v>0</v>
      </c>
      <c r="K85" s="53">
        <f aca="true" t="shared" si="14" ref="K85:P85">K88+K90+K92+K96+K98+K100+K102+K105+K107+K109+K111+K113+K115+K117+K119+K121+K123+K125+K127+K130+K141</f>
        <v>0</v>
      </c>
      <c r="L85" s="53">
        <f t="shared" si="14"/>
        <v>0</v>
      </c>
      <c r="M85" s="53">
        <f t="shared" si="14"/>
        <v>0</v>
      </c>
      <c r="N85" s="53">
        <f t="shared" si="14"/>
        <v>0</v>
      </c>
      <c r="O85" s="53">
        <f t="shared" si="14"/>
        <v>0</v>
      </c>
      <c r="P85" s="53">
        <f t="shared" si="14"/>
        <v>674554730</v>
      </c>
      <c r="Q85" s="99"/>
      <c r="R85" s="48"/>
    </row>
    <row r="86" spans="1:17" s="25" customFormat="1" ht="15">
      <c r="A86" s="23"/>
      <c r="B86" s="26" t="s">
        <v>11</v>
      </c>
      <c r="C86" s="26" t="s">
        <v>9</v>
      </c>
      <c r="D86" s="27" t="s">
        <v>94</v>
      </c>
      <c r="E86" s="35">
        <f aca="true" t="shared" si="15" ref="E86:E92">F86+I86</f>
        <v>14424045</v>
      </c>
      <c r="F86" s="35">
        <f>15846830-1812790+360005+30000</f>
        <v>14424045</v>
      </c>
      <c r="G86" s="35">
        <f>10990800-210790</f>
        <v>10780010</v>
      </c>
      <c r="H86" s="35">
        <v>369473</v>
      </c>
      <c r="I86" s="35"/>
      <c r="J86" s="35">
        <f>K86+N86</f>
        <v>200000</v>
      </c>
      <c r="K86" s="35"/>
      <c r="L86" s="35"/>
      <c r="M86" s="35"/>
      <c r="N86" s="35">
        <v>200000</v>
      </c>
      <c r="O86" s="35">
        <v>200000</v>
      </c>
      <c r="P86" s="35">
        <f>E86+J86</f>
        <v>14624045</v>
      </c>
      <c r="Q86" s="99"/>
    </row>
    <row r="87" spans="1:17" s="25" customFormat="1" ht="30">
      <c r="A87" s="23"/>
      <c r="B87" s="26" t="s">
        <v>307</v>
      </c>
      <c r="C87" s="26" t="s">
        <v>151</v>
      </c>
      <c r="D87" s="27" t="s">
        <v>308</v>
      </c>
      <c r="E87" s="35">
        <f t="shared" si="15"/>
        <v>1678900</v>
      </c>
      <c r="F87" s="35">
        <v>1678900</v>
      </c>
      <c r="G87" s="35"/>
      <c r="H87" s="35"/>
      <c r="I87" s="35"/>
      <c r="J87" s="35">
        <f aca="true" t="shared" si="16" ref="J87:J92">K87+N87</f>
        <v>0</v>
      </c>
      <c r="K87" s="35"/>
      <c r="L87" s="35"/>
      <c r="M87" s="35"/>
      <c r="N87" s="35"/>
      <c r="O87" s="35"/>
      <c r="P87" s="35">
        <f aca="true" t="shared" si="17" ref="P87:P92">E87+J87</f>
        <v>1678900</v>
      </c>
      <c r="Q87" s="99"/>
    </row>
    <row r="88" spans="1:17" s="25" customFormat="1" ht="15">
      <c r="A88" s="23"/>
      <c r="B88" s="26"/>
      <c r="C88" s="26"/>
      <c r="D88" s="27" t="s">
        <v>266</v>
      </c>
      <c r="E88" s="35">
        <f t="shared" si="15"/>
        <v>1678900</v>
      </c>
      <c r="F88" s="35">
        <v>1678900</v>
      </c>
      <c r="G88" s="35"/>
      <c r="H88" s="35"/>
      <c r="I88" s="35"/>
      <c r="J88" s="35">
        <f t="shared" si="16"/>
        <v>0</v>
      </c>
      <c r="K88" s="35"/>
      <c r="L88" s="35"/>
      <c r="M88" s="35"/>
      <c r="N88" s="35"/>
      <c r="O88" s="35"/>
      <c r="P88" s="35">
        <f t="shared" si="17"/>
        <v>1678900</v>
      </c>
      <c r="Q88" s="99"/>
    </row>
    <row r="89" spans="1:17" s="25" customFormat="1" ht="238.5" customHeight="1">
      <c r="A89" s="23"/>
      <c r="B89" s="26" t="s">
        <v>289</v>
      </c>
      <c r="C89" s="26" t="s">
        <v>164</v>
      </c>
      <c r="D89" s="27" t="s">
        <v>290</v>
      </c>
      <c r="E89" s="35">
        <f t="shared" si="15"/>
        <v>35619200</v>
      </c>
      <c r="F89" s="35">
        <v>35619200</v>
      </c>
      <c r="G89" s="35"/>
      <c r="H89" s="35"/>
      <c r="I89" s="35"/>
      <c r="J89" s="35">
        <f t="shared" si="16"/>
        <v>0</v>
      </c>
      <c r="K89" s="35"/>
      <c r="L89" s="35"/>
      <c r="M89" s="35"/>
      <c r="N89" s="35"/>
      <c r="O89" s="35"/>
      <c r="P89" s="35">
        <f t="shared" si="17"/>
        <v>35619200</v>
      </c>
      <c r="Q89" s="99"/>
    </row>
    <row r="90" spans="1:17" s="25" customFormat="1" ht="15">
      <c r="A90" s="23"/>
      <c r="B90" s="26"/>
      <c r="C90" s="26"/>
      <c r="D90" s="27" t="s">
        <v>266</v>
      </c>
      <c r="E90" s="35">
        <f t="shared" si="15"/>
        <v>35619200</v>
      </c>
      <c r="F90" s="35">
        <v>35619200</v>
      </c>
      <c r="G90" s="35"/>
      <c r="H90" s="35"/>
      <c r="I90" s="35"/>
      <c r="J90" s="35">
        <f t="shared" si="16"/>
        <v>0</v>
      </c>
      <c r="K90" s="35"/>
      <c r="L90" s="35"/>
      <c r="M90" s="35"/>
      <c r="N90" s="35"/>
      <c r="O90" s="35"/>
      <c r="P90" s="35">
        <f t="shared" si="17"/>
        <v>35619200</v>
      </c>
      <c r="Q90" s="99"/>
    </row>
    <row r="91" spans="1:17" s="25" customFormat="1" ht="190.5" customHeight="1">
      <c r="A91" s="23"/>
      <c r="B91" s="26" t="s">
        <v>291</v>
      </c>
      <c r="C91" s="26" t="s">
        <v>164</v>
      </c>
      <c r="D91" s="27" t="s">
        <v>292</v>
      </c>
      <c r="E91" s="35">
        <f t="shared" si="15"/>
        <v>22188.3</v>
      </c>
      <c r="F91" s="35">
        <f>16975+5213.3</f>
        <v>22188.3</v>
      </c>
      <c r="G91" s="35"/>
      <c r="H91" s="35"/>
      <c r="I91" s="35"/>
      <c r="J91" s="35">
        <f t="shared" si="16"/>
        <v>0</v>
      </c>
      <c r="K91" s="35"/>
      <c r="L91" s="35"/>
      <c r="M91" s="35"/>
      <c r="N91" s="35"/>
      <c r="O91" s="35"/>
      <c r="P91" s="35">
        <f t="shared" si="17"/>
        <v>22188.3</v>
      </c>
      <c r="Q91" s="99" t="s">
        <v>349</v>
      </c>
    </row>
    <row r="92" spans="1:17" s="25" customFormat="1" ht="15">
      <c r="A92" s="23"/>
      <c r="B92" s="26"/>
      <c r="C92" s="26"/>
      <c r="D92" s="27" t="s">
        <v>266</v>
      </c>
      <c r="E92" s="35">
        <f t="shared" si="15"/>
        <v>22188.3</v>
      </c>
      <c r="F92" s="35">
        <f>16975+5213.3</f>
        <v>22188.3</v>
      </c>
      <c r="G92" s="35"/>
      <c r="H92" s="35"/>
      <c r="I92" s="35"/>
      <c r="J92" s="35">
        <f t="shared" si="16"/>
        <v>0</v>
      </c>
      <c r="K92" s="35"/>
      <c r="L92" s="35"/>
      <c r="M92" s="35"/>
      <c r="N92" s="35"/>
      <c r="O92" s="35"/>
      <c r="P92" s="35">
        <f t="shared" si="17"/>
        <v>22188.3</v>
      </c>
      <c r="Q92" s="99"/>
    </row>
    <row r="93" spans="1:17" s="25" customFormat="1" ht="255" customHeight="1">
      <c r="A93" s="23"/>
      <c r="B93" s="73" t="s">
        <v>293</v>
      </c>
      <c r="C93" s="73" t="s">
        <v>164</v>
      </c>
      <c r="D93" s="76" t="s">
        <v>294</v>
      </c>
      <c r="E93" s="79">
        <f>F93+I93</f>
        <v>5469100</v>
      </c>
      <c r="F93" s="79">
        <v>5469100</v>
      </c>
      <c r="G93" s="79"/>
      <c r="H93" s="79"/>
      <c r="I93" s="79"/>
      <c r="J93" s="79">
        <f>K93+N93</f>
        <v>0</v>
      </c>
      <c r="K93" s="79"/>
      <c r="L93" s="79"/>
      <c r="M93" s="79"/>
      <c r="N93" s="79"/>
      <c r="O93" s="79"/>
      <c r="P93" s="79">
        <f>E93+J93</f>
        <v>5469100</v>
      </c>
      <c r="Q93" s="99"/>
    </row>
    <row r="94" spans="1:17" s="25" customFormat="1" ht="153" customHeight="1">
      <c r="A94" s="23"/>
      <c r="B94" s="74"/>
      <c r="C94" s="74"/>
      <c r="D94" s="77" t="s">
        <v>295</v>
      </c>
      <c r="E94" s="81"/>
      <c r="F94" s="81"/>
      <c r="G94" s="81"/>
      <c r="H94" s="81"/>
      <c r="I94" s="81"/>
      <c r="J94" s="81"/>
      <c r="K94" s="81"/>
      <c r="L94" s="81"/>
      <c r="M94" s="81"/>
      <c r="N94" s="81"/>
      <c r="O94" s="81"/>
      <c r="P94" s="81"/>
      <c r="Q94" s="99"/>
    </row>
    <row r="95" spans="1:17" s="25" customFormat="1" ht="270" customHeight="1">
      <c r="A95" s="23"/>
      <c r="B95" s="75"/>
      <c r="C95" s="75"/>
      <c r="D95" s="78" t="s">
        <v>296</v>
      </c>
      <c r="E95" s="80"/>
      <c r="F95" s="80"/>
      <c r="G95" s="80"/>
      <c r="H95" s="80"/>
      <c r="I95" s="80"/>
      <c r="J95" s="80"/>
      <c r="K95" s="80"/>
      <c r="L95" s="80"/>
      <c r="M95" s="80"/>
      <c r="N95" s="80"/>
      <c r="O95" s="80"/>
      <c r="P95" s="80"/>
      <c r="Q95" s="99" t="s">
        <v>350</v>
      </c>
    </row>
    <row r="96" spans="1:17" s="25" customFormat="1" ht="15">
      <c r="A96" s="23"/>
      <c r="B96" s="26"/>
      <c r="C96" s="26"/>
      <c r="D96" s="27" t="s">
        <v>266</v>
      </c>
      <c r="E96" s="35">
        <f>F96+I96</f>
        <v>5469100</v>
      </c>
      <c r="F96" s="35">
        <v>5469100</v>
      </c>
      <c r="G96" s="35"/>
      <c r="H96" s="35"/>
      <c r="I96" s="35"/>
      <c r="J96" s="35">
        <f aca="true" t="shared" si="18" ref="J96:J101">K96+N96</f>
        <v>0</v>
      </c>
      <c r="K96" s="35"/>
      <c r="L96" s="35"/>
      <c r="M96" s="35"/>
      <c r="N96" s="35"/>
      <c r="O96" s="35"/>
      <c r="P96" s="35">
        <f>E96+J96</f>
        <v>5469100</v>
      </c>
      <c r="Q96" s="99"/>
    </row>
    <row r="97" spans="1:17" s="25" customFormat="1" ht="105">
      <c r="A97" s="23"/>
      <c r="B97" s="26" t="s">
        <v>297</v>
      </c>
      <c r="C97" s="26" t="s">
        <v>165</v>
      </c>
      <c r="D97" s="27" t="s">
        <v>298</v>
      </c>
      <c r="E97" s="35">
        <f>F97+I97</f>
        <v>4278400</v>
      </c>
      <c r="F97" s="35">
        <v>4278400</v>
      </c>
      <c r="G97" s="35"/>
      <c r="H97" s="35"/>
      <c r="I97" s="35"/>
      <c r="J97" s="35">
        <f t="shared" si="18"/>
        <v>0</v>
      </c>
      <c r="K97" s="35"/>
      <c r="L97" s="35"/>
      <c r="M97" s="35"/>
      <c r="N97" s="35"/>
      <c r="O97" s="35"/>
      <c r="P97" s="35">
        <f>E97+J97</f>
        <v>4278400</v>
      </c>
      <c r="Q97" s="99"/>
    </row>
    <row r="98" spans="1:17" s="25" customFormat="1" ht="15">
      <c r="A98" s="23"/>
      <c r="B98" s="26"/>
      <c r="C98" s="26"/>
      <c r="D98" s="27" t="s">
        <v>266</v>
      </c>
      <c r="E98" s="35">
        <f aca="true" t="shared" si="19" ref="E98:E144">F98+I98</f>
        <v>4278400</v>
      </c>
      <c r="F98" s="35">
        <v>4278400</v>
      </c>
      <c r="G98" s="35"/>
      <c r="H98" s="35"/>
      <c r="I98" s="35"/>
      <c r="J98" s="35">
        <f t="shared" si="18"/>
        <v>0</v>
      </c>
      <c r="K98" s="35"/>
      <c r="L98" s="35"/>
      <c r="M98" s="35"/>
      <c r="N98" s="35"/>
      <c r="O98" s="35"/>
      <c r="P98" s="35">
        <f>E98+J98</f>
        <v>4278400</v>
      </c>
      <c r="Q98" s="99"/>
    </row>
    <row r="99" spans="1:17" s="25" customFormat="1" ht="90.75" customHeight="1">
      <c r="A99" s="23"/>
      <c r="B99" s="26" t="s">
        <v>299</v>
      </c>
      <c r="C99" s="26" t="s">
        <v>165</v>
      </c>
      <c r="D99" s="27" t="s">
        <v>300</v>
      </c>
      <c r="E99" s="35">
        <f t="shared" si="19"/>
        <v>788</v>
      </c>
      <c r="F99" s="35">
        <v>788</v>
      </c>
      <c r="G99" s="35"/>
      <c r="H99" s="35"/>
      <c r="I99" s="35"/>
      <c r="J99" s="35">
        <f t="shared" si="18"/>
        <v>0</v>
      </c>
      <c r="K99" s="35"/>
      <c r="L99" s="35"/>
      <c r="M99" s="35"/>
      <c r="N99" s="35"/>
      <c r="O99" s="35"/>
      <c r="P99" s="35">
        <f>E99+J99</f>
        <v>788</v>
      </c>
      <c r="Q99" s="99"/>
    </row>
    <row r="100" spans="1:17" s="25" customFormat="1" ht="15">
      <c r="A100" s="23"/>
      <c r="B100" s="26"/>
      <c r="C100" s="26"/>
      <c r="D100" s="27" t="s">
        <v>266</v>
      </c>
      <c r="E100" s="35">
        <f t="shared" si="19"/>
        <v>788</v>
      </c>
      <c r="F100" s="35">
        <v>788</v>
      </c>
      <c r="G100" s="35"/>
      <c r="H100" s="35"/>
      <c r="I100" s="35"/>
      <c r="J100" s="35">
        <f t="shared" si="18"/>
        <v>0</v>
      </c>
      <c r="K100" s="35"/>
      <c r="L100" s="35"/>
      <c r="M100" s="35"/>
      <c r="N100" s="35"/>
      <c r="O100" s="35"/>
      <c r="P100" s="35">
        <f>E100+J100</f>
        <v>788</v>
      </c>
      <c r="Q100" s="99"/>
    </row>
    <row r="101" spans="1:17" s="25" customFormat="1" ht="191.25" customHeight="1">
      <c r="A101" s="23"/>
      <c r="B101" s="26" t="s">
        <v>301</v>
      </c>
      <c r="C101" s="26" t="s">
        <v>165</v>
      </c>
      <c r="D101" s="27" t="s">
        <v>302</v>
      </c>
      <c r="E101" s="35">
        <f t="shared" si="19"/>
        <v>110300</v>
      </c>
      <c r="F101" s="35">
        <v>110300</v>
      </c>
      <c r="G101" s="35"/>
      <c r="H101" s="35"/>
      <c r="I101" s="35"/>
      <c r="J101" s="35">
        <f t="shared" si="18"/>
        <v>0</v>
      </c>
      <c r="K101" s="35"/>
      <c r="L101" s="35"/>
      <c r="M101" s="35"/>
      <c r="N101" s="35"/>
      <c r="O101" s="35"/>
      <c r="P101" s="35">
        <f aca="true" t="shared" si="20" ref="P101:P144">E101+J101</f>
        <v>110300</v>
      </c>
      <c r="Q101" s="99"/>
    </row>
    <row r="102" spans="1:17" s="25" customFormat="1" ht="15">
      <c r="A102" s="23"/>
      <c r="B102" s="26"/>
      <c r="C102" s="26"/>
      <c r="D102" s="27" t="s">
        <v>266</v>
      </c>
      <c r="E102" s="35">
        <f t="shared" si="19"/>
        <v>110300</v>
      </c>
      <c r="F102" s="35">
        <v>110300</v>
      </c>
      <c r="G102" s="35"/>
      <c r="H102" s="35"/>
      <c r="I102" s="35"/>
      <c r="J102" s="35">
        <f aca="true" t="shared" si="21" ref="J102:J144">K102+N102</f>
        <v>0</v>
      </c>
      <c r="K102" s="35"/>
      <c r="L102" s="35"/>
      <c r="M102" s="35"/>
      <c r="N102" s="35"/>
      <c r="O102" s="35"/>
      <c r="P102" s="35">
        <f t="shared" si="20"/>
        <v>110300</v>
      </c>
      <c r="Q102" s="99"/>
    </row>
    <row r="103" spans="1:17" s="25" customFormat="1" ht="45">
      <c r="A103" s="23"/>
      <c r="B103" s="26" t="s">
        <v>208</v>
      </c>
      <c r="C103" s="26" t="s">
        <v>165</v>
      </c>
      <c r="D103" s="27" t="s">
        <v>209</v>
      </c>
      <c r="E103" s="35">
        <f t="shared" si="19"/>
        <v>882700</v>
      </c>
      <c r="F103" s="35">
        <f>250000+382700+240900+9100</f>
        <v>882700</v>
      </c>
      <c r="G103" s="35"/>
      <c r="H103" s="35"/>
      <c r="I103" s="35"/>
      <c r="J103" s="35">
        <f t="shared" si="21"/>
        <v>0</v>
      </c>
      <c r="K103" s="35"/>
      <c r="L103" s="35"/>
      <c r="M103" s="35"/>
      <c r="N103" s="35"/>
      <c r="O103" s="35"/>
      <c r="P103" s="35">
        <f t="shared" si="20"/>
        <v>882700</v>
      </c>
      <c r="Q103" s="99" t="s">
        <v>351</v>
      </c>
    </row>
    <row r="104" spans="1:17" s="25" customFormat="1" ht="150">
      <c r="A104" s="23"/>
      <c r="B104" s="26" t="s">
        <v>303</v>
      </c>
      <c r="C104" s="26" t="s">
        <v>165</v>
      </c>
      <c r="D104" s="27" t="s">
        <v>304</v>
      </c>
      <c r="E104" s="35">
        <f t="shared" si="19"/>
        <v>2195200</v>
      </c>
      <c r="F104" s="35">
        <v>2195200</v>
      </c>
      <c r="G104" s="35"/>
      <c r="H104" s="35"/>
      <c r="I104" s="35"/>
      <c r="J104" s="35">
        <f t="shared" si="21"/>
        <v>0</v>
      </c>
      <c r="K104" s="35"/>
      <c r="L104" s="35"/>
      <c r="M104" s="35"/>
      <c r="N104" s="35"/>
      <c r="O104" s="35"/>
      <c r="P104" s="35">
        <f t="shared" si="20"/>
        <v>2195200</v>
      </c>
      <c r="Q104" s="99"/>
    </row>
    <row r="105" spans="1:17" s="25" customFormat="1" ht="15">
      <c r="A105" s="23"/>
      <c r="B105" s="26"/>
      <c r="C105" s="26"/>
      <c r="D105" s="27" t="s">
        <v>266</v>
      </c>
      <c r="E105" s="35">
        <f t="shared" si="19"/>
        <v>2195200</v>
      </c>
      <c r="F105" s="35">
        <v>2195200</v>
      </c>
      <c r="G105" s="35"/>
      <c r="H105" s="35"/>
      <c r="I105" s="35"/>
      <c r="J105" s="35">
        <f t="shared" si="21"/>
        <v>0</v>
      </c>
      <c r="K105" s="35"/>
      <c r="L105" s="35"/>
      <c r="M105" s="35"/>
      <c r="N105" s="35"/>
      <c r="O105" s="35"/>
      <c r="P105" s="35">
        <f t="shared" si="20"/>
        <v>2195200</v>
      </c>
      <c r="Q105" s="99"/>
    </row>
    <row r="106" spans="1:17" s="25" customFormat="1" ht="134.25" customHeight="1">
      <c r="A106" s="23"/>
      <c r="B106" s="29" t="s">
        <v>305</v>
      </c>
      <c r="C106" s="29" t="s">
        <v>165</v>
      </c>
      <c r="D106" s="27" t="s">
        <v>306</v>
      </c>
      <c r="E106" s="35">
        <f t="shared" si="19"/>
        <v>7515.26</v>
      </c>
      <c r="F106" s="35">
        <f>4412+3103.26</f>
        <v>7515.26</v>
      </c>
      <c r="G106" s="35"/>
      <c r="H106" s="35"/>
      <c r="I106" s="35"/>
      <c r="J106" s="35">
        <f t="shared" si="21"/>
        <v>0</v>
      </c>
      <c r="K106" s="35"/>
      <c r="L106" s="35"/>
      <c r="M106" s="35"/>
      <c r="N106" s="35"/>
      <c r="O106" s="35"/>
      <c r="P106" s="35">
        <f t="shared" si="20"/>
        <v>7515.26</v>
      </c>
      <c r="Q106" s="99"/>
    </row>
    <row r="107" spans="1:17" s="25" customFormat="1" ht="15">
      <c r="A107" s="23"/>
      <c r="B107" s="29"/>
      <c r="C107" s="29"/>
      <c r="D107" s="27" t="s">
        <v>266</v>
      </c>
      <c r="E107" s="35">
        <f t="shared" si="19"/>
        <v>7515.26</v>
      </c>
      <c r="F107" s="35">
        <f>4412+3103.26</f>
        <v>7515.26</v>
      </c>
      <c r="G107" s="35"/>
      <c r="H107" s="35"/>
      <c r="I107" s="35"/>
      <c r="J107" s="35">
        <f t="shared" si="21"/>
        <v>0</v>
      </c>
      <c r="K107" s="35"/>
      <c r="L107" s="35"/>
      <c r="M107" s="35"/>
      <c r="N107" s="35"/>
      <c r="O107" s="35"/>
      <c r="P107" s="35">
        <f t="shared" si="20"/>
        <v>7515.26</v>
      </c>
      <c r="Q107" s="99"/>
    </row>
    <row r="108" spans="1:17" s="25" customFormat="1" ht="30">
      <c r="A108" s="23"/>
      <c r="B108" s="26" t="s">
        <v>267</v>
      </c>
      <c r="C108" s="26" t="s">
        <v>139</v>
      </c>
      <c r="D108" s="27" t="s">
        <v>268</v>
      </c>
      <c r="E108" s="35">
        <f t="shared" si="19"/>
        <v>2957400</v>
      </c>
      <c r="F108" s="35">
        <v>2957400</v>
      </c>
      <c r="G108" s="35"/>
      <c r="H108" s="35"/>
      <c r="I108" s="35"/>
      <c r="J108" s="35">
        <f t="shared" si="21"/>
        <v>0</v>
      </c>
      <c r="K108" s="35"/>
      <c r="L108" s="35"/>
      <c r="M108" s="35"/>
      <c r="N108" s="35"/>
      <c r="O108" s="35"/>
      <c r="P108" s="35">
        <f t="shared" si="20"/>
        <v>2957400</v>
      </c>
      <c r="Q108" s="99"/>
    </row>
    <row r="109" spans="1:17" s="25" customFormat="1" ht="15">
      <c r="A109" s="23"/>
      <c r="B109" s="26"/>
      <c r="C109" s="26"/>
      <c r="D109" s="27" t="s">
        <v>266</v>
      </c>
      <c r="E109" s="35">
        <f t="shared" si="19"/>
        <v>2957400</v>
      </c>
      <c r="F109" s="35">
        <v>2957400</v>
      </c>
      <c r="G109" s="35"/>
      <c r="H109" s="35"/>
      <c r="I109" s="35"/>
      <c r="J109" s="35">
        <f t="shared" si="21"/>
        <v>0</v>
      </c>
      <c r="K109" s="35"/>
      <c r="L109" s="35"/>
      <c r="M109" s="35"/>
      <c r="N109" s="35"/>
      <c r="O109" s="35"/>
      <c r="P109" s="35">
        <f t="shared" si="20"/>
        <v>2957400</v>
      </c>
      <c r="Q109" s="99"/>
    </row>
    <row r="110" spans="1:17" s="25" customFormat="1" ht="30">
      <c r="A110" s="23"/>
      <c r="B110" s="26" t="s">
        <v>269</v>
      </c>
      <c r="C110" s="26" t="s">
        <v>139</v>
      </c>
      <c r="D110" s="27" t="s">
        <v>270</v>
      </c>
      <c r="E110" s="35">
        <f t="shared" si="19"/>
        <v>2340000</v>
      </c>
      <c r="F110" s="35">
        <v>2340000</v>
      </c>
      <c r="G110" s="35"/>
      <c r="H110" s="35"/>
      <c r="I110" s="35"/>
      <c r="J110" s="35">
        <f t="shared" si="21"/>
        <v>0</v>
      </c>
      <c r="K110" s="35"/>
      <c r="L110" s="35"/>
      <c r="M110" s="35"/>
      <c r="N110" s="35"/>
      <c r="O110" s="35"/>
      <c r="P110" s="35">
        <f t="shared" si="20"/>
        <v>2340000</v>
      </c>
      <c r="Q110" s="99"/>
    </row>
    <row r="111" spans="1:17" s="25" customFormat="1" ht="15">
      <c r="A111" s="23"/>
      <c r="B111" s="26"/>
      <c r="C111" s="26"/>
      <c r="D111" s="27" t="s">
        <v>266</v>
      </c>
      <c r="E111" s="35">
        <f t="shared" si="19"/>
        <v>2340000</v>
      </c>
      <c r="F111" s="35">
        <v>2340000</v>
      </c>
      <c r="G111" s="35"/>
      <c r="H111" s="35"/>
      <c r="I111" s="35"/>
      <c r="J111" s="35">
        <f t="shared" si="21"/>
        <v>0</v>
      </c>
      <c r="K111" s="35"/>
      <c r="L111" s="35"/>
      <c r="M111" s="35"/>
      <c r="N111" s="35"/>
      <c r="O111" s="35"/>
      <c r="P111" s="35">
        <f t="shared" si="20"/>
        <v>2340000</v>
      </c>
      <c r="Q111" s="99"/>
    </row>
    <row r="112" spans="1:17" s="25" customFormat="1" ht="15">
      <c r="A112" s="23"/>
      <c r="B112" s="26" t="s">
        <v>271</v>
      </c>
      <c r="C112" s="26" t="s">
        <v>139</v>
      </c>
      <c r="D112" s="27" t="s">
        <v>272</v>
      </c>
      <c r="E112" s="35">
        <f t="shared" si="19"/>
        <v>132914300</v>
      </c>
      <c r="F112" s="35">
        <v>132914300</v>
      </c>
      <c r="G112" s="35"/>
      <c r="H112" s="35"/>
      <c r="I112" s="35"/>
      <c r="J112" s="35">
        <f t="shared" si="21"/>
        <v>0</v>
      </c>
      <c r="K112" s="35"/>
      <c r="L112" s="35"/>
      <c r="M112" s="35"/>
      <c r="N112" s="35"/>
      <c r="O112" s="35"/>
      <c r="P112" s="35">
        <f t="shared" si="20"/>
        <v>132914300</v>
      </c>
      <c r="Q112" s="99"/>
    </row>
    <row r="113" spans="1:17" s="25" customFormat="1" ht="15">
      <c r="A113" s="23"/>
      <c r="B113" s="26"/>
      <c r="C113" s="26"/>
      <c r="D113" s="27" t="s">
        <v>266</v>
      </c>
      <c r="E113" s="35">
        <f t="shared" si="19"/>
        <v>132914300</v>
      </c>
      <c r="F113" s="35">
        <v>132914300</v>
      </c>
      <c r="G113" s="35"/>
      <c r="H113" s="35"/>
      <c r="I113" s="35"/>
      <c r="J113" s="35">
        <f t="shared" si="21"/>
        <v>0</v>
      </c>
      <c r="K113" s="35"/>
      <c r="L113" s="35"/>
      <c r="M113" s="35"/>
      <c r="N113" s="35"/>
      <c r="O113" s="35"/>
      <c r="P113" s="35">
        <f t="shared" si="20"/>
        <v>132914300</v>
      </c>
      <c r="Q113" s="99"/>
    </row>
    <row r="114" spans="1:17" s="25" customFormat="1" ht="30">
      <c r="A114" s="23"/>
      <c r="B114" s="26" t="s">
        <v>273</v>
      </c>
      <c r="C114" s="26" t="s">
        <v>139</v>
      </c>
      <c r="D114" s="27" t="s">
        <v>274</v>
      </c>
      <c r="E114" s="35">
        <f t="shared" si="19"/>
        <v>4769000</v>
      </c>
      <c r="F114" s="35">
        <v>4769000</v>
      </c>
      <c r="G114" s="35"/>
      <c r="H114" s="35"/>
      <c r="I114" s="35"/>
      <c r="J114" s="35">
        <f t="shared" si="21"/>
        <v>0</v>
      </c>
      <c r="K114" s="35"/>
      <c r="L114" s="35"/>
      <c r="M114" s="35"/>
      <c r="N114" s="35"/>
      <c r="O114" s="35"/>
      <c r="P114" s="35">
        <f t="shared" si="20"/>
        <v>4769000</v>
      </c>
      <c r="Q114" s="99"/>
    </row>
    <row r="115" spans="1:17" s="25" customFormat="1" ht="15">
      <c r="A115" s="23"/>
      <c r="B115" s="26"/>
      <c r="C115" s="26"/>
      <c r="D115" s="27" t="s">
        <v>266</v>
      </c>
      <c r="E115" s="35">
        <f t="shared" si="19"/>
        <v>4769000</v>
      </c>
      <c r="F115" s="35">
        <v>4769000</v>
      </c>
      <c r="G115" s="35"/>
      <c r="H115" s="35"/>
      <c r="I115" s="35"/>
      <c r="J115" s="35">
        <f t="shared" si="21"/>
        <v>0</v>
      </c>
      <c r="K115" s="35"/>
      <c r="L115" s="35"/>
      <c r="M115" s="35"/>
      <c r="N115" s="35"/>
      <c r="O115" s="35"/>
      <c r="P115" s="35">
        <f t="shared" si="20"/>
        <v>4769000</v>
      </c>
      <c r="Q115" s="99"/>
    </row>
    <row r="116" spans="1:17" s="25" customFormat="1" ht="15">
      <c r="A116" s="23"/>
      <c r="B116" s="26" t="s">
        <v>275</v>
      </c>
      <c r="C116" s="26" t="s">
        <v>139</v>
      </c>
      <c r="D116" s="27" t="s">
        <v>276</v>
      </c>
      <c r="E116" s="35">
        <f t="shared" si="19"/>
        <v>22750500</v>
      </c>
      <c r="F116" s="35">
        <v>22750500</v>
      </c>
      <c r="G116" s="35"/>
      <c r="H116" s="35"/>
      <c r="I116" s="35"/>
      <c r="J116" s="35">
        <f t="shared" si="21"/>
        <v>0</v>
      </c>
      <c r="K116" s="35"/>
      <c r="L116" s="35"/>
      <c r="M116" s="35"/>
      <c r="N116" s="35"/>
      <c r="O116" s="35"/>
      <c r="P116" s="35">
        <f t="shared" si="20"/>
        <v>22750500</v>
      </c>
      <c r="Q116" s="99"/>
    </row>
    <row r="117" spans="1:17" s="25" customFormat="1" ht="15">
      <c r="A117" s="23"/>
      <c r="B117" s="26"/>
      <c r="C117" s="26"/>
      <c r="D117" s="27" t="s">
        <v>266</v>
      </c>
      <c r="E117" s="35">
        <f t="shared" si="19"/>
        <v>22750500</v>
      </c>
      <c r="F117" s="35">
        <v>22750500</v>
      </c>
      <c r="G117" s="35"/>
      <c r="H117" s="35"/>
      <c r="I117" s="35"/>
      <c r="J117" s="35">
        <f t="shared" si="21"/>
        <v>0</v>
      </c>
      <c r="K117" s="35"/>
      <c r="L117" s="35"/>
      <c r="M117" s="35"/>
      <c r="N117" s="35"/>
      <c r="O117" s="35"/>
      <c r="P117" s="35">
        <f t="shared" si="20"/>
        <v>22750500</v>
      </c>
      <c r="Q117" s="99"/>
    </row>
    <row r="118" spans="1:17" s="25" customFormat="1" ht="15">
      <c r="A118" s="23"/>
      <c r="B118" s="26" t="s">
        <v>277</v>
      </c>
      <c r="C118" s="26" t="s">
        <v>139</v>
      </c>
      <c r="D118" s="27" t="s">
        <v>278</v>
      </c>
      <c r="E118" s="35">
        <f t="shared" si="19"/>
        <v>2174200</v>
      </c>
      <c r="F118" s="35">
        <v>2174200</v>
      </c>
      <c r="G118" s="35"/>
      <c r="H118" s="35"/>
      <c r="I118" s="35"/>
      <c r="J118" s="35">
        <f t="shared" si="21"/>
        <v>0</v>
      </c>
      <c r="K118" s="35"/>
      <c r="L118" s="35"/>
      <c r="M118" s="35"/>
      <c r="N118" s="35"/>
      <c r="O118" s="35"/>
      <c r="P118" s="35">
        <f t="shared" si="20"/>
        <v>2174200</v>
      </c>
      <c r="Q118" s="99"/>
    </row>
    <row r="119" spans="1:17" s="25" customFormat="1" ht="15">
      <c r="A119" s="23"/>
      <c r="B119" s="26"/>
      <c r="C119" s="26"/>
      <c r="D119" s="27" t="s">
        <v>266</v>
      </c>
      <c r="E119" s="35">
        <f t="shared" si="19"/>
        <v>2174200</v>
      </c>
      <c r="F119" s="35">
        <v>2174200</v>
      </c>
      <c r="G119" s="35"/>
      <c r="H119" s="35"/>
      <c r="I119" s="35"/>
      <c r="J119" s="35">
        <f t="shared" si="21"/>
        <v>0</v>
      </c>
      <c r="K119" s="35"/>
      <c r="L119" s="35"/>
      <c r="M119" s="35"/>
      <c r="N119" s="35"/>
      <c r="O119" s="35"/>
      <c r="P119" s="35">
        <f t="shared" si="20"/>
        <v>2174200</v>
      </c>
      <c r="Q119" s="99"/>
    </row>
    <row r="120" spans="1:17" s="25" customFormat="1" ht="15">
      <c r="A120" s="23"/>
      <c r="B120" s="26" t="s">
        <v>279</v>
      </c>
      <c r="C120" s="26" t="s">
        <v>139</v>
      </c>
      <c r="D120" s="27" t="s">
        <v>280</v>
      </c>
      <c r="E120" s="35">
        <f t="shared" si="19"/>
        <v>312200</v>
      </c>
      <c r="F120" s="35">
        <v>312200</v>
      </c>
      <c r="G120" s="35"/>
      <c r="H120" s="35"/>
      <c r="I120" s="35"/>
      <c r="J120" s="35">
        <f t="shared" si="21"/>
        <v>0</v>
      </c>
      <c r="K120" s="35"/>
      <c r="L120" s="35"/>
      <c r="M120" s="35"/>
      <c r="N120" s="35"/>
      <c r="O120" s="35"/>
      <c r="P120" s="35">
        <f t="shared" si="20"/>
        <v>312200</v>
      </c>
      <c r="Q120" s="99"/>
    </row>
    <row r="121" spans="1:17" s="25" customFormat="1" ht="15">
      <c r="A121" s="23"/>
      <c r="B121" s="26"/>
      <c r="C121" s="26"/>
      <c r="D121" s="27" t="s">
        <v>266</v>
      </c>
      <c r="E121" s="35">
        <f t="shared" si="19"/>
        <v>312200</v>
      </c>
      <c r="F121" s="35">
        <v>312200</v>
      </c>
      <c r="G121" s="35"/>
      <c r="H121" s="35"/>
      <c r="I121" s="35"/>
      <c r="J121" s="35">
        <f t="shared" si="21"/>
        <v>0</v>
      </c>
      <c r="K121" s="35"/>
      <c r="L121" s="35"/>
      <c r="M121" s="35"/>
      <c r="N121" s="35"/>
      <c r="O121" s="35"/>
      <c r="P121" s="35">
        <f t="shared" si="20"/>
        <v>312200</v>
      </c>
      <c r="Q121" s="99"/>
    </row>
    <row r="122" spans="1:17" s="25" customFormat="1" ht="30">
      <c r="A122" s="23"/>
      <c r="B122" s="26" t="s">
        <v>281</v>
      </c>
      <c r="C122" s="26" t="s">
        <v>139</v>
      </c>
      <c r="D122" s="27" t="s">
        <v>282</v>
      </c>
      <c r="E122" s="35">
        <f t="shared" si="19"/>
        <v>41101000</v>
      </c>
      <c r="F122" s="35">
        <v>41101000</v>
      </c>
      <c r="G122" s="35"/>
      <c r="H122" s="35"/>
      <c r="I122" s="35"/>
      <c r="J122" s="35">
        <f t="shared" si="21"/>
        <v>0</v>
      </c>
      <c r="K122" s="35"/>
      <c r="L122" s="35"/>
      <c r="M122" s="35"/>
      <c r="N122" s="35"/>
      <c r="O122" s="35"/>
      <c r="P122" s="35">
        <f t="shared" si="20"/>
        <v>41101000</v>
      </c>
      <c r="Q122" s="99"/>
    </row>
    <row r="123" spans="1:17" s="25" customFormat="1" ht="15">
      <c r="A123" s="23"/>
      <c r="B123" s="26"/>
      <c r="C123" s="26"/>
      <c r="D123" s="27" t="s">
        <v>266</v>
      </c>
      <c r="E123" s="35">
        <f t="shared" si="19"/>
        <v>41101000</v>
      </c>
      <c r="F123" s="35">
        <v>41101000</v>
      </c>
      <c r="G123" s="35"/>
      <c r="H123" s="35"/>
      <c r="I123" s="35"/>
      <c r="J123" s="35">
        <f t="shared" si="21"/>
        <v>0</v>
      </c>
      <c r="K123" s="35"/>
      <c r="L123" s="35"/>
      <c r="M123" s="35"/>
      <c r="N123" s="35"/>
      <c r="O123" s="35"/>
      <c r="P123" s="35">
        <f t="shared" si="20"/>
        <v>41101000</v>
      </c>
      <c r="Q123" s="99"/>
    </row>
    <row r="124" spans="1:17" s="25" customFormat="1" ht="45">
      <c r="A124" s="23"/>
      <c r="B124" s="26" t="s">
        <v>285</v>
      </c>
      <c r="C124" s="26" t="s">
        <v>166</v>
      </c>
      <c r="D124" s="27" t="s">
        <v>286</v>
      </c>
      <c r="E124" s="35">
        <f t="shared" si="19"/>
        <v>365245700</v>
      </c>
      <c r="F124" s="35">
        <v>365245700</v>
      </c>
      <c r="G124" s="35"/>
      <c r="H124" s="35"/>
      <c r="I124" s="35"/>
      <c r="J124" s="35">
        <f t="shared" si="21"/>
        <v>0</v>
      </c>
      <c r="K124" s="35"/>
      <c r="L124" s="35"/>
      <c r="M124" s="35"/>
      <c r="N124" s="35"/>
      <c r="O124" s="35"/>
      <c r="P124" s="35">
        <f t="shared" si="20"/>
        <v>365245700</v>
      </c>
      <c r="Q124" s="99"/>
    </row>
    <row r="125" spans="1:17" s="25" customFormat="1" ht="15">
      <c r="A125" s="23"/>
      <c r="B125" s="26"/>
      <c r="C125" s="26"/>
      <c r="D125" s="27" t="s">
        <v>266</v>
      </c>
      <c r="E125" s="35">
        <f t="shared" si="19"/>
        <v>365245700</v>
      </c>
      <c r="F125" s="35">
        <v>365245700</v>
      </c>
      <c r="G125" s="35"/>
      <c r="H125" s="35"/>
      <c r="I125" s="35"/>
      <c r="J125" s="35">
        <f t="shared" si="21"/>
        <v>0</v>
      </c>
      <c r="K125" s="35"/>
      <c r="L125" s="35"/>
      <c r="M125" s="35"/>
      <c r="N125" s="35"/>
      <c r="O125" s="35"/>
      <c r="P125" s="35">
        <f t="shared" si="20"/>
        <v>365245700</v>
      </c>
      <c r="Q125" s="99"/>
    </row>
    <row r="126" spans="1:17" s="25" customFormat="1" ht="60">
      <c r="A126" s="23"/>
      <c r="B126" s="26" t="s">
        <v>287</v>
      </c>
      <c r="C126" s="26" t="s">
        <v>166</v>
      </c>
      <c r="D126" s="27" t="s">
        <v>288</v>
      </c>
      <c r="E126" s="35">
        <f t="shared" si="19"/>
        <v>134338.44</v>
      </c>
      <c r="F126" s="35">
        <f>82655+51683.44</f>
        <v>134338.44</v>
      </c>
      <c r="G126" s="35"/>
      <c r="H126" s="35"/>
      <c r="I126" s="35"/>
      <c r="J126" s="35">
        <f t="shared" si="21"/>
        <v>0</v>
      </c>
      <c r="K126" s="35"/>
      <c r="L126" s="35"/>
      <c r="M126" s="35"/>
      <c r="N126" s="35"/>
      <c r="O126" s="35"/>
      <c r="P126" s="35">
        <f t="shared" si="20"/>
        <v>134338.44</v>
      </c>
      <c r="Q126" s="99" t="s">
        <v>352</v>
      </c>
    </row>
    <row r="127" spans="1:17" s="25" customFormat="1" ht="15">
      <c r="A127" s="23"/>
      <c r="B127" s="26"/>
      <c r="C127" s="26"/>
      <c r="D127" s="27" t="s">
        <v>266</v>
      </c>
      <c r="E127" s="35">
        <f t="shared" si="19"/>
        <v>134338.44</v>
      </c>
      <c r="F127" s="35">
        <f>82655+51683.44</f>
        <v>134338.44</v>
      </c>
      <c r="G127" s="35"/>
      <c r="H127" s="35"/>
      <c r="I127" s="35"/>
      <c r="J127" s="35">
        <f t="shared" si="21"/>
        <v>0</v>
      </c>
      <c r="K127" s="35"/>
      <c r="L127" s="35"/>
      <c r="M127" s="35"/>
      <c r="N127" s="35"/>
      <c r="O127" s="35"/>
      <c r="P127" s="35">
        <f t="shared" si="20"/>
        <v>134338.44</v>
      </c>
      <c r="Q127" s="99"/>
    </row>
    <row r="128" spans="1:17" s="25" customFormat="1" ht="30">
      <c r="A128" s="23"/>
      <c r="B128" s="26" t="s">
        <v>17</v>
      </c>
      <c r="C128" s="26" t="s">
        <v>138</v>
      </c>
      <c r="D128" s="27" t="s">
        <v>18</v>
      </c>
      <c r="E128" s="35">
        <f t="shared" si="19"/>
        <v>3212102</v>
      </c>
      <c r="F128" s="35">
        <f>1730323+45128+330300+224000+130000+90870+18000+360000+108700+51390+68890-4499+59000</f>
        <v>3212102</v>
      </c>
      <c r="G128" s="35"/>
      <c r="H128" s="35"/>
      <c r="I128" s="35"/>
      <c r="J128" s="35">
        <f t="shared" si="21"/>
        <v>0</v>
      </c>
      <c r="K128" s="35"/>
      <c r="L128" s="35"/>
      <c r="M128" s="35"/>
      <c r="N128" s="35"/>
      <c r="O128" s="35"/>
      <c r="P128" s="35">
        <f t="shared" si="20"/>
        <v>3212102</v>
      </c>
      <c r="Q128" s="99"/>
    </row>
    <row r="129" spans="1:17" s="25" customFormat="1" ht="30">
      <c r="A129" s="23"/>
      <c r="B129" s="26" t="s">
        <v>283</v>
      </c>
      <c r="C129" s="26" t="s">
        <v>167</v>
      </c>
      <c r="D129" s="27" t="s">
        <v>284</v>
      </c>
      <c r="E129" s="35">
        <f t="shared" si="19"/>
        <v>7229000</v>
      </c>
      <c r="F129" s="35">
        <v>7229000</v>
      </c>
      <c r="G129" s="35"/>
      <c r="H129" s="35"/>
      <c r="I129" s="35"/>
      <c r="J129" s="35">
        <f t="shared" si="21"/>
        <v>0</v>
      </c>
      <c r="K129" s="35"/>
      <c r="L129" s="35"/>
      <c r="M129" s="35"/>
      <c r="N129" s="35"/>
      <c r="O129" s="35"/>
      <c r="P129" s="35">
        <f t="shared" si="20"/>
        <v>7229000</v>
      </c>
      <c r="Q129" s="99"/>
    </row>
    <row r="130" spans="1:17" s="25" customFormat="1" ht="15">
      <c r="A130" s="23"/>
      <c r="B130" s="26"/>
      <c r="C130" s="26"/>
      <c r="D130" s="27" t="s">
        <v>266</v>
      </c>
      <c r="E130" s="35">
        <f t="shared" si="19"/>
        <v>7229000</v>
      </c>
      <c r="F130" s="35">
        <v>7229000</v>
      </c>
      <c r="G130" s="35"/>
      <c r="H130" s="35"/>
      <c r="I130" s="35"/>
      <c r="J130" s="35">
        <f t="shared" si="21"/>
        <v>0</v>
      </c>
      <c r="K130" s="35"/>
      <c r="L130" s="35"/>
      <c r="M130" s="35"/>
      <c r="N130" s="35"/>
      <c r="O130" s="35"/>
      <c r="P130" s="35">
        <f t="shared" si="20"/>
        <v>7229000</v>
      </c>
      <c r="Q130" s="99"/>
    </row>
    <row r="131" spans="1:17" s="25" customFormat="1" ht="30">
      <c r="A131" s="23"/>
      <c r="B131" s="26" t="s">
        <v>95</v>
      </c>
      <c r="C131" s="26" t="s">
        <v>164</v>
      </c>
      <c r="D131" s="27" t="s">
        <v>96</v>
      </c>
      <c r="E131" s="35">
        <f t="shared" si="19"/>
        <v>986804</v>
      </c>
      <c r="F131" s="35">
        <f>902586+88819-4601</f>
        <v>986804</v>
      </c>
      <c r="G131" s="35"/>
      <c r="H131" s="35"/>
      <c r="I131" s="35"/>
      <c r="J131" s="35">
        <f t="shared" si="21"/>
        <v>0</v>
      </c>
      <c r="K131" s="35"/>
      <c r="L131" s="35"/>
      <c r="M131" s="35"/>
      <c r="N131" s="35"/>
      <c r="O131" s="35"/>
      <c r="P131" s="35">
        <f t="shared" si="20"/>
        <v>986804</v>
      </c>
      <c r="Q131" s="99"/>
    </row>
    <row r="132" spans="1:17" s="25" customFormat="1" ht="30">
      <c r="A132" s="23"/>
      <c r="B132" s="26" t="s">
        <v>258</v>
      </c>
      <c r="C132" s="26" t="s">
        <v>164</v>
      </c>
      <c r="D132" s="27" t="s">
        <v>259</v>
      </c>
      <c r="E132" s="35">
        <f t="shared" si="19"/>
        <v>181400</v>
      </c>
      <c r="F132" s="35">
        <v>181400</v>
      </c>
      <c r="G132" s="35"/>
      <c r="H132" s="35"/>
      <c r="I132" s="35"/>
      <c r="J132" s="35">
        <f t="shared" si="21"/>
        <v>0</v>
      </c>
      <c r="K132" s="35"/>
      <c r="L132" s="35"/>
      <c r="M132" s="35"/>
      <c r="N132" s="35"/>
      <c r="O132" s="35"/>
      <c r="P132" s="35">
        <f t="shared" si="20"/>
        <v>181400</v>
      </c>
      <c r="Q132" s="99"/>
    </row>
    <row r="133" spans="1:17" s="25" customFormat="1" ht="30">
      <c r="A133" s="23"/>
      <c r="B133" s="26" t="s">
        <v>210</v>
      </c>
      <c r="C133" s="26" t="s">
        <v>211</v>
      </c>
      <c r="D133" s="27" t="s">
        <v>212</v>
      </c>
      <c r="E133" s="35">
        <f t="shared" si="19"/>
        <v>374903.07</v>
      </c>
      <c r="F133" s="35">
        <f>160429-16831+231305.07</f>
        <v>374903.07</v>
      </c>
      <c r="G133" s="35">
        <f>117703+189509.86</f>
        <v>307212.86</v>
      </c>
      <c r="H133" s="35"/>
      <c r="I133" s="35"/>
      <c r="J133" s="35">
        <f t="shared" si="21"/>
        <v>0</v>
      </c>
      <c r="K133" s="35"/>
      <c r="L133" s="35"/>
      <c r="M133" s="35"/>
      <c r="N133" s="35"/>
      <c r="O133" s="35"/>
      <c r="P133" s="35">
        <f t="shared" si="20"/>
        <v>374903.07</v>
      </c>
      <c r="Q133" s="99"/>
    </row>
    <row r="134" spans="1:17" s="25" customFormat="1" ht="38.25" customHeight="1">
      <c r="A134" s="23"/>
      <c r="B134" s="26" t="s">
        <v>97</v>
      </c>
      <c r="C134" s="26" t="s">
        <v>168</v>
      </c>
      <c r="D134" s="27" t="s">
        <v>98</v>
      </c>
      <c r="E134" s="35">
        <f t="shared" si="19"/>
        <v>5915300</v>
      </c>
      <c r="F134" s="35">
        <f>6697900+170500-1363300+11000+380200+13000+6000</f>
        <v>5915300</v>
      </c>
      <c r="G134" s="35">
        <f>4614400+54100-591900+312900</f>
        <v>4389500</v>
      </c>
      <c r="H134" s="35">
        <f>154005+2561</f>
        <v>156566</v>
      </c>
      <c r="I134" s="35"/>
      <c r="J134" s="35">
        <f t="shared" si="21"/>
        <v>467800</v>
      </c>
      <c r="K134" s="35">
        <v>27800</v>
      </c>
      <c r="L134" s="35">
        <v>18822</v>
      </c>
      <c r="M134" s="35"/>
      <c r="N134" s="35">
        <f>297000+11000+132000</f>
        <v>440000</v>
      </c>
      <c r="O134" s="35">
        <f>297000+11000+132000</f>
        <v>440000</v>
      </c>
      <c r="P134" s="35">
        <f t="shared" si="20"/>
        <v>6383100</v>
      </c>
      <c r="Q134" s="99"/>
    </row>
    <row r="135" spans="1:17" s="25" customFormat="1" ht="86.25" customHeight="1">
      <c r="A135" s="23"/>
      <c r="B135" s="26" t="s">
        <v>99</v>
      </c>
      <c r="C135" s="26" t="s">
        <v>167</v>
      </c>
      <c r="D135" s="27" t="s">
        <v>100</v>
      </c>
      <c r="E135" s="35">
        <f t="shared" si="19"/>
        <v>1397200</v>
      </c>
      <c r="F135" s="35">
        <v>1397200</v>
      </c>
      <c r="G135" s="35"/>
      <c r="H135" s="35"/>
      <c r="I135" s="35"/>
      <c r="J135" s="35">
        <f t="shared" si="21"/>
        <v>0</v>
      </c>
      <c r="K135" s="35"/>
      <c r="L135" s="35"/>
      <c r="M135" s="35"/>
      <c r="N135" s="35"/>
      <c r="O135" s="35"/>
      <c r="P135" s="35">
        <f t="shared" si="20"/>
        <v>1397200</v>
      </c>
      <c r="Q135" s="99"/>
    </row>
    <row r="136" spans="1:17" s="25" customFormat="1" ht="90" customHeight="1">
      <c r="A136" s="23"/>
      <c r="B136" s="26" t="s">
        <v>101</v>
      </c>
      <c r="C136" s="26" t="s">
        <v>166</v>
      </c>
      <c r="D136" s="27" t="s">
        <v>102</v>
      </c>
      <c r="E136" s="35">
        <f t="shared" si="19"/>
        <v>2482439</v>
      </c>
      <c r="F136" s="35">
        <f>2446698+35741</f>
        <v>2482439</v>
      </c>
      <c r="G136" s="35"/>
      <c r="H136" s="35"/>
      <c r="I136" s="35"/>
      <c r="J136" s="35">
        <f t="shared" si="21"/>
        <v>0</v>
      </c>
      <c r="K136" s="35"/>
      <c r="L136" s="35"/>
      <c r="M136" s="35"/>
      <c r="N136" s="35"/>
      <c r="O136" s="35"/>
      <c r="P136" s="35">
        <f t="shared" si="20"/>
        <v>2482439</v>
      </c>
      <c r="Q136" s="99"/>
    </row>
    <row r="137" spans="1:17" s="25" customFormat="1" ht="30">
      <c r="A137" s="23"/>
      <c r="B137" s="26" t="s">
        <v>103</v>
      </c>
      <c r="C137" s="26" t="s">
        <v>164</v>
      </c>
      <c r="D137" s="27" t="s">
        <v>104</v>
      </c>
      <c r="E137" s="35">
        <f t="shared" si="19"/>
        <v>798900</v>
      </c>
      <c r="F137" s="35">
        <v>798900</v>
      </c>
      <c r="G137" s="35"/>
      <c r="H137" s="35"/>
      <c r="I137" s="35"/>
      <c r="J137" s="35">
        <f t="shared" si="21"/>
        <v>0</v>
      </c>
      <c r="K137" s="35"/>
      <c r="L137" s="35"/>
      <c r="M137" s="35"/>
      <c r="N137" s="35"/>
      <c r="O137" s="35"/>
      <c r="P137" s="35">
        <f t="shared" si="20"/>
        <v>798900</v>
      </c>
      <c r="Q137" s="99"/>
    </row>
    <row r="138" spans="1:17" s="25" customFormat="1" ht="30">
      <c r="A138" s="23"/>
      <c r="B138" s="26" t="s">
        <v>254</v>
      </c>
      <c r="C138" s="26" t="s">
        <v>138</v>
      </c>
      <c r="D138" s="27" t="s">
        <v>255</v>
      </c>
      <c r="E138" s="35">
        <f t="shared" si="19"/>
        <v>111717</v>
      </c>
      <c r="F138" s="35">
        <f>54417+57300+30000-30000</f>
        <v>111717</v>
      </c>
      <c r="G138" s="35"/>
      <c r="H138" s="35"/>
      <c r="I138" s="35"/>
      <c r="J138" s="35">
        <f t="shared" si="21"/>
        <v>0</v>
      </c>
      <c r="K138" s="35"/>
      <c r="L138" s="35"/>
      <c r="M138" s="35"/>
      <c r="N138" s="35"/>
      <c r="O138" s="35"/>
      <c r="P138" s="35">
        <f t="shared" si="20"/>
        <v>111717</v>
      </c>
      <c r="Q138" s="99"/>
    </row>
    <row r="139" spans="1:17" s="25" customFormat="1" ht="21.75" customHeight="1">
      <c r="A139" s="23"/>
      <c r="B139" s="26" t="s">
        <v>105</v>
      </c>
      <c r="C139" s="26" t="s">
        <v>138</v>
      </c>
      <c r="D139" s="27" t="s">
        <v>106</v>
      </c>
      <c r="E139" s="35">
        <f t="shared" si="19"/>
        <v>1474000</v>
      </c>
      <c r="F139" s="35">
        <f>1424500-209500+19000+33000+195000+7000+5000</f>
        <v>1474000</v>
      </c>
      <c r="G139" s="35">
        <f>826600-77400+145000</f>
        <v>894200</v>
      </c>
      <c r="H139" s="35">
        <v>127230</v>
      </c>
      <c r="I139" s="35"/>
      <c r="J139" s="35">
        <f t="shared" si="21"/>
        <v>243500</v>
      </c>
      <c r="K139" s="35"/>
      <c r="L139" s="35"/>
      <c r="M139" s="35"/>
      <c r="N139" s="35">
        <f>200000+43500</f>
        <v>243500</v>
      </c>
      <c r="O139" s="35">
        <f>200000+43500</f>
        <v>243500</v>
      </c>
      <c r="P139" s="35">
        <f t="shared" si="20"/>
        <v>1717500</v>
      </c>
      <c r="Q139" s="99"/>
    </row>
    <row r="140" spans="1:17" s="25" customFormat="1" ht="21.75" customHeight="1">
      <c r="A140" s="23"/>
      <c r="B140" s="26" t="s">
        <v>264</v>
      </c>
      <c r="C140" s="26" t="s">
        <v>167</v>
      </c>
      <c r="D140" s="27" t="s">
        <v>265</v>
      </c>
      <c r="E140" s="35">
        <f t="shared" si="19"/>
        <v>43245500</v>
      </c>
      <c r="F140" s="35">
        <v>43245500</v>
      </c>
      <c r="G140" s="35"/>
      <c r="H140" s="35"/>
      <c r="I140" s="35"/>
      <c r="J140" s="35">
        <f t="shared" si="21"/>
        <v>0</v>
      </c>
      <c r="K140" s="35"/>
      <c r="L140" s="35"/>
      <c r="M140" s="35"/>
      <c r="N140" s="35"/>
      <c r="O140" s="35"/>
      <c r="P140" s="35">
        <f t="shared" si="20"/>
        <v>43245500</v>
      </c>
      <c r="Q140" s="99"/>
    </row>
    <row r="141" spans="1:17" s="25" customFormat="1" ht="21.75" customHeight="1">
      <c r="A141" s="23"/>
      <c r="B141" s="26"/>
      <c r="C141" s="26"/>
      <c r="D141" s="27" t="s">
        <v>266</v>
      </c>
      <c r="E141" s="35">
        <f t="shared" si="19"/>
        <v>43245500</v>
      </c>
      <c r="F141" s="35">
        <v>43245500</v>
      </c>
      <c r="G141" s="35"/>
      <c r="H141" s="35"/>
      <c r="I141" s="35"/>
      <c r="J141" s="35">
        <f t="shared" si="21"/>
        <v>0</v>
      </c>
      <c r="K141" s="35"/>
      <c r="L141" s="35"/>
      <c r="M141" s="35"/>
      <c r="N141" s="35"/>
      <c r="O141" s="35"/>
      <c r="P141" s="35">
        <f t="shared" si="20"/>
        <v>43245500</v>
      </c>
      <c r="Q141" s="99"/>
    </row>
    <row r="142" spans="1:17" s="25" customFormat="1" ht="45" customHeight="1">
      <c r="A142" s="23"/>
      <c r="B142" s="26" t="s">
        <v>260</v>
      </c>
      <c r="C142" s="26" t="s">
        <v>167</v>
      </c>
      <c r="D142" s="27" t="s">
        <v>261</v>
      </c>
      <c r="E142" s="35">
        <f t="shared" si="19"/>
        <v>162275</v>
      </c>
      <c r="F142" s="35">
        <v>162275</v>
      </c>
      <c r="G142" s="35"/>
      <c r="H142" s="35"/>
      <c r="I142" s="35"/>
      <c r="J142" s="35">
        <f t="shared" si="21"/>
        <v>0</v>
      </c>
      <c r="K142" s="35"/>
      <c r="L142" s="35"/>
      <c r="M142" s="35"/>
      <c r="N142" s="35"/>
      <c r="O142" s="35"/>
      <c r="P142" s="35">
        <f t="shared" si="20"/>
        <v>162275</v>
      </c>
      <c r="Q142" s="99"/>
    </row>
    <row r="143" spans="1:17" s="25" customFormat="1" ht="27" customHeight="1">
      <c r="A143" s="23"/>
      <c r="B143" s="26" t="s">
        <v>262</v>
      </c>
      <c r="C143" s="26" t="s">
        <v>167</v>
      </c>
      <c r="D143" s="27" t="s">
        <v>263</v>
      </c>
      <c r="E143" s="35">
        <f t="shared" si="19"/>
        <v>4800</v>
      </c>
      <c r="F143" s="35">
        <v>4800</v>
      </c>
      <c r="G143" s="35"/>
      <c r="H143" s="35"/>
      <c r="I143" s="35"/>
      <c r="J143" s="35">
        <f t="shared" si="21"/>
        <v>0</v>
      </c>
      <c r="K143" s="35"/>
      <c r="L143" s="35"/>
      <c r="M143" s="35"/>
      <c r="N143" s="35"/>
      <c r="O143" s="35"/>
      <c r="P143" s="35">
        <f t="shared" si="20"/>
        <v>4800</v>
      </c>
      <c r="Q143" s="99"/>
    </row>
    <row r="144" spans="1:17" s="25" customFormat="1" ht="45">
      <c r="A144" s="23"/>
      <c r="B144" s="26" t="s">
        <v>107</v>
      </c>
      <c r="C144" s="26" t="s">
        <v>165</v>
      </c>
      <c r="D144" s="27" t="s">
        <v>108</v>
      </c>
      <c r="E144" s="35">
        <f t="shared" si="19"/>
        <v>130000</v>
      </c>
      <c r="F144" s="35">
        <v>130000</v>
      </c>
      <c r="G144" s="37"/>
      <c r="H144" s="37"/>
      <c r="I144" s="37"/>
      <c r="J144" s="35">
        <f t="shared" si="21"/>
        <v>0</v>
      </c>
      <c r="K144" s="37"/>
      <c r="L144" s="37"/>
      <c r="M144" s="37"/>
      <c r="N144" s="37"/>
      <c r="O144" s="37"/>
      <c r="P144" s="35">
        <f t="shared" si="20"/>
        <v>130000</v>
      </c>
      <c r="Q144" s="99"/>
    </row>
    <row r="145" spans="1:17" s="25" customFormat="1" ht="28.5">
      <c r="A145" s="23"/>
      <c r="B145" s="30"/>
      <c r="C145" s="30"/>
      <c r="D145" s="31" t="s">
        <v>169</v>
      </c>
      <c r="E145" s="37">
        <f>E146+E147</f>
        <v>1027450</v>
      </c>
      <c r="F145" s="37">
        <f aca="true" t="shared" si="22" ref="F145:P145">F146+F147</f>
        <v>1027450</v>
      </c>
      <c r="G145" s="37">
        <f t="shared" si="22"/>
        <v>749890</v>
      </c>
      <c r="H145" s="37">
        <f t="shared" si="22"/>
        <v>32719</v>
      </c>
      <c r="I145" s="37">
        <f t="shared" si="22"/>
        <v>0</v>
      </c>
      <c r="J145" s="37">
        <f t="shared" si="22"/>
        <v>18000</v>
      </c>
      <c r="K145" s="37">
        <f t="shared" si="22"/>
        <v>0</v>
      </c>
      <c r="L145" s="37">
        <f t="shared" si="22"/>
        <v>0</v>
      </c>
      <c r="M145" s="37">
        <f t="shared" si="22"/>
        <v>0</v>
      </c>
      <c r="N145" s="37">
        <f t="shared" si="22"/>
        <v>18000</v>
      </c>
      <c r="O145" s="37">
        <f t="shared" si="22"/>
        <v>18000</v>
      </c>
      <c r="P145" s="37">
        <f t="shared" si="22"/>
        <v>1045450</v>
      </c>
      <c r="Q145" s="99" t="s">
        <v>353</v>
      </c>
    </row>
    <row r="146" spans="1:17" s="25" customFormat="1" ht="22.5" customHeight="1">
      <c r="A146" s="23"/>
      <c r="B146" s="26" t="s">
        <v>11</v>
      </c>
      <c r="C146" s="26" t="s">
        <v>9</v>
      </c>
      <c r="D146" s="27" t="s">
        <v>94</v>
      </c>
      <c r="E146" s="35">
        <f>F146+I146</f>
        <v>977450</v>
      </c>
      <c r="F146" s="35">
        <f>1121770-144320</f>
        <v>977450</v>
      </c>
      <c r="G146" s="35">
        <f>782730-32840</f>
        <v>749890</v>
      </c>
      <c r="H146" s="35">
        <v>32719</v>
      </c>
      <c r="I146" s="35"/>
      <c r="J146" s="35">
        <f>K146+N146</f>
        <v>18000</v>
      </c>
      <c r="K146" s="35"/>
      <c r="L146" s="35"/>
      <c r="M146" s="35"/>
      <c r="N146" s="35">
        <v>18000</v>
      </c>
      <c r="O146" s="35">
        <v>18000</v>
      </c>
      <c r="P146" s="35">
        <f>E146+J146</f>
        <v>995450</v>
      </c>
      <c r="Q146" s="99"/>
    </row>
    <row r="147" spans="1:17" s="25" customFormat="1" ht="21.75" customHeight="1">
      <c r="A147" s="23"/>
      <c r="B147" s="26" t="s">
        <v>109</v>
      </c>
      <c r="C147" s="26" t="s">
        <v>139</v>
      </c>
      <c r="D147" s="27" t="s">
        <v>110</v>
      </c>
      <c r="E147" s="35">
        <f>F147+I147</f>
        <v>50000</v>
      </c>
      <c r="F147" s="35">
        <v>50000</v>
      </c>
      <c r="G147" s="37"/>
      <c r="H147" s="37"/>
      <c r="I147" s="37"/>
      <c r="J147" s="35">
        <f>K147+N147</f>
        <v>0</v>
      </c>
      <c r="K147" s="37"/>
      <c r="L147" s="37"/>
      <c r="M147" s="37"/>
      <c r="N147" s="37"/>
      <c r="O147" s="37"/>
      <c r="P147" s="35">
        <f>E147+J147</f>
        <v>50000</v>
      </c>
      <c r="Q147" s="99"/>
    </row>
    <row r="148" spans="1:17" s="25" customFormat="1" ht="28.5">
      <c r="A148" s="23"/>
      <c r="B148" s="30"/>
      <c r="C148" s="30"/>
      <c r="D148" s="31" t="s">
        <v>170</v>
      </c>
      <c r="E148" s="37">
        <f>E149+E150+E151+E152+E153</f>
        <v>29607579</v>
      </c>
      <c r="F148" s="37">
        <f aca="true" t="shared" si="23" ref="F148:P148">F149+F150+F151+F152+F153</f>
        <v>29607579</v>
      </c>
      <c r="G148" s="37">
        <f t="shared" si="23"/>
        <v>20982910</v>
      </c>
      <c r="H148" s="37">
        <f t="shared" si="23"/>
        <v>1776764</v>
      </c>
      <c r="I148" s="37">
        <f t="shared" si="23"/>
        <v>0</v>
      </c>
      <c r="J148" s="37">
        <f t="shared" si="23"/>
        <v>2498420</v>
      </c>
      <c r="K148" s="37">
        <f t="shared" si="23"/>
        <v>1320320</v>
      </c>
      <c r="L148" s="37">
        <f t="shared" si="23"/>
        <v>953732</v>
      </c>
      <c r="M148" s="37">
        <f t="shared" si="23"/>
        <v>0</v>
      </c>
      <c r="N148" s="37">
        <f t="shared" si="23"/>
        <v>1178100</v>
      </c>
      <c r="O148" s="37">
        <f t="shared" si="23"/>
        <v>1173500</v>
      </c>
      <c r="P148" s="37">
        <f t="shared" si="23"/>
        <v>32105999</v>
      </c>
      <c r="Q148" s="99"/>
    </row>
    <row r="149" spans="1:17" s="25" customFormat="1" ht="18" customHeight="1">
      <c r="A149" s="23"/>
      <c r="B149" s="26" t="s">
        <v>11</v>
      </c>
      <c r="C149" s="26" t="s">
        <v>9</v>
      </c>
      <c r="D149" s="27" t="s">
        <v>94</v>
      </c>
      <c r="E149" s="35">
        <f>F149+I149</f>
        <v>448680</v>
      </c>
      <c r="F149" s="35">
        <f>514810-66130</f>
        <v>448680</v>
      </c>
      <c r="G149" s="35">
        <f>324590-16160</f>
        <v>308430</v>
      </c>
      <c r="H149" s="35">
        <v>13469</v>
      </c>
      <c r="I149" s="35"/>
      <c r="J149" s="35">
        <f>K149+N149</f>
        <v>20000</v>
      </c>
      <c r="K149" s="35"/>
      <c r="L149" s="35"/>
      <c r="M149" s="35"/>
      <c r="N149" s="35">
        <v>20000</v>
      </c>
      <c r="O149" s="35">
        <v>20000</v>
      </c>
      <c r="P149" s="35">
        <f>E149+J149</f>
        <v>468680</v>
      </c>
      <c r="Q149" s="99"/>
    </row>
    <row r="150" spans="1:17" s="25" customFormat="1" ht="30" customHeight="1">
      <c r="A150" s="23"/>
      <c r="B150" s="26" t="s">
        <v>111</v>
      </c>
      <c r="C150" s="26" t="s">
        <v>171</v>
      </c>
      <c r="D150" s="27" t="s">
        <v>112</v>
      </c>
      <c r="E150" s="35">
        <f>F150+I150</f>
        <v>1030000</v>
      </c>
      <c r="F150" s="35">
        <f>1000000+30000</f>
        <v>1030000</v>
      </c>
      <c r="G150" s="35"/>
      <c r="H150" s="35"/>
      <c r="I150" s="35"/>
      <c r="J150" s="35">
        <f>K150+N150</f>
        <v>0</v>
      </c>
      <c r="K150" s="37"/>
      <c r="L150" s="37"/>
      <c r="M150" s="37"/>
      <c r="N150" s="37"/>
      <c r="O150" s="37"/>
      <c r="P150" s="35">
        <f>E150+J150</f>
        <v>1030000</v>
      </c>
      <c r="Q150" s="99"/>
    </row>
    <row r="151" spans="1:17" s="25" customFormat="1" ht="23.25" customHeight="1">
      <c r="A151" s="23"/>
      <c r="B151" s="26" t="s">
        <v>113</v>
      </c>
      <c r="C151" s="26" t="s">
        <v>172</v>
      </c>
      <c r="D151" s="27" t="s">
        <v>114</v>
      </c>
      <c r="E151" s="35">
        <f>F151+I151</f>
        <v>10424631</v>
      </c>
      <c r="F151" s="35">
        <f>11452250-1111519+50000+30000+3900</f>
        <v>10424631</v>
      </c>
      <c r="G151" s="35">
        <f>7153760-76280</f>
        <v>7077480</v>
      </c>
      <c r="H151" s="35">
        <v>1039633</v>
      </c>
      <c r="I151" s="35"/>
      <c r="J151" s="35">
        <f>K151+N151</f>
        <v>709000</v>
      </c>
      <c r="K151" s="35">
        <v>21000</v>
      </c>
      <c r="L151" s="35">
        <v>5000</v>
      </c>
      <c r="M151" s="37"/>
      <c r="N151" s="35">
        <f>534500+20000+95000+8500+20000+10000</f>
        <v>688000</v>
      </c>
      <c r="O151" s="35">
        <f>534500+20000+95000+8500+20000+10000</f>
        <v>688000</v>
      </c>
      <c r="P151" s="35">
        <f>E151+J151</f>
        <v>11133631</v>
      </c>
      <c r="Q151" s="99"/>
    </row>
    <row r="152" spans="1:17" s="25" customFormat="1" ht="21.75" customHeight="1">
      <c r="A152" s="23"/>
      <c r="B152" s="26" t="s">
        <v>115</v>
      </c>
      <c r="C152" s="26" t="s">
        <v>154</v>
      </c>
      <c r="D152" s="27" t="s">
        <v>116</v>
      </c>
      <c r="E152" s="35">
        <f>F152+I152</f>
        <v>16952076</v>
      </c>
      <c r="F152" s="35">
        <f>18381740-1481664+16000+3000+33000</f>
        <v>16952076</v>
      </c>
      <c r="G152" s="35">
        <f>12769020+299020</f>
        <v>13068040</v>
      </c>
      <c r="H152" s="35">
        <v>702306</v>
      </c>
      <c r="I152" s="35"/>
      <c r="J152" s="35">
        <f>K152+N152</f>
        <v>1739420</v>
      </c>
      <c r="K152" s="35">
        <v>1299320</v>
      </c>
      <c r="L152" s="35">
        <v>948732</v>
      </c>
      <c r="M152" s="35"/>
      <c r="N152" s="35">
        <f>4600+435500</f>
        <v>440100</v>
      </c>
      <c r="O152" s="35">
        <v>435500</v>
      </c>
      <c r="P152" s="35">
        <f>E152+J152</f>
        <v>18691496</v>
      </c>
      <c r="Q152" s="99"/>
    </row>
    <row r="153" spans="1:17" s="25" customFormat="1" ht="21.75" customHeight="1">
      <c r="A153" s="23"/>
      <c r="B153" s="26" t="s">
        <v>31</v>
      </c>
      <c r="C153" s="26" t="s">
        <v>141</v>
      </c>
      <c r="D153" s="27" t="s">
        <v>32</v>
      </c>
      <c r="E153" s="35">
        <f>F153+I153</f>
        <v>752192</v>
      </c>
      <c r="F153" s="35">
        <f>967780-215588</f>
        <v>752192</v>
      </c>
      <c r="G153" s="35">
        <f>631635-102675</f>
        <v>528960</v>
      </c>
      <c r="H153" s="35">
        <v>21356</v>
      </c>
      <c r="I153" s="35"/>
      <c r="J153" s="35">
        <f>K153+N153</f>
        <v>30000</v>
      </c>
      <c r="K153" s="37"/>
      <c r="L153" s="37"/>
      <c r="M153" s="37"/>
      <c r="N153" s="35">
        <v>30000</v>
      </c>
      <c r="O153" s="35">
        <v>30000</v>
      </c>
      <c r="P153" s="35">
        <f>E153+J153</f>
        <v>782192</v>
      </c>
      <c r="Q153" s="99"/>
    </row>
    <row r="154" spans="1:17" s="25" customFormat="1" ht="28.5">
      <c r="A154" s="23"/>
      <c r="B154" s="30"/>
      <c r="C154" s="30"/>
      <c r="D154" s="31" t="s">
        <v>173</v>
      </c>
      <c r="E154" s="37">
        <f>E155+E157+E158+E159+E160+E161+E162+E164+E165+E166+E167+E168+E169+E170+E171+E172+E173+E174+E175+E156+E163</f>
        <v>41472036</v>
      </c>
      <c r="F154" s="37">
        <f aca="true" t="shared" si="24" ref="F154:P154">F155+F157+F158+F159+F160+F161+F162+F164+F165+F166+F167+F168+F169+F170+F171+F172+F173+F174+F175+F156+F163</f>
        <v>20928321</v>
      </c>
      <c r="G154" s="37">
        <f t="shared" si="24"/>
        <v>2712420</v>
      </c>
      <c r="H154" s="37">
        <f t="shared" si="24"/>
        <v>7296375</v>
      </c>
      <c r="I154" s="37">
        <f t="shared" si="24"/>
        <v>20543715</v>
      </c>
      <c r="J154" s="37">
        <f t="shared" si="24"/>
        <v>109283214.66</v>
      </c>
      <c r="K154" s="37">
        <f t="shared" si="24"/>
        <v>1064200</v>
      </c>
      <c r="L154" s="37">
        <f t="shared" si="24"/>
        <v>0</v>
      </c>
      <c r="M154" s="37">
        <f t="shared" si="24"/>
        <v>0</v>
      </c>
      <c r="N154" s="37">
        <f t="shared" si="24"/>
        <v>108219014.66</v>
      </c>
      <c r="O154" s="37">
        <f t="shared" si="24"/>
        <v>103325547.34</v>
      </c>
      <c r="P154" s="37">
        <f t="shared" si="24"/>
        <v>150755250.66</v>
      </c>
      <c r="Q154" s="99"/>
    </row>
    <row r="155" spans="1:17" s="25" customFormat="1" ht="15">
      <c r="A155" s="23"/>
      <c r="B155" s="26" t="s">
        <v>11</v>
      </c>
      <c r="C155" s="26" t="s">
        <v>9</v>
      </c>
      <c r="D155" s="27" t="s">
        <v>94</v>
      </c>
      <c r="E155" s="35">
        <f>F155+I155</f>
        <v>3660738</v>
      </c>
      <c r="F155" s="35">
        <f>3961890-402720+2500+9255+89813</f>
        <v>3660738</v>
      </c>
      <c r="G155" s="35">
        <f>2675410-22930+59940</f>
        <v>2712420</v>
      </c>
      <c r="H155" s="35">
        <v>118075</v>
      </c>
      <c r="I155" s="35"/>
      <c r="J155" s="35">
        <f>K155+N155</f>
        <v>30000</v>
      </c>
      <c r="K155" s="35"/>
      <c r="L155" s="35"/>
      <c r="M155" s="35"/>
      <c r="N155" s="35">
        <v>30000</v>
      </c>
      <c r="O155" s="35">
        <v>30000</v>
      </c>
      <c r="P155" s="35">
        <f>E155+J155</f>
        <v>3690738</v>
      </c>
      <c r="Q155" s="99"/>
    </row>
    <row r="156" spans="1:17" s="25" customFormat="1" ht="30">
      <c r="A156" s="23"/>
      <c r="B156" s="26" t="s">
        <v>210</v>
      </c>
      <c r="C156" s="26" t="s">
        <v>211</v>
      </c>
      <c r="D156" s="27" t="s">
        <v>212</v>
      </c>
      <c r="E156" s="35">
        <f>F156+I156</f>
        <v>350000</v>
      </c>
      <c r="F156" s="35">
        <v>350000</v>
      </c>
      <c r="G156" s="35"/>
      <c r="H156" s="35"/>
      <c r="I156" s="35"/>
      <c r="J156" s="35">
        <f>K156+N156</f>
        <v>0</v>
      </c>
      <c r="K156" s="35"/>
      <c r="L156" s="35"/>
      <c r="M156" s="35"/>
      <c r="N156" s="35"/>
      <c r="O156" s="35"/>
      <c r="P156" s="35">
        <f>E156+J156</f>
        <v>350000</v>
      </c>
      <c r="Q156" s="99"/>
    </row>
    <row r="157" spans="1:17" s="25" customFormat="1" ht="15">
      <c r="A157" s="23"/>
      <c r="B157" s="26" t="s">
        <v>252</v>
      </c>
      <c r="C157" s="26" t="s">
        <v>174</v>
      </c>
      <c r="D157" s="27" t="s">
        <v>253</v>
      </c>
      <c r="E157" s="35">
        <f aca="true" t="shared" si="25" ref="E157:E175">F157+I157</f>
        <v>1680000</v>
      </c>
      <c r="F157" s="35">
        <f>180000+1500000</f>
        <v>1680000</v>
      </c>
      <c r="G157" s="35"/>
      <c r="H157" s="35"/>
      <c r="I157" s="35"/>
      <c r="J157" s="35">
        <f aca="true" t="shared" si="26" ref="J157:J175">K157+N157</f>
        <v>0</v>
      </c>
      <c r="K157" s="35"/>
      <c r="L157" s="35"/>
      <c r="M157" s="35"/>
      <c r="N157" s="35"/>
      <c r="O157" s="35"/>
      <c r="P157" s="35">
        <f aca="true" t="shared" si="27" ref="P157:P175">E157+J157</f>
        <v>1680000</v>
      </c>
      <c r="Q157" s="99"/>
    </row>
    <row r="158" spans="1:17" s="25" customFormat="1" ht="36" customHeight="1">
      <c r="A158" s="23"/>
      <c r="B158" s="26" t="s">
        <v>117</v>
      </c>
      <c r="C158" s="26" t="s">
        <v>174</v>
      </c>
      <c r="D158" s="27" t="s">
        <v>118</v>
      </c>
      <c r="E158" s="35">
        <f t="shared" si="25"/>
        <v>195000</v>
      </c>
      <c r="F158" s="35">
        <v>195000</v>
      </c>
      <c r="G158" s="37"/>
      <c r="H158" s="37"/>
      <c r="I158" s="37"/>
      <c r="J158" s="35">
        <f t="shared" si="26"/>
        <v>51271723.14</v>
      </c>
      <c r="K158" s="37"/>
      <c r="L158" s="37"/>
      <c r="M158" s="37"/>
      <c r="N158" s="35">
        <f>30000000+6285.14-100000+250000+8000000-1000000+11000000+3000000+81197+34241</f>
        <v>51271723.14</v>
      </c>
      <c r="O158" s="35">
        <f>30000000+6285.14-100000+250000+8000000-1000000+11000000+3000000+81197+34241</f>
        <v>51271723.14</v>
      </c>
      <c r="P158" s="35">
        <f t="shared" si="27"/>
        <v>51466723.14</v>
      </c>
      <c r="Q158" s="99"/>
    </row>
    <row r="159" spans="1:17" s="25" customFormat="1" ht="45.75" customHeight="1">
      <c r="A159" s="23"/>
      <c r="B159" s="26" t="s">
        <v>119</v>
      </c>
      <c r="C159" s="26" t="s">
        <v>174</v>
      </c>
      <c r="D159" s="27" t="s">
        <v>120</v>
      </c>
      <c r="E159" s="35">
        <f t="shared" si="25"/>
        <v>0</v>
      </c>
      <c r="F159" s="37"/>
      <c r="G159" s="37"/>
      <c r="H159" s="37"/>
      <c r="I159" s="37"/>
      <c r="J159" s="35">
        <f t="shared" si="26"/>
        <v>6000000</v>
      </c>
      <c r="K159" s="35"/>
      <c r="L159" s="35"/>
      <c r="M159" s="35"/>
      <c r="N159" s="35">
        <f>2000000+1000000+3000000</f>
        <v>6000000</v>
      </c>
      <c r="O159" s="35">
        <f>2000000+1000000+3000000</f>
        <v>6000000</v>
      </c>
      <c r="P159" s="35">
        <f t="shared" si="27"/>
        <v>6000000</v>
      </c>
      <c r="Q159" s="99"/>
    </row>
    <row r="160" spans="1:17" s="25" customFormat="1" ht="28.5" customHeight="1">
      <c r="A160" s="23"/>
      <c r="B160" s="26" t="s">
        <v>121</v>
      </c>
      <c r="C160" s="26" t="s">
        <v>140</v>
      </c>
      <c r="D160" s="27" t="s">
        <v>122</v>
      </c>
      <c r="E160" s="35">
        <f t="shared" si="25"/>
        <v>2445103</v>
      </c>
      <c r="F160" s="35"/>
      <c r="G160" s="37"/>
      <c r="H160" s="54"/>
      <c r="I160" s="35">
        <f>1825100+120003+350000+150000</f>
        <v>2445103</v>
      </c>
      <c r="J160" s="35">
        <f t="shared" si="26"/>
        <v>4094734</v>
      </c>
      <c r="K160" s="37"/>
      <c r="L160" s="37"/>
      <c r="M160" s="37"/>
      <c r="N160" s="53">
        <f>1499312+1630100+300790+664532</f>
        <v>4094734</v>
      </c>
      <c r="O160" s="53">
        <f>1499312+1630100+300790+664532</f>
        <v>4094734</v>
      </c>
      <c r="P160" s="35">
        <f t="shared" si="27"/>
        <v>6539837</v>
      </c>
      <c r="Q160" s="99"/>
    </row>
    <row r="161" spans="1:17" s="25" customFormat="1" ht="21" customHeight="1">
      <c r="A161" s="23"/>
      <c r="B161" s="26" t="s">
        <v>29</v>
      </c>
      <c r="C161" s="26" t="s">
        <v>140</v>
      </c>
      <c r="D161" s="27" t="s">
        <v>30</v>
      </c>
      <c r="E161" s="35">
        <f t="shared" si="25"/>
        <v>27638932</v>
      </c>
      <c r="F161" s="35">
        <f>9272300+200000-224000+3000000-9255-365036-1747.2-663250-130000-392229-483368.8+200000-282375+26000-11719</f>
        <v>10135320</v>
      </c>
      <c r="G161" s="35"/>
      <c r="H161" s="35">
        <f>4106300+3000000</f>
        <v>7106300</v>
      </c>
      <c r="I161" s="35">
        <f>15845612+50000+1700000-350000+130000+128000</f>
        <v>17503612</v>
      </c>
      <c r="J161" s="35">
        <f t="shared" si="26"/>
        <v>20825143.2</v>
      </c>
      <c r="K161" s="35"/>
      <c r="L161" s="35"/>
      <c r="M161" s="35"/>
      <c r="N161" s="35">
        <f>16250000+6500000-731714+1747.2-461123-287161-248820+25000-234505+11719</f>
        <v>20825143.2</v>
      </c>
      <c r="O161" s="35">
        <f>16250000+6500000-731714+1747.2-461123-287161-248820+25000-234505+11719</f>
        <v>20825143.2</v>
      </c>
      <c r="P161" s="35">
        <f t="shared" si="27"/>
        <v>48464075.2</v>
      </c>
      <c r="Q161" s="99"/>
    </row>
    <row r="162" spans="1:17" s="25" customFormat="1" ht="45">
      <c r="A162" s="23"/>
      <c r="B162" s="26" t="s">
        <v>315</v>
      </c>
      <c r="C162" s="26" t="s">
        <v>140</v>
      </c>
      <c r="D162" s="27" t="s">
        <v>316</v>
      </c>
      <c r="E162" s="35">
        <f t="shared" si="25"/>
        <v>0</v>
      </c>
      <c r="F162" s="35"/>
      <c r="G162" s="35"/>
      <c r="H162" s="35"/>
      <c r="I162" s="35"/>
      <c r="J162" s="35">
        <f t="shared" si="26"/>
        <v>845938</v>
      </c>
      <c r="K162" s="35"/>
      <c r="L162" s="35"/>
      <c r="M162" s="35"/>
      <c r="N162" s="35">
        <v>845938</v>
      </c>
      <c r="O162" s="35">
        <v>845938</v>
      </c>
      <c r="P162" s="35">
        <f t="shared" si="27"/>
        <v>845938</v>
      </c>
      <c r="Q162" s="99"/>
    </row>
    <row r="163" spans="1:17" s="25" customFormat="1" ht="60">
      <c r="A163" s="23"/>
      <c r="B163" s="26" t="s">
        <v>329</v>
      </c>
      <c r="C163" s="26" t="s">
        <v>140</v>
      </c>
      <c r="D163" s="27" t="s">
        <v>330</v>
      </c>
      <c r="E163" s="35">
        <f t="shared" si="25"/>
        <v>100000</v>
      </c>
      <c r="F163" s="35"/>
      <c r="G163" s="35"/>
      <c r="H163" s="35"/>
      <c r="I163" s="35">
        <v>100000</v>
      </c>
      <c r="J163" s="35">
        <f t="shared" si="26"/>
        <v>0</v>
      </c>
      <c r="K163" s="35"/>
      <c r="L163" s="35"/>
      <c r="M163" s="35"/>
      <c r="N163" s="35"/>
      <c r="O163" s="35"/>
      <c r="P163" s="35">
        <f t="shared" si="27"/>
        <v>100000</v>
      </c>
      <c r="Q163" s="99"/>
    </row>
    <row r="164" spans="1:17" s="25" customFormat="1" ht="30">
      <c r="A164" s="23"/>
      <c r="B164" s="26" t="s">
        <v>196</v>
      </c>
      <c r="C164" s="26" t="s">
        <v>198</v>
      </c>
      <c r="D164" s="27" t="s">
        <v>197</v>
      </c>
      <c r="E164" s="35">
        <f t="shared" si="25"/>
        <v>465000</v>
      </c>
      <c r="F164" s="35"/>
      <c r="G164" s="37"/>
      <c r="H164" s="37"/>
      <c r="I164" s="53">
        <v>465000</v>
      </c>
      <c r="J164" s="35">
        <f t="shared" si="26"/>
        <v>0</v>
      </c>
      <c r="K164" s="53"/>
      <c r="L164" s="37"/>
      <c r="M164" s="37"/>
      <c r="N164" s="35"/>
      <c r="O164" s="35"/>
      <c r="P164" s="35">
        <f t="shared" si="27"/>
        <v>465000</v>
      </c>
      <c r="Q164" s="99"/>
    </row>
    <row r="165" spans="1:17" s="25" customFormat="1" ht="15">
      <c r="A165" s="23"/>
      <c r="B165" s="26" t="s">
        <v>123</v>
      </c>
      <c r="C165" s="26" t="s">
        <v>175</v>
      </c>
      <c r="D165" s="27" t="s">
        <v>124</v>
      </c>
      <c r="E165" s="35">
        <f t="shared" si="25"/>
        <v>1680000</v>
      </c>
      <c r="F165" s="35">
        <f>180000+1500000</f>
        <v>1680000</v>
      </c>
      <c r="G165" s="37"/>
      <c r="H165" s="37"/>
      <c r="I165" s="53"/>
      <c r="J165" s="35">
        <f t="shared" si="26"/>
        <v>0</v>
      </c>
      <c r="K165" s="53"/>
      <c r="L165" s="37"/>
      <c r="M165" s="37"/>
      <c r="N165" s="35"/>
      <c r="O165" s="35"/>
      <c r="P165" s="35">
        <f t="shared" si="27"/>
        <v>1680000</v>
      </c>
      <c r="Q165" s="99"/>
    </row>
    <row r="166" spans="1:17" s="25" customFormat="1" ht="24" customHeight="1">
      <c r="A166" s="23"/>
      <c r="B166" s="26" t="s">
        <v>125</v>
      </c>
      <c r="C166" s="26" t="s">
        <v>176</v>
      </c>
      <c r="D166" s="27" t="s">
        <v>126</v>
      </c>
      <c r="E166" s="35">
        <f t="shared" si="25"/>
        <v>1030000</v>
      </c>
      <c r="F166" s="35">
        <f>530000+500000-30000</f>
        <v>1000000</v>
      </c>
      <c r="G166" s="37"/>
      <c r="H166" s="37"/>
      <c r="I166" s="53">
        <v>30000</v>
      </c>
      <c r="J166" s="35">
        <f t="shared" si="26"/>
        <v>0</v>
      </c>
      <c r="K166" s="37"/>
      <c r="L166" s="37"/>
      <c r="M166" s="37"/>
      <c r="N166" s="37"/>
      <c r="O166" s="37"/>
      <c r="P166" s="35">
        <f t="shared" si="27"/>
        <v>1030000</v>
      </c>
      <c r="Q166" s="99"/>
    </row>
    <row r="167" spans="1:17" s="25" customFormat="1" ht="53.25" customHeight="1">
      <c r="A167" s="23"/>
      <c r="B167" s="26" t="s">
        <v>48</v>
      </c>
      <c r="C167" s="26" t="s">
        <v>145</v>
      </c>
      <c r="D167" s="27" t="s">
        <v>49</v>
      </c>
      <c r="E167" s="35">
        <f t="shared" si="25"/>
        <v>0</v>
      </c>
      <c r="F167" s="35"/>
      <c r="G167" s="37"/>
      <c r="H167" s="37"/>
      <c r="I167" s="37"/>
      <c r="J167" s="35">
        <f t="shared" si="26"/>
        <v>19507509</v>
      </c>
      <c r="K167" s="37"/>
      <c r="L167" s="37"/>
      <c r="M167" s="37"/>
      <c r="N167" s="35">
        <f>12363400+2550000+4260750+319200+14159</f>
        <v>19507509</v>
      </c>
      <c r="O167" s="35">
        <f>12363400+2550000+4260750+319200+14159</f>
        <v>19507509</v>
      </c>
      <c r="P167" s="35">
        <f t="shared" si="27"/>
        <v>19507509</v>
      </c>
      <c r="Q167" s="99"/>
    </row>
    <row r="168" spans="1:17" s="25" customFormat="1" ht="15" customHeight="1">
      <c r="A168" s="23"/>
      <c r="B168" s="26" t="s">
        <v>199</v>
      </c>
      <c r="C168" s="26" t="s">
        <v>156</v>
      </c>
      <c r="D168" s="27" t="s">
        <v>81</v>
      </c>
      <c r="E168" s="35">
        <f t="shared" si="25"/>
        <v>158800</v>
      </c>
      <c r="F168" s="35">
        <f>410000-251200</f>
        <v>158800</v>
      </c>
      <c r="G168" s="37"/>
      <c r="H168" s="37"/>
      <c r="I168" s="37"/>
      <c r="J168" s="35">
        <f t="shared" si="26"/>
        <v>0</v>
      </c>
      <c r="K168" s="37"/>
      <c r="L168" s="37"/>
      <c r="M168" s="37"/>
      <c r="N168" s="35"/>
      <c r="O168" s="35"/>
      <c r="P168" s="35">
        <f t="shared" si="27"/>
        <v>158800</v>
      </c>
      <c r="Q168" s="99"/>
    </row>
    <row r="169" spans="1:17" s="25" customFormat="1" ht="36" customHeight="1">
      <c r="A169" s="23"/>
      <c r="B169" s="26" t="s">
        <v>127</v>
      </c>
      <c r="C169" s="26" t="s">
        <v>177</v>
      </c>
      <c r="D169" s="27" t="s">
        <v>128</v>
      </c>
      <c r="E169" s="35">
        <f t="shared" si="25"/>
        <v>0</v>
      </c>
      <c r="F169" s="35"/>
      <c r="G169" s="35"/>
      <c r="H169" s="35"/>
      <c r="I169" s="35"/>
      <c r="J169" s="35">
        <f t="shared" si="26"/>
        <v>5200738</v>
      </c>
      <c r="K169" s="35">
        <f>350000+120000</f>
        <v>470000</v>
      </c>
      <c r="L169" s="35"/>
      <c r="M169" s="35"/>
      <c r="N169" s="35">
        <f>54000+1184200+3492538</f>
        <v>4730738</v>
      </c>
      <c r="O169" s="35"/>
      <c r="P169" s="35">
        <f t="shared" si="27"/>
        <v>5200738</v>
      </c>
      <c r="Q169" s="99"/>
    </row>
    <row r="170" spans="1:17" s="25" customFormat="1" ht="15">
      <c r="A170" s="23"/>
      <c r="B170" s="26" t="s">
        <v>309</v>
      </c>
      <c r="C170" s="26" t="s">
        <v>310</v>
      </c>
      <c r="D170" s="27" t="s">
        <v>311</v>
      </c>
      <c r="E170" s="35">
        <f t="shared" si="25"/>
        <v>0</v>
      </c>
      <c r="F170" s="35"/>
      <c r="G170" s="35"/>
      <c r="H170" s="35"/>
      <c r="I170" s="35"/>
      <c r="J170" s="35">
        <f t="shared" si="26"/>
        <v>250000</v>
      </c>
      <c r="K170" s="35">
        <v>250000</v>
      </c>
      <c r="L170" s="35"/>
      <c r="M170" s="35"/>
      <c r="N170" s="35"/>
      <c r="O170" s="35"/>
      <c r="P170" s="35">
        <f t="shared" si="27"/>
        <v>250000</v>
      </c>
      <c r="Q170" s="99" t="s">
        <v>354</v>
      </c>
    </row>
    <row r="171" spans="1:17" s="25" customFormat="1" ht="36" customHeight="1">
      <c r="A171" s="23"/>
      <c r="B171" s="26" t="s">
        <v>312</v>
      </c>
      <c r="C171" s="26" t="s">
        <v>148</v>
      </c>
      <c r="D171" s="27" t="s">
        <v>313</v>
      </c>
      <c r="E171" s="35">
        <f t="shared" si="25"/>
        <v>0</v>
      </c>
      <c r="F171" s="35"/>
      <c r="G171" s="35"/>
      <c r="H171" s="35"/>
      <c r="I171" s="35"/>
      <c r="J171" s="35">
        <f t="shared" si="26"/>
        <v>18000</v>
      </c>
      <c r="K171" s="35">
        <v>18000</v>
      </c>
      <c r="L171" s="35"/>
      <c r="M171" s="35"/>
      <c r="N171" s="35"/>
      <c r="O171" s="35"/>
      <c r="P171" s="35">
        <f t="shared" si="27"/>
        <v>18000</v>
      </c>
      <c r="Q171" s="99"/>
    </row>
    <row r="172" spans="1:17" s="25" customFormat="1" ht="15">
      <c r="A172" s="23"/>
      <c r="B172" s="26" t="s">
        <v>314</v>
      </c>
      <c r="C172" s="26" t="s">
        <v>156</v>
      </c>
      <c r="D172" s="27" t="s">
        <v>81</v>
      </c>
      <c r="E172" s="35">
        <f t="shared" si="25"/>
        <v>0</v>
      </c>
      <c r="F172" s="35"/>
      <c r="G172" s="35"/>
      <c r="H172" s="35"/>
      <c r="I172" s="35"/>
      <c r="J172" s="35">
        <f t="shared" si="26"/>
        <v>251200</v>
      </c>
      <c r="K172" s="35">
        <v>251200</v>
      </c>
      <c r="L172" s="35"/>
      <c r="M172" s="35"/>
      <c r="N172" s="35"/>
      <c r="O172" s="35"/>
      <c r="P172" s="35">
        <f t="shared" si="27"/>
        <v>251200</v>
      </c>
      <c r="Q172" s="99"/>
    </row>
    <row r="173" spans="1:17" s="25" customFormat="1" ht="70.5" customHeight="1">
      <c r="A173" s="23"/>
      <c r="B173" s="26" t="s">
        <v>56</v>
      </c>
      <c r="C173" s="26" t="s">
        <v>149</v>
      </c>
      <c r="D173" s="27" t="s">
        <v>57</v>
      </c>
      <c r="E173" s="35">
        <f t="shared" si="25"/>
        <v>0</v>
      </c>
      <c r="F173" s="35"/>
      <c r="G173" s="35"/>
      <c r="H173" s="35"/>
      <c r="I173" s="35"/>
      <c r="J173" s="35">
        <f t="shared" si="26"/>
        <v>237729.32</v>
      </c>
      <c r="K173" s="35">
        <v>75000</v>
      </c>
      <c r="L173" s="35"/>
      <c r="M173" s="35"/>
      <c r="N173" s="35">
        <v>162729.32</v>
      </c>
      <c r="O173" s="37"/>
      <c r="P173" s="35">
        <f t="shared" si="27"/>
        <v>237729.32</v>
      </c>
      <c r="Q173" s="99"/>
    </row>
    <row r="174" spans="1:17" s="25" customFormat="1" ht="15">
      <c r="A174" s="23"/>
      <c r="B174" s="26" t="s">
        <v>135</v>
      </c>
      <c r="C174" s="26" t="s">
        <v>183</v>
      </c>
      <c r="D174" s="34" t="s">
        <v>136</v>
      </c>
      <c r="E174" s="35">
        <f t="shared" si="25"/>
        <v>229500</v>
      </c>
      <c r="F174" s="35">
        <v>229500</v>
      </c>
      <c r="G174" s="35"/>
      <c r="H174" s="35"/>
      <c r="I174" s="35"/>
      <c r="J174" s="35">
        <f t="shared" si="26"/>
        <v>750500</v>
      </c>
      <c r="K174" s="35"/>
      <c r="L174" s="35"/>
      <c r="M174" s="35"/>
      <c r="N174" s="35">
        <v>750500</v>
      </c>
      <c r="O174" s="35">
        <v>750500</v>
      </c>
      <c r="P174" s="35">
        <f t="shared" si="27"/>
        <v>980000</v>
      </c>
      <c r="Q174" s="99"/>
    </row>
    <row r="175" spans="1:17" s="25" customFormat="1" ht="15">
      <c r="A175" s="23"/>
      <c r="B175" s="26" t="s">
        <v>58</v>
      </c>
      <c r="C175" s="26" t="s">
        <v>149</v>
      </c>
      <c r="D175" s="27" t="s">
        <v>26</v>
      </c>
      <c r="E175" s="35">
        <f t="shared" si="25"/>
        <v>1838963</v>
      </c>
      <c r="F175" s="35">
        <f>1429000+258120+1920+67223+82700</f>
        <v>1838963</v>
      </c>
      <c r="G175" s="37"/>
      <c r="H175" s="53">
        <v>72000</v>
      </c>
      <c r="I175" s="37"/>
      <c r="J175" s="35">
        <f t="shared" si="26"/>
        <v>0</v>
      </c>
      <c r="K175" s="37"/>
      <c r="L175" s="37"/>
      <c r="M175" s="37"/>
      <c r="N175" s="37"/>
      <c r="O175" s="37"/>
      <c r="P175" s="35">
        <f t="shared" si="27"/>
        <v>1838963</v>
      </c>
      <c r="Q175" s="99"/>
    </row>
    <row r="176" spans="1:17" s="25" customFormat="1" ht="28.5">
      <c r="A176" s="23"/>
      <c r="B176" s="30"/>
      <c r="C176" s="30"/>
      <c r="D176" s="31" t="s">
        <v>178</v>
      </c>
      <c r="E176" s="37">
        <f>E177+E178+E179</f>
        <v>2750710</v>
      </c>
      <c r="F176" s="37">
        <f aca="true" t="shared" si="28" ref="F176:P176">F177+F178+F179</f>
        <v>2750710</v>
      </c>
      <c r="G176" s="37">
        <f t="shared" si="28"/>
        <v>1676660</v>
      </c>
      <c r="H176" s="37">
        <f t="shared" si="28"/>
        <v>154189</v>
      </c>
      <c r="I176" s="37">
        <f t="shared" si="28"/>
        <v>0</v>
      </c>
      <c r="J176" s="37">
        <f t="shared" si="28"/>
        <v>20000</v>
      </c>
      <c r="K176" s="37">
        <f t="shared" si="28"/>
        <v>0</v>
      </c>
      <c r="L176" s="37">
        <f t="shared" si="28"/>
        <v>0</v>
      </c>
      <c r="M176" s="37">
        <f t="shared" si="28"/>
        <v>0</v>
      </c>
      <c r="N176" s="37">
        <f t="shared" si="28"/>
        <v>20000</v>
      </c>
      <c r="O176" s="37">
        <f t="shared" si="28"/>
        <v>20000</v>
      </c>
      <c r="P176" s="37">
        <f t="shared" si="28"/>
        <v>2770710</v>
      </c>
      <c r="Q176" s="99"/>
    </row>
    <row r="177" spans="1:17" s="25" customFormat="1" ht="15">
      <c r="A177" s="23"/>
      <c r="B177" s="26" t="s">
        <v>11</v>
      </c>
      <c r="C177" s="26" t="s">
        <v>9</v>
      </c>
      <c r="D177" s="27" t="s">
        <v>16</v>
      </c>
      <c r="E177" s="35">
        <f>F177+I177</f>
        <v>2380210</v>
      </c>
      <c r="F177" s="35">
        <f>2737690-357480</f>
        <v>2380210</v>
      </c>
      <c r="G177" s="35">
        <f>1763030-86370</f>
        <v>1676660</v>
      </c>
      <c r="H177" s="35">
        <v>154189</v>
      </c>
      <c r="I177" s="35"/>
      <c r="J177" s="35">
        <f>K177+N177</f>
        <v>20000</v>
      </c>
      <c r="K177" s="35"/>
      <c r="L177" s="35"/>
      <c r="M177" s="35"/>
      <c r="N177" s="35">
        <v>20000</v>
      </c>
      <c r="O177" s="35">
        <v>20000</v>
      </c>
      <c r="P177" s="35">
        <f>E177+J177</f>
        <v>2400210</v>
      </c>
      <c r="Q177" s="99"/>
    </row>
    <row r="178" spans="1:17" s="25" customFormat="1" ht="15">
      <c r="A178" s="23"/>
      <c r="B178" s="26" t="s">
        <v>123</v>
      </c>
      <c r="C178" s="26" t="s">
        <v>175</v>
      </c>
      <c r="D178" s="27" t="s">
        <v>124</v>
      </c>
      <c r="E178" s="35">
        <f>F178+I178</f>
        <v>10500</v>
      </c>
      <c r="F178" s="35">
        <v>10500</v>
      </c>
      <c r="G178" s="37"/>
      <c r="H178" s="37"/>
      <c r="I178" s="37"/>
      <c r="J178" s="35">
        <f>K178+N178</f>
        <v>0</v>
      </c>
      <c r="K178" s="37"/>
      <c r="L178" s="37"/>
      <c r="M178" s="37"/>
      <c r="N178" s="37"/>
      <c r="O178" s="37"/>
      <c r="P178" s="35">
        <f>E178+J178</f>
        <v>10500</v>
      </c>
      <c r="Q178" s="99"/>
    </row>
    <row r="179" spans="1:17" s="25" customFormat="1" ht="15">
      <c r="A179" s="23"/>
      <c r="B179" s="26" t="s">
        <v>58</v>
      </c>
      <c r="C179" s="26" t="s">
        <v>149</v>
      </c>
      <c r="D179" s="27" t="s">
        <v>26</v>
      </c>
      <c r="E179" s="35">
        <f>F179+I179</f>
        <v>360000</v>
      </c>
      <c r="F179" s="35">
        <f>360000</f>
        <v>360000</v>
      </c>
      <c r="G179" s="37"/>
      <c r="H179" s="53"/>
      <c r="I179" s="37"/>
      <c r="J179" s="35">
        <f>K179+N179</f>
        <v>0</v>
      </c>
      <c r="K179" s="37"/>
      <c r="L179" s="37"/>
      <c r="M179" s="37"/>
      <c r="N179" s="37"/>
      <c r="O179" s="37"/>
      <c r="P179" s="35">
        <f>E179+J179</f>
        <v>360000</v>
      </c>
      <c r="Q179" s="99"/>
    </row>
    <row r="180" spans="1:17" s="25" customFormat="1" ht="42.75">
      <c r="A180" s="23"/>
      <c r="B180" s="30"/>
      <c r="C180" s="30"/>
      <c r="D180" s="31" t="s">
        <v>179</v>
      </c>
      <c r="E180" s="37">
        <f>E181+E182+E183+E184+E187+E188+E191+E192+E190+E185+E189+E186</f>
        <v>60807926</v>
      </c>
      <c r="F180" s="37">
        <f aca="true" t="shared" si="29" ref="F180:P180">F181+F182+F183+F184+F187+F188+F191+F192+F190+F185+F189+F186</f>
        <v>60607926</v>
      </c>
      <c r="G180" s="37">
        <f t="shared" si="29"/>
        <v>0</v>
      </c>
      <c r="H180" s="37">
        <f t="shared" si="29"/>
        <v>0</v>
      </c>
      <c r="I180" s="37">
        <f t="shared" si="29"/>
        <v>200000</v>
      </c>
      <c r="J180" s="37">
        <f t="shared" si="29"/>
        <v>230545763.47</v>
      </c>
      <c r="K180" s="37">
        <f t="shared" si="29"/>
        <v>2321148.53</v>
      </c>
      <c r="L180" s="37">
        <f t="shared" si="29"/>
        <v>1413770</v>
      </c>
      <c r="M180" s="37">
        <f t="shared" si="29"/>
        <v>50946</v>
      </c>
      <c r="N180" s="37">
        <f t="shared" si="29"/>
        <v>228224614.94</v>
      </c>
      <c r="O180" s="37">
        <f t="shared" si="29"/>
        <v>225777784.94</v>
      </c>
      <c r="P180" s="37">
        <f t="shared" si="29"/>
        <v>291353689.46999997</v>
      </c>
      <c r="Q180" s="99"/>
    </row>
    <row r="181" spans="1:17" s="25" customFormat="1" ht="16.5" customHeight="1">
      <c r="A181" s="23"/>
      <c r="B181" s="26" t="s">
        <v>11</v>
      </c>
      <c r="C181" s="26" t="s">
        <v>9</v>
      </c>
      <c r="D181" s="27" t="s">
        <v>94</v>
      </c>
      <c r="E181" s="35">
        <f>F181+I181</f>
        <v>0</v>
      </c>
      <c r="F181" s="35"/>
      <c r="G181" s="35"/>
      <c r="H181" s="35"/>
      <c r="I181" s="35"/>
      <c r="J181" s="35">
        <f>K181+N181</f>
        <v>2380664</v>
      </c>
      <c r="K181" s="35">
        <v>2280164</v>
      </c>
      <c r="L181" s="35">
        <v>1413770</v>
      </c>
      <c r="M181" s="35">
        <v>50946</v>
      </c>
      <c r="N181" s="35">
        <v>100500</v>
      </c>
      <c r="O181" s="35"/>
      <c r="P181" s="35">
        <f>E181+J181</f>
        <v>2380664</v>
      </c>
      <c r="Q181" s="99"/>
    </row>
    <row r="182" spans="1:17" s="25" customFormat="1" ht="21" customHeight="1">
      <c r="A182" s="23"/>
      <c r="B182" s="26" t="s">
        <v>82</v>
      </c>
      <c r="C182" s="26" t="s">
        <v>158</v>
      </c>
      <c r="D182" s="27" t="s">
        <v>83</v>
      </c>
      <c r="E182" s="35">
        <f aca="true" t="shared" si="30" ref="E182:E192">F182+I182</f>
        <v>0</v>
      </c>
      <c r="F182" s="35"/>
      <c r="G182" s="35"/>
      <c r="H182" s="35"/>
      <c r="I182" s="35"/>
      <c r="J182" s="35">
        <f aca="true" t="shared" si="31" ref="J182:J192">K182+N182</f>
        <v>1724000</v>
      </c>
      <c r="K182" s="35"/>
      <c r="L182" s="35"/>
      <c r="M182" s="35"/>
      <c r="N182" s="35">
        <v>1724000</v>
      </c>
      <c r="O182" s="35">
        <v>1724000</v>
      </c>
      <c r="P182" s="35">
        <f aca="true" t="shared" si="32" ref="P182:P192">E182+J182</f>
        <v>1724000</v>
      </c>
      <c r="Q182" s="99"/>
    </row>
    <row r="183" spans="1:17" s="25" customFormat="1" ht="21.75" customHeight="1">
      <c r="A183" s="23"/>
      <c r="B183" s="26" t="s">
        <v>29</v>
      </c>
      <c r="C183" s="26" t="s">
        <v>140</v>
      </c>
      <c r="D183" s="27" t="s">
        <v>30</v>
      </c>
      <c r="E183" s="35">
        <f t="shared" si="30"/>
        <v>60300000</v>
      </c>
      <c r="F183" s="35">
        <f>30000000+30000000+300000</f>
        <v>60300000</v>
      </c>
      <c r="G183" s="37"/>
      <c r="H183" s="37"/>
      <c r="I183" s="37"/>
      <c r="J183" s="35">
        <f t="shared" si="31"/>
        <v>71252200</v>
      </c>
      <c r="K183" s="37"/>
      <c r="L183" s="37"/>
      <c r="M183" s="37"/>
      <c r="N183" s="35">
        <f>35000000+15974673+277527+20000000</f>
        <v>71252200</v>
      </c>
      <c r="O183" s="35">
        <f>35000000+15974673+277527+20000000</f>
        <v>71252200</v>
      </c>
      <c r="P183" s="35">
        <f t="shared" si="32"/>
        <v>131552200</v>
      </c>
      <c r="Q183" s="99"/>
    </row>
    <row r="184" spans="1:17" s="25" customFormat="1" ht="24" customHeight="1">
      <c r="A184" s="23"/>
      <c r="B184" s="26" t="s">
        <v>129</v>
      </c>
      <c r="C184" s="26" t="s">
        <v>145</v>
      </c>
      <c r="D184" s="27" t="s">
        <v>130</v>
      </c>
      <c r="E184" s="35">
        <f t="shared" si="30"/>
        <v>0</v>
      </c>
      <c r="F184" s="37"/>
      <c r="G184" s="37"/>
      <c r="H184" s="37"/>
      <c r="I184" s="37"/>
      <c r="J184" s="35">
        <f t="shared" si="31"/>
        <v>140801584.94</v>
      </c>
      <c r="K184" s="35"/>
      <c r="L184" s="35"/>
      <c r="M184" s="35"/>
      <c r="N184" s="35">
        <f>67500000.94+9417041+15082000+19829065.59+8122934.41+2000000+472250+7365000+185923+9210370+1480000+50000+87000</f>
        <v>140801584.94</v>
      </c>
      <c r="O184" s="35">
        <f>67500000.94+9417041+15082000+19829065.59+8122934.41+2000000+472250+7365000+185923+9210370+1480000+50000+87000</f>
        <v>140801584.94</v>
      </c>
      <c r="P184" s="35">
        <f t="shared" si="32"/>
        <v>140801584.94</v>
      </c>
      <c r="Q184" s="99"/>
    </row>
    <row r="185" spans="1:17" s="25" customFormat="1" ht="30">
      <c r="A185" s="23"/>
      <c r="B185" s="26" t="s">
        <v>196</v>
      </c>
      <c r="C185" s="26" t="s">
        <v>198</v>
      </c>
      <c r="D185" s="27" t="s">
        <v>197</v>
      </c>
      <c r="E185" s="35">
        <f t="shared" si="30"/>
        <v>200000</v>
      </c>
      <c r="F185" s="37"/>
      <c r="G185" s="37"/>
      <c r="H185" s="37"/>
      <c r="I185" s="53">
        <v>200000</v>
      </c>
      <c r="J185" s="35">
        <f t="shared" si="31"/>
        <v>0</v>
      </c>
      <c r="K185" s="35"/>
      <c r="L185" s="35"/>
      <c r="M185" s="35"/>
      <c r="N185" s="35"/>
      <c r="O185" s="35"/>
      <c r="P185" s="35">
        <f t="shared" si="32"/>
        <v>200000</v>
      </c>
      <c r="Q185" s="99"/>
    </row>
    <row r="186" spans="1:17" s="25" customFormat="1" ht="15">
      <c r="A186" s="23"/>
      <c r="B186" s="26" t="s">
        <v>123</v>
      </c>
      <c r="C186" s="26" t="s">
        <v>175</v>
      </c>
      <c r="D186" s="27" t="s">
        <v>124</v>
      </c>
      <c r="E186" s="35">
        <f t="shared" si="30"/>
        <v>35000</v>
      </c>
      <c r="F186" s="53">
        <v>35000</v>
      </c>
      <c r="G186" s="37"/>
      <c r="H186" s="37"/>
      <c r="I186" s="53"/>
      <c r="J186" s="35">
        <f t="shared" si="31"/>
        <v>0</v>
      </c>
      <c r="K186" s="35"/>
      <c r="L186" s="35"/>
      <c r="M186" s="35"/>
      <c r="N186" s="35"/>
      <c r="O186" s="35"/>
      <c r="P186" s="35">
        <f t="shared" si="32"/>
        <v>35000</v>
      </c>
      <c r="Q186" s="99"/>
    </row>
    <row r="187" spans="1:17" s="25" customFormat="1" ht="74.25" customHeight="1">
      <c r="A187" s="23"/>
      <c r="B187" s="26" t="s">
        <v>48</v>
      </c>
      <c r="C187" s="26" t="s">
        <v>145</v>
      </c>
      <c r="D187" s="27" t="s">
        <v>49</v>
      </c>
      <c r="E187" s="35">
        <f t="shared" si="30"/>
        <v>0</v>
      </c>
      <c r="F187" s="37"/>
      <c r="G187" s="37"/>
      <c r="H187" s="37"/>
      <c r="I187" s="37"/>
      <c r="J187" s="35">
        <f t="shared" si="31"/>
        <v>12000000</v>
      </c>
      <c r="K187" s="35"/>
      <c r="L187" s="35"/>
      <c r="M187" s="35"/>
      <c r="N187" s="35">
        <f>6750000+5250000</f>
        <v>12000000</v>
      </c>
      <c r="O187" s="35">
        <f>6750000+5250000</f>
        <v>12000000</v>
      </c>
      <c r="P187" s="35">
        <f t="shared" si="32"/>
        <v>12000000</v>
      </c>
      <c r="Q187" s="99"/>
    </row>
    <row r="188" spans="1:17" s="25" customFormat="1" ht="33" customHeight="1">
      <c r="A188" s="23"/>
      <c r="B188" s="26" t="s">
        <v>127</v>
      </c>
      <c r="C188" s="26" t="s">
        <v>177</v>
      </c>
      <c r="D188" s="27" t="s">
        <v>128</v>
      </c>
      <c r="E188" s="35">
        <f t="shared" si="30"/>
        <v>0</v>
      </c>
      <c r="F188" s="37"/>
      <c r="G188" s="37"/>
      <c r="H188" s="37"/>
      <c r="I188" s="37"/>
      <c r="J188" s="35">
        <f t="shared" si="31"/>
        <v>606000</v>
      </c>
      <c r="K188" s="35"/>
      <c r="L188" s="35"/>
      <c r="M188" s="35"/>
      <c r="N188" s="35">
        <f>126000+480000</f>
        <v>606000</v>
      </c>
      <c r="O188" s="35"/>
      <c r="P188" s="35">
        <f t="shared" si="32"/>
        <v>606000</v>
      </c>
      <c r="Q188" s="99"/>
    </row>
    <row r="189" spans="1:17" s="25" customFormat="1" ht="33" customHeight="1">
      <c r="A189" s="23"/>
      <c r="B189" s="26" t="s">
        <v>324</v>
      </c>
      <c r="C189" s="26" t="s">
        <v>326</v>
      </c>
      <c r="D189" s="27" t="s">
        <v>325</v>
      </c>
      <c r="E189" s="35">
        <f t="shared" si="30"/>
        <v>0</v>
      </c>
      <c r="F189" s="37"/>
      <c r="G189" s="37"/>
      <c r="H189" s="37"/>
      <c r="I189" s="37"/>
      <c r="J189" s="35">
        <f t="shared" si="31"/>
        <v>1340330</v>
      </c>
      <c r="K189" s="35"/>
      <c r="L189" s="35"/>
      <c r="M189" s="35"/>
      <c r="N189" s="35">
        <v>1340330</v>
      </c>
      <c r="O189" s="35"/>
      <c r="P189" s="35">
        <f t="shared" si="32"/>
        <v>1340330</v>
      </c>
      <c r="Q189" s="99"/>
    </row>
    <row r="190" spans="1:17" s="25" customFormat="1" ht="33" customHeight="1">
      <c r="A190" s="23"/>
      <c r="B190" s="26" t="s">
        <v>314</v>
      </c>
      <c r="C190" s="26" t="s">
        <v>156</v>
      </c>
      <c r="D190" s="27" t="s">
        <v>81</v>
      </c>
      <c r="E190" s="35">
        <f>F190+I190</f>
        <v>0</v>
      </c>
      <c r="F190" s="37"/>
      <c r="G190" s="37"/>
      <c r="H190" s="37"/>
      <c r="I190" s="37"/>
      <c r="J190" s="35">
        <f>K190+N190</f>
        <v>400000</v>
      </c>
      <c r="K190" s="35"/>
      <c r="L190" s="35"/>
      <c r="M190" s="35"/>
      <c r="N190" s="35">
        <v>400000</v>
      </c>
      <c r="O190" s="35"/>
      <c r="P190" s="35">
        <f>E190+J190</f>
        <v>400000</v>
      </c>
      <c r="Q190" s="99"/>
    </row>
    <row r="191" spans="1:17" s="25" customFormat="1" ht="15">
      <c r="A191" s="23"/>
      <c r="B191" s="26" t="s">
        <v>58</v>
      </c>
      <c r="C191" s="26" t="s">
        <v>149</v>
      </c>
      <c r="D191" s="27" t="s">
        <v>26</v>
      </c>
      <c r="E191" s="35">
        <f t="shared" si="30"/>
        <v>188021</v>
      </c>
      <c r="F191" s="53">
        <v>188021</v>
      </c>
      <c r="G191" s="37"/>
      <c r="H191" s="37"/>
      <c r="I191" s="37"/>
      <c r="J191" s="35">
        <f t="shared" si="31"/>
        <v>0</v>
      </c>
      <c r="K191" s="35"/>
      <c r="L191" s="35"/>
      <c r="M191" s="35"/>
      <c r="N191" s="35"/>
      <c r="O191" s="35"/>
      <c r="P191" s="35">
        <f t="shared" si="32"/>
        <v>188021</v>
      </c>
      <c r="Q191" s="99"/>
    </row>
    <row r="192" spans="1:17" s="25" customFormat="1" ht="82.5" customHeight="1">
      <c r="A192" s="23"/>
      <c r="B192" s="29" t="s">
        <v>131</v>
      </c>
      <c r="C192" s="29" t="s">
        <v>166</v>
      </c>
      <c r="D192" s="27" t="s">
        <v>132</v>
      </c>
      <c r="E192" s="35">
        <f t="shared" si="30"/>
        <v>84905</v>
      </c>
      <c r="F192" s="35">
        <v>84905</v>
      </c>
      <c r="G192" s="35"/>
      <c r="H192" s="35"/>
      <c r="I192" s="35"/>
      <c r="J192" s="35">
        <f t="shared" si="31"/>
        <v>40984.53</v>
      </c>
      <c r="K192" s="35">
        <f>30069+10915.53</f>
        <v>40984.53</v>
      </c>
      <c r="L192" s="37"/>
      <c r="M192" s="37"/>
      <c r="N192" s="37"/>
      <c r="O192" s="37"/>
      <c r="P192" s="35">
        <f t="shared" si="32"/>
        <v>125889.53</v>
      </c>
      <c r="Q192" s="99"/>
    </row>
    <row r="193" spans="1:17" s="25" customFormat="1" ht="45" customHeight="1">
      <c r="A193" s="23"/>
      <c r="B193" s="30"/>
      <c r="C193" s="30"/>
      <c r="D193" s="31" t="s">
        <v>180</v>
      </c>
      <c r="E193" s="37">
        <f>E194+E195+E197+E198+E199+E196</f>
        <v>4278210</v>
      </c>
      <c r="F193" s="37">
        <f aca="true" t="shared" si="33" ref="F193:P193">F194+F195+F197+F198+F199+F196</f>
        <v>4278210</v>
      </c>
      <c r="G193" s="37">
        <f t="shared" si="33"/>
        <v>2986650</v>
      </c>
      <c r="H193" s="37">
        <f t="shared" si="33"/>
        <v>167498</v>
      </c>
      <c r="I193" s="37">
        <f t="shared" si="33"/>
        <v>0</v>
      </c>
      <c r="J193" s="37">
        <f t="shared" si="33"/>
        <v>1261500</v>
      </c>
      <c r="K193" s="37">
        <f t="shared" si="33"/>
        <v>415500</v>
      </c>
      <c r="L193" s="37">
        <f t="shared" si="33"/>
        <v>0</v>
      </c>
      <c r="M193" s="37">
        <f t="shared" si="33"/>
        <v>0</v>
      </c>
      <c r="N193" s="37">
        <f t="shared" si="33"/>
        <v>846000</v>
      </c>
      <c r="O193" s="37">
        <f t="shared" si="33"/>
        <v>536500</v>
      </c>
      <c r="P193" s="37">
        <f t="shared" si="33"/>
        <v>5539710</v>
      </c>
      <c r="Q193" s="99" t="s">
        <v>355</v>
      </c>
    </row>
    <row r="194" spans="1:17" s="25" customFormat="1" ht="21.75" customHeight="1">
      <c r="A194" s="23"/>
      <c r="B194" s="26" t="s">
        <v>11</v>
      </c>
      <c r="C194" s="26" t="s">
        <v>9</v>
      </c>
      <c r="D194" s="27" t="s">
        <v>16</v>
      </c>
      <c r="E194" s="35">
        <f aca="true" t="shared" si="34" ref="E194:E199">F194+I194</f>
        <v>4093110</v>
      </c>
      <c r="F194" s="35">
        <f>4520200-427090</f>
        <v>4093110</v>
      </c>
      <c r="G194" s="35">
        <v>2986650</v>
      </c>
      <c r="H194" s="35">
        <v>167498</v>
      </c>
      <c r="I194" s="35"/>
      <c r="J194" s="35">
        <f aca="true" t="shared" si="35" ref="J194:J199">K194+N194</f>
        <v>250000</v>
      </c>
      <c r="K194" s="35"/>
      <c r="L194" s="35"/>
      <c r="M194" s="35"/>
      <c r="N194" s="35">
        <v>250000</v>
      </c>
      <c r="O194" s="35">
        <v>250000</v>
      </c>
      <c r="P194" s="35">
        <f aca="true" t="shared" si="36" ref="P194:P199">E194+J194</f>
        <v>4343110</v>
      </c>
      <c r="Q194" s="99"/>
    </row>
    <row r="195" spans="1:17" s="25" customFormat="1" ht="24" customHeight="1">
      <c r="A195" s="23"/>
      <c r="B195" s="26" t="s">
        <v>123</v>
      </c>
      <c r="C195" s="26" t="s">
        <v>175</v>
      </c>
      <c r="D195" s="27" t="s">
        <v>124</v>
      </c>
      <c r="E195" s="35">
        <f t="shared" si="34"/>
        <v>0</v>
      </c>
      <c r="F195" s="37"/>
      <c r="G195" s="37"/>
      <c r="H195" s="37"/>
      <c r="I195" s="37"/>
      <c r="J195" s="35">
        <f t="shared" si="35"/>
        <v>148000</v>
      </c>
      <c r="K195" s="35"/>
      <c r="L195" s="35"/>
      <c r="M195" s="35"/>
      <c r="N195" s="35">
        <v>148000</v>
      </c>
      <c r="O195" s="35">
        <v>148000</v>
      </c>
      <c r="P195" s="35">
        <f t="shared" si="36"/>
        <v>148000</v>
      </c>
      <c r="Q195" s="99"/>
    </row>
    <row r="196" spans="1:17" s="25" customFormat="1" ht="60">
      <c r="A196" s="23"/>
      <c r="B196" s="26" t="s">
        <v>48</v>
      </c>
      <c r="C196" s="26" t="s">
        <v>145</v>
      </c>
      <c r="D196" s="27" t="s">
        <v>49</v>
      </c>
      <c r="E196" s="35">
        <f t="shared" si="34"/>
        <v>0</v>
      </c>
      <c r="F196" s="37"/>
      <c r="G196" s="37"/>
      <c r="H196" s="37"/>
      <c r="I196" s="37"/>
      <c r="J196" s="35">
        <f t="shared" si="35"/>
        <v>39000</v>
      </c>
      <c r="K196" s="35"/>
      <c r="L196" s="35"/>
      <c r="M196" s="35"/>
      <c r="N196" s="35">
        <v>39000</v>
      </c>
      <c r="O196" s="35">
        <v>39000</v>
      </c>
      <c r="P196" s="35">
        <f t="shared" si="36"/>
        <v>39000</v>
      </c>
      <c r="Q196" s="99"/>
    </row>
    <row r="197" spans="1:17" s="25" customFormat="1" ht="66" customHeight="1">
      <c r="A197" s="23"/>
      <c r="B197" s="26" t="s">
        <v>56</v>
      </c>
      <c r="C197" s="26" t="s">
        <v>149</v>
      </c>
      <c r="D197" s="27" t="s">
        <v>57</v>
      </c>
      <c r="E197" s="35">
        <f t="shared" si="34"/>
        <v>0</v>
      </c>
      <c r="F197" s="37"/>
      <c r="G197" s="37"/>
      <c r="H197" s="37"/>
      <c r="I197" s="37"/>
      <c r="J197" s="35">
        <f t="shared" si="35"/>
        <v>725000</v>
      </c>
      <c r="K197" s="35">
        <f>725000-309500</f>
        <v>415500</v>
      </c>
      <c r="L197" s="37"/>
      <c r="M197" s="37"/>
      <c r="N197" s="53">
        <f>309500+199000-199000</f>
        <v>309500</v>
      </c>
      <c r="O197" s="37"/>
      <c r="P197" s="35">
        <f t="shared" si="36"/>
        <v>725000</v>
      </c>
      <c r="Q197" s="99"/>
    </row>
    <row r="198" spans="1:17" s="25" customFormat="1" ht="19.5" customHeight="1">
      <c r="A198" s="23"/>
      <c r="B198" s="26" t="s">
        <v>58</v>
      </c>
      <c r="C198" s="26" t="s">
        <v>149</v>
      </c>
      <c r="D198" s="27" t="s">
        <v>26</v>
      </c>
      <c r="E198" s="35">
        <f t="shared" si="34"/>
        <v>185100</v>
      </c>
      <c r="F198" s="35">
        <f>170000+15100</f>
        <v>185100</v>
      </c>
      <c r="G198" s="37"/>
      <c r="H198" s="37"/>
      <c r="I198" s="37"/>
      <c r="J198" s="35">
        <f t="shared" si="35"/>
        <v>0</v>
      </c>
      <c r="K198" s="37"/>
      <c r="L198" s="37"/>
      <c r="M198" s="37"/>
      <c r="N198" s="37"/>
      <c r="O198" s="37"/>
      <c r="P198" s="35">
        <f t="shared" si="36"/>
        <v>185100</v>
      </c>
      <c r="Q198" s="99"/>
    </row>
    <row r="199" spans="1:17" s="25" customFormat="1" ht="21" customHeight="1">
      <c r="A199" s="23"/>
      <c r="B199" s="26" t="s">
        <v>135</v>
      </c>
      <c r="C199" s="26" t="s">
        <v>183</v>
      </c>
      <c r="D199" s="34" t="s">
        <v>136</v>
      </c>
      <c r="E199" s="35">
        <f t="shared" si="34"/>
        <v>0</v>
      </c>
      <c r="F199" s="35"/>
      <c r="G199" s="37"/>
      <c r="H199" s="37"/>
      <c r="I199" s="37"/>
      <c r="J199" s="35">
        <f t="shared" si="35"/>
        <v>99500</v>
      </c>
      <c r="K199" s="37"/>
      <c r="L199" s="37"/>
      <c r="M199" s="37"/>
      <c r="N199" s="35">
        <v>99500</v>
      </c>
      <c r="O199" s="35">
        <v>99500</v>
      </c>
      <c r="P199" s="35">
        <f t="shared" si="36"/>
        <v>99500</v>
      </c>
      <c r="Q199" s="99"/>
    </row>
    <row r="200" spans="1:17" s="25" customFormat="1" ht="47.25" customHeight="1">
      <c r="A200" s="23"/>
      <c r="B200" s="26"/>
      <c r="C200" s="38"/>
      <c r="D200" s="67" t="s">
        <v>251</v>
      </c>
      <c r="E200" s="37">
        <f>E201</f>
        <v>714758</v>
      </c>
      <c r="F200" s="37">
        <f aca="true" t="shared" si="37" ref="F200:P200">F201</f>
        <v>714758</v>
      </c>
      <c r="G200" s="37">
        <f t="shared" si="37"/>
        <v>433970</v>
      </c>
      <c r="H200" s="37">
        <f t="shared" si="37"/>
        <v>34232</v>
      </c>
      <c r="I200" s="37">
        <f t="shared" si="37"/>
        <v>0</v>
      </c>
      <c r="J200" s="37">
        <f t="shared" si="37"/>
        <v>134100</v>
      </c>
      <c r="K200" s="37">
        <f t="shared" si="37"/>
        <v>0</v>
      </c>
      <c r="L200" s="37">
        <f t="shared" si="37"/>
        <v>0</v>
      </c>
      <c r="M200" s="37">
        <f t="shared" si="37"/>
        <v>0</v>
      </c>
      <c r="N200" s="37">
        <f t="shared" si="37"/>
        <v>134100</v>
      </c>
      <c r="O200" s="37">
        <f t="shared" si="37"/>
        <v>134100</v>
      </c>
      <c r="P200" s="37">
        <f t="shared" si="37"/>
        <v>848858</v>
      </c>
      <c r="Q200" s="99"/>
    </row>
    <row r="201" spans="1:17" s="25" customFormat="1" ht="21" customHeight="1">
      <c r="A201" s="23"/>
      <c r="B201" s="26" t="s">
        <v>11</v>
      </c>
      <c r="C201" s="26" t="s">
        <v>9</v>
      </c>
      <c r="D201" s="27" t="s">
        <v>16</v>
      </c>
      <c r="E201" s="35">
        <f>F201+I201</f>
        <v>714758</v>
      </c>
      <c r="F201" s="35">
        <f>710680-62060+66138</f>
        <v>714758</v>
      </c>
      <c r="G201" s="35">
        <v>433970</v>
      </c>
      <c r="H201" s="35">
        <v>34232</v>
      </c>
      <c r="I201" s="35"/>
      <c r="J201" s="35">
        <f>K201+N201</f>
        <v>134100</v>
      </c>
      <c r="K201" s="35"/>
      <c r="L201" s="35"/>
      <c r="M201" s="35"/>
      <c r="N201" s="35">
        <v>134100</v>
      </c>
      <c r="O201" s="35">
        <v>134100</v>
      </c>
      <c r="P201" s="35">
        <f>E201+J201</f>
        <v>848858</v>
      </c>
      <c r="Q201" s="99"/>
    </row>
    <row r="202" spans="1:17" s="25" customFormat="1" ht="47.25" customHeight="1">
      <c r="A202" s="23"/>
      <c r="B202" s="26"/>
      <c r="C202" s="38"/>
      <c r="D202" s="31" t="s">
        <v>184</v>
      </c>
      <c r="E202" s="37">
        <f>E203+E204</f>
        <v>1941570</v>
      </c>
      <c r="F202" s="37">
        <f aca="true" t="shared" si="38" ref="F202:P202">F203+F204</f>
        <v>1941570</v>
      </c>
      <c r="G202" s="37">
        <f t="shared" si="38"/>
        <v>1146200</v>
      </c>
      <c r="H202" s="37">
        <f t="shared" si="38"/>
        <v>83538</v>
      </c>
      <c r="I202" s="37">
        <f t="shared" si="38"/>
        <v>0</v>
      </c>
      <c r="J202" s="37">
        <f t="shared" si="38"/>
        <v>30000</v>
      </c>
      <c r="K202" s="37">
        <f t="shared" si="38"/>
        <v>0</v>
      </c>
      <c r="L202" s="37">
        <f t="shared" si="38"/>
        <v>0</v>
      </c>
      <c r="M202" s="37">
        <f t="shared" si="38"/>
        <v>0</v>
      </c>
      <c r="N202" s="37">
        <f t="shared" si="38"/>
        <v>30000</v>
      </c>
      <c r="O202" s="37">
        <f t="shared" si="38"/>
        <v>30000</v>
      </c>
      <c r="P202" s="37">
        <f t="shared" si="38"/>
        <v>1971570</v>
      </c>
      <c r="Q202" s="99"/>
    </row>
    <row r="203" spans="1:17" s="25" customFormat="1" ht="21" customHeight="1">
      <c r="A203" s="23"/>
      <c r="B203" s="26" t="s">
        <v>11</v>
      </c>
      <c r="C203" s="26" t="s">
        <v>9</v>
      </c>
      <c r="D203" s="27" t="s">
        <v>16</v>
      </c>
      <c r="E203" s="35">
        <f>F203+I203</f>
        <v>1591570</v>
      </c>
      <c r="F203" s="35">
        <f>1751970-160400</f>
        <v>1591570</v>
      </c>
      <c r="G203" s="35">
        <f>1143630+2570</f>
        <v>1146200</v>
      </c>
      <c r="H203" s="35">
        <v>83538</v>
      </c>
      <c r="I203" s="35"/>
      <c r="J203" s="35">
        <f>K203+N203</f>
        <v>30000</v>
      </c>
      <c r="K203" s="35"/>
      <c r="L203" s="35"/>
      <c r="M203" s="35"/>
      <c r="N203" s="35">
        <v>30000</v>
      </c>
      <c r="O203" s="35">
        <v>30000</v>
      </c>
      <c r="P203" s="35">
        <f>E203+J203</f>
        <v>1621570</v>
      </c>
      <c r="Q203" s="99"/>
    </row>
    <row r="204" spans="1:17" s="25" customFormat="1" ht="18.75" customHeight="1">
      <c r="A204" s="23"/>
      <c r="B204" s="26" t="s">
        <v>58</v>
      </c>
      <c r="C204" s="26" t="s">
        <v>149</v>
      </c>
      <c r="D204" s="27" t="s">
        <v>26</v>
      </c>
      <c r="E204" s="35">
        <f>F204+I204</f>
        <v>350000</v>
      </c>
      <c r="F204" s="35">
        <v>350000</v>
      </c>
      <c r="G204" s="37"/>
      <c r="H204" s="37"/>
      <c r="I204" s="37"/>
      <c r="J204" s="35">
        <f>K204+N204</f>
        <v>0</v>
      </c>
      <c r="K204" s="37"/>
      <c r="L204" s="37"/>
      <c r="M204" s="37"/>
      <c r="N204" s="37"/>
      <c r="O204" s="37"/>
      <c r="P204" s="35">
        <f>E204+J204</f>
        <v>350000</v>
      </c>
      <c r="Q204" s="99"/>
    </row>
    <row r="205" spans="1:17" s="25" customFormat="1" ht="51.75" customHeight="1">
      <c r="A205" s="23"/>
      <c r="B205" s="30"/>
      <c r="C205" s="30"/>
      <c r="D205" s="31" t="s">
        <v>181</v>
      </c>
      <c r="E205" s="37">
        <f>E206+E207</f>
        <v>5499484.54</v>
      </c>
      <c r="F205" s="37">
        <f aca="true" t="shared" si="39" ref="F205:P205">F206+F207</f>
        <v>5499484.54</v>
      </c>
      <c r="G205" s="37">
        <f t="shared" si="39"/>
        <v>3888914</v>
      </c>
      <c r="H205" s="37">
        <f t="shared" si="39"/>
        <v>191695</v>
      </c>
      <c r="I205" s="37">
        <f t="shared" si="39"/>
        <v>0</v>
      </c>
      <c r="J205" s="37">
        <f t="shared" si="39"/>
        <v>52400</v>
      </c>
      <c r="K205" s="37">
        <f t="shared" si="39"/>
        <v>0</v>
      </c>
      <c r="L205" s="37">
        <f t="shared" si="39"/>
        <v>0</v>
      </c>
      <c r="M205" s="37">
        <f t="shared" si="39"/>
        <v>0</v>
      </c>
      <c r="N205" s="37">
        <f t="shared" si="39"/>
        <v>52400</v>
      </c>
      <c r="O205" s="37">
        <f t="shared" si="39"/>
        <v>52400</v>
      </c>
      <c r="P205" s="37">
        <f t="shared" si="39"/>
        <v>5551884.54</v>
      </c>
      <c r="Q205" s="99"/>
    </row>
    <row r="206" spans="1:17" s="25" customFormat="1" ht="21" customHeight="1">
      <c r="A206" s="23"/>
      <c r="B206" s="26" t="s">
        <v>11</v>
      </c>
      <c r="C206" s="26" t="s">
        <v>9</v>
      </c>
      <c r="D206" s="27" t="s">
        <v>94</v>
      </c>
      <c r="E206" s="35">
        <f>F206+I206</f>
        <v>5300790</v>
      </c>
      <c r="F206" s="35">
        <f>5498000-286300+89090</f>
        <v>5300790</v>
      </c>
      <c r="G206" s="35">
        <f>3629280+186610+73024</f>
        <v>3888914</v>
      </c>
      <c r="H206" s="35">
        <v>191695</v>
      </c>
      <c r="I206" s="35"/>
      <c r="J206" s="35">
        <f>K206+N206</f>
        <v>52400</v>
      </c>
      <c r="K206" s="35"/>
      <c r="L206" s="35"/>
      <c r="M206" s="35"/>
      <c r="N206" s="35">
        <f>40000+12400</f>
        <v>52400</v>
      </c>
      <c r="O206" s="35">
        <f>40000+12400</f>
        <v>52400</v>
      </c>
      <c r="P206" s="35">
        <f>E206+J206</f>
        <v>5353190</v>
      </c>
      <c r="Q206" s="99"/>
    </row>
    <row r="207" spans="1:17" s="25" customFormat="1" ht="21" customHeight="1">
      <c r="A207" s="23"/>
      <c r="B207" s="26" t="s">
        <v>206</v>
      </c>
      <c r="C207" s="26" t="s">
        <v>214</v>
      </c>
      <c r="D207" s="27" t="s">
        <v>207</v>
      </c>
      <c r="E207" s="35">
        <f>F207+I207</f>
        <v>198694.54</v>
      </c>
      <c r="F207" s="35">
        <v>198694.54</v>
      </c>
      <c r="G207" s="35"/>
      <c r="H207" s="35"/>
      <c r="I207" s="35"/>
      <c r="J207" s="35">
        <f>K207+N207</f>
        <v>0</v>
      </c>
      <c r="K207" s="35"/>
      <c r="L207" s="35"/>
      <c r="M207" s="35"/>
      <c r="N207" s="35"/>
      <c r="O207" s="35"/>
      <c r="P207" s="35">
        <f>E207+J207</f>
        <v>198694.54</v>
      </c>
      <c r="Q207" s="99"/>
    </row>
    <row r="208" spans="1:17" s="25" customFormat="1" ht="67.5" customHeight="1">
      <c r="A208" s="23"/>
      <c r="B208" s="30"/>
      <c r="C208" s="30"/>
      <c r="D208" s="31" t="s">
        <v>182</v>
      </c>
      <c r="E208" s="37">
        <f>E209+E210+E211+E212</f>
        <v>68130194.46000001</v>
      </c>
      <c r="F208" s="37">
        <f aca="true" t="shared" si="40" ref="F208:P208">F209+F210+F211+F212</f>
        <v>56741757</v>
      </c>
      <c r="G208" s="37">
        <f t="shared" si="40"/>
        <v>0</v>
      </c>
      <c r="H208" s="37">
        <f t="shared" si="40"/>
        <v>0</v>
      </c>
      <c r="I208" s="37">
        <f t="shared" si="40"/>
        <v>0</v>
      </c>
      <c r="J208" s="37">
        <f t="shared" si="40"/>
        <v>700000</v>
      </c>
      <c r="K208" s="37">
        <f t="shared" si="40"/>
        <v>0</v>
      </c>
      <c r="L208" s="37">
        <f t="shared" si="40"/>
        <v>0</v>
      </c>
      <c r="M208" s="37">
        <f t="shared" si="40"/>
        <v>0</v>
      </c>
      <c r="N208" s="37">
        <f t="shared" si="40"/>
        <v>700000</v>
      </c>
      <c r="O208" s="37">
        <f t="shared" si="40"/>
        <v>700000</v>
      </c>
      <c r="P208" s="37">
        <f t="shared" si="40"/>
        <v>68830194.46000001</v>
      </c>
      <c r="Q208" s="99"/>
    </row>
    <row r="209" spans="1:17" s="25" customFormat="1" ht="15">
      <c r="A209" s="23"/>
      <c r="B209" s="26" t="s">
        <v>133</v>
      </c>
      <c r="C209" s="26" t="s">
        <v>149</v>
      </c>
      <c r="D209" s="27" t="s">
        <v>134</v>
      </c>
      <c r="E209" s="35">
        <f>9833216.06-80000-23542.6-134100-100000-670100-360000-3000000-1811608+12618382-254670-4690000-2263140-130000-7200000-420000+19000+10000000+55000</f>
        <v>11388437.46</v>
      </c>
      <c r="F209" s="35"/>
      <c r="G209" s="37"/>
      <c r="H209" s="37"/>
      <c r="I209" s="37"/>
      <c r="J209" s="35">
        <f>K209+N209</f>
        <v>0</v>
      </c>
      <c r="K209" s="37"/>
      <c r="L209" s="37"/>
      <c r="M209" s="37"/>
      <c r="N209" s="37"/>
      <c r="O209" s="37"/>
      <c r="P209" s="35">
        <f>E209+J209</f>
        <v>11388437.46</v>
      </c>
      <c r="Q209" s="99"/>
    </row>
    <row r="210" spans="1:17" s="25" customFormat="1" ht="15">
      <c r="A210" s="23"/>
      <c r="B210" s="26" t="s">
        <v>185</v>
      </c>
      <c r="C210" s="26" t="s">
        <v>183</v>
      </c>
      <c r="D210" s="27" t="s">
        <v>186</v>
      </c>
      <c r="E210" s="35">
        <f>F210+I210</f>
        <v>56401300</v>
      </c>
      <c r="F210" s="35">
        <f>55480900+920400</f>
        <v>56401300</v>
      </c>
      <c r="G210" s="37"/>
      <c r="H210" s="37"/>
      <c r="I210" s="37"/>
      <c r="J210" s="35">
        <f>K210+N210</f>
        <v>0</v>
      </c>
      <c r="K210" s="37"/>
      <c r="L210" s="37"/>
      <c r="M210" s="37"/>
      <c r="N210" s="37"/>
      <c r="O210" s="37"/>
      <c r="P210" s="35">
        <f>E210+J210</f>
        <v>56401300</v>
      </c>
      <c r="Q210" s="99"/>
    </row>
    <row r="211" spans="1:17" s="25" customFormat="1" ht="15">
      <c r="A211" s="23"/>
      <c r="B211" s="26" t="s">
        <v>187</v>
      </c>
      <c r="C211" s="26" t="s">
        <v>183</v>
      </c>
      <c r="D211" s="27" t="s">
        <v>189</v>
      </c>
      <c r="E211" s="35">
        <f>F211+I211</f>
        <v>141957</v>
      </c>
      <c r="F211" s="35">
        <f>164814-22857</f>
        <v>141957</v>
      </c>
      <c r="G211" s="37"/>
      <c r="H211" s="37"/>
      <c r="I211" s="37"/>
      <c r="J211" s="35">
        <f>K211+N211</f>
        <v>0</v>
      </c>
      <c r="K211" s="37"/>
      <c r="L211" s="37"/>
      <c r="M211" s="37"/>
      <c r="N211" s="37"/>
      <c r="O211" s="37"/>
      <c r="P211" s="35">
        <f>E211+J211</f>
        <v>141957</v>
      </c>
      <c r="Q211" s="99"/>
    </row>
    <row r="212" spans="1:17" s="25" customFormat="1" ht="15">
      <c r="A212" s="23"/>
      <c r="B212" s="26" t="s">
        <v>135</v>
      </c>
      <c r="C212" s="26" t="s">
        <v>183</v>
      </c>
      <c r="D212" s="34" t="s">
        <v>136</v>
      </c>
      <c r="E212" s="35">
        <f>F212+I212</f>
        <v>198500</v>
      </c>
      <c r="F212" s="35">
        <f>190000+8500</f>
        <v>198500</v>
      </c>
      <c r="G212" s="37"/>
      <c r="H212" s="37"/>
      <c r="I212" s="37"/>
      <c r="J212" s="35">
        <f>K212+N212</f>
        <v>700000</v>
      </c>
      <c r="K212" s="37"/>
      <c r="L212" s="37"/>
      <c r="M212" s="37"/>
      <c r="N212" s="35">
        <f>500000+200000</f>
        <v>700000</v>
      </c>
      <c r="O212" s="35">
        <f>500000+200000</f>
        <v>700000</v>
      </c>
      <c r="P212" s="35">
        <f>E212+J212</f>
        <v>898500</v>
      </c>
      <c r="Q212" s="98" t="s">
        <v>356</v>
      </c>
    </row>
    <row r="213" spans="1:17" s="25" customFormat="1" ht="15">
      <c r="A213" s="23"/>
      <c r="B213" s="30"/>
      <c r="C213" s="30"/>
      <c r="D213" s="31" t="s">
        <v>137</v>
      </c>
      <c r="E213" s="37">
        <f>E11+E43+E65+E84+E145+E148+E154+E176+E180+E193+E202+E205+E208+E200</f>
        <v>1649289427.1799998</v>
      </c>
      <c r="F213" s="37">
        <f aca="true" t="shared" si="41" ref="F213:O213">F11+F43+F65+F84+F145+F148+F154+F176+F180+F193+F202+F205+F208+F200</f>
        <v>1598808434.72</v>
      </c>
      <c r="G213" s="37">
        <f t="shared" si="41"/>
        <v>452034405.86</v>
      </c>
      <c r="H213" s="37">
        <f t="shared" si="41"/>
        <v>92369121.78999999</v>
      </c>
      <c r="I213" s="37">
        <f t="shared" si="41"/>
        <v>39092555</v>
      </c>
      <c r="J213" s="37">
        <f t="shared" si="41"/>
        <v>490838849.6</v>
      </c>
      <c r="K213" s="37">
        <f t="shared" si="41"/>
        <v>53848757</v>
      </c>
      <c r="L213" s="37">
        <f t="shared" si="41"/>
        <v>11367440</v>
      </c>
      <c r="M213" s="37">
        <f t="shared" si="41"/>
        <v>2168292</v>
      </c>
      <c r="N213" s="37">
        <f t="shared" si="41"/>
        <v>436990092.6</v>
      </c>
      <c r="O213" s="37">
        <f t="shared" si="41"/>
        <v>428910695.28</v>
      </c>
      <c r="P213" s="37">
        <f>P11+P43+P65+P84+P145+P148+P154+P176+P180+P193+P202+P205+P208+P200</f>
        <v>2140128276.7800002</v>
      </c>
      <c r="Q213" s="98"/>
    </row>
    <row r="214" spans="1:17" s="25" customFormat="1" ht="28.5">
      <c r="A214" s="23"/>
      <c r="B214" s="30"/>
      <c r="C214" s="30"/>
      <c r="D214" s="31" t="s">
        <v>215</v>
      </c>
      <c r="E214" s="37">
        <f>E44+E66+E85</f>
        <v>1073624544.52</v>
      </c>
      <c r="F214" s="37">
        <f aca="true" t="shared" si="42" ref="F214:O214">F44+F66+F85</f>
        <v>1073624544.52</v>
      </c>
      <c r="G214" s="37">
        <f t="shared" si="42"/>
        <v>259015420</v>
      </c>
      <c r="H214" s="37">
        <f t="shared" si="42"/>
        <v>47607786</v>
      </c>
      <c r="I214" s="37">
        <f t="shared" si="42"/>
        <v>0</v>
      </c>
      <c r="J214" s="37">
        <f t="shared" si="42"/>
        <v>0</v>
      </c>
      <c r="K214" s="37">
        <f t="shared" si="42"/>
        <v>0</v>
      </c>
      <c r="L214" s="37">
        <f t="shared" si="42"/>
        <v>0</v>
      </c>
      <c r="M214" s="37">
        <f t="shared" si="42"/>
        <v>0</v>
      </c>
      <c r="N214" s="37">
        <f t="shared" si="42"/>
        <v>0</v>
      </c>
      <c r="O214" s="37">
        <f t="shared" si="42"/>
        <v>0</v>
      </c>
      <c r="P214" s="37">
        <f>P44+P66+P85</f>
        <v>1073624544.52</v>
      </c>
      <c r="Q214" s="98"/>
    </row>
    <row r="215" spans="1:17" s="14" customFormat="1" ht="12.75">
      <c r="A215" s="15"/>
      <c r="B215" s="15"/>
      <c r="C215" s="15"/>
      <c r="D215" s="15"/>
      <c r="E215" s="39"/>
      <c r="F215" s="39"/>
      <c r="G215" s="39"/>
      <c r="H215" s="39"/>
      <c r="I215" s="39"/>
      <c r="J215" s="39"/>
      <c r="K215" s="39"/>
      <c r="L215" s="39"/>
      <c r="M215" s="39"/>
      <c r="N215" s="39"/>
      <c r="O215" s="39"/>
      <c r="P215" s="39"/>
      <c r="Q215" s="98"/>
    </row>
    <row r="216" spans="1:17" s="14" customFormat="1" ht="91.5" customHeight="1">
      <c r="A216" s="15"/>
      <c r="B216" s="15"/>
      <c r="C216" s="15"/>
      <c r="D216" s="15"/>
      <c r="E216" s="39"/>
      <c r="F216" s="39"/>
      <c r="G216" s="39"/>
      <c r="H216" s="39"/>
      <c r="I216" s="39"/>
      <c r="J216" s="39"/>
      <c r="K216" s="39"/>
      <c r="L216" s="39"/>
      <c r="M216" s="39"/>
      <c r="N216" s="39"/>
      <c r="O216" s="39"/>
      <c r="P216" s="39"/>
      <c r="Q216" s="98"/>
    </row>
    <row r="217" spans="1:19" s="10" customFormat="1" ht="57.75" customHeight="1">
      <c r="A217" s="8"/>
      <c r="B217" s="93" t="s">
        <v>357</v>
      </c>
      <c r="C217" s="93"/>
      <c r="D217" s="93"/>
      <c r="E217" s="93"/>
      <c r="F217" s="93"/>
      <c r="G217" s="93"/>
      <c r="H217" s="93"/>
      <c r="I217" s="93"/>
      <c r="J217" s="9"/>
      <c r="K217" s="9"/>
      <c r="L217" s="102" t="s">
        <v>358</v>
      </c>
      <c r="M217" s="102"/>
      <c r="N217" s="102"/>
      <c r="O217" s="102"/>
      <c r="P217" s="8"/>
      <c r="Q217" s="98"/>
      <c r="S217" s="60"/>
    </row>
    <row r="218" spans="1:19" s="10" customFormat="1" ht="23.25">
      <c r="A218" s="8"/>
      <c r="C218" s="11"/>
      <c r="D218" s="11"/>
      <c r="E218" s="11"/>
      <c r="F218" s="11"/>
      <c r="G218" s="11"/>
      <c r="H218" s="11"/>
      <c r="I218" s="11"/>
      <c r="J218" s="11"/>
      <c r="K218" s="11"/>
      <c r="L218" s="11"/>
      <c r="M218" s="11"/>
      <c r="N218" s="8"/>
      <c r="O218" s="8"/>
      <c r="P218" s="8"/>
      <c r="Q218" s="98"/>
      <c r="S218" s="60"/>
    </row>
    <row r="219" spans="1:20" s="56" customFormat="1" ht="26.25">
      <c r="A219" s="55"/>
      <c r="D219" s="57"/>
      <c r="E219" s="58"/>
      <c r="F219" s="58"/>
      <c r="G219" s="58"/>
      <c r="H219" s="58"/>
      <c r="I219" s="58"/>
      <c r="J219" s="58"/>
      <c r="K219" s="58"/>
      <c r="L219" s="58"/>
      <c r="M219" s="58"/>
      <c r="N219" s="58"/>
      <c r="O219" s="58"/>
      <c r="P219" s="58"/>
      <c r="Q219" s="98"/>
      <c r="R219" s="58"/>
      <c r="S219" s="59"/>
      <c r="T219" s="58"/>
    </row>
    <row r="220" spans="1:20" s="56" customFormat="1" ht="26.25">
      <c r="A220" s="55"/>
      <c r="D220" s="57"/>
      <c r="E220" s="58"/>
      <c r="F220" s="58"/>
      <c r="G220" s="58"/>
      <c r="H220" s="58"/>
      <c r="I220" s="58"/>
      <c r="J220" s="58"/>
      <c r="K220" s="58"/>
      <c r="L220" s="58"/>
      <c r="M220" s="58"/>
      <c r="N220" s="58"/>
      <c r="O220" s="58"/>
      <c r="P220" s="58"/>
      <c r="Q220" s="98"/>
      <c r="R220" s="58"/>
      <c r="S220" s="59"/>
      <c r="T220" s="58"/>
    </row>
    <row r="221" spans="1:19" s="7" customFormat="1" ht="26.25">
      <c r="A221" s="6"/>
      <c r="B221" s="16"/>
      <c r="C221" s="8"/>
      <c r="D221" s="8"/>
      <c r="E221" s="8"/>
      <c r="F221" s="8"/>
      <c r="G221" s="8"/>
      <c r="H221" s="13"/>
      <c r="I221" s="8"/>
      <c r="J221" s="8"/>
      <c r="K221" s="8"/>
      <c r="L221" s="8"/>
      <c r="M221" s="8"/>
      <c r="N221" s="8"/>
      <c r="O221" s="8"/>
      <c r="P221" s="6"/>
      <c r="Q221" s="98"/>
      <c r="S221" s="59"/>
    </row>
    <row r="222" spans="17:19" ht="26.25">
      <c r="Q222" s="98"/>
      <c r="S222" s="59"/>
    </row>
    <row r="223" spans="17:19" ht="26.25">
      <c r="Q223" s="98"/>
      <c r="S223" s="59"/>
    </row>
    <row r="224" spans="17:19" ht="26.25">
      <c r="Q224" s="98"/>
      <c r="S224" s="59"/>
    </row>
    <row r="225" ht="12.75">
      <c r="Q225" s="98"/>
    </row>
    <row r="226" spans="8:17" ht="12.75">
      <c r="H226" s="72"/>
      <c r="Q226" s="98"/>
    </row>
    <row r="227" ht="12.75">
      <c r="Q227" s="98"/>
    </row>
    <row r="228" ht="12.75">
      <c r="Q228" s="98"/>
    </row>
    <row r="229" ht="12.75">
      <c r="Q229" s="86"/>
    </row>
    <row r="230" ht="12.75">
      <c r="Q230" s="86"/>
    </row>
    <row r="231" ht="12.75">
      <c r="Q231" s="86"/>
    </row>
    <row r="232" ht="12.75">
      <c r="Q232" s="86"/>
    </row>
    <row r="233" ht="12.75">
      <c r="Q233" s="86"/>
    </row>
    <row r="234" ht="12.75">
      <c r="Q234" s="86"/>
    </row>
    <row r="235" ht="12.75">
      <c r="Q235" s="86"/>
    </row>
    <row r="236" ht="12.75">
      <c r="Q236" s="86"/>
    </row>
  </sheetData>
  <sheetProtection/>
  <mergeCells count="36">
    <mergeCell ref="L3:P3"/>
    <mergeCell ref="D7:D10"/>
    <mergeCell ref="E8:E10"/>
    <mergeCell ref="E7:I7"/>
    <mergeCell ref="H9:H10"/>
    <mergeCell ref="M9:M10"/>
    <mergeCell ref="L217:O217"/>
    <mergeCell ref="B217:I217"/>
    <mergeCell ref="N8:N10"/>
    <mergeCell ref="G8:H8"/>
    <mergeCell ref="L1:O1"/>
    <mergeCell ref="B5:P5"/>
    <mergeCell ref="B7:B10"/>
    <mergeCell ref="C7:C10"/>
    <mergeCell ref="J7:O7"/>
    <mergeCell ref="P7:P10"/>
    <mergeCell ref="L8:M8"/>
    <mergeCell ref="Q51:Q76"/>
    <mergeCell ref="F8:F10"/>
    <mergeCell ref="G9:G10"/>
    <mergeCell ref="O9:O10"/>
    <mergeCell ref="K8:K10"/>
    <mergeCell ref="I8:I10"/>
    <mergeCell ref="J8:J10"/>
    <mergeCell ref="L9:L10"/>
    <mergeCell ref="Q1:Q27"/>
    <mergeCell ref="Q28:Q50"/>
    <mergeCell ref="Q77:Q90"/>
    <mergeCell ref="Q91:Q94"/>
    <mergeCell ref="Q95:Q102"/>
    <mergeCell ref="Q103:Q125"/>
    <mergeCell ref="Q126:Q144"/>
    <mergeCell ref="Q145:Q169"/>
    <mergeCell ref="Q170:Q192"/>
    <mergeCell ref="Q193:Q211"/>
    <mergeCell ref="Q212:Q228"/>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5" r:id="rId1"/>
  <headerFooter alignWithMargins="0">
    <oddHeader>&amp;R&amp;18Продовження додатку 4</oddHeader>
  </headerFooter>
  <rowBreaks count="1" manualBreakCount="1">
    <brk id="211"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2016-04-21T11:36:58Z</cp:lastPrinted>
  <dcterms:created xsi:type="dcterms:W3CDTF">2014-01-17T10:52:16Z</dcterms:created>
  <dcterms:modified xsi:type="dcterms:W3CDTF">2016-04-21T11:37:17Z</dcterms:modified>
  <cp:category/>
  <cp:version/>
  <cp:contentType/>
  <cp:contentStatus/>
</cp:coreProperties>
</file>