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Поддубная\2023\Програма Охорона здоров'я 2023\НА СЕСІЮ НОВА\на раду\"/>
    </mc:Choice>
  </mc:AlternateContent>
  <bookViews>
    <workbookView xWindow="0" yWindow="0" windowWidth="20490" windowHeight="7605" tabRatio="1000" firstSheet="1" activeTab="1"/>
  </bookViews>
  <sheets>
    <sheet name="Додаток 1" sheetId="10" state="hidden" r:id="rId1"/>
    <sheet name="Дод.3" sheetId="25" r:id="rId2"/>
    <sheet name="Дод.4" sheetId="14" r:id="rId3"/>
    <sheet name="порівняльна1" sheetId="35" r:id="rId4"/>
    <sheet name="порівняльна2" sheetId="34" r:id="rId5"/>
  </sheets>
  <definedNames>
    <definedName name="_xlnm._FilterDatabase" localSheetId="1" hidden="1">Дод.3!$A$7:$L$454</definedName>
    <definedName name="_xlnm.Print_Titles" localSheetId="1">Дод.3!$7:$10</definedName>
    <definedName name="_xlnm.Print_Titles" localSheetId="2">Дод.4!$7:$11</definedName>
    <definedName name="_xlnm.Print_Area" localSheetId="1">Дод.3!$A$1:$L$456</definedName>
    <definedName name="_xlnm.Print_Area" localSheetId="2">Дод.4!$A$1:$K$543</definedName>
    <definedName name="_xlnm.Print_Area" localSheetId="0">'Додаток 1'!$A$1:$C$28</definedName>
    <definedName name="_xlnm.Print_Area" localSheetId="3">порівняльна1!$A$1:$I$32</definedName>
  </definedNames>
  <calcPr calcId="152511"/>
</workbook>
</file>

<file path=xl/calcChain.xml><?xml version="1.0" encoding="utf-8"?>
<calcChain xmlns="http://schemas.openxmlformats.org/spreadsheetml/2006/main">
  <c r="F538" i="14" l="1"/>
  <c r="F537" i="14"/>
  <c r="H538" i="14"/>
  <c r="H537" i="14"/>
  <c r="F535" i="14"/>
  <c r="H532" i="14"/>
  <c r="F532" i="14" s="1"/>
  <c r="H531" i="14"/>
  <c r="F531" i="14" s="1"/>
  <c r="H488" i="14"/>
  <c r="H494" i="14" s="1"/>
  <c r="F488" i="14" l="1"/>
  <c r="F492" i="14"/>
  <c r="H489" i="14"/>
  <c r="H495" i="14" l="1"/>
  <c r="F495" i="14" s="1"/>
  <c r="F489" i="14"/>
  <c r="J201" i="25"/>
  <c r="J195" i="25"/>
  <c r="H454" i="14" l="1"/>
  <c r="H407" i="14" s="1"/>
  <c r="F14" i="35"/>
  <c r="H183" i="25"/>
  <c r="H184" i="25"/>
  <c r="F454" i="14" l="1"/>
  <c r="F20" i="35"/>
  <c r="F19" i="35"/>
  <c r="F17" i="35"/>
  <c r="F21" i="35" l="1"/>
  <c r="F18" i="35"/>
  <c r="F16" i="35"/>
  <c r="F15" i="35"/>
  <c r="F13" i="35"/>
  <c r="F12" i="35"/>
  <c r="F11" i="35"/>
  <c r="F10" i="35"/>
  <c r="F9" i="35"/>
  <c r="F8" i="35"/>
  <c r="J228" i="25" l="1"/>
  <c r="I50" i="14" l="1"/>
  <c r="I49" i="14"/>
  <c r="I48" i="14"/>
  <c r="F50" i="14"/>
  <c r="F49" i="14"/>
  <c r="F48" i="14"/>
  <c r="J34" i="25"/>
  <c r="K34" i="25"/>
  <c r="K33" i="25"/>
  <c r="J33" i="25"/>
  <c r="H31" i="25"/>
  <c r="H30" i="25"/>
  <c r="J29" i="25"/>
  <c r="G46" i="14" s="1"/>
  <c r="K29" i="25"/>
  <c r="J46" i="14" s="1"/>
  <c r="I29" i="25"/>
  <c r="H26" i="25"/>
  <c r="H25" i="25"/>
  <c r="I24" i="25"/>
  <c r="K24" i="25"/>
  <c r="J24" i="25"/>
  <c r="G45" i="14" s="1"/>
  <c r="H23" i="25"/>
  <c r="J21" i="25"/>
  <c r="G44" i="14" s="1"/>
  <c r="K21" i="25"/>
  <c r="J44" i="14" s="1"/>
  <c r="I21" i="25"/>
  <c r="J52" i="14" l="1"/>
  <c r="I52" i="14" s="1"/>
  <c r="I44" i="14"/>
  <c r="H24" i="25"/>
  <c r="J45" i="14"/>
  <c r="G54" i="14"/>
  <c r="F54" i="14" s="1"/>
  <c r="F46" i="14"/>
  <c r="G43" i="14"/>
  <c r="F43" i="14" s="1"/>
  <c r="F44" i="14"/>
  <c r="G52" i="14"/>
  <c r="F52" i="14" s="1"/>
  <c r="G53" i="14"/>
  <c r="F53" i="14" s="1"/>
  <c r="F45" i="14"/>
  <c r="J54" i="14"/>
  <c r="I54" i="14" s="1"/>
  <c r="I46" i="14"/>
  <c r="H29" i="25"/>
  <c r="H21" i="25"/>
  <c r="K216" i="25"/>
  <c r="K227" i="25"/>
  <c r="K262" i="25"/>
  <c r="J280" i="25"/>
  <c r="H258" i="25"/>
  <c r="H259" i="25"/>
  <c r="H260" i="25"/>
  <c r="H261" i="25"/>
  <c r="H263" i="25"/>
  <c r="H257" i="25"/>
  <c r="K252" i="25"/>
  <c r="J53" i="14" l="1"/>
  <c r="I53" i="14" s="1"/>
  <c r="I45" i="14"/>
  <c r="J43" i="14"/>
  <c r="J256" i="25"/>
  <c r="J182" i="25"/>
  <c r="J163" i="25"/>
  <c r="J162" i="25"/>
  <c r="J161" i="25"/>
  <c r="J83" i="25"/>
  <c r="J64" i="25"/>
  <c r="J185" i="25" l="1"/>
  <c r="I43" i="14"/>
  <c r="J56" i="14"/>
  <c r="I56" i="14" s="1"/>
  <c r="J252" i="25"/>
  <c r="H252" i="25" s="1"/>
  <c r="J262" i="25"/>
  <c r="K122" i="25" l="1"/>
  <c r="J122" i="25"/>
  <c r="I375" i="14"/>
  <c r="F375" i="14"/>
  <c r="C274" i="14" l="1"/>
  <c r="I469" i="14" l="1"/>
  <c r="C159" i="14"/>
  <c r="C160" i="14"/>
  <c r="C161" i="14"/>
  <c r="C167" i="14"/>
  <c r="D157" i="14"/>
  <c r="D165" i="14" s="1"/>
  <c r="C165" i="14" s="1"/>
  <c r="D156" i="14"/>
  <c r="C156" i="14" s="1"/>
  <c r="D155" i="14"/>
  <c r="D163" i="14" s="1"/>
  <c r="C163" i="14" s="1"/>
  <c r="D143" i="14"/>
  <c r="F534" i="14"/>
  <c r="E523" i="14"/>
  <c r="E505" i="14"/>
  <c r="C505" i="14" s="1"/>
  <c r="F516" i="14"/>
  <c r="F520" i="14"/>
  <c r="E474" i="14"/>
  <c r="I491" i="14"/>
  <c r="F491" i="14"/>
  <c r="E460" i="14"/>
  <c r="C157" i="14" l="1"/>
  <c r="C155" i="14"/>
  <c r="D164" i="14"/>
  <c r="C164" i="14" s="1"/>
  <c r="E509" i="14"/>
  <c r="F469" i="14"/>
  <c r="E454" i="14" l="1"/>
  <c r="E407" i="14" s="1"/>
  <c r="D447" i="14" l="1"/>
  <c r="D411" i="14"/>
  <c r="I430" i="14"/>
  <c r="I431" i="14"/>
  <c r="I432" i="14"/>
  <c r="I434" i="14"/>
  <c r="I435" i="14"/>
  <c r="I437" i="14"/>
  <c r="I438" i="14"/>
  <c r="I439" i="14"/>
  <c r="I440" i="14"/>
  <c r="F430" i="14"/>
  <c r="F431" i="14"/>
  <c r="F432" i="14"/>
  <c r="F434" i="14"/>
  <c r="F435" i="14"/>
  <c r="F437" i="14"/>
  <c r="F438" i="14"/>
  <c r="F439" i="14"/>
  <c r="F440" i="14"/>
  <c r="J444" i="14"/>
  <c r="I444" i="14" s="1"/>
  <c r="J443" i="14"/>
  <c r="I443" i="14" s="1"/>
  <c r="J442" i="14"/>
  <c r="I442" i="14" s="1"/>
  <c r="J433" i="14"/>
  <c r="I433" i="14" s="1"/>
  <c r="G444" i="14"/>
  <c r="F444" i="14" s="1"/>
  <c r="G443" i="14"/>
  <c r="F443" i="14" s="1"/>
  <c r="G442" i="14"/>
  <c r="F442" i="14" s="1"/>
  <c r="G433" i="14"/>
  <c r="F433" i="14" s="1"/>
  <c r="G429" i="14"/>
  <c r="F397" i="14"/>
  <c r="F398" i="14"/>
  <c r="F401" i="14"/>
  <c r="F404" i="14"/>
  <c r="F405" i="14"/>
  <c r="D382" i="14"/>
  <c r="J395" i="14"/>
  <c r="I395" i="14" s="1"/>
  <c r="G395" i="14"/>
  <c r="F395" i="14" s="1"/>
  <c r="D364" i="14"/>
  <c r="C364" i="14" s="1"/>
  <c r="I349" i="14"/>
  <c r="I350" i="14"/>
  <c r="I351" i="14"/>
  <c r="I353" i="14"/>
  <c r="I354" i="14"/>
  <c r="I355" i="14"/>
  <c r="J358" i="14"/>
  <c r="I358" i="14" s="1"/>
  <c r="J359" i="14"/>
  <c r="I359" i="14" s="1"/>
  <c r="J357" i="14"/>
  <c r="I357" i="14" s="1"/>
  <c r="F349" i="14"/>
  <c r="F350" i="14"/>
  <c r="F351" i="14"/>
  <c r="F353" i="14"/>
  <c r="F354" i="14"/>
  <c r="F355" i="14"/>
  <c r="G359" i="14"/>
  <c r="F359" i="14" s="1"/>
  <c r="G358" i="14"/>
  <c r="F358" i="14" s="1"/>
  <c r="G357" i="14"/>
  <c r="F357" i="14" s="1"/>
  <c r="D332" i="14"/>
  <c r="I325" i="14"/>
  <c r="F325" i="14"/>
  <c r="D314" i="14"/>
  <c r="I303" i="14"/>
  <c r="I307" i="14"/>
  <c r="F303" i="14"/>
  <c r="F307" i="14"/>
  <c r="J301" i="14"/>
  <c r="I301" i="14" s="1"/>
  <c r="G301" i="14"/>
  <c r="F301" i="14" s="1"/>
  <c r="D291" i="14"/>
  <c r="D298" i="14" s="1"/>
  <c r="I278" i="14"/>
  <c r="I279" i="14"/>
  <c r="I280" i="14"/>
  <c r="I282" i="14"/>
  <c r="I283" i="14"/>
  <c r="I285" i="14"/>
  <c r="I286" i="14"/>
  <c r="I287" i="14"/>
  <c r="I288" i="14"/>
  <c r="F278" i="14"/>
  <c r="F279" i="14"/>
  <c r="F280" i="14"/>
  <c r="F282" i="14"/>
  <c r="F283" i="14"/>
  <c r="F286" i="14"/>
  <c r="F288" i="14"/>
  <c r="G287" i="14"/>
  <c r="F287" i="14" s="1"/>
  <c r="D273" i="14"/>
  <c r="J277" i="14"/>
  <c r="I277" i="14" s="1"/>
  <c r="G277" i="14"/>
  <c r="F277" i="14" s="1"/>
  <c r="D263" i="14"/>
  <c r="I122" i="25"/>
  <c r="J121" i="25"/>
  <c r="K121" i="25"/>
  <c r="I121" i="25"/>
  <c r="H120" i="25"/>
  <c r="H119" i="25"/>
  <c r="H118" i="25"/>
  <c r="D79" i="14"/>
  <c r="C257" i="14"/>
  <c r="D255" i="14"/>
  <c r="D259" i="14" s="1"/>
  <c r="C259" i="14" s="1"/>
  <c r="F247" i="14"/>
  <c r="F251" i="14"/>
  <c r="I247" i="14"/>
  <c r="I251" i="14"/>
  <c r="J245" i="14"/>
  <c r="I245" i="14" s="1"/>
  <c r="G245" i="14"/>
  <c r="D235" i="14"/>
  <c r="D239" i="14" s="1"/>
  <c r="J116" i="25"/>
  <c r="K116" i="25"/>
  <c r="I116" i="25"/>
  <c r="J115" i="25"/>
  <c r="K115" i="25"/>
  <c r="I115" i="25"/>
  <c r="H113" i="25"/>
  <c r="H111" i="25"/>
  <c r="H121" i="25" l="1"/>
  <c r="D310" i="14"/>
  <c r="F429" i="14"/>
  <c r="G407" i="14"/>
  <c r="D407" i="14"/>
  <c r="B395" i="14"/>
  <c r="B364" i="14"/>
  <c r="B277" i="14"/>
  <c r="B301" i="14"/>
  <c r="G305" i="14"/>
  <c r="F305" i="14" s="1"/>
  <c r="G308" i="14"/>
  <c r="F308" i="14" s="1"/>
  <c r="J305" i="14"/>
  <c r="I305" i="14" s="1"/>
  <c r="J308" i="14"/>
  <c r="I308" i="14" s="1"/>
  <c r="C255" i="14"/>
  <c r="B255" i="14" s="1"/>
  <c r="G252" i="14"/>
  <c r="F252" i="14" s="1"/>
  <c r="J249" i="14"/>
  <c r="I249" i="14" s="1"/>
  <c r="J252" i="14"/>
  <c r="I252" i="14" s="1"/>
  <c r="F245" i="14"/>
  <c r="B245" i="14" s="1"/>
  <c r="G249" i="14"/>
  <c r="F249" i="14" s="1"/>
  <c r="D242" i="14"/>
  <c r="F197" i="14"/>
  <c r="C115" i="14" l="1"/>
  <c r="C114" i="14"/>
  <c r="C122" i="14"/>
  <c r="D111" i="14"/>
  <c r="C111" i="14" s="1"/>
  <c r="D46" i="14"/>
  <c r="D45" i="14"/>
  <c r="D44" i="14"/>
  <c r="D52" i="14" l="1"/>
  <c r="D43" i="14"/>
  <c r="D118" i="14"/>
  <c r="C118" i="14" s="1"/>
  <c r="D109" i="14"/>
  <c r="C109" i="14" s="1"/>
  <c r="B109" i="14" s="1"/>
  <c r="D119" i="14"/>
  <c r="C119" i="14" s="1"/>
  <c r="I279" i="25"/>
  <c r="I321" i="25" s="1"/>
  <c r="K279" i="25"/>
  <c r="K321" i="25" s="1"/>
  <c r="J285" i="25"/>
  <c r="K285" i="25"/>
  <c r="I281" i="25"/>
  <c r="J281" i="25"/>
  <c r="K281" i="25"/>
  <c r="I280" i="25"/>
  <c r="K280" i="25"/>
  <c r="I276" i="25"/>
  <c r="J276" i="25"/>
  <c r="K276" i="25"/>
  <c r="D56" i="14" l="1"/>
  <c r="G56" i="14"/>
  <c r="F56" i="14" s="1"/>
  <c r="I275" i="25"/>
  <c r="J275" i="25"/>
  <c r="K275" i="25"/>
  <c r="I274" i="25"/>
  <c r="J274" i="25"/>
  <c r="K274" i="25"/>
  <c r="I273" i="25"/>
  <c r="K273" i="25"/>
  <c r="I272" i="25"/>
  <c r="J272" i="25"/>
  <c r="K272" i="25"/>
  <c r="K271" i="25"/>
  <c r="I270" i="25"/>
  <c r="J270" i="25"/>
  <c r="K270" i="25"/>
  <c r="I268" i="25"/>
  <c r="J268" i="25"/>
  <c r="K268" i="25"/>
  <c r="I267" i="25"/>
  <c r="I290" i="25" s="1"/>
  <c r="J267" i="25"/>
  <c r="J290" i="25" s="1"/>
  <c r="K267" i="25"/>
  <c r="K290" i="25" s="1"/>
  <c r="K269" i="25"/>
  <c r="J269" i="25"/>
  <c r="I269" i="25"/>
  <c r="I266" i="25"/>
  <c r="I285" i="25" s="1"/>
  <c r="H248" i="25"/>
  <c r="H249" i="25"/>
  <c r="H250" i="25"/>
  <c r="H251" i="25"/>
  <c r="H247" i="25"/>
  <c r="H234" i="25"/>
  <c r="H270" i="25" s="1"/>
  <c r="H235" i="25"/>
  <c r="H272" i="25" s="1"/>
  <c r="H236" i="25"/>
  <c r="H237" i="25"/>
  <c r="H238" i="25"/>
  <c r="H239" i="25"/>
  <c r="H233" i="25"/>
  <c r="H215" i="25"/>
  <c r="H207" i="25"/>
  <c r="H208" i="25"/>
  <c r="H209" i="25"/>
  <c r="H210" i="25"/>
  <c r="H211" i="25"/>
  <c r="H212" i="25"/>
  <c r="H213" i="25"/>
  <c r="H214" i="25"/>
  <c r="H206" i="25"/>
  <c r="H190" i="25"/>
  <c r="H191" i="25"/>
  <c r="H281" i="25" s="1"/>
  <c r="H192" i="25"/>
  <c r="H193" i="25"/>
  <c r="H189" i="25"/>
  <c r="H187" i="25"/>
  <c r="K187" i="25"/>
  <c r="K322" i="25" s="1"/>
  <c r="K451" i="25" s="1"/>
  <c r="J187" i="25"/>
  <c r="J322" i="25" s="1"/>
  <c r="I187" i="25"/>
  <c r="I322" i="25" s="1"/>
  <c r="I186" i="25"/>
  <c r="I185" i="25"/>
  <c r="H181" i="25"/>
  <c r="K179" i="25"/>
  <c r="J179" i="25"/>
  <c r="I179" i="25"/>
  <c r="K178" i="25"/>
  <c r="J178" i="25"/>
  <c r="I178" i="25"/>
  <c r="J177" i="25"/>
  <c r="K177" i="25"/>
  <c r="I177" i="25"/>
  <c r="K176" i="25"/>
  <c r="I176" i="25"/>
  <c r="K175" i="25"/>
  <c r="J175" i="25"/>
  <c r="I175" i="25"/>
  <c r="K174" i="25"/>
  <c r="I174" i="25"/>
  <c r="K173" i="25"/>
  <c r="I173" i="25"/>
  <c r="I172" i="25"/>
  <c r="H170" i="25"/>
  <c r="H165" i="25"/>
  <c r="H166" i="25"/>
  <c r="H164" i="25"/>
  <c r="H157" i="25"/>
  <c r="H158" i="25"/>
  <c r="H159" i="25"/>
  <c r="H156" i="25"/>
  <c r="H153" i="25"/>
  <c r="H149" i="25"/>
  <c r="H150" i="25"/>
  <c r="H151" i="25"/>
  <c r="H148" i="25"/>
  <c r="H287" i="25" l="1"/>
  <c r="H322" i="25"/>
  <c r="H266" i="25"/>
  <c r="H285" i="25" s="1"/>
  <c r="H117" i="25"/>
  <c r="H122" i="25" s="1"/>
  <c r="H110" i="25"/>
  <c r="H116" i="25" s="1"/>
  <c r="J109" i="25"/>
  <c r="K109" i="25"/>
  <c r="I109" i="25"/>
  <c r="J107" i="25"/>
  <c r="K107" i="25"/>
  <c r="I107" i="25"/>
  <c r="J106" i="25"/>
  <c r="K106" i="25"/>
  <c r="K104" i="25"/>
  <c r="J102" i="25"/>
  <c r="K102" i="25"/>
  <c r="I102" i="25"/>
  <c r="K100" i="25"/>
  <c r="J100" i="25"/>
  <c r="I100" i="25"/>
  <c r="J98" i="25"/>
  <c r="I98" i="25"/>
  <c r="I127" i="25" s="1"/>
  <c r="I289" i="25" s="1"/>
  <c r="J95" i="25"/>
  <c r="K95" i="25"/>
  <c r="I95" i="25"/>
  <c r="K94" i="25"/>
  <c r="I396" i="25" l="1"/>
  <c r="I288" i="25"/>
  <c r="I86" i="25"/>
  <c r="D204" i="14" s="1"/>
  <c r="H87" i="25"/>
  <c r="H88" i="25"/>
  <c r="K82" i="25"/>
  <c r="J195" i="14" s="1"/>
  <c r="I195" i="14" s="1"/>
  <c r="H81" i="25"/>
  <c r="I80" i="25"/>
  <c r="I106" i="25" s="1"/>
  <c r="I79" i="25"/>
  <c r="H79" i="25" s="1"/>
  <c r="J71" i="25"/>
  <c r="K71" i="25"/>
  <c r="I71" i="25"/>
  <c r="D153" i="14" s="1"/>
  <c r="C153" i="14" s="1"/>
  <c r="B153" i="14" s="1"/>
  <c r="H76" i="25"/>
  <c r="H74" i="25"/>
  <c r="H72" i="25"/>
  <c r="I78" i="25" l="1"/>
  <c r="H86" i="25"/>
  <c r="H107" i="25"/>
  <c r="H95" i="25"/>
  <c r="H80" i="25"/>
  <c r="J65" i="25"/>
  <c r="K65" i="25"/>
  <c r="I65" i="25"/>
  <c r="H67" i="25"/>
  <c r="H66" i="25"/>
  <c r="H53" i="25"/>
  <c r="H54" i="25"/>
  <c r="H55" i="25"/>
  <c r="H56" i="25"/>
  <c r="H57" i="25"/>
  <c r="H52" i="25"/>
  <c r="H22" i="25"/>
  <c r="H78" i="25" l="1"/>
  <c r="D186" i="14"/>
  <c r="J58" i="25"/>
  <c r="K58" i="25"/>
  <c r="H48" i="25"/>
  <c r="C454" i="14" l="1"/>
  <c r="B454" i="14" s="1"/>
  <c r="E462" i="14"/>
  <c r="F147" i="14"/>
  <c r="C146" i="14"/>
  <c r="G143" i="14"/>
  <c r="G146" i="14"/>
  <c r="F146" i="14" s="1"/>
  <c r="J246" i="25" l="1"/>
  <c r="H69" i="25"/>
  <c r="J279" i="25" l="1"/>
  <c r="J321" i="25" s="1"/>
  <c r="J186" i="25"/>
  <c r="H83" i="25"/>
  <c r="J82" i="25"/>
  <c r="G195" i="14" s="1"/>
  <c r="C480" i="14"/>
  <c r="E475" i="14"/>
  <c r="E483" i="14" s="1"/>
  <c r="E476" i="14"/>
  <c r="E484" i="14" s="1"/>
  <c r="G199" i="14" l="1"/>
  <c r="F199" i="14" s="1"/>
  <c r="F195" i="14"/>
  <c r="B195" i="14" s="1"/>
  <c r="K487" i="14"/>
  <c r="H228" i="25"/>
  <c r="H280" i="25" l="1"/>
  <c r="I487" i="14"/>
  <c r="K494" i="14"/>
  <c r="I494" i="14" s="1"/>
  <c r="J323" i="25"/>
  <c r="J452" i="25" s="1"/>
  <c r="K323" i="25"/>
  <c r="K452" i="25" s="1"/>
  <c r="I323" i="25"/>
  <c r="I452" i="25" s="1"/>
  <c r="H323" i="25"/>
  <c r="H452" i="25" s="1"/>
  <c r="J202" i="25" l="1"/>
  <c r="J194" i="25" s="1"/>
  <c r="J221" i="25"/>
  <c r="J51" i="25"/>
  <c r="J227" i="25" l="1"/>
  <c r="J271" i="25"/>
  <c r="J300" i="25" s="1"/>
  <c r="J216" i="25"/>
  <c r="H487" i="14" s="1"/>
  <c r="H467" i="14"/>
  <c r="J273" i="25"/>
  <c r="J304" i="25" s="1"/>
  <c r="J94" i="25"/>
  <c r="J104" i="25"/>
  <c r="K394" i="25"/>
  <c r="K287" i="25"/>
  <c r="J287" i="25"/>
  <c r="I287" i="25"/>
  <c r="F494" i="14" l="1"/>
  <c r="F487" i="14"/>
  <c r="B487" i="14" s="1"/>
  <c r="F467" i="14"/>
  <c r="H471" i="14"/>
  <c r="F471" i="14" s="1"/>
  <c r="I451" i="25"/>
  <c r="I394" i="25"/>
  <c r="J451" i="25"/>
  <c r="J394" i="25"/>
  <c r="H451" i="25" l="1"/>
  <c r="H394" i="25"/>
  <c r="J125" i="25" l="1"/>
  <c r="J286" i="25" s="1"/>
  <c r="K144" i="25"/>
  <c r="K306" i="25" s="1"/>
  <c r="I125" i="25"/>
  <c r="I286" i="25" s="1"/>
  <c r="H85" i="25"/>
  <c r="K105" i="25" l="1"/>
  <c r="K125" i="25"/>
  <c r="K286" i="25" s="1"/>
  <c r="J105" i="25"/>
  <c r="K393" i="25"/>
  <c r="K427" i="25"/>
  <c r="J144" i="25"/>
  <c r="J306" i="25" s="1"/>
  <c r="I144" i="25"/>
  <c r="I306" i="25" s="1"/>
  <c r="H144" i="25"/>
  <c r="H306" i="25" s="1"/>
  <c r="H125" i="25"/>
  <c r="H286" i="25" s="1"/>
  <c r="I427" i="25" l="1"/>
  <c r="I393" i="25"/>
  <c r="J427" i="25"/>
  <c r="J393" i="25"/>
  <c r="H393" i="25"/>
  <c r="H427" i="25"/>
  <c r="C449" i="14" l="1"/>
  <c r="C447" i="14"/>
  <c r="G127" i="14"/>
  <c r="F127" i="14" s="1"/>
  <c r="G128" i="14"/>
  <c r="F128" i="14" s="1"/>
  <c r="D451" i="14" l="1"/>
  <c r="C451" i="14" s="1"/>
  <c r="G136" i="14"/>
  <c r="F136" i="14" s="1"/>
  <c r="I146" i="25"/>
  <c r="K146" i="25"/>
  <c r="J108" i="25"/>
  <c r="H64" i="25"/>
  <c r="H109" i="25" s="1"/>
  <c r="I51" i="25"/>
  <c r="K145" i="25" l="1"/>
  <c r="I145" i="25"/>
  <c r="I320" i="25"/>
  <c r="I319" i="25" s="1"/>
  <c r="I94" i="25"/>
  <c r="I93" i="25" s="1"/>
  <c r="I104" i="25"/>
  <c r="J146" i="25"/>
  <c r="C407" i="14"/>
  <c r="I108" i="25"/>
  <c r="H146" i="25"/>
  <c r="K108" i="25"/>
  <c r="J392" i="25"/>
  <c r="J418" i="25" s="1"/>
  <c r="K392" i="25"/>
  <c r="K418" i="25" s="1"/>
  <c r="I392" i="25"/>
  <c r="I418" i="25" s="1"/>
  <c r="J363" i="25"/>
  <c r="I363" i="25"/>
  <c r="H364" i="25"/>
  <c r="J375" i="25"/>
  <c r="I375" i="25"/>
  <c r="I389" i="25"/>
  <c r="K375" i="25"/>
  <c r="I332" i="25"/>
  <c r="I326" i="25"/>
  <c r="H339" i="25"/>
  <c r="H335" i="25"/>
  <c r="J145" i="25" l="1"/>
  <c r="J320" i="25"/>
  <c r="J319" i="25" s="1"/>
  <c r="H145" i="25"/>
  <c r="H108" i="25"/>
  <c r="C411" i="14"/>
  <c r="H380" i="25"/>
  <c r="D333" i="14" l="1"/>
  <c r="D339" i="14"/>
  <c r="D334" i="14"/>
  <c r="D338" i="14"/>
  <c r="D337" i="14"/>
  <c r="D335" i="14"/>
  <c r="D425" i="14"/>
  <c r="J169" i="25" l="1"/>
  <c r="J176" i="25" s="1"/>
  <c r="J168" i="25"/>
  <c r="G130" i="14"/>
  <c r="G144" i="14"/>
  <c r="F143" i="14"/>
  <c r="H63" i="25"/>
  <c r="J174" i="25" l="1"/>
  <c r="J173" i="25"/>
  <c r="G150" i="14"/>
  <c r="F150" i="14" s="1"/>
  <c r="F144" i="14"/>
  <c r="G149" i="14"/>
  <c r="F149" i="14" s="1"/>
  <c r="K98" i="25"/>
  <c r="H62" i="25"/>
  <c r="H114" i="25" l="1"/>
  <c r="H84" i="25" l="1"/>
  <c r="H82" i="25" s="1"/>
  <c r="I105" i="25"/>
  <c r="H105" i="25" s="1"/>
  <c r="B447" i="14" l="1"/>
  <c r="G220" i="14"/>
  <c r="F224" i="14"/>
  <c r="F223" i="14"/>
  <c r="F221" i="14"/>
  <c r="F229" i="14"/>
  <c r="F227" i="14"/>
  <c r="F220" i="14" l="1"/>
  <c r="B220" i="14" s="1"/>
  <c r="H92" i="25"/>
  <c r="I305" i="25" l="1"/>
  <c r="I426" i="25" s="1"/>
  <c r="J305" i="25"/>
  <c r="J426" i="25" s="1"/>
  <c r="K305" i="25"/>
  <c r="K426" i="25" s="1"/>
  <c r="J301" i="25"/>
  <c r="J419" i="25" s="1"/>
  <c r="K301" i="25"/>
  <c r="K419" i="25" s="1"/>
  <c r="I301" i="25"/>
  <c r="I419" i="25" s="1"/>
  <c r="J297" i="25"/>
  <c r="J411" i="25" s="1"/>
  <c r="K297" i="25"/>
  <c r="K411" i="25" s="1"/>
  <c r="I297" i="25"/>
  <c r="I411" i="25" s="1"/>
  <c r="J391" i="25"/>
  <c r="K391" i="25"/>
  <c r="C525" i="14"/>
  <c r="I391" i="25" l="1"/>
  <c r="C392" i="14"/>
  <c r="C391" i="14"/>
  <c r="D389" i="14"/>
  <c r="C389" i="14" s="1"/>
  <c r="D388" i="14"/>
  <c r="C388" i="14" s="1"/>
  <c r="C386" i="14"/>
  <c r="C385" i="14"/>
  <c r="C384" i="14"/>
  <c r="D207" i="14"/>
  <c r="C207" i="14" s="1"/>
  <c r="J240" i="25"/>
  <c r="H514" i="14" s="1"/>
  <c r="K240" i="25"/>
  <c r="J127" i="25"/>
  <c r="J289" i="25" s="1"/>
  <c r="J396" i="25" s="1"/>
  <c r="K127" i="25"/>
  <c r="K289" i="25" s="1"/>
  <c r="H91" i="25"/>
  <c r="H90" i="25"/>
  <c r="J89" i="25"/>
  <c r="G212" i="14" s="1"/>
  <c r="K89" i="25"/>
  <c r="H530" i="14"/>
  <c r="H254" i="25"/>
  <c r="H255" i="25"/>
  <c r="H256" i="25"/>
  <c r="H253" i="25"/>
  <c r="E527" i="14"/>
  <c r="C527" i="14" s="1"/>
  <c r="H171" i="25"/>
  <c r="H175" i="25" s="1"/>
  <c r="I296" i="25"/>
  <c r="I408" i="25" s="1"/>
  <c r="H245" i="25"/>
  <c r="H246" i="25"/>
  <c r="H244" i="25"/>
  <c r="H243" i="25"/>
  <c r="H262" i="25" l="1"/>
  <c r="F530" i="14"/>
  <c r="B530" i="14" s="1"/>
  <c r="H518" i="14"/>
  <c r="F518" i="14" s="1"/>
  <c r="F514" i="14"/>
  <c r="B514" i="14" s="1"/>
  <c r="F212" i="14"/>
  <c r="B212" i="14" s="1"/>
  <c r="G217" i="14"/>
  <c r="F217" i="14" s="1"/>
  <c r="H274" i="25"/>
  <c r="H305" i="25" s="1"/>
  <c r="H426" i="25" s="1"/>
  <c r="H89" i="25"/>
  <c r="C523" i="14"/>
  <c r="D209" i="14"/>
  <c r="C209" i="14" s="1"/>
  <c r="C204" i="14"/>
  <c r="C507" i="14"/>
  <c r="H242" i="25"/>
  <c r="H301" i="25" s="1"/>
  <c r="H419" i="25" s="1"/>
  <c r="H241" i="25"/>
  <c r="C186" i="14"/>
  <c r="I230" i="25"/>
  <c r="I271" i="25" s="1"/>
  <c r="B204" i="14" l="1"/>
  <c r="B523" i="14"/>
  <c r="C190" i="14"/>
  <c r="B186" i="14"/>
  <c r="H297" i="25"/>
  <c r="H411" i="25" s="1"/>
  <c r="H240" i="25"/>
  <c r="C509" i="14" s="1"/>
  <c r="D190" i="14"/>
  <c r="J324" i="25"/>
  <c r="J453" i="25" s="1"/>
  <c r="K324" i="25"/>
  <c r="K453" i="25" s="1"/>
  <c r="K194" i="25"/>
  <c r="K467" i="14" s="1"/>
  <c r="H196" i="25"/>
  <c r="K471" i="14" l="1"/>
  <c r="I471" i="14" s="1"/>
  <c r="K456" i="14"/>
  <c r="I467" i="14"/>
  <c r="B467" i="14" s="1"/>
  <c r="B505" i="14"/>
  <c r="H324" i="25"/>
  <c r="H453" i="25" s="1"/>
  <c r="H391" i="25"/>
  <c r="I300" i="25"/>
  <c r="I414" i="25" s="1"/>
  <c r="I324" i="25"/>
  <c r="I453" i="25" s="1"/>
  <c r="J446" i="25"/>
  <c r="K446" i="25"/>
  <c r="I447" i="25"/>
  <c r="I446" i="25"/>
  <c r="I442" i="25"/>
  <c r="J442" i="25"/>
  <c r="K442" i="25"/>
  <c r="I404" i="25" l="1"/>
  <c r="J404" i="25"/>
  <c r="K404" i="25"/>
  <c r="H384" i="25" l="1"/>
  <c r="H447" i="25" s="1"/>
  <c r="H383" i="25"/>
  <c r="H442" i="25" s="1"/>
  <c r="K431" i="25"/>
  <c r="J447" i="25"/>
  <c r="K447" i="25"/>
  <c r="I441" i="25"/>
  <c r="J441" i="25"/>
  <c r="K441" i="25"/>
  <c r="I436" i="25"/>
  <c r="J436" i="25"/>
  <c r="K436" i="25"/>
  <c r="I437" i="25"/>
  <c r="J437" i="25"/>
  <c r="K437" i="25"/>
  <c r="I431" i="25"/>
  <c r="J431" i="25"/>
  <c r="I432" i="25"/>
  <c r="J432" i="25"/>
  <c r="K432" i="25"/>
  <c r="I423" i="25"/>
  <c r="J423" i="25"/>
  <c r="K423" i="25"/>
  <c r="I424" i="25"/>
  <c r="J424" i="25"/>
  <c r="K424" i="25"/>
  <c r="I416" i="25"/>
  <c r="J416" i="25"/>
  <c r="K416" i="25"/>
  <c r="I417" i="25"/>
  <c r="J417" i="25"/>
  <c r="K417" i="25"/>
  <c r="I409" i="25"/>
  <c r="J409" i="25"/>
  <c r="K409" i="25"/>
  <c r="I410" i="25"/>
  <c r="J410" i="25"/>
  <c r="K410" i="25"/>
  <c r="I405" i="25"/>
  <c r="J405" i="25"/>
  <c r="K405" i="25"/>
  <c r="I399" i="25"/>
  <c r="J399" i="25"/>
  <c r="K399" i="25"/>
  <c r="I400" i="25"/>
  <c r="J400" i="25"/>
  <c r="K400" i="25"/>
  <c r="D456" i="14"/>
  <c r="D426" i="14"/>
  <c r="C272" i="14"/>
  <c r="C99" i="14"/>
  <c r="D415" i="14" l="1"/>
  <c r="I97" i="14"/>
  <c r="I99" i="14"/>
  <c r="I100" i="14"/>
  <c r="I101" i="14"/>
  <c r="I102" i="14"/>
  <c r="I103" i="14"/>
  <c r="I106" i="14"/>
  <c r="I96" i="14"/>
  <c r="F96" i="14"/>
  <c r="F106" i="14"/>
  <c r="F103" i="14"/>
  <c r="F102" i="14"/>
  <c r="F100" i="14"/>
  <c r="F99" i="14"/>
  <c r="F97" i="14"/>
  <c r="C97" i="14"/>
  <c r="C100" i="14"/>
  <c r="C102" i="14"/>
  <c r="C103" i="14"/>
  <c r="C106" i="14"/>
  <c r="C96" i="14"/>
  <c r="C426" i="14"/>
  <c r="C425" i="14"/>
  <c r="D424" i="14"/>
  <c r="C424" i="14" s="1"/>
  <c r="C416" i="14"/>
  <c r="C417" i="14"/>
  <c r="C419" i="14"/>
  <c r="C420" i="14"/>
  <c r="C421" i="14"/>
  <c r="C422" i="14"/>
  <c r="C413" i="14"/>
  <c r="C415" i="14" l="1"/>
  <c r="C81" i="14"/>
  <c r="D83" i="14"/>
  <c r="I388" i="25" l="1"/>
  <c r="E15" i="14" l="1"/>
  <c r="H15" i="14"/>
  <c r="K15" i="14"/>
  <c r="C266" i="14"/>
  <c r="C268" i="14"/>
  <c r="C269" i="14"/>
  <c r="C265" i="14"/>
  <c r="D366" i="14"/>
  <c r="D316" i="14"/>
  <c r="J36" i="14"/>
  <c r="D36" i="14"/>
  <c r="C475" i="14"/>
  <c r="C479" i="14"/>
  <c r="F138" i="14"/>
  <c r="I138" i="14"/>
  <c r="I131" i="14"/>
  <c r="F131" i="14"/>
  <c r="I130" i="14"/>
  <c r="F130" i="14"/>
  <c r="C273" i="14" l="1"/>
  <c r="J95" i="14" l="1"/>
  <c r="G95" i="14"/>
  <c r="D95" i="14"/>
  <c r="J86" i="14"/>
  <c r="G86" i="14"/>
  <c r="F86" i="14" s="1"/>
  <c r="D86" i="14"/>
  <c r="C382" i="14" l="1"/>
  <c r="I86" i="14"/>
  <c r="J90" i="14"/>
  <c r="F95" i="14"/>
  <c r="I95" i="14"/>
  <c r="C95" i="14"/>
  <c r="C86" i="14"/>
  <c r="D90" i="14"/>
  <c r="G90" i="14"/>
  <c r="C263" i="14"/>
  <c r="J70" i="14"/>
  <c r="G70" i="14"/>
  <c r="D70" i="14"/>
  <c r="B382" i="14" l="1"/>
  <c r="D74" i="14"/>
  <c r="D76" i="14"/>
  <c r="C76" i="14" s="1"/>
  <c r="G74" i="14"/>
  <c r="G76" i="14"/>
  <c r="F76" i="14" s="1"/>
  <c r="J74" i="14"/>
  <c r="J76" i="14"/>
  <c r="I76" i="14" s="1"/>
  <c r="B86" i="14"/>
  <c r="B95" i="14"/>
  <c r="F70" i="14"/>
  <c r="B263" i="14"/>
  <c r="I70" i="14"/>
  <c r="C70" i="14"/>
  <c r="C79" i="14"/>
  <c r="H379" i="25"/>
  <c r="H417" i="25" l="1"/>
  <c r="C83" i="14"/>
  <c r="B79" i="14"/>
  <c r="B70" i="14"/>
  <c r="C74" i="14"/>
  <c r="H342" i="25"/>
  <c r="K182" i="25"/>
  <c r="J42" i="25"/>
  <c r="G60" i="14" s="1"/>
  <c r="I17" i="25"/>
  <c r="I34" i="25" s="1"/>
  <c r="I16" i="25"/>
  <c r="I33" i="25" s="1"/>
  <c r="J429" i="14" l="1"/>
  <c r="J407" i="14" s="1"/>
  <c r="H182" i="25"/>
  <c r="H185" i="25" s="1"/>
  <c r="K185" i="25"/>
  <c r="K186" i="25"/>
  <c r="K320" i="25" s="1"/>
  <c r="K319" i="25" s="1"/>
  <c r="I133" i="25"/>
  <c r="G64" i="14"/>
  <c r="F60" i="14"/>
  <c r="F64" i="14" s="1"/>
  <c r="I429" i="14" l="1"/>
  <c r="B429" i="14" s="1"/>
  <c r="C242" i="14"/>
  <c r="H186" i="25"/>
  <c r="H320" i="25" s="1"/>
  <c r="F407" i="14"/>
  <c r="C235" i="14"/>
  <c r="C239" i="14" s="1"/>
  <c r="I299" i="25"/>
  <c r="I298" i="25" s="1"/>
  <c r="I132" i="25"/>
  <c r="D295" i="14"/>
  <c r="C298" i="14"/>
  <c r="C291" i="14"/>
  <c r="B235" i="14" l="1"/>
  <c r="C295" i="14"/>
  <c r="B291" i="14"/>
  <c r="H232" i="25"/>
  <c r="H230" i="25"/>
  <c r="H112" i="25" l="1"/>
  <c r="H17" i="25" l="1"/>
  <c r="H16" i="25"/>
  <c r="H15" i="25" l="1"/>
  <c r="I229" i="25"/>
  <c r="I265" i="25" s="1"/>
  <c r="I284" i="25" s="1"/>
  <c r="J229" i="25"/>
  <c r="J265" i="25" s="1"/>
  <c r="J284" i="25" s="1"/>
  <c r="K229" i="25"/>
  <c r="I176" i="14"/>
  <c r="I177" i="14"/>
  <c r="I175" i="14"/>
  <c r="F176" i="14"/>
  <c r="F177" i="14"/>
  <c r="F175" i="14"/>
  <c r="C498" i="14" l="1"/>
  <c r="K265" i="25"/>
  <c r="K284" i="25" s="1"/>
  <c r="K264" i="25"/>
  <c r="E498" i="14"/>
  <c r="I387" i="25"/>
  <c r="I264" i="25"/>
  <c r="J264" i="25"/>
  <c r="J171" i="14"/>
  <c r="J179" i="14" s="1"/>
  <c r="I179" i="14" s="1"/>
  <c r="J172" i="14"/>
  <c r="J180" i="14" s="1"/>
  <c r="I180" i="14" s="1"/>
  <c r="J173" i="14"/>
  <c r="J181" i="14" s="1"/>
  <c r="I181" i="14" s="1"/>
  <c r="G171" i="14"/>
  <c r="G179" i="14" s="1"/>
  <c r="F179" i="14" s="1"/>
  <c r="G172" i="14"/>
  <c r="G180" i="14" s="1"/>
  <c r="F180" i="14" s="1"/>
  <c r="G173" i="14"/>
  <c r="G181" i="14" s="1"/>
  <c r="F181" i="14" s="1"/>
  <c r="E502" i="14" l="1"/>
  <c r="E456" i="14"/>
  <c r="E12" i="14" s="1"/>
  <c r="I173" i="14"/>
  <c r="I171" i="14"/>
  <c r="F172" i="14"/>
  <c r="I172" i="14"/>
  <c r="F173" i="14"/>
  <c r="F171" i="14"/>
  <c r="J170" i="14" l="1"/>
  <c r="G170" i="14"/>
  <c r="G183" i="14" s="1"/>
  <c r="H75" i="25"/>
  <c r="H77" i="25"/>
  <c r="H73" i="25"/>
  <c r="I170" i="14" l="1"/>
  <c r="J183" i="14"/>
  <c r="H71" i="25"/>
  <c r="F183" i="14"/>
  <c r="F170" i="14"/>
  <c r="B170" i="14" s="1"/>
  <c r="I183" i="14"/>
  <c r="I88" i="14"/>
  <c r="I90" i="14" s="1"/>
  <c r="F88" i="14"/>
  <c r="F90" i="14" s="1"/>
  <c r="I72" i="14"/>
  <c r="I74" i="14" s="1"/>
  <c r="F72" i="14"/>
  <c r="F74" i="14" s="1"/>
  <c r="H353" i="25"/>
  <c r="I425" i="25"/>
  <c r="J425" i="25"/>
  <c r="K425" i="25"/>
  <c r="I415" i="25"/>
  <c r="J415" i="25"/>
  <c r="K415" i="25"/>
  <c r="I398" i="25"/>
  <c r="J398" i="25"/>
  <c r="K398" i="25"/>
  <c r="J388" i="25"/>
  <c r="K388" i="25"/>
  <c r="J332" i="25"/>
  <c r="K332" i="25"/>
  <c r="H341" i="25"/>
  <c r="H337" i="25"/>
  <c r="J347" i="25"/>
  <c r="K347" i="25"/>
  <c r="I347" i="25"/>
  <c r="H349" i="25"/>
  <c r="H415" i="25" s="1"/>
  <c r="H350" i="25"/>
  <c r="H425" i="25" s="1"/>
  <c r="H351" i="25"/>
  <c r="H352" i="25"/>
  <c r="H348" i="25"/>
  <c r="H338" i="25"/>
  <c r="H336" i="25" l="1"/>
  <c r="H388" i="25"/>
  <c r="H398" i="25"/>
  <c r="H347" i="25"/>
  <c r="H498" i="14"/>
  <c r="H502" i="14" l="1"/>
  <c r="H456" i="14"/>
  <c r="H12" i="14" s="1"/>
  <c r="H197" i="25"/>
  <c r="C147" i="14"/>
  <c r="C339" i="14" l="1"/>
  <c r="C338" i="14"/>
  <c r="C337" i="14"/>
  <c r="C335" i="14"/>
  <c r="C334" i="14"/>
  <c r="D341" i="14"/>
  <c r="C343" i="14" l="1"/>
  <c r="C333" i="14"/>
  <c r="C341" i="14" s="1"/>
  <c r="C342" i="14"/>
  <c r="C366" i="14" l="1"/>
  <c r="D342" i="14" l="1"/>
  <c r="C316" i="14" l="1"/>
  <c r="G141" i="14" l="1"/>
  <c r="F141" i="14" s="1"/>
  <c r="D141" i="14"/>
  <c r="C141" i="14" s="1"/>
  <c r="B141" i="14" l="1"/>
  <c r="J35" i="25"/>
  <c r="K407" i="14"/>
  <c r="J32" i="25" l="1"/>
  <c r="D144" i="14" l="1"/>
  <c r="D150" i="14" s="1"/>
  <c r="D149" i="14"/>
  <c r="C144" i="14" l="1"/>
  <c r="C150" i="14" s="1"/>
  <c r="C143" i="14"/>
  <c r="C149" i="14" s="1"/>
  <c r="C88" i="14"/>
  <c r="C90" i="14" s="1"/>
  <c r="I143" i="25" l="1"/>
  <c r="I142" i="25" s="1"/>
  <c r="J36" i="25"/>
  <c r="K36" i="25"/>
  <c r="I36" i="25"/>
  <c r="H41" i="25"/>
  <c r="C36" i="14"/>
  <c r="I449" i="25" l="1"/>
  <c r="J318" i="25"/>
  <c r="J445" i="25" s="1"/>
  <c r="K318" i="25"/>
  <c r="K445" i="25" s="1"/>
  <c r="J315" i="25"/>
  <c r="J440" i="25" s="1"/>
  <c r="K315" i="25"/>
  <c r="K440" i="25" s="1"/>
  <c r="I318" i="25"/>
  <c r="I315" i="25"/>
  <c r="I440" i="25" s="1"/>
  <c r="I312" i="25"/>
  <c r="K397" i="25"/>
  <c r="I397" i="25"/>
  <c r="H217" i="25"/>
  <c r="H226" i="25"/>
  <c r="H225" i="25"/>
  <c r="H205" i="25"/>
  <c r="K449" i="25"/>
  <c r="I304" i="25"/>
  <c r="I422" i="25" s="1"/>
  <c r="I309" i="25"/>
  <c r="I430" i="25" s="1"/>
  <c r="J93" i="25" l="1"/>
  <c r="J124" i="25"/>
  <c r="J283" i="25" s="1"/>
  <c r="J397" i="25"/>
  <c r="I293" i="25"/>
  <c r="I445" i="25"/>
  <c r="H318" i="25"/>
  <c r="H445" i="25" s="1"/>
  <c r="I35" i="25"/>
  <c r="I450" i="25" l="1"/>
  <c r="I448" i="25" s="1"/>
  <c r="I403" i="25"/>
  <c r="H315" i="25"/>
  <c r="H440" i="25" s="1"/>
  <c r="I395" i="25"/>
  <c r="C46" i="14"/>
  <c r="D54" i="14"/>
  <c r="C54" i="14" s="1"/>
  <c r="I141" i="25"/>
  <c r="I32" i="25"/>
  <c r="I124" i="25" l="1"/>
  <c r="I283" i="25" s="1"/>
  <c r="I140" i="25"/>
  <c r="J143" i="25"/>
  <c r="I103" i="25"/>
  <c r="J103" i="25"/>
  <c r="K103" i="25"/>
  <c r="J99" i="25"/>
  <c r="K99" i="25"/>
  <c r="I99" i="25"/>
  <c r="J97" i="25"/>
  <c r="I97" i="25"/>
  <c r="H49" i="25"/>
  <c r="J101" i="25"/>
  <c r="K101" i="25"/>
  <c r="H40" i="25"/>
  <c r="H39" i="25"/>
  <c r="H38" i="25"/>
  <c r="H37" i="25"/>
  <c r="I123" i="25" l="1"/>
  <c r="I282" i="25" s="1"/>
  <c r="H99" i="25"/>
  <c r="H103" i="25"/>
  <c r="J142" i="25"/>
  <c r="J123" i="25"/>
  <c r="I101" i="25"/>
  <c r="H101" i="25" s="1"/>
  <c r="I131" i="25"/>
  <c r="H36" i="25"/>
  <c r="K143" i="25"/>
  <c r="K142" i="25" s="1"/>
  <c r="J303" i="25" l="1"/>
  <c r="I413" i="25"/>
  <c r="I412" i="25" s="1"/>
  <c r="H60" i="25"/>
  <c r="H59" i="25"/>
  <c r="K35" i="25"/>
  <c r="H28" i="25"/>
  <c r="K18" i="25"/>
  <c r="J34" i="14" s="1"/>
  <c r="J18" i="25"/>
  <c r="G34" i="14" s="1"/>
  <c r="I18" i="25"/>
  <c r="D34" i="14" s="1"/>
  <c r="D40" i="14" s="1"/>
  <c r="H20" i="25"/>
  <c r="H34" i="25" s="1"/>
  <c r="H19" i="25"/>
  <c r="H33" i="25" s="1"/>
  <c r="J40" i="14" l="1"/>
  <c r="I40" i="14" s="1"/>
  <c r="H115" i="25"/>
  <c r="G38" i="14"/>
  <c r="G40" i="14"/>
  <c r="F40" i="14" s="1"/>
  <c r="H35" i="25"/>
  <c r="G125" i="14"/>
  <c r="C43" i="14"/>
  <c r="B43" i="14" s="1"/>
  <c r="C56" i="14"/>
  <c r="D38" i="14"/>
  <c r="C38" i="14" s="1"/>
  <c r="C40" i="14"/>
  <c r="C34" i="14"/>
  <c r="F34" i="14"/>
  <c r="F38" i="14"/>
  <c r="I34" i="14"/>
  <c r="J38" i="14"/>
  <c r="I38" i="14" s="1"/>
  <c r="B411" i="14"/>
  <c r="B407" i="14" s="1"/>
  <c r="C45" i="14"/>
  <c r="D53" i="14"/>
  <c r="C53" i="14" s="1"/>
  <c r="H18" i="25"/>
  <c r="G134" i="14" l="1"/>
  <c r="F134" i="14" s="1"/>
  <c r="G135" i="14"/>
  <c r="F135" i="14" s="1"/>
  <c r="F125" i="14"/>
  <c r="B34" i="14"/>
  <c r="C44" i="14"/>
  <c r="C52" i="14"/>
  <c r="I390" i="25"/>
  <c r="H424" i="25"/>
  <c r="H370" i="25"/>
  <c r="H423" i="25" s="1"/>
  <c r="I356" i="25"/>
  <c r="H361" i="25"/>
  <c r="I295" i="25" l="1"/>
  <c r="I407" i="25" l="1"/>
  <c r="I406" i="25" s="1"/>
  <c r="I294" i="25"/>
  <c r="H70" i="25"/>
  <c r="H222" i="25"/>
  <c r="H202" i="25"/>
  <c r="D345" i="14"/>
  <c r="H163" i="25"/>
  <c r="H155" i="25"/>
  <c r="I42" i="25"/>
  <c r="H47" i="25"/>
  <c r="H106" i="25" s="1"/>
  <c r="H61" i="25"/>
  <c r="H58" i="25" s="1"/>
  <c r="I12" i="25"/>
  <c r="J12" i="25"/>
  <c r="H340" i="25"/>
  <c r="H334" i="25"/>
  <c r="H46" i="25"/>
  <c r="H273" i="25" l="1"/>
  <c r="H179" i="25"/>
  <c r="C332" i="14"/>
  <c r="C345" i="14"/>
  <c r="D60" i="14"/>
  <c r="J422" i="25"/>
  <c r="K303" i="25"/>
  <c r="I303" i="25"/>
  <c r="I302" i="25" s="1"/>
  <c r="K304" i="25"/>
  <c r="K422" i="25" s="1"/>
  <c r="J152" i="25"/>
  <c r="G323" i="14" s="1"/>
  <c r="K160" i="25"/>
  <c r="J348" i="14" s="1"/>
  <c r="K152" i="25"/>
  <c r="J323" i="14" s="1"/>
  <c r="J160" i="25"/>
  <c r="G348" i="14" s="1"/>
  <c r="J125" i="14"/>
  <c r="J15" i="25"/>
  <c r="F348" i="14" l="1"/>
  <c r="G361" i="14"/>
  <c r="F361" i="14" s="1"/>
  <c r="I348" i="14"/>
  <c r="J361" i="14"/>
  <c r="I361" i="14" s="1"/>
  <c r="J329" i="14"/>
  <c r="I329" i="14" s="1"/>
  <c r="J327" i="14"/>
  <c r="I327" i="14" s="1"/>
  <c r="I323" i="14"/>
  <c r="G327" i="14"/>
  <c r="F327" i="14" s="1"/>
  <c r="G329" i="14"/>
  <c r="F329" i="14" s="1"/>
  <c r="F323" i="14"/>
  <c r="G24" i="14"/>
  <c r="H143" i="25"/>
  <c r="H142" i="25" s="1"/>
  <c r="J302" i="25"/>
  <c r="K302" i="25"/>
  <c r="H304" i="25"/>
  <c r="H422" i="25" s="1"/>
  <c r="K421" i="25"/>
  <c r="K420" i="25" s="1"/>
  <c r="D320" i="14"/>
  <c r="C320" i="14" s="1"/>
  <c r="I386" i="25"/>
  <c r="C314" i="14"/>
  <c r="C318" i="14" s="1"/>
  <c r="D318" i="14"/>
  <c r="D64" i="14"/>
  <c r="D67" i="14"/>
  <c r="C67" i="14" s="1"/>
  <c r="G67" i="14"/>
  <c r="F67" i="14" s="1"/>
  <c r="C60" i="14"/>
  <c r="C64" i="14" s="1"/>
  <c r="J135" i="14"/>
  <c r="I135" i="14" s="1"/>
  <c r="I125" i="14"/>
  <c r="B125" i="14" s="1"/>
  <c r="J134" i="14"/>
  <c r="I134" i="14" s="1"/>
  <c r="J421" i="25"/>
  <c r="J420" i="25" s="1"/>
  <c r="I421" i="25"/>
  <c r="I420" i="25" s="1"/>
  <c r="K32" i="25"/>
  <c r="H68" i="25"/>
  <c r="H65" i="25" s="1"/>
  <c r="G15" i="14" l="1"/>
  <c r="B323" i="14"/>
  <c r="B348" i="14"/>
  <c r="F24" i="14"/>
  <c r="G28" i="14"/>
  <c r="K124" i="25"/>
  <c r="K283" i="25" s="1"/>
  <c r="H303" i="25"/>
  <c r="H302" i="25" s="1"/>
  <c r="B332" i="14"/>
  <c r="H44" i="25"/>
  <c r="F15" i="14" l="1"/>
  <c r="B314" i="14"/>
  <c r="F28" i="14"/>
  <c r="H421" i="25"/>
  <c r="H420" i="25" s="1"/>
  <c r="H43" i="25"/>
  <c r="K42" i="25"/>
  <c r="H98" i="25" l="1"/>
  <c r="H127" i="25" s="1"/>
  <c r="H289" i="25" s="1"/>
  <c r="K93" i="25"/>
  <c r="J60" i="14"/>
  <c r="J67" i="14" s="1"/>
  <c r="I67" i="14" s="1"/>
  <c r="C462" i="14"/>
  <c r="D343" i="14"/>
  <c r="H396" i="25" l="1"/>
  <c r="J64" i="14"/>
  <c r="I60" i="14"/>
  <c r="I64" i="14" s="1"/>
  <c r="H45" i="25"/>
  <c r="H102" i="25" l="1"/>
  <c r="B60" i="14"/>
  <c r="H42" i="25"/>
  <c r="J129" i="25"/>
  <c r="J395" i="25" l="1"/>
  <c r="J292" i="25"/>
  <c r="J402" i="25" s="1"/>
  <c r="H51" i="25"/>
  <c r="H104" i="25" s="1"/>
  <c r="J135" i="25"/>
  <c r="J308" i="25" s="1"/>
  <c r="J429" i="25" s="1"/>
  <c r="H133" i="25" l="1"/>
  <c r="J387" i="25"/>
  <c r="J311" i="25"/>
  <c r="J434" i="25" s="1"/>
  <c r="J167" i="25"/>
  <c r="J172" i="25" l="1"/>
  <c r="J282" i="25" s="1"/>
  <c r="G373" i="14"/>
  <c r="H132" i="25"/>
  <c r="H50" i="25"/>
  <c r="I129" i="25"/>
  <c r="G377" i="14" l="1"/>
  <c r="F377" i="14" s="1"/>
  <c r="G379" i="14"/>
  <c r="F379" i="14" s="1"/>
  <c r="F373" i="14"/>
  <c r="G310" i="14"/>
  <c r="H100" i="25"/>
  <c r="H94" i="25"/>
  <c r="H93" i="25" s="1"/>
  <c r="I292" i="25"/>
  <c r="I402" i="25" s="1"/>
  <c r="I401" i="25" s="1"/>
  <c r="F310" i="14" l="1"/>
  <c r="G18" i="14"/>
  <c r="J326" i="25"/>
  <c r="G20" i="14" l="1"/>
  <c r="H333" i="25" l="1"/>
  <c r="H362" i="25" l="1"/>
  <c r="H219" i="25"/>
  <c r="H268" i="25" s="1"/>
  <c r="H355" i="25" l="1"/>
  <c r="K354" i="25"/>
  <c r="J354" i="25"/>
  <c r="I354" i="25"/>
  <c r="H229" i="25" l="1"/>
  <c r="H354" i="25"/>
  <c r="H14" i="25"/>
  <c r="B498" i="14" l="1"/>
  <c r="I385" i="25"/>
  <c r="C310" i="14" l="1"/>
  <c r="E464" i="14"/>
  <c r="C464" i="14" s="1"/>
  <c r="D370" i="14"/>
  <c r="C370" i="14" s="1"/>
  <c r="D368" i="14"/>
  <c r="C368" i="14" s="1"/>
  <c r="C460" i="14"/>
  <c r="K12" i="14" l="1"/>
  <c r="B460" i="14" l="1"/>
  <c r="I407" i="14" l="1"/>
  <c r="F18" i="14" l="1"/>
  <c r="K326" i="25" l="1"/>
  <c r="H329" i="25"/>
  <c r="H330" i="25"/>
  <c r="H331" i="25"/>
  <c r="H327" i="25"/>
  <c r="H359" i="25" l="1"/>
  <c r="H360" i="25"/>
  <c r="H358" i="25"/>
  <c r="J414" i="25"/>
  <c r="K300" i="25"/>
  <c r="K414" i="25" s="1"/>
  <c r="H195" i="25"/>
  <c r="H279" i="25" l="1"/>
  <c r="H357" i="25"/>
  <c r="H356" i="25" s="1"/>
  <c r="K387" i="25"/>
  <c r="H328" i="25"/>
  <c r="K167" i="25"/>
  <c r="K137" i="25"/>
  <c r="I317" i="25"/>
  <c r="K172" i="25" l="1"/>
  <c r="J373" i="14"/>
  <c r="H321" i="25"/>
  <c r="H319" i="25" s="1"/>
  <c r="H326" i="25"/>
  <c r="I316" i="25"/>
  <c r="J137" i="25"/>
  <c r="J136" i="25" s="1"/>
  <c r="J128" i="25"/>
  <c r="K136" i="25"/>
  <c r="K311" i="25"/>
  <c r="K434" i="25" s="1"/>
  <c r="J377" i="14" l="1"/>
  <c r="I377" i="14" s="1"/>
  <c r="I373" i="14"/>
  <c r="B373" i="14" s="1"/>
  <c r="B310" i="14" s="1"/>
  <c r="J379" i="14"/>
  <c r="I379" i="14" s="1"/>
  <c r="J310" i="14"/>
  <c r="I310" i="14" s="1"/>
  <c r="J449" i="25"/>
  <c r="J356" i="25"/>
  <c r="K356" i="25"/>
  <c r="H169" i="25"/>
  <c r="H176" i="25" s="1"/>
  <c r="H168" i="25"/>
  <c r="H174" i="25" s="1"/>
  <c r="H154" i="25"/>
  <c r="H152" i="25" l="1"/>
  <c r="H167" i="25"/>
  <c r="I15" i="25"/>
  <c r="K15" i="25"/>
  <c r="J141" i="25"/>
  <c r="J139" i="25"/>
  <c r="H346" i="25"/>
  <c r="H392" i="25" s="1"/>
  <c r="H418" i="25" s="1"/>
  <c r="H345" i="25"/>
  <c r="H344" i="25"/>
  <c r="H343" i="25"/>
  <c r="K312" i="25"/>
  <c r="K309" i="25"/>
  <c r="K430" i="25" s="1"/>
  <c r="K296" i="25"/>
  <c r="K408" i="25" s="1"/>
  <c r="K293" i="25"/>
  <c r="K403" i="25" s="1"/>
  <c r="J293" i="25"/>
  <c r="J403" i="25" s="1"/>
  <c r="J401" i="25" s="1"/>
  <c r="H224" i="25"/>
  <c r="H276" i="25" s="1"/>
  <c r="H223" i="25"/>
  <c r="H275" i="25" s="1"/>
  <c r="H221" i="25"/>
  <c r="H220" i="25"/>
  <c r="H269" i="25" s="1"/>
  <c r="H218" i="25"/>
  <c r="H204" i="25"/>
  <c r="H203" i="25"/>
  <c r="H201" i="25"/>
  <c r="H200" i="25"/>
  <c r="H199" i="25"/>
  <c r="H198" i="25"/>
  <c r="K12" i="25"/>
  <c r="J18" i="14" s="1"/>
  <c r="I6" i="25"/>
  <c r="H216" i="25" l="1"/>
  <c r="H227" i="25"/>
  <c r="H271" i="25"/>
  <c r="H267" i="25"/>
  <c r="J24" i="14"/>
  <c r="H194" i="25"/>
  <c r="D24" i="14"/>
  <c r="D15" i="14" s="1"/>
  <c r="D12" i="14" s="1"/>
  <c r="H332" i="25"/>
  <c r="I18" i="14"/>
  <c r="J309" i="25"/>
  <c r="J312" i="25"/>
  <c r="J435" i="25" s="1"/>
  <c r="J433" i="25" s="1"/>
  <c r="J317" i="25"/>
  <c r="J140" i="25"/>
  <c r="J314" i="25"/>
  <c r="J138" i="25"/>
  <c r="J296" i="25"/>
  <c r="J408" i="25" s="1"/>
  <c r="H13" i="25"/>
  <c r="H32" i="25" s="1"/>
  <c r="I139" i="25"/>
  <c r="K310" i="25"/>
  <c r="K435" i="25"/>
  <c r="K433" i="25" s="1"/>
  <c r="I137" i="25"/>
  <c r="I135" i="25"/>
  <c r="J390" i="25"/>
  <c r="H161" i="25"/>
  <c r="K139" i="25"/>
  <c r="K141" i="25"/>
  <c r="K140" i="25" s="1"/>
  <c r="H373" i="25"/>
  <c r="H382" i="25"/>
  <c r="H437" i="25" s="1"/>
  <c r="J15" i="14" l="1"/>
  <c r="I15" i="14" s="1"/>
  <c r="H264" i="25"/>
  <c r="H265" i="25"/>
  <c r="J28" i="14"/>
  <c r="I24" i="14"/>
  <c r="J31" i="14"/>
  <c r="I31" i="14" s="1"/>
  <c r="H177" i="25"/>
  <c r="H123" i="25"/>
  <c r="H290" i="25"/>
  <c r="H300" i="25"/>
  <c r="H414" i="25" s="1"/>
  <c r="K450" i="25"/>
  <c r="K448" i="25" s="1"/>
  <c r="H124" i="25"/>
  <c r="H312" i="25"/>
  <c r="H435" i="25" s="1"/>
  <c r="H309" i="25"/>
  <c r="H430" i="25" s="1"/>
  <c r="H296" i="25"/>
  <c r="H408" i="25" s="1"/>
  <c r="J430" i="25"/>
  <c r="J428" i="25" s="1"/>
  <c r="I314" i="25"/>
  <c r="D28" i="14"/>
  <c r="D31" i="14"/>
  <c r="C31" i="14" s="1"/>
  <c r="G31" i="14"/>
  <c r="F31" i="14" s="1"/>
  <c r="C24" i="14"/>
  <c r="C15" i="14" s="1"/>
  <c r="J310" i="25"/>
  <c r="H450" i="25"/>
  <c r="J439" i="25"/>
  <c r="J438" i="25" s="1"/>
  <c r="J313" i="25"/>
  <c r="J444" i="25"/>
  <c r="J443" i="25" s="1"/>
  <c r="J316" i="25"/>
  <c r="H293" i="25"/>
  <c r="H12" i="25"/>
  <c r="K314" i="25"/>
  <c r="K313" i="25" s="1"/>
  <c r="K138" i="25"/>
  <c r="I138" i="25"/>
  <c r="K97" i="25"/>
  <c r="H97" i="25" s="1"/>
  <c r="K317" i="25"/>
  <c r="K316" i="25" s="1"/>
  <c r="H368" i="25"/>
  <c r="H431" i="25" s="1"/>
  <c r="I308" i="25"/>
  <c r="H449" i="25"/>
  <c r="I435" i="25"/>
  <c r="J386" i="25"/>
  <c r="J291" i="25"/>
  <c r="J288" i="25"/>
  <c r="J450" i="25"/>
  <c r="J448" i="25" s="1"/>
  <c r="D18" i="14"/>
  <c r="J389" i="25"/>
  <c r="H376" i="25"/>
  <c r="J134" i="25"/>
  <c r="I136" i="25"/>
  <c r="I311" i="25"/>
  <c r="I434" i="25" s="1"/>
  <c r="I134" i="25"/>
  <c r="J131" i="25"/>
  <c r="J133" i="25"/>
  <c r="H135" i="25"/>
  <c r="K135" i="25"/>
  <c r="K308" i="25" s="1"/>
  <c r="K429" i="25" s="1"/>
  <c r="K428" i="25" s="1"/>
  <c r="H137" i="25"/>
  <c r="H141" i="25"/>
  <c r="K390" i="25"/>
  <c r="H374" i="25"/>
  <c r="H367" i="25"/>
  <c r="H365" i="25"/>
  <c r="H372" i="25"/>
  <c r="H369" i="25"/>
  <c r="H436" i="25" s="1"/>
  <c r="H366" i="25"/>
  <c r="H409" i="25" s="1"/>
  <c r="H378" i="25"/>
  <c r="H410" i="25" s="1"/>
  <c r="H377" i="25"/>
  <c r="H405" i="25" s="1"/>
  <c r="H284" i="25" l="1"/>
  <c r="H387" i="25" s="1"/>
  <c r="B15" i="14"/>
  <c r="I28" i="14"/>
  <c r="H397" i="25"/>
  <c r="H288" i="25"/>
  <c r="I433" i="25"/>
  <c r="H448" i="25"/>
  <c r="H311" i="25"/>
  <c r="H310" i="25" s="1"/>
  <c r="H308" i="25"/>
  <c r="H429" i="25" s="1"/>
  <c r="I313" i="25"/>
  <c r="H404" i="25"/>
  <c r="J295" i="25"/>
  <c r="H446" i="25"/>
  <c r="H399" i="25"/>
  <c r="H400" i="25"/>
  <c r="H416" i="25"/>
  <c r="H403" i="25"/>
  <c r="C28" i="14"/>
  <c r="B24" i="14"/>
  <c r="I307" i="25"/>
  <c r="I429" i="25"/>
  <c r="I428" i="25" s="1"/>
  <c r="D20" i="14"/>
  <c r="H140" i="25"/>
  <c r="K439" i="25"/>
  <c r="K438" i="25" s="1"/>
  <c r="J299" i="25"/>
  <c r="I439" i="25"/>
  <c r="I438" i="25" s="1"/>
  <c r="J132" i="25"/>
  <c r="K444" i="25"/>
  <c r="K443" i="25" s="1"/>
  <c r="H139" i="25"/>
  <c r="K307" i="25"/>
  <c r="I310" i="25"/>
  <c r="C18" i="14"/>
  <c r="B18" i="14" s="1"/>
  <c r="J307" i="25"/>
  <c r="K363" i="25"/>
  <c r="K389" i="25" s="1"/>
  <c r="H134" i="25"/>
  <c r="I130" i="25"/>
  <c r="J126" i="25"/>
  <c r="H136" i="25"/>
  <c r="I126" i="25"/>
  <c r="I128" i="25"/>
  <c r="J130" i="25"/>
  <c r="K134" i="25"/>
  <c r="K133" i="25"/>
  <c r="K129" i="25"/>
  <c r="H129" i="25"/>
  <c r="H371" i="25"/>
  <c r="H441" i="25" s="1"/>
  <c r="H307" i="25" l="1"/>
  <c r="H434" i="25"/>
  <c r="H433" i="25" s="1"/>
  <c r="J413" i="25"/>
  <c r="J412" i="25" s="1"/>
  <c r="J298" i="25"/>
  <c r="H138" i="25"/>
  <c r="J407" i="25"/>
  <c r="J406" i="25" s="1"/>
  <c r="J294" i="25"/>
  <c r="H363" i="25"/>
  <c r="H389" i="25" s="1"/>
  <c r="H299" i="25"/>
  <c r="H298" i="25" s="1"/>
  <c r="H292" i="25"/>
  <c r="H314" i="25"/>
  <c r="H439" i="25" s="1"/>
  <c r="H438" i="25" s="1"/>
  <c r="K292" i="25"/>
  <c r="K402" i="25" s="1"/>
  <c r="K401" i="25" s="1"/>
  <c r="K299" i="25"/>
  <c r="I291" i="25"/>
  <c r="C20" i="14"/>
  <c r="K123" i="25"/>
  <c r="K282" i="25" s="1"/>
  <c r="K128" i="25"/>
  <c r="K132" i="25"/>
  <c r="K126" i="25"/>
  <c r="H128" i="25"/>
  <c r="K131" i="25"/>
  <c r="K295" i="25" s="1"/>
  <c r="K407" i="25" l="1"/>
  <c r="K406" i="25" s="1"/>
  <c r="K294" i="25"/>
  <c r="K396" i="25"/>
  <c r="K395" i="25" s="1"/>
  <c r="K413" i="25"/>
  <c r="K412" i="25" s="1"/>
  <c r="K298" i="25"/>
  <c r="K385" i="25"/>
  <c r="K386" i="25"/>
  <c r="H291" i="25"/>
  <c r="H402" i="25"/>
  <c r="H401" i="25" s="1"/>
  <c r="H413" i="25"/>
  <c r="H412" i="25" s="1"/>
  <c r="K288" i="25"/>
  <c r="J385" i="25"/>
  <c r="K291" i="25"/>
  <c r="H126" i="25"/>
  <c r="K130" i="25"/>
  <c r="H131" i="25"/>
  <c r="G456" i="14"/>
  <c r="G12" i="14" s="1"/>
  <c r="J456" i="14"/>
  <c r="H395" i="25" l="1"/>
  <c r="H295" i="25"/>
  <c r="H407" i="25" s="1"/>
  <c r="H406" i="25" s="1"/>
  <c r="I456" i="14"/>
  <c r="I12" i="14" s="1"/>
  <c r="J12" i="14"/>
  <c r="F456" i="14"/>
  <c r="F12" i="14" s="1"/>
  <c r="H130" i="25"/>
  <c r="H294" i="25" l="1"/>
  <c r="C474" i="14"/>
  <c r="B474" i="14" l="1"/>
  <c r="C456" i="14"/>
  <c r="C12" i="14" s="1"/>
  <c r="H162" i="25"/>
  <c r="B456" i="14" l="1"/>
  <c r="B12" i="14" s="1"/>
  <c r="H178" i="25"/>
  <c r="H173" i="25"/>
  <c r="H160" i="25"/>
  <c r="H283" i="25" l="1"/>
  <c r="H386" i="25" s="1"/>
  <c r="H172" i="25"/>
  <c r="H282" i="25" s="1"/>
  <c r="H313" i="25"/>
  <c r="H317" i="25"/>
  <c r="I444" i="25"/>
  <c r="I443" i="25" s="1"/>
  <c r="H316" i="25" l="1"/>
  <c r="H444" i="25"/>
  <c r="H443" i="25" s="1"/>
  <c r="H381" i="25" l="1"/>
  <c r="H375" i="25" s="1"/>
  <c r="H432" i="25" l="1"/>
  <c r="H385" i="25"/>
  <c r="H428" i="25" l="1"/>
  <c r="H390" i="25"/>
</calcChain>
</file>

<file path=xl/sharedStrings.xml><?xml version="1.0" encoding="utf-8"?>
<sst xmlns="http://schemas.openxmlformats.org/spreadsheetml/2006/main" count="1698" uniqueCount="583">
  <si>
    <t>Додаток 1</t>
  </si>
  <si>
    <t>№ з/п</t>
  </si>
  <si>
    <t>Назва напряму діяльності (пріоритетні завдання)</t>
  </si>
  <si>
    <t>Перелік заходів програми</t>
  </si>
  <si>
    <t>Джерела фінансування</t>
  </si>
  <si>
    <t>Очікуваний результат</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</si>
  <si>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</si>
  <si>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</si>
  <si>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</si>
  <si>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</si>
  <si>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</si>
  <si>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</si>
  <si>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</si>
  <si>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</si>
  <si>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</si>
  <si>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Орієнтовні обсяги фінансування, тис.грн.</t>
  </si>
  <si>
    <t>бюджетних програм до комплексної міської Програми</t>
  </si>
  <si>
    <t>АТО</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</si>
  <si>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</si>
  <si>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</si>
  <si>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</si>
  <si>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</si>
  <si>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</si>
  <si>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Сумський міський голова </t>
  </si>
  <si>
    <t>О.М. Лисенко</t>
  </si>
  <si>
    <t>Виконавець: Чумаченко О.Ю.</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</si>
  <si>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</si>
  <si>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</si>
  <si>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</si>
  <si>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</si>
  <si>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</si>
  <si>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</si>
  <si>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</si>
  <si>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</si>
  <si>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</si>
  <si>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</si>
  <si>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</si>
  <si>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</si>
  <si>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</si>
  <si>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</si>
  <si>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</si>
  <si>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Контроль за виконанням</t>
  </si>
  <si>
    <t>Раннє виявлення туберкульозу у дітей та підлітків</t>
  </si>
  <si>
    <t>Одержувач коштів/Виконавець</t>
  </si>
  <si>
    <t>КПКВК</t>
  </si>
  <si>
    <t>Покращення умов перебування пацієнтів та працівників у закладі охорони здоров'я</t>
  </si>
  <si>
    <t>УСЬОГО по підпрограмі 1</t>
  </si>
  <si>
    <t>УСЬОГО по підпрограмі 2</t>
  </si>
  <si>
    <t>0717361</t>
  </si>
  <si>
    <t>УСЬОГО по підпрограмі 3</t>
  </si>
  <si>
    <t>УСЬОГО по підпрограмі 4</t>
  </si>
  <si>
    <t>КНП "Дитяча клінічна лікарня Святої Зінаїди" СМР</t>
  </si>
  <si>
    <t>КНП "Клінічна лікарня № 4" СМР</t>
  </si>
  <si>
    <t>КНП "Клінічна лікарня № 5" СМР</t>
  </si>
  <si>
    <t xml:space="preserve">КНП "Клінічна стоматологічна поліклініка" СМР </t>
  </si>
  <si>
    <t>КНП "Клінічний пологовий будинок Пресвятої Діви Марії" СМР</t>
  </si>
  <si>
    <t>КНП "Центр первинної медико-санітарної допомоги № 1" СМР</t>
  </si>
  <si>
    <t>КНП "Центр первинної медико-санітарної допомоги № 2" СМР</t>
  </si>
  <si>
    <t>КНП "Центральна міська клінічна лікарня" СМР</t>
  </si>
  <si>
    <t>Інші джерела коштів (Грант GIZ)</t>
  </si>
  <si>
    <t>Всього</t>
  </si>
  <si>
    <t>Управління капітального будівництва та дорожнього господарства Сумської міської ради</t>
  </si>
  <si>
    <t>Кошти НСЗУ</t>
  </si>
  <si>
    <t>РАЗОМ по сфері охорона здоров'я</t>
  </si>
  <si>
    <t>ВСЬОГО</t>
  </si>
  <si>
    <t>Власні надходження КНП</t>
  </si>
  <si>
    <t xml:space="preserve">з них по </t>
  </si>
  <si>
    <t>РАЗОМ</t>
  </si>
  <si>
    <t>Разом</t>
  </si>
  <si>
    <t>РАЗОМ ПО ПРОГРАМІ</t>
  </si>
  <si>
    <t>Кошти ДФРР (спеціальний фонд)</t>
  </si>
  <si>
    <t>Збільшення переліку послуг, що надають заклади охорони здоров'я</t>
  </si>
  <si>
    <t>Мета, КПКВК, завдання та результативні показники Програми</t>
  </si>
  <si>
    <t>в тому числі</t>
  </si>
  <si>
    <t>Загальний фонд</t>
  </si>
  <si>
    <t>Спеціальний фонд</t>
  </si>
  <si>
    <t xml:space="preserve">Мета: </t>
  </si>
  <si>
    <t>Показник затрат:</t>
  </si>
  <si>
    <t>кількість  установ, од.</t>
  </si>
  <si>
    <t>Показник продукту:</t>
  </si>
  <si>
    <t>Показник ефективності:</t>
  </si>
  <si>
    <t>Показник якості:</t>
  </si>
  <si>
    <t>КПКВК 0712111</t>
  </si>
  <si>
    <t>Первинна медична допомога населенню, що надається центрами первинної медичної (медико-санітарної) допомоги</t>
  </si>
  <si>
    <t>кількість осіб, яким встановлені/будуть встановлені до кінця року слухові апарати</t>
  </si>
  <si>
    <t>Розвиток первинної медико-санітарної допомоги</t>
  </si>
  <si>
    <t>ПІДПРОГРАМА 2.  Забезпечення соціальних стандартів у сфері охорони здоров'я</t>
  </si>
  <si>
    <t>Інші заклади</t>
  </si>
  <si>
    <t>1.1.</t>
  </si>
  <si>
    <t xml:space="preserve">1.1.1. Сприяння в утриманні закладів первинного рівня  </t>
  </si>
  <si>
    <t xml:space="preserve">1.2.1. Забезпечення надання вторинної медичної допомоги </t>
  </si>
  <si>
    <t>2.1.</t>
  </si>
  <si>
    <t>1.2.</t>
  </si>
  <si>
    <t>1.3.</t>
  </si>
  <si>
    <t>1.4.</t>
  </si>
  <si>
    <t>3.1.</t>
  </si>
  <si>
    <t>ПІДПРОГРАМА 4. Приведення закладів охорони здоров'я у відповідність до сучасних потреб</t>
  </si>
  <si>
    <t>4.1.</t>
  </si>
  <si>
    <t>Зміцнення та оновлення матеріально-технічної бази закладів охорони здоров'я</t>
  </si>
  <si>
    <t xml:space="preserve">Видатки галузі, які враховані в інших цільових програмах та інші джерела фінансування </t>
  </si>
  <si>
    <t>1.</t>
  </si>
  <si>
    <t>з них по закладах:</t>
  </si>
  <si>
    <t xml:space="preserve">Будівництво та реконструкція комунальних некомерційних підприємств </t>
  </si>
  <si>
    <t xml:space="preserve">Медичне обслуговування населення за програмою медичних гарантій </t>
  </si>
  <si>
    <t>Надання медичної допомоги на платній основі</t>
  </si>
  <si>
    <t>ПІДПРОГРАМА 1.  Покращення надання медичної допомоги населенню</t>
  </si>
  <si>
    <t>Всього по напряму 1.1. , у тому числі:</t>
  </si>
  <si>
    <t xml:space="preserve">Збереження стоматологічного здоров'я населення </t>
  </si>
  <si>
    <t>Всього по напряму 1.2, у тому числі</t>
  </si>
  <si>
    <t>В розрізі КНП</t>
  </si>
  <si>
    <t>2.</t>
  </si>
  <si>
    <t>3.</t>
  </si>
  <si>
    <t>4.</t>
  </si>
  <si>
    <t>5.</t>
  </si>
  <si>
    <t xml:space="preserve">Сприяння в утриманні закладів первинного рівня  </t>
  </si>
  <si>
    <t xml:space="preserve">Показник ефективності: </t>
  </si>
  <si>
    <t xml:space="preserve">Показник продукту: </t>
  </si>
  <si>
    <t>Разом по заходу 1.1.1</t>
  </si>
  <si>
    <t>Разом по заходу 1.2.1</t>
  </si>
  <si>
    <t>Забезпечення надання вторинної (амбулаторної та стаціонарної) медичної допомоги відповідно до галузевих стандартів</t>
  </si>
  <si>
    <r>
      <t>КНП "Центр первинної медико-санітарної допомоги № 1" СМР</t>
    </r>
    <r>
      <rPr>
        <i/>
        <sz val="22"/>
        <rFont val="Times New Roman"/>
        <family val="1"/>
        <charset val="204"/>
      </rPr>
      <t xml:space="preserve"> (капітальні)</t>
    </r>
  </si>
  <si>
    <r>
      <t xml:space="preserve">КНП "Центр первинної медико-санітарної допомоги № 2" СМР </t>
    </r>
    <r>
      <rPr>
        <i/>
        <sz val="22"/>
        <rFont val="Times New Roman"/>
        <family val="1"/>
        <charset val="204"/>
      </rPr>
      <t>(капітальні)</t>
    </r>
  </si>
  <si>
    <t>Визначення стану здоров’я працівників навчальних закладів, що знаходяться у комунальній власності Сумської міської ради, закладів та установ соціального захисту міського підпорядкування, зокрема можливості виконання ним певних трудових обов’язків, а також попередження виникненню та розповсюдженню інфекційних хвороб</t>
  </si>
  <si>
    <t>Разом по заходу 4.1.1.</t>
  </si>
  <si>
    <t>Разом по заходу 4.1.2.</t>
  </si>
  <si>
    <r>
      <t xml:space="preserve">Показник продукту: </t>
    </r>
    <r>
      <rPr>
        <sz val="18"/>
        <rFont val="Times New Roman"/>
        <family val="1"/>
        <charset val="204"/>
      </rPr>
      <t>кількість установ, од.</t>
    </r>
  </si>
  <si>
    <r>
      <t xml:space="preserve">Показник ефективності: </t>
    </r>
    <r>
      <rPr>
        <sz val="18"/>
        <rFont val="Times New Roman"/>
        <family val="1"/>
        <charset val="204"/>
      </rPr>
      <t>середні витрати на 1 заклад охорони здоров'я, грн.</t>
    </r>
  </si>
  <si>
    <t>Інші джерела коштів (кредитні кошти НЕФКО)</t>
  </si>
  <si>
    <t>ПІДПРОГРАМА 3. Інші заходи та заклади у сфері охорони здоров'я</t>
  </si>
  <si>
    <t>ПІДПРОГРАМА 3.  Інші заходи та заклади у сфері охорони здоров'я</t>
  </si>
  <si>
    <t>Субвенція з державного бюджету місцевим бюджетам (спеціальний фонд)</t>
  </si>
  <si>
    <t>Управління охорони здоров’я СМР</t>
  </si>
  <si>
    <t>Управління охорони здоров’я Сумської міської ради</t>
  </si>
  <si>
    <t>Управління охорони здоров'я Сумської міської ради</t>
  </si>
  <si>
    <t>Реалізація проєктів,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</si>
  <si>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 xml:space="preserve"> Інвестиційні проєкти, що реалізуються за рахунок коштів державного фонду регіонального розвитку </t>
  </si>
  <si>
    <t>Сумський міський голова</t>
  </si>
  <si>
    <t>Кошти бюджету ТГ (загальний фонд)</t>
  </si>
  <si>
    <t>КНП "Клінічна лікарня Святого Пантлеймона" СМР</t>
  </si>
  <si>
    <t>Придбання судинних протезів для проведення органозберігаючих реконструктивних операцій на артеріях у пацієнтів з критичним порушенням артеріального кровообігу кінцівок та мозкового кровообігу</t>
  </si>
  <si>
    <t>Кошти бюджету ТГ (спеціальний фонд)</t>
  </si>
  <si>
    <t>Забезпечення гарантованого рівня медичної допомоги населенню Сумської міської ТГ</t>
  </si>
  <si>
    <t>1.2.1. Покриття вартості комунальних послуг та енергоносіїв</t>
  </si>
  <si>
    <t>Напрями діяльності (пріоритетні завдання) та заходи комплексної Програми Cумської міської територіальної  громади "Охорона здоров'я" на 2022-2024 роки"</t>
  </si>
  <si>
    <t>Разом по заходу 4.1.3.</t>
  </si>
  <si>
    <t>у т. ч. по роках</t>
  </si>
  <si>
    <t>2022 (план)</t>
  </si>
  <si>
    <t>2023 (план)</t>
  </si>
  <si>
    <t>2024 (план)</t>
  </si>
  <si>
    <t>Кошти бюджету СМТГ (загальний фонд)</t>
  </si>
  <si>
    <t xml:space="preserve">Кошти бюджету СМТГ (загальний фонд) </t>
  </si>
  <si>
    <t>Кошти  бюджету СМТГ (загальний фонд)</t>
  </si>
  <si>
    <t>Кошти бюджету СМТГ (спеціальний фонд)</t>
  </si>
  <si>
    <t>1.1.1. Покриття вартості комунальних послуг та енергоносіїв</t>
  </si>
  <si>
    <t>1.2.2. Сприяння забезпеченню надання антирабічної допомоги</t>
  </si>
  <si>
    <t>2022 рік (план)</t>
  </si>
  <si>
    <t>2023 рік (план)</t>
  </si>
  <si>
    <t>2024рік (план)</t>
  </si>
  <si>
    <t>у тому числі по:</t>
  </si>
  <si>
    <t>з них по:</t>
  </si>
  <si>
    <t>у тому числі:</t>
  </si>
  <si>
    <t xml:space="preserve">Показник затрат: </t>
  </si>
  <si>
    <t>обсяг видатків, грн.</t>
  </si>
  <si>
    <t>кількість дітей   віком від 0-2 років з малозабезпечених  сімей, осіб</t>
  </si>
  <si>
    <t>кількість дітей, народжених від ВІЛ-інфікованих матерів, осіб</t>
  </si>
  <si>
    <t>рівень охоплення, %</t>
  </si>
  <si>
    <t xml:space="preserve">Обсяг видатків, грн. </t>
  </si>
  <si>
    <t>кількість установ, од.</t>
  </si>
  <si>
    <t>кількість лікарських відвідувань, од.</t>
  </si>
  <si>
    <t>капітальний ремонт приміщень</t>
  </si>
  <si>
    <t xml:space="preserve">благоустрій території </t>
  </si>
  <si>
    <t xml:space="preserve">Результативні показники виконання завдань комплексної  Програми Cумської міської територіальної  громади "Охорона здоров'я" на 2022-2024 роки"
</t>
  </si>
  <si>
    <t>кількість штатних одиниць, од.</t>
  </si>
  <si>
    <t>кількість лікарських відвідувань,осіб</t>
  </si>
  <si>
    <t>1.1.2. Сприяння забезпеченню проведення туберкулінодіагностики (закупівля туберкуліну)</t>
  </si>
  <si>
    <t>витрати на одного пацієнта, грн</t>
  </si>
  <si>
    <t>чисельність осіб, яким проведена  санація, од.</t>
  </si>
  <si>
    <t>динамика обсягу витрат на забезпечення поккриття вартості дороговартістних медичних препаратів до попереднього року, %</t>
  </si>
  <si>
    <t>кількість установ:</t>
  </si>
  <si>
    <t>Мета програми: поліпшення фінансового забезпечення закладів охорони здоров'я  для  збереження і відновлення здоров’я населення шляхом надання медичних послуг та лікарських засобів належної якості</t>
  </si>
  <si>
    <t>1.1.2. Сприяння забезпеченню проведення туберкулінодіагностики (закупівля туберкуліну), КПКВК 0712152</t>
  </si>
  <si>
    <t xml:space="preserve"> 1.1.  Розвиток первинної медико-санітарної допомоги</t>
  </si>
  <si>
    <t>рівень забезпечення, %</t>
  </si>
  <si>
    <t>рівень забезпечення видатками, %</t>
  </si>
  <si>
    <t>динаміка забезпечення надання антирабічної допомоги порівняно до попереднього року, %</t>
  </si>
  <si>
    <t>кількість лікарських відвідувань на одну штатну посаду лікаря, осіб</t>
  </si>
  <si>
    <t>кількість осіб пільгової категорії  населення, які отримають ліки на пільгових умовах, осіб</t>
  </si>
  <si>
    <t>динамика обсягу витрат на забезпечення пільгової категорії населення лікарськими засобами за безкоштовними рецептами порвняно до попереднього року, %</t>
  </si>
  <si>
    <t>динамика обсягу витрат на забезпечення надання громадянам послуг по зубопротезуванню на пільгових умовах порвняно до попереднього року, %</t>
  </si>
  <si>
    <t>середня вартість зубопротезування на одного пацієнта, грн</t>
  </si>
  <si>
    <t>кількість осіб, які отримають послуги з зубного протезування, осіб</t>
  </si>
  <si>
    <t>кількість аналітичних довідок, письмових роз`яснень, іншої інформації працівників інформаційно-аналітичного центру медичної статистики, од.</t>
  </si>
  <si>
    <t>кількість рахунків на одного працівника централізованої бухгалтерії, од.</t>
  </si>
  <si>
    <t>кількість звітних форм на одного працівника централізованої бухгалтерії, од.</t>
  </si>
  <si>
    <t>кількість аналітичних довідок, письмових роз`яснень, іншої інформації наданих інформаційно-аналітичного центру медичної статистики, од.</t>
  </si>
  <si>
    <t>кількість  обладнання, од.</t>
  </si>
  <si>
    <t>кількість інвестиційних проєктів,од.</t>
  </si>
  <si>
    <t xml:space="preserve"> 1.1.1. Покриття вартості комунальних послуг та енергоносіїв, КПКВК 0712111</t>
  </si>
  <si>
    <t xml:space="preserve"> 1.2.1. Покриття вартості комунальних послуг та енергоносіїв, КПКВК 0712010</t>
  </si>
  <si>
    <t>кількість штатних одиниць лікарів-інтернів, од.</t>
  </si>
  <si>
    <t>в т.ч. лікарі, од.</t>
  </si>
  <si>
    <t>кількість пролікованих пацієнтів, од.</t>
  </si>
  <si>
    <t xml:space="preserve"> централізованої бухгалтерії,од.</t>
  </si>
  <si>
    <t xml:space="preserve"> інформаційно-аналітичного центру, од.</t>
  </si>
  <si>
    <t>середня вартість інвестиційного проєкту, грн.</t>
  </si>
  <si>
    <t>середні видатки на придбання одиниці обладнання ,грн.</t>
  </si>
  <si>
    <t>Забезпечення  інформаційно-аналітичними матеріалами та стабільним фінансуванням, здійснення контролю за складанням звітності комунальних некомерційних підприємств</t>
  </si>
  <si>
    <t xml:space="preserve">Завершення проекту "Капітальний ремонт будівлі за адресою: м.Суми, вул.Троїцька,28 (стаціонар двохповерхова будівля)" та придбання сучасного медичного реабілітаційного обладнання для покращення умов перебування пацієнтів і медичних працівників у закладі охорони здоров'я та отримання якісних медичних послуг                  </t>
  </si>
  <si>
    <t>Завершення проекту "Капітальний ремонт будівлі за адресою: м.Суми, вул.Троїцька,28 (стаціонар двохповерхова будівля)" та придбання сучасного медичного реабілітаційного обладнання для покращення умов перебування пацієнтів та медичних працівників у закладі охорони здоров'я та отримання якісних медичних послуг</t>
  </si>
  <si>
    <t>Забезпечення  сталого функціонування медичних закладів та установ та комфортних умов перебування пацієнтів та медичного персоналу</t>
  </si>
  <si>
    <r>
      <t xml:space="preserve">Всього на виконання програми </t>
    </r>
    <r>
      <rPr>
        <sz val="22"/>
        <rFont val="Times New Roman"/>
        <family val="1"/>
        <charset val="204"/>
      </rPr>
      <t>(без коштів на виконання інших цільових програм)</t>
    </r>
    <r>
      <rPr>
        <b/>
        <sz val="22"/>
        <rFont val="Times New Roman"/>
        <family val="1"/>
        <charset val="204"/>
      </rPr>
      <t>, грн</t>
    </r>
  </si>
  <si>
    <t>Всього на виконання підпрограми 1, грн</t>
  </si>
  <si>
    <t>обсяг видатків, грн</t>
  </si>
  <si>
    <t>середні витрати на 1 заклад, грн</t>
  </si>
  <si>
    <t>динамика обсягу витрат на забезпечення покриття вартості комунальних послуг та енергоносіїв порівняно до попереднього року, %</t>
  </si>
  <si>
    <t>кількість дітей, яким планується  провести туберкулінодіагностику, осіб</t>
  </si>
  <si>
    <t>динамика обсягу витрат на проведення туберкулінодіагностики (придбання туберкуліну) порівняно до попереднього року, %</t>
  </si>
  <si>
    <t>обсяг видатків, грн :</t>
  </si>
  <si>
    <t>середні витрати  на одну дитину з орфанними захворюваннями, грн</t>
  </si>
  <si>
    <t>динамика обсягу витрат на забезпечення  лікувальним харчуванням  дітей хворих на орфанні  рідкісні захворювання,   продуктами харчування дітей віком від 0-2 років з малозабезпечених сімей та дітей народжених від ВІЛ -  інфікованих матерів порівняно до попереднього року , %</t>
  </si>
  <si>
    <t>середні витрати  на одну дитину від 0-2 років з малозабезпечених  сімей, грн</t>
  </si>
  <si>
    <t>середні витрати на одну дитину народжену від ВІЛ - інфікованої матері, грн</t>
  </si>
  <si>
    <t xml:space="preserve"> середні витрати на 1 заклад , грн</t>
  </si>
  <si>
    <t>середні витрати на одну особу, грн</t>
  </si>
  <si>
    <t>витрати на утримання 1 посади лікаря - інтерна, грн</t>
  </si>
  <si>
    <t>середня вартість проведеного медичного огляду однієї особи, грн</t>
  </si>
  <si>
    <t>зниження рівня захворюваності порівнянно з попереднім роком, %</t>
  </si>
  <si>
    <t>зниження незапланованої вагітності у неповнолітніх, %</t>
  </si>
  <si>
    <t>середні витрати на 1 обстеження, грн</t>
  </si>
  <si>
    <t>рівень охоплення  медичними оглядами , %</t>
  </si>
  <si>
    <t>кількість медичних працівників, що входять до складу комісії, осіб</t>
  </si>
  <si>
    <t>Обсяг видатків, грн:</t>
  </si>
  <si>
    <t xml:space="preserve">Обсяг видатків, грн </t>
  </si>
  <si>
    <t>середня вартість 1 лікарського відвідування (враховані видатки на комунальні послуги та енергоносії), грн</t>
  </si>
  <si>
    <t>кількість відвідувань на одну штатну посаду лікаря, осіб</t>
  </si>
  <si>
    <t>Всього на виконання підпрограми 2, грн</t>
  </si>
  <si>
    <t>придбання підгузків, грн</t>
  </si>
  <si>
    <t>придбання калоприймачів, катетерів, уропрезервативи, грн</t>
  </si>
  <si>
    <t>придбання прокладок урологічних, грн</t>
  </si>
  <si>
    <t>витрати на одну особу, які отримали підгузки, грн</t>
  </si>
  <si>
    <t>витрати на одну особу, які отримали калоприймачи, катетери, уропрезервативи, грн</t>
  </si>
  <si>
    <t>витрати на одну особу, які отримали прокладки урологічної, грн</t>
  </si>
  <si>
    <t xml:space="preserve">обсяг видатків, грн </t>
  </si>
  <si>
    <t>Всього на виконання підпрограми 3, грн</t>
  </si>
  <si>
    <t>обсяг витрат, грн</t>
  </si>
  <si>
    <t>кількість штатних одиниць, од.:</t>
  </si>
  <si>
    <t>Всього на виконання підпрограми 4, грн</t>
  </si>
  <si>
    <t>КНП "Клінічна лікарня № 4"СМР</t>
  </si>
  <si>
    <t>КНП "Клінічна лікарня № 5"СМР</t>
  </si>
  <si>
    <r>
      <t>КНП "Центр первинної медико-санітарної допомоги № 1" СМР</t>
    </r>
    <r>
      <rPr>
        <i/>
        <sz val="22"/>
        <rFont val="Times New Roman"/>
        <family val="1"/>
        <charset val="204"/>
      </rPr>
      <t xml:space="preserve"> </t>
    </r>
  </si>
  <si>
    <t>Завершення проекту "Капітальний ремонт будівель медичного закладу з утепленням стін, покрівлі, заміною покриття, заміною системи опалення за адресою м.Суми, вул. М.Вовчок ,2"</t>
  </si>
  <si>
    <t>1.2.3. Сприяння забезпеченню  первинного підвищення кваліфікації випускників вищих медичних закладів (інтернатура 3 рік навчання)</t>
  </si>
  <si>
    <t>1.2.4. Проведення обов'язкових  профілактичних оглядів  з видачею  особистих медичних книжок працівникам бюджетної сфери</t>
  </si>
  <si>
    <t>1.3.1. Покриття вартості комунальних послуг та енергоносіїв</t>
  </si>
  <si>
    <t>Разом по заходу 1.1.1.</t>
  </si>
  <si>
    <t>Разом по заходу 1.1.2.</t>
  </si>
  <si>
    <t>Разом по заходу 1.1.3.</t>
  </si>
  <si>
    <t>Разом по заходу 1.1.4.</t>
  </si>
  <si>
    <t>Разом по заходу 1.1.5.</t>
  </si>
  <si>
    <t>Разом по заходу 1.2.1.</t>
  </si>
  <si>
    <t>Разом по заходу 1.2.7.</t>
  </si>
  <si>
    <t>Разом по заходу 1.2.6.</t>
  </si>
  <si>
    <t>Разом по заходу 1.2.8.</t>
  </si>
  <si>
    <t xml:space="preserve">Всього по напряму 1.3., у тому числі </t>
  </si>
  <si>
    <t>Всього по напряму 1.4., у тому числі</t>
  </si>
  <si>
    <t>Разом по заходу 2.1.1.</t>
  </si>
  <si>
    <t>Разом по заходу 2.1.2.</t>
  </si>
  <si>
    <t>Разом по заходу 2.1.3.</t>
  </si>
  <si>
    <t>1.2.2. Сприяння забезпеченню надання антирабічної допомоги, КПКВК 0712010</t>
  </si>
  <si>
    <t>1.2.4. Проведення обов'язкових  профілактичних оглядів  з видачею  особистих медичних книжок працівникам бюджетної сфери, КПКВК 0712152</t>
  </si>
  <si>
    <t>1.3.1. Покриття вартості комунальних послуг та енергоносіїв, КПКВК 0712030</t>
  </si>
  <si>
    <t>1.4. Збереження стоматологічного здоров'я населення</t>
  </si>
  <si>
    <t>3.1. Інші заклади</t>
  </si>
  <si>
    <t>4.1. Зміцнення та оновлення матеріально-технічної бази закладів охорони здоров'я</t>
  </si>
  <si>
    <t>кількість осіб, яким проводиться щеплення ( по медичним висновкам), осіб</t>
  </si>
  <si>
    <t>кількість працівників бюджетної сфери,  яким проводяться обов'язкові  профілактичні огляди  з видачею  особистих медичних книжок, осіб</t>
  </si>
  <si>
    <t>кількість  проведених бесід, семінарів, лекцій, од.</t>
  </si>
  <si>
    <t>кількість проведених лекцій, бесід, семінарів на 1 лікаря, од.</t>
  </si>
  <si>
    <t>кількість кандидатів на військову службу, осіб</t>
  </si>
  <si>
    <t>середні витрати на одного медичного працівника, грн</t>
  </si>
  <si>
    <t>витрати на закупівлю ендопротезів колінних і кульшових суглобів, од.</t>
  </si>
  <si>
    <t>витрати на закупівлю ендопротезів судин, од.</t>
  </si>
  <si>
    <t>кількість пацієнтів, яким проводиться ендопротезування колінних і кульшових суглобів, осіб</t>
  </si>
  <si>
    <t>кількість пацієнтів, яким проводиться ендопротезування судин, осіб</t>
  </si>
  <si>
    <t>середні витрати на одного пацієнта при  ендопротезвунні  колінних і кульшових суглобів, грн.</t>
  </si>
  <si>
    <t>середні витрати на одного пацієнта при ендопротезвунні  судин, грн.</t>
  </si>
  <si>
    <t>придбання медичного препарату "Диспорт" для дітей хворих на церебральний параліч, грн</t>
  </si>
  <si>
    <t>кількість дітей, які отримають медичний препарат "Диспорт", осіб</t>
  </si>
  <si>
    <t>кількість дітей, які отримають медичний препарат "Октагам", осіб</t>
  </si>
  <si>
    <t>Середні витрати на одну дитину хвору на церебральний параліч, грн.</t>
  </si>
  <si>
    <t>Середні витрати на одну дитину хвору на вроджений імунодифіцит, грн.</t>
  </si>
  <si>
    <t>кількість пролікованих пацієнтів на одного лікаря, осіб</t>
  </si>
  <si>
    <t>динамика обсягу витрат на забезпечення покриття вартості комунальних послуг та енергоносіїв порвняно до попереднього року, %</t>
  </si>
  <si>
    <t>ПІДПРОГРАМА 2. Забезпечення соціальних стандартів у сфері охорони здоров'я</t>
  </si>
  <si>
    <t>кількість осіб, які отримають підгузки, осіб</t>
  </si>
  <si>
    <t>кількість осіб, які отримають калоприймачі, катетери,уропрезервативи, осіб</t>
  </si>
  <si>
    <t>кількість осіб, які  отримають прокладок урологічних, осіб</t>
  </si>
  <si>
    <t>динамика обсягу витрат на забезпечення пільгової категорії населення  технічними та іншими засобами порівняно до попереднього року, %</t>
  </si>
  <si>
    <t>централізована бухгалтерія, од.</t>
  </si>
  <si>
    <t>інформаційно-аналітичний центр медичної статистик, од.</t>
  </si>
  <si>
    <t>кількість медичних закладів, які обслуговує централізована бухгалтерія, од.</t>
  </si>
  <si>
    <t>кількість звітних форм та інформацій працівників бухгалтерії, од.</t>
  </si>
  <si>
    <t>кількість рахунків, од.</t>
  </si>
  <si>
    <t>продукти дитячого харчування дітям, народженим від ВІЛ-інфікованих матерів, грн</t>
  </si>
  <si>
    <t>Олександр ЛИСЕНКО</t>
  </si>
  <si>
    <t>0712070</t>
  </si>
  <si>
    <t>КНП СОР "Сумський обласний центр екстренної медичної допомоги та медицини катастроф"</t>
  </si>
  <si>
    <t>Зміни до програми, тис.грн.</t>
  </si>
  <si>
    <t>Обгрунтування</t>
  </si>
  <si>
    <t>Разом по програмі</t>
  </si>
  <si>
    <t>О.М.Лисенко</t>
  </si>
  <si>
    <t>Обсяг коштів, передбачений діючою програмою (рішення СМР від 26.01.22 № 2713-МР)</t>
  </si>
  <si>
    <t>Капітальний ремонт будівель медичного закладу з утепленням стін, покрівлі, заміною покриття, заміною системи опалення за адресою м. Суми, вул. М. Вовчок, 2</t>
  </si>
  <si>
    <t>Обсяг видатків направлених на проведення ремонтних  робіт інженерних мереж , грн:</t>
  </si>
  <si>
    <t>«Субвенція з місцевого бюджету на закупівлю
опорними закладами охорони здоров’я послуг щодо проектування та
встановлення кисневих станцій за рахунок залишку коштів відповідної
субвенції з державного бюджету, що утворився на початок бюджетного
періоду»</t>
  </si>
  <si>
    <t>Разом по заходу 4.1.4.</t>
  </si>
  <si>
    <t>УСЬОГО по підпрограмі 4.  Приведення закладів охорони здоров'я у відповідність до сучасних потреб</t>
  </si>
  <si>
    <t>Порівняльна таблиця до комплексної  Програми Cумської міської територіальної  громади "Охорона здоров'я" на 2022-2024 роки (зі змінами)</t>
  </si>
  <si>
    <t>обсяг видатків направлених на закупівлю послуг щодо встановлення кисневих станцій,грн.</t>
  </si>
  <si>
    <t>кількість кисневих станцій для встановлення, од.:</t>
  </si>
  <si>
    <t>середні витрати для закупівлі послуг на встановлення кисневих станцій, грн.:</t>
  </si>
  <si>
    <t>питома вага використаних коштів щодо затверджених видатків,%</t>
  </si>
  <si>
    <t>Разом по заходу 4.1.5.</t>
  </si>
  <si>
    <t>Разом по заходу 1.2.10.</t>
  </si>
  <si>
    <t>кількість осіб, яким планується встановлення ортопедичних металоконструкцій</t>
  </si>
  <si>
    <t>середні видатки на одну особу, грн.</t>
  </si>
  <si>
    <t>кількість осіб, яким встановлені/будуть встановлені до кінця року мовні процесори</t>
  </si>
  <si>
    <t>середні видатки на одну особу,щодо встановлення мовного процесора</t>
  </si>
  <si>
    <t>середні видатки на одну особу,щодо встановлення слухового апарату</t>
  </si>
  <si>
    <t>питома вага використаних коштів до затверджених по слуховим апаратам, %</t>
  </si>
  <si>
    <t>кількість установ</t>
  </si>
  <si>
    <t>обсяг витрат для проведення капітальних ремонтів тимчасових укриттів,грн.</t>
  </si>
  <si>
    <t>середні витрати для проведення ремонтів об'єктів тимчасових укриттів,грн.</t>
  </si>
  <si>
    <t>обсяг видатків на придбання довгострокового обладнаня, грн</t>
  </si>
  <si>
    <t xml:space="preserve">до рішення Сумської міської ради "Про внесення змін до рішення Сумської міської ради від 26 січня 2022 року № 2713-МР "Про затвердження комплексної Програми Cумської міської територіальної громади «Охорона здоров'я» на 2022-2024 роки (зі змінами)""                                                                                                        </t>
  </si>
  <si>
    <t>Забезпечення послуг з комп'ютерної томографії призовників,які призиваються до  лав зброїних сил України</t>
  </si>
  <si>
    <t>Забезпечення заробітною платою з нарахуваннями штатної чисельності інфекційного боксованого відділення №3 КНП "Дитяча клінічна лікарня Святої Зінаїди"СМР та медикаментами і виробами медичного призначення.</t>
  </si>
  <si>
    <t>кількість штатних посад,од.</t>
  </si>
  <si>
    <t>кількість пролікованих хворих, од.</t>
  </si>
  <si>
    <t>кількість лікарських відвідувань на одну лікарську посаду</t>
  </si>
  <si>
    <t>відсоток осіб, що отримали лікування потребуючих, %</t>
  </si>
  <si>
    <t>у т.ч.</t>
  </si>
  <si>
    <t>лікарів</t>
  </si>
  <si>
    <t>жінки</t>
  </si>
  <si>
    <t>чоловіки</t>
  </si>
  <si>
    <t>кількість осіб,яким планується проведення комп'ютерної томографії зубів,осіб</t>
  </si>
  <si>
    <t>1.2.5. Забезпечення функціонування відділення медико-соціальної допомоги дітям та молоді "Клініка, дружня до молоді" та утримання лікарів логопедів</t>
  </si>
  <si>
    <t>Сприяння забезпеченню надання медичної допомоги підліткам (віком 14-18 років)  та молоді  (віком до 24 років)  за їх особистим зверненням або за направленням центрів соціальних служб для сім’ї, дітей та молоді, інших  закладів охорони здоров'я на засадах дружнього підходу до молоді. Утримання лікарів логопедів.</t>
  </si>
  <si>
    <t>забезпечення послугами з комп'ютерної томографії призовників,які призиваються до  лав зброїних сил України, грн</t>
  </si>
  <si>
    <t>організація призову громадян на військову службу, грн</t>
  </si>
  <si>
    <t>в т.ч. :</t>
  </si>
  <si>
    <t>кількість обладнання, од.</t>
  </si>
  <si>
    <t>1.2.5. Забезпеченню функціонування відділення медико-соціальної допомоги дітям та молоді "Клініка, дружня до молоді" та утримання лікарів логопедів, КПКВК 0712010</t>
  </si>
  <si>
    <t>Інша субвенція з бюджету Миколаївської селищної ТГ</t>
  </si>
  <si>
    <t>Разом по заходу 1.2.9.</t>
  </si>
  <si>
    <t>до рішення Сумської міської ради "Про внесення змін до рішення Сумської міської ради від 26 січня 2022 року        № 2713 - МР "Про затвердження комплексної Програми Cумської міської  територіальної громади «Охорона здоров'я» на 2022-2024 роки" (зі змінами)"</t>
  </si>
  <si>
    <t>Інші надходження (спеціальний фонд)</t>
  </si>
  <si>
    <t>Отримання благодійної допомоги у вигляді натуральної форми.</t>
  </si>
  <si>
    <t>1512010</t>
  </si>
  <si>
    <t>Управління капітального будівництва Сумської міської ради</t>
  </si>
  <si>
    <t xml:space="preserve">обсяг надходжень в натуральній формі, грн </t>
  </si>
  <si>
    <t xml:space="preserve">Поліпшення якості життя пацієнтів відповідного контингенту та
рівня їхньої соціальної реабілітації, зменшення показників інвалідності та захворюваності.
</t>
  </si>
  <si>
    <t>Покращення показників здоров'я та якості життя  дітей хворих  на вроджений імунодифіцит</t>
  </si>
  <si>
    <t xml:space="preserve">Надання безоплатної стоматологічної допомоги пільговим категоріям дорослого населення </t>
  </si>
  <si>
    <t xml:space="preserve">Забезпечення лікарськими засобами за рецептами лікарів у разі амбулаторного лікування груп населення та за категоріями захворювань згідно з Постановою Кабінету Міністрів Украни від 17.08.1998 №1303. Попередження розвитку ускладнень та продовження тривалості і якості життя                       </t>
  </si>
  <si>
    <t xml:space="preserve">Оновлення лікувально-діагностичної бази закладів охорони здоров'я з метою надання медичних послуг на сучасному обладнанні, що значно підвищить якість надання медичної допомоги. </t>
  </si>
  <si>
    <t>Створення комфортних умов для перебування пацієнтів та роботи персоналу у закладах охорони здоров'я</t>
  </si>
  <si>
    <t>Приведення у належний стан та забезпечення готовності об'єктів для використання в якості тимчасових укриттів в період воєнного стану</t>
  </si>
  <si>
    <t>Сприяння  навчанню та підготовки нових спеціалістів.</t>
  </si>
  <si>
    <t>Придбання колінних та кульшових ендопротезів для надання ортопедичної допомоги мешканцям громади з захворюваннями суглобів для відновлення функціонування кінцівок та зменшення больового синдрому.</t>
  </si>
  <si>
    <t>Забезпечення надання якісної спеціалізованої медичної допомоги мешканцям Миколаївської селищної ТГ.</t>
  </si>
  <si>
    <t>Забезпечення харчовими продуктами дітей віком 0-2 роки для задоволення їх дієтичних  потреб.</t>
  </si>
  <si>
    <t xml:space="preserve">Профілактика та підтримка дітей, народжених від ВІЛ - інфікованих матерів, для забезпечення ефективної протидії поширенню хвороби, зумовленої вірусом імунодефіциту людини.   </t>
  </si>
  <si>
    <t>Проведення поточного ремонту, придбання предметів, матеріалів, обладнання та інвентарю.</t>
  </si>
  <si>
    <t xml:space="preserve">Забезпечення металоконструкціями для остеосинтезу та пластики зв'язкового апарату суглобів військовослужбовців ЗСУ. </t>
  </si>
  <si>
    <t xml:space="preserve">Покращення показників здоров'я та якості життя дітей хворих на ювенільний ревматоїдний артрит </t>
  </si>
  <si>
    <t xml:space="preserve">Сприяння забезпеченню безоплатними слуховими апаратами, мовними процесорами та іншими технічними засобами дорослих осіб з інвалідністю та інших категорій громадян з метою медичної та соціальної реабілітації хворих. </t>
  </si>
  <si>
    <t>Закупівля опорними закладами охорони здоров'я послуг щодо проектування та встановлення кисневих станцій для безперебійного забезпечення хворих киснем.</t>
  </si>
  <si>
    <t>Програма Сумської міської територіальної громади «Соціальна підтримка Захисників і Захисниць України та членів їх сімей» на 2022-2024 роки</t>
  </si>
  <si>
    <t>Програма підвищення енергоефективності в бюджетній сфері Сумської міської територіальної громади на 2022-2024 роки</t>
  </si>
  <si>
    <t>лікувальне харчування для  дітей  з рідкісними (орфанними) захворюваннями, грн</t>
  </si>
  <si>
    <t>кількість дітей  з рідкісними (орфанними) захворюваннями, осіб</t>
  </si>
  <si>
    <t>продукти  харчування дітей віком від 0-2 років  з малозабезпечених сімей, грн</t>
  </si>
  <si>
    <t xml:space="preserve"> 1.2. Розвиток вторинної (спеціалізованої)/третинної (високоспеціалізованої) медичної допомоги</t>
  </si>
  <si>
    <t>придбання  медичного  препарату  "Октагам" для дітей, хворих  на вроджений імунодифіцит, грн</t>
  </si>
  <si>
    <t>придбання дороговартісних препаратів для дітей хворих на ювенальний ревматоїдний артрит, грн</t>
  </si>
  <si>
    <t>кількість дітей хворих на ювенальний ревматоїдний артрит , які отримають дороговартісні препарати, осіб</t>
  </si>
  <si>
    <t xml:space="preserve">Середні витрати на одну дитину хвору на ювенальний ревматоїдний артрит, грн. </t>
  </si>
  <si>
    <t xml:space="preserve">1.3. Забезпечення надання акушерсько - гінекологічної допомоги </t>
  </si>
  <si>
    <t>Підвищення енергоефективності в закладах охорони здоров'я міста та створення комфортних умов перебування пацієнтів і працівників.</t>
  </si>
  <si>
    <t>Забезпечення  стоматологічними послугами Захисників і Захисниць України та членів їх сімей</t>
  </si>
  <si>
    <t>Забезпечення проведення якісного та своєчасного медичного освідчення  військовозобов’язаних громадян, які підлягають призову на військову службу до Збройних Сил України протягом року</t>
  </si>
  <si>
    <t xml:space="preserve">Придбання колінних та кульшових протезів для надання ортопедичної допомоги хворим на артроз </t>
  </si>
  <si>
    <t xml:space="preserve">Покращення показників здоров'я дітей хворих на церебральний параліч </t>
  </si>
  <si>
    <t>Покращення показників здоров'я  дітей хворих  на вроджений імунодифіцит</t>
  </si>
  <si>
    <t xml:space="preserve">Покращення показників здоров'я   дітей хворих на ревматоїдний артрит </t>
  </si>
  <si>
    <t>Забезпечення  сталого функціонування медичних закладів та установ та комфортних умов перебування пацієнтів та медичного персоналу (поточні ремонти, придбання предметів, матеріалів, обладнаня та інвентар,  тощо.)</t>
  </si>
  <si>
    <t>Забезпечення військовослужбовців ортопедичними металоконструкціями.</t>
  </si>
  <si>
    <t xml:space="preserve">Розвиток лікарсько-акушерської допомоги </t>
  </si>
  <si>
    <t xml:space="preserve">1.4.1. Сприяння наданню амбулаторної стоматологічної допомоги  дорослому населенню пільгових категорій          </t>
  </si>
  <si>
    <t>Виконання соціальних гарантій пільгових категорій громадян</t>
  </si>
  <si>
    <t xml:space="preserve">2.1.1.Сприяння забезпеченню пільгової категорії населення лікарськими засобами за безкоштовними рецептами </t>
  </si>
  <si>
    <t xml:space="preserve">Попередження розвитку ускладнень та продовження тривалості і якості життя                       </t>
  </si>
  <si>
    <t xml:space="preserve">Покращення догляду за тяжкохворими у домашніх умовах та адаптування їх до самообслуговування. </t>
  </si>
  <si>
    <t xml:space="preserve">Сприяння забезпеченню пільгової категорії громадян медичними послугами згідно з чинним законодавством </t>
  </si>
  <si>
    <t xml:space="preserve">Сприяння забезпеченню компенсації функцій ушкоджених органів, з метою медичної та соціальної реабілітації осіб з інвалідністю з вираженими вадами слуху. Забезпечення дорослого населення з інвалідністю мовними процесорами </t>
  </si>
  <si>
    <t xml:space="preserve">3.1.1. Забезпечення діяльності централізованої бухгалтерії  та інформаційно-аналітичного центру медичної статистики управління охорони здоров'я СМР  </t>
  </si>
  <si>
    <t>Для придбання  симуляторівї "двох поранень".</t>
  </si>
  <si>
    <t xml:space="preserve">4.1.1. Придбання обладнання          </t>
  </si>
  <si>
    <t>Закупівля опорними закладами охорони здоров'я послуг щодо проектування та встановлення кисневих станцій</t>
  </si>
  <si>
    <t>Приведення у належний стан готовності об'єктів тимчасових укриттів в період воєнного часу</t>
  </si>
  <si>
    <t>Оновлення лікувально-діагностичної бази підприємств з метою проведення обстежень на сучасному обладнанні, що значно підвищить якість надання медичних послуг та створення комфортних умов перебування у закладах охорони здоров'я.</t>
  </si>
  <si>
    <t>1.2.6.Сприяння організації призову громадян на військову службу.</t>
  </si>
  <si>
    <t>Перелік заходів програми, передбачений діючою програмою (рішення СМР від 26.01.22 № 2713-МР)</t>
  </si>
  <si>
    <t>№</t>
  </si>
  <si>
    <t>Розвиток вторинної (спеціалізованої)/третинної (високоспеціалізованої) медичної допомоги</t>
  </si>
  <si>
    <t xml:space="preserve">Забезпечення надання акушерсько - гінекологічної допомоги </t>
  </si>
  <si>
    <t xml:space="preserve">Забезпечення доступності надання медичної допомоги хворим на орфанні захворювання, збільшення тривалості життя хворих та зменшення проявів інвалідизації.  </t>
  </si>
  <si>
    <t xml:space="preserve">Сприяння безоплатного проведення зубопротезування пільговим категоріям громадян  згідно з чинним законодавством </t>
  </si>
  <si>
    <t>Розвиток вторинної (спеціалізованої) медичної допомоги</t>
  </si>
  <si>
    <t xml:space="preserve">4.1.1. Придбання обладнання </t>
  </si>
  <si>
    <t>Очікуваний результат передбачений діючою програмою (рішення СМР від 26.01.22 № 2713-МР)</t>
  </si>
  <si>
    <t>1.2.8. Проведення ендопротезування в т.ч.:</t>
  </si>
  <si>
    <t>1.2.8.1. Ендопротезування великих суглобів</t>
  </si>
  <si>
    <t>1.2.8.2. Ендопротезування великих суглобів</t>
  </si>
  <si>
    <t>1.2.8.3. Ендопротезування судин</t>
  </si>
  <si>
    <t>1.2.9. Сприяння забезпеченню дороговартісними лікарськими засобами, в т.ч.:</t>
  </si>
  <si>
    <t xml:space="preserve">1.2.9.1. Препарат "Диспорт" для дітей хворих на церебральний параліч </t>
  </si>
  <si>
    <t xml:space="preserve">1.2.9.2. Препарат "Диспорт" для дітей хворих на церебральний параліч </t>
  </si>
  <si>
    <t>1.2.9.3.  Препарат "Октогам" для дітей хворих  на вроджений імунодифіцит</t>
  </si>
  <si>
    <t>1.2.9.5. Препарат "Хуміра" , "Актембра","Методжект" для дітей хворих на ревматоїдний артрит</t>
  </si>
  <si>
    <t>1.2.9.6. Дороговартісні препарати для дітей хворих на ювенільний ревматоїдний артрит</t>
  </si>
  <si>
    <t>1.2.10. Сприяння наданню вторинної допомоги</t>
  </si>
  <si>
    <t>Разом по заходу 1.2.11.</t>
  </si>
  <si>
    <t>1.2.11. Сприяння наданню вторинної допомоги</t>
  </si>
  <si>
    <t>1.2.12. Забезпечення ортепедичними металоконструкціями для лікування військовослужбовців ЗСУ</t>
  </si>
  <si>
    <t>Разом по заходу 1.2.12.</t>
  </si>
  <si>
    <t>Разом по заходу 1.2.13.</t>
  </si>
  <si>
    <t>1.2.13. Придбання металоконструкцій  для забезпечення лікування  військовослужбовців  ЗСУ (металоконструкції для остеосинтезу  та для пластики  зв'язкового апарату)</t>
  </si>
  <si>
    <t>1.2.14. Забезпечення безпребійного функціонування інфекційного відділення №3 КНП "Дитяча клінічна лікарня Святої Зінаїди" СМР</t>
  </si>
  <si>
    <t>1.4.4. Покриття вартості комунальних послуг та енергоносіїв</t>
  </si>
  <si>
    <t xml:space="preserve">Надання безоплатної стоматологічної допомоги пільговим категоріям дорослого населення. </t>
  </si>
  <si>
    <t xml:space="preserve">2.1.2.Сприяння забезпеченню  безоплатного та пільгового відпуску лікарських засобів під час амбулаторного лікування окремих груп населення та за певними категоріями захворювань </t>
  </si>
  <si>
    <t xml:space="preserve">2.1.3. Забезпечення осіб з інвалідністю, дітей з інвалідністю технічними та іншими засобами для догляду у домашніх умовах </t>
  </si>
  <si>
    <t>2.1.4. Забезпечення осіб з інвалідністю, дітей з інвалідністю медичними засобами та іншими засобами для використання в амбулаторних умовах</t>
  </si>
  <si>
    <t>2.1.5. Сприяння забезпеченню надання громадянам  послуг по зубопротезуванню на пільгових умовах</t>
  </si>
  <si>
    <t>2.1.6. Сприяння забезпеченню надання громадянам  послуг з проведення зубопротезування на пільгових умовах</t>
  </si>
  <si>
    <t>2.1.7. Сприяння забезпеченню слуховими апаратами та мовними процесорами дорослого населення з інвалідністю</t>
  </si>
  <si>
    <t>2.1.8. Сприяння забезпеченню слуховими апаратами, мовними процесорами та іншими технічними виробами підлягаючих дорослих осіб</t>
  </si>
  <si>
    <t xml:space="preserve">3.1.2. Забезпечення діяльності відділу централізованого бухгалтерського обліку та економічного планування, віддлу інформаційно-аналітичного забезпечення та комунікацій управління охорони здоров'я СМР                   </t>
  </si>
  <si>
    <t>3.1.3. Придбання обладнання</t>
  </si>
  <si>
    <t>3.1.4. Сприяння розвитку закладів охорони здоров'я за рахунок надходжень благодійної допомоги</t>
  </si>
  <si>
    <t xml:space="preserve">4.1.2. Придбання обладнання               </t>
  </si>
  <si>
    <t xml:space="preserve">4.1.3. Проведення капітальних ремонтів </t>
  </si>
  <si>
    <t xml:space="preserve">4.1.5. Участь у інвестиційних проєктах, що реалізуються за рахунок коштів державного фонду регіонального розвитку    </t>
  </si>
  <si>
    <t>4.1.6. Закупівля послуг щодо проектування та встановлення кисневих станцій.</t>
  </si>
  <si>
    <t>4.1.7. Закупівля послуг щодо проектування та встановлення кисневих станцій.</t>
  </si>
  <si>
    <t>4.1.8. Проведення капітальних ремонтів об'єктів тимчасових укриттів</t>
  </si>
  <si>
    <t>1.2.7. Медичне забезпечення  приписки до призовної дільниці, призову громадян на військову службу та організації проведення медичного огляду військовозобов'язаних</t>
  </si>
  <si>
    <t>1.2.8. Проведення ендопротезування, КПКВК 0712010</t>
  </si>
  <si>
    <t>1.2.10. Сприяння наданню вторинної допомоги, КПКВК 0712010</t>
  </si>
  <si>
    <t>1.2.11. Сприяння наданню вторинної допомоги, КПКВК 0712010</t>
  </si>
  <si>
    <t>Обсяг видатків для сприяння наданню вторинної допомоги, грн:</t>
  </si>
  <si>
    <t>1.2.14.  Забезпечення безпребійного функціонування інфекційного відділення №3 КНП "Дитяча клінічна лікарня Святої Зінаїди" СМР, КПКВК 0712010</t>
  </si>
  <si>
    <t>1.2.3. Сприяння забезпеченню  первинного підвищення кваліфікації випускників вищих медичних закладів (інтернатура 3 рік навчання), КПКВК 0712010</t>
  </si>
  <si>
    <t>1.3.2. Покриття вартості комунальних послуг та енергоносіїв</t>
  </si>
  <si>
    <t>1.3.3. Сприяння забезпеченню  первинного підвищення кваліфікації випускників вищих медичних закладів (інтернатура 3 рік навчання)</t>
  </si>
  <si>
    <t>Підтримання сталого функціонування медичних закладів та установ.Забезпечення комфортними умовами перебування пацієнтів і працівників в приміщеннях закладів охорони здоров'я.</t>
  </si>
  <si>
    <t>1.3.3. Сприяння забезпеченню  первинного підвищення кваліфікації випускників вищих медичних закладів (інтернатура 3 рік навчання), КПКВК 0712030</t>
  </si>
  <si>
    <t xml:space="preserve">1.4.2. Сприяння наданню амбулаторної стоматологічної допомоги  пільговим категоріям територіальної громади         </t>
  </si>
  <si>
    <t>1.4.3. Покриття вартості комунальних послуг та енергоносіїв</t>
  </si>
  <si>
    <t xml:space="preserve">1.4.2. Сприяння наданню амбулаторної стоматологічної допомоги  пільговим категоріям територіальної громади,  КПКВК 0712100           </t>
  </si>
  <si>
    <t>1.4.3. Покриття вартості комунальних послуг та енергоносіїв, КПКВК 0712100</t>
  </si>
  <si>
    <t>1.4.4. Покриття вартості комунальних послуг та енергоносіїв, КПКВК 0712100</t>
  </si>
  <si>
    <t xml:space="preserve">2.1.1.Сприяння забезпеченню пільгової категорії населення лікарськими засобами за безкоштовними рецептами  , КПКВК 0712152 </t>
  </si>
  <si>
    <t>2.1.2.Сприяння забезпеченню  безоплатного та пільгового відпуску лікарських засобів під час амбулаторного лікування окремих груп населення та за певними категоріями захворювань, КПКВК 0712152</t>
  </si>
  <si>
    <t>2.1.3. Забезпечення осіб з інвалідністю, дітей з інвалідністю технічними та іншими засобами для догляду у домашніх умовах , КПКВК 0712152</t>
  </si>
  <si>
    <t>2.1.4. Забезпечення осіб з інвалідністю, дітей з інвалідністю медичними засобами та іншими засобами для використання в амбулаторних умовах, КПКВК 0712152</t>
  </si>
  <si>
    <t>2.1.5. Сприяння забезпеченню надання громадянам  послуг по зубопротезуванню на пільгових умовах, КПКВК 0712152</t>
  </si>
  <si>
    <t>2.1.6. Сприяння забезпеченню надання громадянам  послуг з проведення зубопротезування на пільгових умовах,КПКВК 0712152</t>
  </si>
  <si>
    <t>2.1.7. Сприяння забезпеченню слуховими апаратами та мовними процесорами дорослого населення з інвалідністю, КПКВК 0712010</t>
  </si>
  <si>
    <t>2.1.8. Сприяння забезпеченню слуховими апаратами, мовними процесорами та іншими технічними виробами підлягаючих дорослих осіб,КПКВК 0712010</t>
  </si>
  <si>
    <t xml:space="preserve">3.1.1. Забезпечення діяльності централізованої бухгалтерії  та інформаційно-аналітичного центру медичної статистики управління охорони здоров'я СМР  , КПКВК 0712151                   </t>
  </si>
  <si>
    <t xml:space="preserve">3.1.2. Забезпечення діяльності відділу централізованого бухгалтерського обліку та економічного планування, віддлу інформаційно-аналітичного забезпечення та комунікацій управління охорони здоров'я СМР ,   КПКВК 0712151                </t>
  </si>
  <si>
    <t xml:space="preserve">3.1.3. Придбання обладнання, КПКВК 0712152  </t>
  </si>
  <si>
    <t>обсяг видатків на проведення капітальних ремонтів, грн.</t>
  </si>
  <si>
    <t>кількість установ,для яких передбачено кошти на проведення капітальних ремонтів,од.</t>
  </si>
  <si>
    <t>середній обсяг витрат на проведення капітального ремонту в розрахунку на 1 установу, грн.</t>
  </si>
  <si>
    <t>4.1.5. Участь у інвестиційних проєктах, що реалізуються за рахунок коштів державного фонду регіонального розвитку, КПКВК    0717361</t>
  </si>
  <si>
    <t>4.1.6. Закупівля послуг щодо проектування та встановлення кисневих станцій, КПКВК 0712010</t>
  </si>
  <si>
    <t>4.1.7. Закупівля послуг щодо проектування та встановлення кисневих станцій, КПКВК 0712010</t>
  </si>
  <si>
    <t>в т.ч.:</t>
  </si>
  <si>
    <t>придбання медичних препаратів "Хуміра" , "Актембра","Методжект" для дітей хворих на ревматоїдний артрит, грн</t>
  </si>
  <si>
    <t>кількість дітей які отримають медичний препарат "Хуміра" , "Актембра","Методжект", осіб</t>
  </si>
  <si>
    <t xml:space="preserve">Середні витрати на одну дитину хвору на ревматоїдний артрит та кістозний фіброз із легеневими симптомами, грн. </t>
  </si>
  <si>
    <t>1.2.9. Сприяння забезпеченню дороговартісними лікарськими засобами, КПКВК 0712010 (1.2.9.2. Препарат "Диспорт" для дітей хворих на церебральний параліч;  1.2.9.4.  Препарат "Октагам" для дітей, хворих на вроджений імунодефіцит;1.2.9.6. Дороговартісні препарати для дітей хворих на ювенільний ревматоїдний артрит)</t>
  </si>
  <si>
    <t xml:space="preserve">4.1.2. Придбання обладнання    </t>
  </si>
  <si>
    <t>Назва напряму діяльності (пріоритетні завдання),передбачено проєктом рішення,  2023 рік</t>
  </si>
  <si>
    <t>Перелік заходів програми, передбачений  проєктом рішення,  2023 рік</t>
  </si>
  <si>
    <t>Очікуваний результат, передбачений  проєктом рішення,  2023 рік</t>
  </si>
  <si>
    <t>1.2.9.4.  Препарат "Октагам" для дітей, хворих на вроджений імунодефіцит</t>
  </si>
  <si>
    <t xml:space="preserve">Забезпечення лікарськими засобами за рецептами лікарів у разі амбулаторного лікування груп населення та за категоріями захворювань згідно з Постановою Кабінету Міністрів Украни від 17.08.1998 №1303. Попередження розвитку ускладнень та продовження тривалості і якості життя .                      </t>
  </si>
  <si>
    <t xml:space="preserve">4.1.2. Придбання обладнання     </t>
  </si>
  <si>
    <t>УСЬОГО по підпрограмі 1.Покращення надання медичної допомоги населенню</t>
  </si>
  <si>
    <t>УСЬОГО по підпрограмі 2. Забезпечення соціальних стандартів у сфері охорони здоров'я.</t>
  </si>
  <si>
    <t>УСЬОГО по підпрограмі 3. Забезпечення соціальних стандартів у сфері охорони здоров'я.</t>
  </si>
  <si>
    <t xml:space="preserve">3.1.2. Забезпечення діяльності відділу централізованого бухгалтерського обліку та економічного планування, віддлу інформаційно-аналітичного забезпечення та комунікацій управління охорони здоров'я СМР      </t>
  </si>
  <si>
    <t>Відповідно рішення СМР від 24.11.2021 року № 2304 - МР "Про передачу майна комунальної власності СМТГ в оперативне управління на баланс управлінню охорони здоров'я СМР". Придбання будівельних матеріалів для проведення поточного ремонту приміщень за адресою: м.Суми, вул. Гетьмана Павла Скоропадського,26 за рахунок зменшення видатків по відшкодуванню послуг за проведення особам,які призиваються до лав збройних сил України комп'ютерної томографії зубів</t>
  </si>
  <si>
    <t>Зменшення видатків по "Управління охорони здоров'я" СМР.</t>
  </si>
  <si>
    <t>Придбання пожежного обладнання  для КНП "Дитяча клінічна лікарня Святої Зінаїди" СМР - 28,8 тис.грн.</t>
  </si>
  <si>
    <t xml:space="preserve">від                     року № </t>
  </si>
  <si>
    <t>від                  року №</t>
  </si>
  <si>
    <r>
      <t xml:space="preserve">Обсяг коштів програми, передбачений проектом рішення, тис.грн. </t>
    </r>
    <r>
      <rPr>
        <b/>
        <sz val="16"/>
        <rFont val="Times New Roman"/>
        <family val="1"/>
        <charset val="204"/>
      </rPr>
      <t>2023 рік</t>
    </r>
  </si>
  <si>
    <t>Придбання пожежного обладнання для КНП "Дитяча клінічна лікарня Святої Зінаїди" СМР - 99,7 тис.грн., сплата за послуги із влаштування пожежної сігналізації - 138,7 тис.грн.</t>
  </si>
  <si>
    <t>Сприяння забезпеченню осіб з інвалідністю та дітей з інвалідністю підгузками -1000,0 тис.грн. (КНП "ЦПМСД №1" СМР -560,0 тис.грн., КНП "ЦПМСД №2" СМР - 390,0 тис.грн., КНП "Клінічна лікарня Св.Пантелеймона" СМР - 50,0 тис.грн.)</t>
  </si>
  <si>
    <t>Проведення капітальних робіт підвального приміщення (укриття) за адресою: м.Суми, вул.Івана Сірка,3   КНП "Дитяча клінічна лікарня Святої Зінаїди" СМР - 9354,2  тис.грн.</t>
  </si>
  <si>
    <t>Підтримання  сталого функціонування медичних закладів та установ. Забезпечення комфортними умовами перебування пацієнтів і працівників  в приміщеннях закладів охорони здоров'я.</t>
  </si>
  <si>
    <t>Запобігання виникнення захворювання на сказ у людини після контакту із хворою або ж підозрілою на сказ твариною.</t>
  </si>
  <si>
    <t>1517322</t>
  </si>
  <si>
    <t>Реконструкція захисних споруд цивільного захисту неврологічного корпусу КНП  «Клінічна лікарня № 4» СМР за адресою: м. Суми,  вул. Металургів, 38</t>
  </si>
  <si>
    <t>Реконструкція неврологічного відділення КУ  «СМКЛ № 4» по вул. Металургів, 38</t>
  </si>
  <si>
    <t>4.1.9. Облаштування захисних споруд</t>
  </si>
  <si>
    <t>Разом по заходу 4.1.9.</t>
  </si>
  <si>
    <t>Разом по заходу 4.1.8.</t>
  </si>
  <si>
    <t>Разом по заходу 4.1.7.</t>
  </si>
  <si>
    <t>Разом по заходу 4.1.6.</t>
  </si>
  <si>
    <t>Разом по заходу 2.1.6.</t>
  </si>
  <si>
    <t>Разом по заходу 2.1.5.</t>
  </si>
  <si>
    <t>Разом по заходу 2.1.4.</t>
  </si>
  <si>
    <t xml:space="preserve">4.1.4. Проведення капітальних ремонтів/реконструкція                                           </t>
  </si>
  <si>
    <t>1.1.3.  Сприяння забезпеченню лікувальним харчуванням  дітей хворих на   рідкісні (орфанні) захворювання</t>
  </si>
  <si>
    <t xml:space="preserve">1.1.4. Сприяння забезпеченню продуктами харчування дітей віком від    0-2 років з малозабезпечених сімей </t>
  </si>
  <si>
    <t>1.1.5. Сприяння забезпеченню спеціальним харчуванням дітей народжених від ВІЛ-  інфікованих матерів</t>
  </si>
  <si>
    <t>1.1.3.; 1.1.4.; 1.1.5. Сприяння забезпеченню лікувальним харчуванням  дітей хворих на рідкісні (орфанні) захворювання;   Сприяння забезпеченню продуктами харчування дітей віком від    0-2 років з малозабезпечених сімей ;Сприяння забезпеченню продуктами харчування дітей народжених від ВІЛ-  інфікованих матерів. КПКВК 0712152</t>
  </si>
  <si>
    <t>Забезпечення проведення якісного та своєчасного медичного огляду  військовозобов’язаних громадян, які підлягають приписці до призовної дільниці, призову на військову службу до Збройних Сил України протягом року, проведення медичного огляду військовозобов'язаних та  резервістів, у тому числі при забезпеченні мобілізації.</t>
  </si>
  <si>
    <t xml:space="preserve">Покращення показників здоров'я та якості життя дітей хворих на церебральний параліч </t>
  </si>
  <si>
    <t>1.2.6.Сприяння організації призову громадян на військову службу, КПКВК 0712010, КПКВК 0712152</t>
  </si>
  <si>
    <t>1.2.9. Сприяння забезпеченню дороговартісними лікарськими засобами (1.2.9.1. Препарат "Диспорт" для дітей хворих на церебральний параліч; 1.2.9.3.  Препарат "Октагам" для дітей хворих  на вроджений імунодифіцит. 1.2.9.5. Препарат "Хуміра" , "Актембра","Методжект" для дітей хворих на ревматоїдний артрит),КПКВК 0712010</t>
  </si>
  <si>
    <t xml:space="preserve">1.4.1.Сприяння наданню амбулаторної стоматологічної допомоги  дорослому населенню пільгових категорій , КПКВК 0712100          </t>
  </si>
  <si>
    <t>2.1. Виконання соціальних гарантій пільгових категорій громадян</t>
  </si>
  <si>
    <t>4.1.1. Придбання обладнання, КПКВК 0712010, КПКВК 0712152, КПКВК 0712070</t>
  </si>
  <si>
    <t>4.1.2. Придбання обладнання, КПКВК 0712010, КПКВК 0712152</t>
  </si>
  <si>
    <t>4.1.3. Проведення капітальних ремонтів,КПКВК 0712010, КПКВК 0712151</t>
  </si>
  <si>
    <t>4.1.8. Проведення капітальних ремонтів об'єктів тимчасових укриттів, КПКВК 0712010</t>
  </si>
  <si>
    <t>Управління капітального будівництва СМР. Реконструкція неврологічного відділення КУ  «СМКЛ № 4» по вул. Металургів, 38.</t>
  </si>
  <si>
    <t>Управління капітального будівництва СМР. Реконструкція захисних споруд цивільного захисту неврологічного корпусу КНП  «Клінічна лікарня № 4» СМР за адресою: м. Суми,  вул. Металургів, 38</t>
  </si>
  <si>
    <t>4.1.4. Проведення капітальних ремонтів/реконструкція</t>
  </si>
  <si>
    <t>Сприяння забезпеченню безоплатними слуховими апаратами, мовними процесорами та іншими технічними засобами дорослих осіб з інвалідністю та інших категорій громадян з метою медичної та соціальної реабілітації хворих</t>
  </si>
  <si>
    <t>Забезпечення проведення якісного та своєчасного медичного огляду  військовозобов’язаних громадян, які підлягають приписці до призовної дільниці, призову на військову службу до Збройних Сил України протягом року, проведення медичного огляду військовозобов'язаних та  резервістів, у тому числі при забезпеченні мобілізації.Забезпечення послуг з комп'ютерної томографії призовників,які призиваються до  лав зброїних сил України</t>
  </si>
  <si>
    <t>Забезпечення проведення якісного та своєчасного медичного освідчення  військовозобов’язаних громадян, які підлягають призову на військову службу до Збройних Сил України протягом року.Забезпечення послуг з комп'ютерної томографії призовників,які призиваються до  лав зброїних сил України</t>
  </si>
  <si>
    <t xml:space="preserve">Покращення догляду за тяжкохворими у домашніх умовах та адаптування їх до самообслуговування </t>
  </si>
  <si>
    <t>Оновлення лікувально-діагностичної бази закладів охорони здоров'я з метою надання медичних послуг на сучасному обладнанні, що значно підвищить якість надання медичної допомоги</t>
  </si>
  <si>
    <t>Оновлення лікувально-діагностичної бази підприємств з метою проведення обстежень на сучасному обладнанні, що значно підвищить якість надання медичних послуг та створення комфортних умов перебування у закладах охорони здоров'я</t>
  </si>
  <si>
    <t>Закупівля опорними закладами охорони здоров'я послуг щодо проектування та встановлення кисневих станцій для безперебійного забезпечення хворих киснем</t>
  </si>
  <si>
    <t>Забезпечення послуг з комп'ютерної томографії призовників,які призиваються до  лав Зброїних сил України</t>
  </si>
  <si>
    <t>Управління капітального будівництва та дорожнього господарства СМР</t>
  </si>
  <si>
    <t>2.1.4. Сприяння  забезпеченню осіб з інвалідністю, дітей з інвалідністю медичними засобами та іншими засобами для використання в амбулаторних умовах</t>
  </si>
  <si>
    <t>Редакція в частині заходів програми на 2023 -2024 р.</t>
  </si>
  <si>
    <t>Редакція заходів програми на 2022 рік</t>
  </si>
  <si>
    <r>
      <t>Порівняльна таблиця до комплексної  Програми Cумської міської територіальної  громади "Охорона здоров'я" на 2022-2024 роки (зі змінами)</t>
    </r>
    <r>
      <rPr>
        <b/>
        <sz val="16"/>
        <color theme="1"/>
        <rFont val="Times New Roman"/>
        <family val="1"/>
        <charset val="204"/>
      </rPr>
      <t xml:space="preserve"> в зв'язку з приведеннням заходів програми у відповідність.</t>
    </r>
  </si>
  <si>
    <t xml:space="preserve">Забезпечення медичними виробами та іншими засобами осіб з інвалідністю, дітей з інвалідністю, які мають виражені порушення функцій органів та систем, з метою їх медичної реабілітації. </t>
  </si>
  <si>
    <t>Управління охорони здоров'я Сумської міської ради. Отримання благодійної допомоги у вигляді натуральної форми.</t>
  </si>
  <si>
    <t>2.1.4. Сприяння забезпеченню осіб з інвалідністю, дітей з інвалідністю медичними засобами та іншими засобами для використання в амбулаторних умовах</t>
  </si>
  <si>
    <t>Додаток 3</t>
  </si>
  <si>
    <t xml:space="preserve">Додаток 4  </t>
  </si>
  <si>
    <t>3.1.4. Сприяння розвитку закладів охорони здоров'я за рахунок надходжень благодійної допомоги, КПКВК 0712152</t>
  </si>
  <si>
    <t>4.1.4. Проведення капітальних ремонтів/реконструкція,КПКВК 0712010, КПКВК 0712151, КПКВК 0712030, КПКВК 0712100,КПКВК 1517322</t>
  </si>
  <si>
    <t>обсяг видатків на реконструкцію, грн.</t>
  </si>
  <si>
    <t>кількість об'єктів,які планується реконструювати,од.</t>
  </si>
  <si>
    <t>середній обсяг витрат на реконструкцію 1 об'єкта, грн.</t>
  </si>
  <si>
    <t>4.1.9. Облаштування захисних споруд, КПКВК 0712010, КПКВК 1517322</t>
  </si>
  <si>
    <t>Обсяг видатків, грн.:</t>
  </si>
  <si>
    <t>обсяг видатків на участь у інвестиційних проєктах, що реалізуються за рахунок коштів ДФРР, грн</t>
  </si>
  <si>
    <t>обсяг видатків, грн.:</t>
  </si>
  <si>
    <t>обсяг видатків на проведення капітальних ремонтів, за напрямами, грн:</t>
  </si>
  <si>
    <t>кількість об'єктів капітального ремонту, за напрямами, од.:</t>
  </si>
  <si>
    <t>середня вартість об'єкту, за напрямами грн.:</t>
  </si>
  <si>
    <t>середні витрати для проведення ремонтів захисних споруд,грн.</t>
  </si>
  <si>
    <t>середні витрати для проведення реконструкції захисних споруд,грн.</t>
  </si>
  <si>
    <t>кількість установ де планується проведення реконструкції захисних споруд,од.</t>
  </si>
  <si>
    <t>кількість установ де планується проведення капітальних ремонтів захисних споруд,од.</t>
  </si>
  <si>
    <t>обсяг видатків для проведення капітальних ремонтів захисних споруд,грн.</t>
  </si>
  <si>
    <t>обсяг видатків для реконструкції захисних споруд,грн.</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</si>
</sst>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30" x14ac:knownFonts="1">
    <font>
      <sz val="10"/>
      <name val="Arial"/>
    </font>
    <font>
      <b/>
      <sz val="14"/>
      <name val="Times New Roman"/>
      <family val="1"/>
      <charset val="204"/>
    </font>
    <font>
      <sz val="12"/>
      <name val="Times New Roman"/>
      <family val="1"/>
      <charset val="204"/>
    </font>
    <font>
      <sz val="14"/>
      <name val="Times New Roman"/>
      <family val="1"/>
      <charset val="204"/>
    </font>
    <font>
      <sz val="12"/>
      <name val="Times New Roman"/>
      <family val="1"/>
      <charset val="204"/>
    </font>
    <font>
      <sz val="10"/>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b/>
      <sz val="18"/>
      <name val="Times New Roman"/>
      <family val="1"/>
      <charset val="204"/>
    </font>
    <font>
      <b/>
      <sz val="16"/>
      <name val="Times New Roman"/>
      <family val="1"/>
      <charset val="204"/>
    </font>
    <font>
      <sz val="14"/>
      <name val="Arial"/>
      <family val="2"/>
      <charset val="204"/>
    </font>
    <font>
      <sz val="18"/>
      <name val="Times New Roman"/>
      <family val="1"/>
      <charset val="204"/>
    </font>
    <font>
      <b/>
      <sz val="20"/>
      <name val="Times New Roman"/>
      <family val="1"/>
      <charset val="204"/>
    </font>
    <font>
      <sz val="8"/>
      <name val="Arial"/>
      <family val="2"/>
      <charset val="204"/>
    </font>
    <font>
      <sz val="20"/>
      <name val="Times New Roman"/>
      <family val="1"/>
      <charset val="204"/>
    </font>
    <font>
      <b/>
      <sz val="25"/>
      <name val="Times New Roman"/>
      <family val="1"/>
      <charset val="204"/>
    </font>
    <font>
      <b/>
      <sz val="22"/>
      <name val="Times New Roman"/>
      <family val="1"/>
      <charset val="204"/>
    </font>
    <font>
      <b/>
      <sz val="24"/>
      <name val="Times New Roman"/>
      <family val="1"/>
      <charset val="204"/>
    </font>
    <font>
      <b/>
      <sz val="26"/>
      <name val="Times New Roman"/>
      <family val="1"/>
      <charset val="204"/>
    </font>
    <font>
      <sz val="22"/>
      <name val="Times New Roman"/>
      <family val="1"/>
      <charset val="204"/>
    </font>
    <font>
      <i/>
      <sz val="22"/>
      <name val="Times New Roman"/>
      <family val="1"/>
      <charset val="204"/>
    </font>
    <font>
      <sz val="24"/>
      <name val="Times New Roman"/>
      <family val="1"/>
      <charset val="204"/>
    </font>
    <font>
      <b/>
      <sz val="28"/>
      <name val="Times New Roman"/>
      <family val="1"/>
      <charset val="204"/>
    </font>
    <font>
      <sz val="28"/>
      <name val="Times New Roman"/>
      <family val="1"/>
      <charset val="204"/>
    </font>
    <font>
      <sz val="36"/>
      <name val="Times New Roman"/>
      <family val="1"/>
      <charset val="204"/>
    </font>
    <font>
      <sz val="48"/>
      <name val="Times New Roman"/>
      <family val="1"/>
      <charset val="204"/>
    </font>
    <font>
      <sz val="10"/>
      <name val="Arial Cyr"/>
      <charset val="204"/>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1">
    <xf numFmtId="0" fontId="0" fillId="0" borderId="0"/>
    <xf numFmtId="0" fontId="6" fillId="0" borderId="0"/>
    <xf numFmtId="0" fontId="5" fillId="0" borderId="0"/>
    <xf numFmtId="0" fontId="4" fillId="0" borderId="0"/>
    <xf numFmtId="9" fontId="5" fillId="0" borderId="0" applyFont="0" applyFill="0" applyBorder="0" applyAlignment="0" applyProtection="0"/>
    <xf numFmtId="0" fontId="7" fillId="0" borderId="0"/>
    <xf numFmtId="0" fontId="15" fillId="0" borderId="0">
      <alignment horizontal="left"/>
    </xf>
    <xf numFmtId="0" fontId="2" fillId="0" borderId="0"/>
    <xf numFmtId="0" fontId="15" fillId="0" borderId="0">
      <alignment horizontal="left"/>
    </xf>
    <xf numFmtId="0" fontId="5" fillId="0" borderId="0"/>
    <xf numFmtId="0" fontId="28" fillId="0" borderId="0"/>
  </cellStyleXfs>
  <cellXfs count="553">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1" fillId="0" borderId="1" xfId="0" applyFont="1" applyBorder="1" applyAlignment="1">
      <alignment horizontal="center"/>
    </xf>
    <xf numFmtId="0" fontId="3" fillId="2" borderId="0" xfId="0" applyFont="1" applyFill="1"/>
    <xf numFmtId="0" fontId="3" fillId="2" borderId="0" xfId="0" applyFont="1" applyFill="1" applyAlignment="1">
      <alignment horizontal="right"/>
    </xf>
    <xf numFmtId="0" fontId="9" fillId="2" borderId="0" xfId="0" applyFont="1" applyFill="1"/>
    <xf numFmtId="0" fontId="3" fillId="2" borderId="0" xfId="0" applyFont="1" applyFill="1" applyBorder="1" applyAlignment="1">
      <alignment horizontal="left" vertical="top" wrapText="1"/>
    </xf>
    <xf numFmtId="0" fontId="9" fillId="2" borderId="0" xfId="0" applyFont="1" applyFill="1" applyAlignment="1">
      <alignment horizontal="center" vertical="center"/>
    </xf>
    <xf numFmtId="0" fontId="9" fillId="2" borderId="0" xfId="0" applyFont="1" applyFill="1" applyAlignment="1">
      <alignment wrapText="1"/>
    </xf>
    <xf numFmtId="0" fontId="9" fillId="2" borderId="0" xfId="0" applyFont="1" applyFill="1" applyAlignment="1">
      <alignment horizontal="center"/>
    </xf>
    <xf numFmtId="0" fontId="12" fillId="0" borderId="0" xfId="0" applyFont="1"/>
    <xf numFmtId="0" fontId="3" fillId="0" borderId="0" xfId="0" applyFont="1" applyAlignment="1">
      <alignment horizontal="left" wrapText="1"/>
    </xf>
    <xf numFmtId="0" fontId="3" fillId="0" borderId="0" xfId="0" applyFont="1" applyAlignment="1">
      <alignment horizontal="justify"/>
    </xf>
    <xf numFmtId="0" fontId="3" fillId="0" borderId="0" xfId="0" applyFont="1" applyAlignment="1">
      <alignment horizontal="left"/>
    </xf>
    <xf numFmtId="0" fontId="3" fillId="2" borderId="0" xfId="0" applyFont="1" applyFill="1" applyBorder="1" applyAlignment="1">
      <alignment horizontal="center" vertical="top" wrapText="1"/>
    </xf>
    <xf numFmtId="49" fontId="8" fillId="0" borderId="1" xfId="0" applyNumberFormat="1" applyFont="1" applyBorder="1" applyAlignment="1">
      <alignment horizontal="center" vertical="center" wrapText="1"/>
    </xf>
    <xf numFmtId="3" fontId="3" fillId="2" borderId="0" xfId="0" applyNumberFormat="1" applyFont="1" applyFill="1"/>
    <xf numFmtId="166" fontId="13" fillId="2" borderId="1" xfId="0" applyNumberFormat="1" applyFont="1" applyFill="1" applyBorder="1" applyAlignment="1">
      <alignment horizontal="center" vertical="top" wrapText="1"/>
    </xf>
    <xf numFmtId="0" fontId="3" fillId="2" borderId="1" xfId="0" applyFont="1" applyFill="1" applyBorder="1" applyAlignment="1">
      <alignment horizontal="center"/>
    </xf>
    <xf numFmtId="164" fontId="3" fillId="2" borderId="0" xfId="0" applyNumberFormat="1" applyFont="1" applyFill="1"/>
    <xf numFmtId="166" fontId="3" fillId="2" borderId="0" xfId="0" applyNumberFormat="1" applyFont="1" applyFill="1"/>
    <xf numFmtId="166" fontId="18" fillId="2" borderId="1" xfId="0" applyNumberFormat="1" applyFont="1" applyFill="1" applyBorder="1" applyAlignment="1">
      <alignment horizontal="center" vertical="top" wrapText="1"/>
    </xf>
    <xf numFmtId="166" fontId="18" fillId="2" borderId="1" xfId="0" applyNumberFormat="1" applyFont="1" applyFill="1" applyBorder="1" applyAlignment="1">
      <alignment horizontal="center" vertical="center" wrapText="1"/>
    </xf>
    <xf numFmtId="166" fontId="21" fillId="2" borderId="1" xfId="0" applyNumberFormat="1" applyFont="1" applyFill="1" applyBorder="1" applyAlignment="1">
      <alignment horizontal="center" vertical="top" wrapText="1"/>
    </xf>
    <xf numFmtId="166" fontId="21" fillId="2" borderId="6" xfId="0" applyNumberFormat="1" applyFont="1" applyFill="1" applyBorder="1" applyAlignment="1">
      <alignment horizontal="center" vertical="top" wrapText="1"/>
    </xf>
    <xf numFmtId="49" fontId="13" fillId="2" borderId="6" xfId="0" applyNumberFormat="1" applyFont="1" applyFill="1" applyBorder="1" applyAlignment="1">
      <alignment horizontal="left" vertical="top" wrapText="1"/>
    </xf>
    <xf numFmtId="166" fontId="18" fillId="2" borderId="6" xfId="0" applyNumberFormat="1" applyFont="1" applyFill="1" applyBorder="1" applyAlignment="1">
      <alignment horizontal="center" vertical="top" wrapText="1"/>
    </xf>
    <xf numFmtId="166" fontId="18" fillId="2" borderId="9" xfId="0" applyNumberFormat="1" applyFont="1" applyFill="1" applyBorder="1" applyAlignment="1">
      <alignment horizontal="center" vertical="top" wrapText="1"/>
    </xf>
    <xf numFmtId="166" fontId="21" fillId="2" borderId="9" xfId="0" applyNumberFormat="1" applyFont="1" applyFill="1" applyBorder="1" applyAlignment="1">
      <alignment horizontal="center" vertical="top" wrapText="1"/>
    </xf>
    <xf numFmtId="49" fontId="13" fillId="2" borderId="1" xfId="0" applyNumberFormat="1" applyFont="1" applyFill="1" applyBorder="1" applyAlignment="1">
      <alignment vertical="center" wrapText="1"/>
    </xf>
    <xf numFmtId="49" fontId="13" fillId="2" borderId="1" xfId="0" applyNumberFormat="1" applyFont="1" applyFill="1" applyBorder="1" applyAlignment="1">
      <alignment horizontal="left" vertical="top" wrapText="1"/>
    </xf>
    <xf numFmtId="166" fontId="21" fillId="2" borderId="1" xfId="0" applyNumberFormat="1" applyFont="1" applyFill="1" applyBorder="1" applyAlignment="1">
      <alignment horizontal="center" vertical="top"/>
    </xf>
    <xf numFmtId="166" fontId="21" fillId="2" borderId="1" xfId="0" applyNumberFormat="1" applyFont="1" applyFill="1" applyBorder="1" applyAlignment="1">
      <alignment horizontal="center" vertical="center" wrapText="1"/>
    </xf>
    <xf numFmtId="0" fontId="3" fillId="2" borderId="0" xfId="0" applyFont="1" applyFill="1" applyAlignment="1">
      <alignment horizontal="center"/>
    </xf>
    <xf numFmtId="0" fontId="21" fillId="2" borderId="0" xfId="0" applyFont="1" applyFill="1" applyAlignment="1">
      <alignment vertical="top"/>
    </xf>
    <xf numFmtId="0" fontId="13" fillId="2" borderId="0" xfId="0" applyFont="1" applyFill="1" applyAlignment="1">
      <alignment horizontal="center" vertical="center"/>
    </xf>
    <xf numFmtId="0" fontId="21" fillId="2" borderId="0" xfId="0" applyFont="1" applyFill="1" applyAlignment="1">
      <alignment horizontal="center" vertical="center"/>
    </xf>
    <xf numFmtId="0" fontId="13" fillId="2" borderId="0" xfId="0" applyFont="1" applyFill="1" applyAlignment="1">
      <alignment horizontal="center"/>
    </xf>
    <xf numFmtId="0" fontId="13" fillId="2" borderId="0" xfId="3" applyFont="1" applyFill="1" applyAlignment="1">
      <alignment horizontal="center" wrapText="1"/>
    </xf>
    <xf numFmtId="0" fontId="21" fillId="2" borderId="0" xfId="3" applyFont="1" applyFill="1" applyAlignment="1">
      <alignment horizontal="center" wrapText="1"/>
    </xf>
    <xf numFmtId="0" fontId="13" fillId="2" borderId="0" xfId="0" applyFont="1" applyFill="1" applyAlignment="1">
      <alignment horizontal="center" wrapText="1"/>
    </xf>
    <xf numFmtId="0" fontId="21" fillId="2" borderId="0" xfId="0" applyFont="1" applyFill="1" applyAlignment="1">
      <alignment horizontal="center" wrapText="1"/>
    </xf>
    <xf numFmtId="0" fontId="1" fillId="2" borderId="0" xfId="0" applyFont="1" applyFill="1" applyAlignment="1">
      <alignment horizontal="center"/>
    </xf>
    <xf numFmtId="165" fontId="21" fillId="2" borderId="0" xfId="0" applyNumberFormat="1" applyFont="1" applyFill="1" applyAlignment="1">
      <alignment horizontal="center" wrapText="1"/>
    </xf>
    <xf numFmtId="0" fontId="3" fillId="2" borderId="0" xfId="0" applyFont="1" applyFill="1" applyAlignment="1">
      <alignment horizontal="center" vertical="center"/>
    </xf>
    <xf numFmtId="0" fontId="1"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166" fontId="21" fillId="2" borderId="3" xfId="0" applyNumberFormat="1" applyFont="1" applyFill="1" applyBorder="1" applyAlignment="1">
      <alignment horizontal="center" vertical="top" wrapText="1"/>
    </xf>
    <xf numFmtId="0" fontId="1" fillId="2" borderId="0" xfId="0" applyFont="1" applyFill="1" applyAlignment="1">
      <alignment horizontal="center" vertical="center"/>
    </xf>
    <xf numFmtId="0" fontId="14" fillId="2" borderId="12" xfId="0" applyFont="1" applyFill="1" applyBorder="1" applyAlignment="1">
      <alignment vertical="top"/>
    </xf>
    <xf numFmtId="49" fontId="13" fillId="2" borderId="6" xfId="0" applyNumberFormat="1" applyFont="1" applyFill="1" applyBorder="1" applyAlignment="1">
      <alignment vertical="top" wrapText="1"/>
    </xf>
    <xf numFmtId="4" fontId="18" fillId="2" borderId="1" xfId="0" applyNumberFormat="1" applyFont="1" applyFill="1" applyBorder="1" applyAlignment="1">
      <alignment horizontal="center" vertical="center" wrapText="1"/>
    </xf>
    <xf numFmtId="0" fontId="23" fillId="2" borderId="1" xfId="0" applyFont="1" applyFill="1" applyBorder="1" applyAlignment="1">
      <alignment horizontal="left" vertical="top" wrapText="1"/>
    </xf>
    <xf numFmtId="49" fontId="13" fillId="2" borderId="1" xfId="0" applyNumberFormat="1" applyFont="1" applyFill="1" applyBorder="1" applyAlignment="1">
      <alignment vertical="top" wrapText="1"/>
    </xf>
    <xf numFmtId="0" fontId="10" fillId="2" borderId="0" xfId="0" applyFont="1" applyFill="1" applyBorder="1" applyAlignment="1">
      <alignment horizontal="left" vertical="center" wrapText="1"/>
    </xf>
    <xf numFmtId="0" fontId="18" fillId="2" borderId="0" xfId="0" applyFont="1" applyFill="1" applyBorder="1" applyAlignment="1">
      <alignment horizontal="left" vertical="center" wrapText="1"/>
    </xf>
    <xf numFmtId="166" fontId="10" fillId="2" borderId="0" xfId="0" applyNumberFormat="1" applyFont="1" applyFill="1" applyBorder="1" applyAlignment="1">
      <alignment horizontal="center" vertical="center" wrapText="1"/>
    </xf>
    <xf numFmtId="49" fontId="13" fillId="2" borderId="8" xfId="0" applyNumberFormat="1" applyFont="1" applyFill="1" applyBorder="1" applyAlignment="1">
      <alignment horizontal="left" vertical="top" wrapText="1"/>
    </xf>
    <xf numFmtId="4" fontId="18" fillId="2" borderId="1" xfId="0" applyNumberFormat="1" applyFont="1" applyFill="1" applyBorder="1" applyAlignment="1">
      <alignment horizontal="center" vertical="top" wrapText="1"/>
    </xf>
    <xf numFmtId="4" fontId="21" fillId="2" borderId="1" xfId="0" applyNumberFormat="1" applyFont="1" applyFill="1" applyBorder="1" applyAlignment="1">
      <alignment horizontal="center" vertical="top" wrapText="1"/>
    </xf>
    <xf numFmtId="166" fontId="10" fillId="2" borderId="1" xfId="0" applyNumberFormat="1" applyFont="1" applyFill="1" applyBorder="1" applyAlignment="1">
      <alignment horizontal="center" vertical="top" wrapText="1"/>
    </xf>
    <xf numFmtId="0" fontId="13" fillId="2" borderId="1" xfId="0" applyFont="1" applyFill="1" applyBorder="1" applyAlignment="1">
      <alignment horizontal="center" vertical="center" wrapText="1"/>
    </xf>
    <xf numFmtId="0" fontId="14" fillId="2" borderId="3" xfId="0" applyFont="1" applyFill="1" applyBorder="1" applyAlignment="1">
      <alignment horizontal="center" vertical="top" wrapText="1"/>
    </xf>
    <xf numFmtId="0" fontId="3" fillId="2" borderId="0" xfId="0" applyFont="1" applyFill="1" applyBorder="1"/>
    <xf numFmtId="0" fontId="10" fillId="2" borderId="0" xfId="0" applyFont="1" applyFill="1" applyBorder="1" applyAlignment="1">
      <alignment horizontal="left" vertical="top" wrapText="1"/>
    </xf>
    <xf numFmtId="0" fontId="10" fillId="2" borderId="4" xfId="0" applyFont="1" applyFill="1" applyBorder="1" applyAlignment="1">
      <alignment horizontal="center" vertical="top" wrapText="1"/>
    </xf>
    <xf numFmtId="164" fontId="21" fillId="2" borderId="1" xfId="0" applyNumberFormat="1" applyFont="1" applyFill="1" applyBorder="1" applyAlignment="1">
      <alignment horizontal="center" vertical="top" wrapText="1"/>
    </xf>
    <xf numFmtId="0" fontId="14" fillId="2" borderId="3" xfId="0" applyFont="1" applyFill="1" applyBorder="1" applyAlignment="1">
      <alignment horizontal="center" vertical="center"/>
    </xf>
    <xf numFmtId="0" fontId="14" fillId="2" borderId="4" xfId="0" applyFont="1" applyFill="1" applyBorder="1" applyAlignment="1">
      <alignment vertical="center"/>
    </xf>
    <xf numFmtId="166" fontId="18" fillId="2" borderId="1" xfId="0" applyNumberFormat="1" applyFont="1" applyFill="1" applyBorder="1" applyAlignment="1">
      <alignment horizontal="center" vertical="top"/>
    </xf>
    <xf numFmtId="0" fontId="19" fillId="2" borderId="3" xfId="0" applyFont="1" applyFill="1" applyBorder="1" applyAlignment="1">
      <alignment vertical="center"/>
    </xf>
    <xf numFmtId="0" fontId="18" fillId="2" borderId="4" xfId="0" applyFont="1" applyFill="1" applyBorder="1" applyAlignment="1">
      <alignment vertical="center"/>
    </xf>
    <xf numFmtId="0" fontId="26" fillId="2" borderId="0" xfId="0" applyFont="1" applyFill="1" applyAlignment="1">
      <alignment horizontal="center"/>
    </xf>
    <xf numFmtId="0" fontId="26" fillId="2" borderId="0" xfId="0" applyFont="1" applyFill="1"/>
    <xf numFmtId="0" fontId="26" fillId="2" borderId="0" xfId="0" applyFont="1" applyFill="1" applyAlignment="1">
      <alignment vertical="top"/>
    </xf>
    <xf numFmtId="0" fontId="26" fillId="2" borderId="0" xfId="0" applyFont="1" applyFill="1" applyAlignment="1">
      <alignment horizontal="center" vertical="center"/>
    </xf>
    <xf numFmtId="0" fontId="26" fillId="2" borderId="0" xfId="0" applyFont="1" applyFill="1" applyAlignment="1">
      <alignment horizontal="center" wrapText="1"/>
    </xf>
    <xf numFmtId="0" fontId="21" fillId="2" borderId="0" xfId="0" applyFont="1" applyFill="1" applyAlignment="1">
      <alignment horizontal="center"/>
    </xf>
    <xf numFmtId="0" fontId="25" fillId="2" borderId="0" xfId="0" applyFont="1" applyFill="1" applyAlignment="1">
      <alignment horizontal="left"/>
    </xf>
    <xf numFmtId="0" fontId="27" fillId="2" borderId="0" xfId="0" applyFont="1" applyFill="1"/>
    <xf numFmtId="166" fontId="21" fillId="2" borderId="0" xfId="0" applyNumberFormat="1" applyFont="1" applyFill="1" applyAlignment="1">
      <alignment horizontal="center" wrapText="1"/>
    </xf>
    <xf numFmtId="0" fontId="25" fillId="2" borderId="0" xfId="0" applyFont="1" applyFill="1"/>
    <xf numFmtId="0" fontId="25" fillId="2" borderId="0" xfId="0" applyFont="1" applyFill="1" applyAlignment="1">
      <alignment horizontal="right"/>
    </xf>
    <xf numFmtId="0" fontId="25" fillId="2" borderId="0" xfId="0" applyFont="1" applyFill="1" applyAlignment="1">
      <alignment horizontal="center" vertical="center"/>
    </xf>
    <xf numFmtId="0" fontId="25" fillId="2" borderId="0" xfId="0" applyFont="1" applyFill="1" applyAlignment="1">
      <alignment wrapText="1"/>
    </xf>
    <xf numFmtId="0" fontId="21" fillId="2" borderId="0" xfId="0" applyFont="1" applyFill="1" applyAlignment="1">
      <alignment wrapText="1"/>
    </xf>
    <xf numFmtId="0" fontId="16" fillId="2" borderId="0" xfId="0" applyFont="1" applyFill="1"/>
    <xf numFmtId="0" fontId="21" fillId="2" borderId="0" xfId="0" applyFont="1" applyFill="1" applyAlignment="1">
      <alignment horizontal="right"/>
    </xf>
    <xf numFmtId="0" fontId="16" fillId="2" borderId="0" xfId="0" applyFont="1" applyFill="1" applyAlignment="1">
      <alignment horizontal="center" vertical="center"/>
    </xf>
    <xf numFmtId="0" fontId="21" fillId="2" borderId="0" xfId="0" applyFont="1" applyFill="1"/>
    <xf numFmtId="0" fontId="16" fillId="2" borderId="0" xfId="0" applyFont="1" applyFill="1" applyAlignment="1">
      <alignment wrapText="1"/>
    </xf>
    <xf numFmtId="0" fontId="13" fillId="2" borderId="0" xfId="0" applyFont="1" applyFill="1" applyAlignment="1">
      <alignment wrapText="1"/>
    </xf>
    <xf numFmtId="0" fontId="21" fillId="2" borderId="0" xfId="0" applyFont="1" applyFill="1" applyAlignment="1">
      <alignment horizontal="left"/>
    </xf>
    <xf numFmtId="0" fontId="14" fillId="2" borderId="5" xfId="0" applyFont="1" applyFill="1" applyBorder="1" applyAlignment="1">
      <alignment vertical="top"/>
    </xf>
    <xf numFmtId="0" fontId="14" fillId="2" borderId="10" xfId="0" applyFont="1" applyFill="1" applyBorder="1" applyAlignment="1">
      <alignment vertical="top"/>
    </xf>
    <xf numFmtId="49" fontId="21" fillId="2" borderId="2" xfId="0" applyNumberFormat="1" applyFont="1" applyFill="1" applyBorder="1" applyAlignment="1">
      <alignment vertical="top" wrapText="1"/>
    </xf>
    <xf numFmtId="0" fontId="21" fillId="2" borderId="2" xfId="0" applyFont="1" applyFill="1" applyBorder="1" applyAlignment="1">
      <alignment vertical="top" wrapText="1"/>
    </xf>
    <xf numFmtId="0" fontId="21" fillId="2" borderId="2" xfId="3" applyFont="1" applyFill="1" applyBorder="1" applyAlignment="1">
      <alignment vertical="top" wrapText="1"/>
    </xf>
    <xf numFmtId="0" fontId="21" fillId="2" borderId="1" xfId="0" applyFont="1" applyFill="1" applyBorder="1" applyAlignment="1">
      <alignment horizontal="center" vertical="top" wrapText="1"/>
    </xf>
    <xf numFmtId="0" fontId="14" fillId="2" borderId="0" xfId="0" applyFont="1" applyFill="1" applyBorder="1" applyAlignment="1">
      <alignment horizontal="left" vertical="top" wrapText="1"/>
    </xf>
    <xf numFmtId="0" fontId="13" fillId="2" borderId="1" xfId="0" applyFont="1" applyFill="1" applyBorder="1" applyAlignment="1">
      <alignment vertical="top" wrapText="1"/>
    </xf>
    <xf numFmtId="0" fontId="18" fillId="2" borderId="3" xfId="0" applyFont="1" applyFill="1" applyBorder="1" applyAlignment="1">
      <alignment vertical="center"/>
    </xf>
    <xf numFmtId="166" fontId="18" fillId="2" borderId="2" xfId="0" applyNumberFormat="1" applyFont="1" applyFill="1" applyBorder="1" applyAlignment="1">
      <alignment horizontal="center" vertical="top" wrapText="1"/>
    </xf>
    <xf numFmtId="166" fontId="13" fillId="2" borderId="6" xfId="0" applyNumberFormat="1" applyFont="1" applyFill="1" applyBorder="1" applyAlignment="1">
      <alignment horizontal="center" vertical="top" wrapText="1"/>
    </xf>
    <xf numFmtId="0" fontId="13" fillId="2" borderId="12" xfId="0" applyFont="1" applyFill="1" applyBorder="1" applyAlignment="1">
      <alignment vertical="top" wrapText="1"/>
    </xf>
    <xf numFmtId="0" fontId="13" fillId="2" borderId="9" xfId="0" applyFont="1" applyFill="1" applyBorder="1" applyAlignment="1">
      <alignment vertical="top" wrapText="1"/>
    </xf>
    <xf numFmtId="3" fontId="9" fillId="2" borderId="0" xfId="0" applyNumberFormat="1" applyFont="1" applyFill="1"/>
    <xf numFmtId="3" fontId="21" fillId="2" borderId="0" xfId="0" applyNumberFormat="1" applyFont="1" applyFill="1" applyAlignment="1">
      <alignment horizontal="left"/>
    </xf>
    <xf numFmtId="3" fontId="9" fillId="2" borderId="0" xfId="0" applyNumberFormat="1" applyFont="1" applyFill="1" applyBorder="1"/>
    <xf numFmtId="3" fontId="21" fillId="2" borderId="0" xfId="0" applyNumberFormat="1" applyFont="1" applyFill="1"/>
    <xf numFmtId="3" fontId="9" fillId="2" borderId="0" xfId="0" applyNumberFormat="1" applyFont="1" applyFill="1" applyAlignment="1">
      <alignment horizontal="center"/>
    </xf>
    <xf numFmtId="3" fontId="11" fillId="2" borderId="1" xfId="0" applyNumberFormat="1" applyFont="1" applyFill="1" applyBorder="1" applyAlignment="1">
      <alignment horizontal="center" vertical="top" wrapText="1"/>
    </xf>
    <xf numFmtId="3" fontId="18" fillId="2" borderId="1" xfId="0" applyNumberFormat="1" applyFont="1" applyFill="1" applyBorder="1" applyAlignment="1">
      <alignment horizontal="left" vertical="top" wrapText="1"/>
    </xf>
    <xf numFmtId="3" fontId="14" fillId="2" borderId="1" xfId="0" applyNumberFormat="1" applyFont="1" applyFill="1" applyBorder="1" applyAlignment="1">
      <alignment horizontal="center" vertical="top" wrapText="1"/>
    </xf>
    <xf numFmtId="3" fontId="10" fillId="2" borderId="1" xfId="0" applyNumberFormat="1" applyFont="1" applyFill="1" applyBorder="1" applyAlignment="1">
      <alignment horizontal="center" vertical="top" wrapText="1"/>
    </xf>
    <xf numFmtId="3" fontId="13" fillId="2" borderId="1" xfId="0" applyNumberFormat="1" applyFont="1" applyFill="1" applyBorder="1" applyAlignment="1">
      <alignment horizontal="left" vertical="top" wrapText="1"/>
    </xf>
    <xf numFmtId="3" fontId="13" fillId="2" borderId="1" xfId="0" applyNumberFormat="1" applyFont="1" applyFill="1" applyBorder="1" applyAlignment="1">
      <alignment horizontal="center" vertical="top" wrapText="1"/>
    </xf>
    <xf numFmtId="3" fontId="10" fillId="2" borderId="1" xfId="0" applyNumberFormat="1" applyFont="1" applyFill="1" applyBorder="1" applyAlignment="1">
      <alignment horizontal="center" vertical="top"/>
    </xf>
    <xf numFmtId="0" fontId="13" fillId="2" borderId="1" xfId="0" applyFont="1" applyFill="1" applyBorder="1" applyAlignment="1">
      <alignment horizontal="left" vertical="top" wrapText="1"/>
    </xf>
    <xf numFmtId="3" fontId="13" fillId="2" borderId="1" xfId="0" applyNumberFormat="1" applyFont="1" applyFill="1" applyBorder="1" applyAlignment="1">
      <alignment horizontal="center" vertical="top"/>
    </xf>
    <xf numFmtId="3" fontId="13" fillId="2" borderId="1" xfId="7" applyNumberFormat="1" applyFont="1" applyFill="1" applyBorder="1" applyAlignment="1">
      <alignment horizontal="left" vertical="top" wrapText="1"/>
    </xf>
    <xf numFmtId="3" fontId="13" fillId="2" borderId="0" xfId="0" applyNumberFormat="1" applyFont="1" applyFill="1" applyAlignment="1">
      <alignment horizontal="left" vertical="top" wrapText="1"/>
    </xf>
    <xf numFmtId="3" fontId="13" fillId="2" borderId="1" xfId="8" applyNumberFormat="1" applyFont="1" applyFill="1" applyBorder="1" applyAlignment="1">
      <alignment horizontal="left" vertical="top" wrapText="1"/>
    </xf>
    <xf numFmtId="0" fontId="13" fillId="2" borderId="1" xfId="7" applyFont="1" applyFill="1" applyBorder="1" applyAlignment="1">
      <alignment horizontal="left" vertical="top" wrapText="1"/>
    </xf>
    <xf numFmtId="4" fontId="13" fillId="2" borderId="1" xfId="0" applyNumberFormat="1" applyFont="1" applyFill="1" applyBorder="1" applyAlignment="1">
      <alignment horizontal="center" vertical="top" wrapText="1"/>
    </xf>
    <xf numFmtId="3" fontId="13" fillId="2" borderId="1" xfId="0" applyNumberFormat="1" applyFont="1" applyFill="1" applyBorder="1" applyAlignment="1">
      <alignment vertical="top" wrapText="1"/>
    </xf>
    <xf numFmtId="3" fontId="10" fillId="2" borderId="1" xfId="0" applyNumberFormat="1" applyFont="1" applyFill="1" applyBorder="1" applyAlignment="1">
      <alignment vertical="top" wrapText="1"/>
    </xf>
    <xf numFmtId="4" fontId="13" fillId="2" borderId="1" xfId="0" applyNumberFormat="1" applyFont="1" applyFill="1" applyBorder="1" applyAlignment="1">
      <alignment vertical="top" wrapText="1"/>
    </xf>
    <xf numFmtId="3" fontId="9" fillId="2" borderId="1" xfId="0" applyNumberFormat="1" applyFont="1" applyFill="1" applyBorder="1" applyAlignment="1">
      <alignment horizontal="center" vertical="top"/>
    </xf>
    <xf numFmtId="3" fontId="9" fillId="2" borderId="0" xfId="0" applyNumberFormat="1" applyFont="1" applyFill="1" applyAlignment="1">
      <alignment horizontal="center" vertical="top"/>
    </xf>
    <xf numFmtId="3" fontId="10" fillId="2" borderId="1" xfId="7" applyNumberFormat="1" applyFont="1" applyFill="1" applyBorder="1" applyAlignment="1">
      <alignment horizontal="left" vertical="top" wrapText="1"/>
    </xf>
    <xf numFmtId="3" fontId="10" fillId="2" borderId="1" xfId="0" applyNumberFormat="1" applyFont="1" applyFill="1" applyBorder="1" applyAlignment="1">
      <alignment horizontal="left" vertical="top" wrapText="1" shrinkToFit="1"/>
    </xf>
    <xf numFmtId="3" fontId="9" fillId="2" borderId="1" xfId="0" applyNumberFormat="1" applyFont="1" applyFill="1" applyBorder="1"/>
    <xf numFmtId="3" fontId="9" fillId="2" borderId="1" xfId="0" applyNumberFormat="1" applyFont="1" applyFill="1" applyBorder="1" applyAlignment="1">
      <alignment horizontal="center"/>
    </xf>
    <xf numFmtId="3" fontId="13" fillId="2" borderId="6" xfId="7" applyNumberFormat="1" applyFont="1" applyFill="1" applyBorder="1" applyAlignment="1">
      <alignment horizontal="left" vertical="top" wrapText="1"/>
    </xf>
    <xf numFmtId="3" fontId="13" fillId="2" borderId="0" xfId="0" applyNumberFormat="1" applyFont="1" applyFill="1" applyBorder="1" applyAlignment="1">
      <alignment wrapText="1"/>
    </xf>
    <xf numFmtId="3" fontId="10" fillId="2" borderId="0" xfId="0" applyNumberFormat="1" applyFont="1" applyFill="1" applyBorder="1"/>
    <xf numFmtId="3" fontId="13" fillId="2" borderId="0" xfId="0" applyNumberFormat="1" applyFont="1" applyFill="1" applyBorder="1"/>
    <xf numFmtId="3" fontId="16" fillId="2" borderId="0" xfId="0" applyNumberFormat="1" applyFont="1" applyFill="1"/>
    <xf numFmtId="3" fontId="16" fillId="2" borderId="0" xfId="0" applyNumberFormat="1" applyFont="1" applyFill="1" applyAlignment="1">
      <alignment horizontal="center"/>
    </xf>
    <xf numFmtId="3" fontId="13" fillId="2" borderId="0" xfId="0" applyNumberFormat="1" applyFont="1" applyFill="1" applyAlignment="1">
      <alignment horizontal="left"/>
    </xf>
    <xf numFmtId="3" fontId="16" fillId="2" borderId="0" xfId="0" applyNumberFormat="1" applyFont="1" applyFill="1" applyAlignment="1">
      <alignment horizontal="right"/>
    </xf>
    <xf numFmtId="3" fontId="16" fillId="2" borderId="0" xfId="0" applyNumberFormat="1" applyFont="1" applyFill="1" applyAlignment="1">
      <alignment horizontal="center" vertical="center"/>
    </xf>
    <xf numFmtId="3" fontId="16" fillId="2" borderId="0" xfId="0" applyNumberFormat="1" applyFont="1" applyFill="1" applyAlignment="1">
      <alignment wrapText="1"/>
    </xf>
    <xf numFmtId="3" fontId="13" fillId="2" borderId="0" xfId="0" applyNumberFormat="1" applyFont="1" applyFill="1" applyAlignment="1">
      <alignment wrapText="1"/>
    </xf>
    <xf numFmtId="3" fontId="3" fillId="2" borderId="0" xfId="0" applyNumberFormat="1" applyFont="1" applyFill="1" applyAlignment="1">
      <alignment vertical="top" wrapText="1"/>
    </xf>
    <xf numFmtId="3" fontId="13" fillId="2" borderId="0" xfId="0" applyNumberFormat="1" applyFont="1" applyFill="1"/>
    <xf numFmtId="3" fontId="13" fillId="2" borderId="0" xfId="0" applyNumberFormat="1" applyFont="1" applyFill="1" applyAlignment="1">
      <alignment horizontal="right"/>
    </xf>
    <xf numFmtId="3" fontId="13" fillId="2" borderId="0" xfId="0" applyNumberFormat="1" applyFont="1" applyFill="1" applyAlignment="1">
      <alignment horizontal="center" vertical="center"/>
    </xf>
    <xf numFmtId="3" fontId="13" fillId="2" borderId="0" xfId="0" applyNumberFormat="1" applyFont="1" applyFill="1" applyAlignment="1">
      <alignment horizontal="center"/>
    </xf>
    <xf numFmtId="3" fontId="13" fillId="2" borderId="0" xfId="0" applyNumberFormat="1" applyFont="1" applyFill="1" applyAlignment="1">
      <alignment vertical="top"/>
    </xf>
    <xf numFmtId="3" fontId="9" fillId="2" borderId="0" xfId="0" applyNumberFormat="1" applyFont="1" applyFill="1" applyAlignment="1">
      <alignment vertical="top" wrapText="1"/>
    </xf>
    <xf numFmtId="49" fontId="13" fillId="2" borderId="1" xfId="0" applyNumberFormat="1" applyFont="1" applyFill="1" applyBorder="1" applyAlignment="1">
      <alignment horizontal="center" vertical="top" wrapText="1"/>
    </xf>
    <xf numFmtId="0" fontId="21" fillId="2" borderId="0" xfId="0" applyFont="1" applyFill="1" applyAlignment="1">
      <alignment horizontal="left" wrapText="1"/>
    </xf>
    <xf numFmtId="0" fontId="21" fillId="2" borderId="0" xfId="0" applyFont="1" applyFill="1" applyAlignment="1">
      <alignment horizontal="justify" wrapText="1"/>
    </xf>
    <xf numFmtId="0" fontId="16" fillId="2" borderId="0" xfId="0" applyFont="1" applyFill="1" applyAlignment="1">
      <alignment vertical="top" wrapText="1"/>
    </xf>
    <xf numFmtId="0" fontId="21" fillId="2" borderId="1" xfId="3" applyFont="1" applyFill="1" applyBorder="1" applyAlignment="1">
      <alignment vertical="top" wrapText="1"/>
    </xf>
    <xf numFmtId="166" fontId="16" fillId="2" borderId="12" xfId="0" applyNumberFormat="1" applyFont="1" applyFill="1" applyBorder="1" applyAlignment="1">
      <alignment horizontal="center" vertical="top" wrapText="1"/>
    </xf>
    <xf numFmtId="166" fontId="16" fillId="2" borderId="6" xfId="0" applyNumberFormat="1" applyFont="1" applyFill="1" applyBorder="1" applyAlignment="1">
      <alignment horizontal="center" vertical="top" wrapText="1"/>
    </xf>
    <xf numFmtId="0" fontId="16" fillId="2" borderId="8" xfId="0" applyFont="1" applyFill="1" applyBorder="1" applyAlignment="1">
      <alignment horizontal="center" vertical="top" wrapText="1"/>
    </xf>
    <xf numFmtId="0" fontId="26" fillId="2" borderId="0" xfId="0" applyFont="1" applyFill="1" applyAlignment="1">
      <alignment vertical="top" wrapText="1"/>
    </xf>
    <xf numFmtId="0" fontId="16" fillId="2" borderId="1" xfId="0" applyFont="1" applyFill="1" applyBorder="1" applyAlignment="1">
      <alignment horizontal="left" vertical="top" wrapText="1"/>
    </xf>
    <xf numFmtId="0" fontId="21" fillId="2" borderId="1" xfId="0" applyFont="1" applyFill="1" applyBorder="1" applyAlignment="1">
      <alignment horizontal="center" vertical="center" wrapText="1"/>
    </xf>
    <xf numFmtId="0" fontId="21" fillId="2" borderId="2" xfId="0" applyNumberFormat="1" applyFont="1" applyFill="1" applyBorder="1" applyAlignment="1">
      <alignment horizontal="left" vertical="top" wrapText="1"/>
    </xf>
    <xf numFmtId="164" fontId="18" fillId="2" borderId="1" xfId="0" applyNumberFormat="1" applyFont="1" applyFill="1" applyBorder="1" applyAlignment="1">
      <alignment horizontal="center" vertical="top" wrapText="1"/>
    </xf>
    <xf numFmtId="164" fontId="18" fillId="2" borderId="1" xfId="0" applyNumberFormat="1" applyFont="1" applyFill="1" applyBorder="1" applyAlignment="1">
      <alignment horizontal="center" vertical="center" wrapText="1"/>
    </xf>
    <xf numFmtId="164" fontId="2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top" wrapText="1"/>
    </xf>
    <xf numFmtId="16" fontId="14" fillId="2" borderId="9" xfId="0" applyNumberFormat="1" applyFont="1" applyFill="1" applyBorder="1" applyAlignment="1">
      <alignment vertical="top"/>
    </xf>
    <xf numFmtId="16" fontId="14" fillId="2" borderId="6" xfId="0" applyNumberFormat="1" applyFont="1" applyFill="1" applyBorder="1" applyAlignment="1">
      <alignment horizontal="center" vertical="top"/>
    </xf>
    <xf numFmtId="0" fontId="21" fillId="2" borderId="6" xfId="3" applyFont="1" applyFill="1" applyBorder="1" applyAlignment="1">
      <alignment vertical="top" wrapText="1"/>
    </xf>
    <xf numFmtId="3" fontId="13" fillId="2" borderId="0" xfId="0" applyNumberFormat="1" applyFont="1" applyFill="1" applyBorder="1" applyAlignment="1">
      <alignment horizontal="left" vertical="top" wrapText="1"/>
    </xf>
    <xf numFmtId="3" fontId="9" fillId="2" borderId="0" xfId="0" applyNumberFormat="1" applyFont="1" applyFill="1" applyBorder="1" applyAlignment="1">
      <alignment horizontal="center"/>
    </xf>
    <xf numFmtId="1" fontId="13" fillId="2" borderId="1" xfId="0" applyNumberFormat="1" applyFont="1" applyFill="1" applyBorder="1" applyAlignment="1">
      <alignment horizontal="center" vertical="top" wrapText="1"/>
    </xf>
    <xf numFmtId="3" fontId="11" fillId="2" borderId="1" xfId="0" applyNumberFormat="1" applyFont="1" applyFill="1" applyBorder="1" applyAlignment="1">
      <alignment horizontal="center"/>
    </xf>
    <xf numFmtId="3" fontId="11" fillId="2" borderId="1" xfId="0" applyNumberFormat="1" applyFont="1" applyFill="1" applyBorder="1"/>
    <xf numFmtId="3" fontId="11" fillId="2" borderId="1" xfId="0" applyNumberFormat="1" applyFont="1" applyFill="1" applyBorder="1" applyAlignment="1"/>
    <xf numFmtId="0" fontId="3" fillId="2" borderId="1" xfId="0" applyFont="1" applyFill="1" applyBorder="1" applyAlignment="1">
      <alignment horizontal="center" vertical="center" wrapText="1"/>
    </xf>
    <xf numFmtId="0" fontId="9" fillId="2" borderId="1" xfId="0" applyFont="1" applyFill="1" applyBorder="1" applyAlignment="1">
      <alignment horizontal="left" vertical="top" wrapText="1"/>
    </xf>
    <xf numFmtId="164" fontId="9" fillId="2" borderId="0" xfId="0" applyNumberFormat="1" applyFont="1" applyFill="1"/>
    <xf numFmtId="3" fontId="9" fillId="2" borderId="0" xfId="0" applyNumberFormat="1" applyFont="1" applyFill="1" applyAlignment="1">
      <alignment horizontal="right"/>
    </xf>
    <xf numFmtId="3" fontId="9" fillId="2" borderId="0" xfId="0" applyNumberFormat="1" applyFont="1" applyFill="1" applyAlignment="1">
      <alignment horizontal="center" vertical="center"/>
    </xf>
    <xf numFmtId="3" fontId="9" fillId="2" borderId="0" xfId="0" applyNumberFormat="1" applyFont="1" applyFill="1" applyAlignment="1">
      <alignment wrapText="1"/>
    </xf>
    <xf numFmtId="3" fontId="9" fillId="2" borderId="0" xfId="0" applyNumberFormat="1" applyFont="1" applyFill="1" applyAlignment="1">
      <alignment horizontal="left"/>
    </xf>
    <xf numFmtId="3" fontId="9" fillId="2" borderId="0" xfId="0" applyNumberFormat="1" applyFont="1" applyFill="1" applyAlignment="1">
      <alignment vertical="top"/>
    </xf>
    <xf numFmtId="166" fontId="9" fillId="2" borderId="0" xfId="0" applyNumberFormat="1" applyFont="1" applyFill="1" applyAlignment="1">
      <alignment wrapText="1"/>
    </xf>
    <xf numFmtId="0" fontId="13" fillId="2" borderId="1" xfId="0" applyFont="1" applyFill="1" applyBorder="1" applyAlignment="1">
      <alignment horizontal="center" vertical="top"/>
    </xf>
    <xf numFmtId="166" fontId="13" fillId="2" borderId="9" xfId="0" applyNumberFormat="1" applyFont="1" applyFill="1" applyBorder="1" applyAlignment="1">
      <alignment horizontal="center" vertical="top"/>
    </xf>
    <xf numFmtId="166" fontId="13" fillId="2" borderId="1" xfId="0" applyNumberFormat="1" applyFont="1" applyFill="1" applyBorder="1" applyAlignment="1">
      <alignment horizontal="center" vertical="top"/>
    </xf>
    <xf numFmtId="0" fontId="13" fillId="2" borderId="13" xfId="0" applyFont="1" applyFill="1" applyBorder="1" applyAlignment="1">
      <alignment horizontal="center" vertical="top" wrapText="1"/>
    </xf>
    <xf numFmtId="0" fontId="13" fillId="2" borderId="0" xfId="0" applyFont="1" applyFill="1"/>
    <xf numFmtId="166" fontId="13" fillId="2" borderId="0" xfId="0" applyNumberFormat="1" applyFont="1" applyFill="1" applyAlignment="1">
      <alignment wrapText="1"/>
    </xf>
    <xf numFmtId="166" fontId="10" fillId="2" borderId="9" xfId="0" applyNumberFormat="1" applyFont="1" applyFill="1" applyBorder="1" applyAlignment="1">
      <alignment horizontal="center" vertical="top"/>
    </xf>
    <xf numFmtId="166" fontId="10" fillId="2" borderId="1" xfId="0" applyNumberFormat="1" applyFont="1" applyFill="1" applyBorder="1" applyAlignment="1">
      <alignment horizontal="center" vertical="top"/>
    </xf>
    <xf numFmtId="164" fontId="10" fillId="2" borderId="1" xfId="0" applyNumberFormat="1" applyFont="1" applyFill="1" applyBorder="1" applyAlignment="1">
      <alignment horizontal="center" vertical="top" wrapText="1"/>
    </xf>
    <xf numFmtId="166" fontId="9" fillId="2" borderId="0" xfId="0" applyNumberFormat="1" applyFont="1" applyFill="1" applyBorder="1" applyAlignment="1">
      <alignment horizontal="center" vertical="top" wrapText="1"/>
    </xf>
    <xf numFmtId="0" fontId="9" fillId="2" borderId="0" xfId="0" applyFont="1" applyFill="1" applyBorder="1" applyAlignment="1">
      <alignment horizontal="center" vertical="top" wrapText="1"/>
    </xf>
    <xf numFmtId="0" fontId="9" fillId="2" borderId="1" xfId="0" applyFont="1" applyFill="1" applyBorder="1" applyAlignment="1">
      <alignment vertical="top" wrapText="1"/>
    </xf>
    <xf numFmtId="0" fontId="9" fillId="2" borderId="9" xfId="0" applyFont="1" applyFill="1" applyBorder="1" applyAlignment="1">
      <alignment vertical="top" wrapText="1"/>
    </xf>
    <xf numFmtId="0" fontId="9" fillId="2" borderId="1" xfId="0" applyFont="1" applyFill="1" applyBorder="1"/>
    <xf numFmtId="49" fontId="13" fillId="2" borderId="6" xfId="0" applyNumberFormat="1" applyFont="1" applyFill="1" applyBorder="1" applyAlignment="1">
      <alignment horizontal="center" vertical="top" wrapText="1"/>
    </xf>
    <xf numFmtId="0" fontId="9" fillId="2" borderId="1" xfId="0" applyFont="1" applyFill="1" applyBorder="1" applyAlignment="1">
      <alignment horizontal="center" vertical="top" wrapText="1"/>
    </xf>
    <xf numFmtId="0" fontId="13" fillId="2" borderId="1" xfId="0" applyFont="1" applyFill="1" applyBorder="1" applyAlignment="1">
      <alignment horizontal="center" vertical="top" wrapText="1"/>
    </xf>
    <xf numFmtId="0" fontId="13" fillId="2" borderId="9" xfId="0" applyFont="1" applyFill="1" applyBorder="1" applyAlignment="1">
      <alignment horizontal="center" vertical="top"/>
    </xf>
    <xf numFmtId="0" fontId="9" fillId="2" borderId="6" xfId="0" applyFont="1" applyFill="1" applyBorder="1" applyAlignment="1">
      <alignment horizontal="center" vertical="top" wrapText="1"/>
    </xf>
    <xf numFmtId="0" fontId="11" fillId="2" borderId="0" xfId="0" applyFont="1" applyFill="1" applyAlignment="1">
      <alignment horizontal="center" vertical="top" wrapText="1"/>
    </xf>
    <xf numFmtId="0" fontId="9" fillId="2" borderId="6" xfId="0" applyFont="1" applyFill="1" applyBorder="1" applyAlignment="1">
      <alignment horizontal="left" vertical="top" wrapText="1"/>
    </xf>
    <xf numFmtId="0" fontId="9" fillId="2" borderId="6" xfId="0" applyFont="1" applyFill="1" applyBorder="1" applyAlignment="1">
      <alignment horizontal="center" vertical="top" wrapText="1"/>
    </xf>
    <xf numFmtId="0" fontId="9" fillId="2" borderId="6" xfId="0" applyFont="1" applyFill="1" applyBorder="1" applyAlignment="1">
      <alignment horizontal="center" vertical="center" wrapText="1"/>
    </xf>
    <xf numFmtId="0" fontId="11" fillId="2" borderId="1" xfId="0" applyFont="1" applyFill="1" applyBorder="1" applyAlignment="1">
      <alignment vertical="top" wrapText="1"/>
    </xf>
    <xf numFmtId="0" fontId="13" fillId="2" borderId="2" xfId="0" applyFont="1" applyFill="1" applyBorder="1" applyAlignment="1">
      <alignment horizontal="left" vertical="top" wrapText="1"/>
    </xf>
    <xf numFmtId="0" fontId="9" fillId="2" borderId="6" xfId="0" applyFont="1" applyFill="1" applyBorder="1" applyAlignment="1">
      <alignment horizontal="center" vertical="top" wrapText="1"/>
    </xf>
    <xf numFmtId="0" fontId="16" fillId="2" borderId="6" xfId="0" applyFont="1" applyFill="1" applyBorder="1" applyAlignment="1">
      <alignment vertical="top" wrapText="1"/>
    </xf>
    <xf numFmtId="0" fontId="21" fillId="2" borderId="12" xfId="0" applyFont="1" applyFill="1" applyBorder="1" applyAlignment="1">
      <alignment vertical="center" wrapText="1"/>
    </xf>
    <xf numFmtId="0" fontId="25" fillId="2" borderId="0" xfId="0" applyFont="1" applyFill="1" applyAlignment="1">
      <alignment vertical="top" wrapText="1"/>
    </xf>
    <xf numFmtId="0" fontId="21" fillId="2" borderId="6" xfId="3" applyFont="1" applyFill="1" applyBorder="1" applyAlignment="1">
      <alignment horizontal="left" vertical="top" wrapText="1"/>
    </xf>
    <xf numFmtId="0" fontId="21" fillId="2" borderId="9" xfId="3" applyFont="1" applyFill="1" applyBorder="1" applyAlignment="1">
      <alignment horizontal="left" vertical="top" wrapText="1"/>
    </xf>
    <xf numFmtId="0" fontId="21" fillId="2" borderId="1" xfId="0" applyFont="1" applyFill="1" applyBorder="1" applyAlignment="1">
      <alignment horizontal="left" vertical="top" wrapText="1"/>
    </xf>
    <xf numFmtId="0" fontId="13" fillId="2" borderId="6" xfId="0" applyFont="1" applyFill="1" applyBorder="1" applyAlignment="1">
      <alignment horizontal="center" vertical="top" wrapText="1"/>
    </xf>
    <xf numFmtId="0" fontId="13" fillId="2" borderId="6" xfId="3" applyFont="1" applyFill="1" applyBorder="1" applyAlignment="1">
      <alignment horizontal="center" vertical="top" wrapText="1"/>
    </xf>
    <xf numFmtId="0" fontId="13" fillId="2" borderId="9" xfId="3" applyFont="1" applyFill="1" applyBorder="1" applyAlignment="1">
      <alignment horizontal="center" vertical="top" wrapText="1"/>
    </xf>
    <xf numFmtId="0" fontId="13" fillId="2" borderId="9" xfId="0" applyFont="1" applyFill="1" applyBorder="1" applyAlignment="1">
      <alignment horizontal="center" vertical="top" wrapText="1"/>
    </xf>
    <xf numFmtId="49" fontId="21" fillId="2" borderId="12" xfId="0" applyNumberFormat="1" applyFont="1" applyFill="1" applyBorder="1" applyAlignment="1">
      <alignment horizontal="left" vertical="top" wrapText="1"/>
    </xf>
    <xf numFmtId="49" fontId="21" fillId="2" borderId="9" xfId="0" applyNumberFormat="1" applyFont="1" applyFill="1" applyBorder="1" applyAlignment="1">
      <alignment horizontal="left" vertical="top" wrapText="1"/>
    </xf>
    <xf numFmtId="0" fontId="21" fillId="2" borderId="6" xfId="0" applyFont="1" applyFill="1" applyBorder="1" applyAlignment="1">
      <alignment horizontal="left" vertical="top" wrapText="1"/>
    </xf>
    <xf numFmtId="0" fontId="21" fillId="2" borderId="12" xfId="0" applyFont="1" applyFill="1" applyBorder="1" applyAlignment="1">
      <alignment horizontal="left" vertical="top" wrapText="1"/>
    </xf>
    <xf numFmtId="0" fontId="21" fillId="2" borderId="9" xfId="0" applyFont="1" applyFill="1" applyBorder="1" applyAlignment="1">
      <alignment horizontal="left" vertical="top" wrapText="1"/>
    </xf>
    <xf numFmtId="0" fontId="21" fillId="2" borderId="6" xfId="0" applyFont="1" applyFill="1" applyBorder="1" applyAlignment="1">
      <alignment horizontal="left" vertical="center" wrapText="1"/>
    </xf>
    <xf numFmtId="0" fontId="14" fillId="2" borderId="1" xfId="0" applyFont="1" applyFill="1" applyBorder="1" applyAlignment="1">
      <alignment horizontal="center" vertical="top" wrapText="1"/>
    </xf>
    <xf numFmtId="0" fontId="18" fillId="2" borderId="1" xfId="0" applyFont="1" applyFill="1" applyBorder="1" applyAlignment="1">
      <alignment horizontal="left" vertical="top" wrapText="1"/>
    </xf>
    <xf numFmtId="0" fontId="21" fillId="2" borderId="2" xfId="0" applyFont="1" applyFill="1" applyBorder="1" applyAlignment="1">
      <alignment horizontal="left" vertical="top" wrapText="1"/>
    </xf>
    <xf numFmtId="0" fontId="21" fillId="2" borderId="6" xfId="0" applyFont="1" applyFill="1" applyBorder="1" applyAlignment="1">
      <alignment vertical="top" wrapText="1"/>
    </xf>
    <xf numFmtId="0" fontId="21" fillId="2" borderId="12" xfId="0" applyFont="1" applyFill="1" applyBorder="1" applyAlignment="1">
      <alignment vertical="top" wrapText="1"/>
    </xf>
    <xf numFmtId="0" fontId="21" fillId="2" borderId="9" xfId="0" applyFont="1" applyFill="1" applyBorder="1" applyAlignment="1">
      <alignment vertical="top" wrapText="1"/>
    </xf>
    <xf numFmtId="0" fontId="16" fillId="2" borderId="9" xfId="0" applyFont="1" applyFill="1" applyBorder="1" applyAlignment="1">
      <alignment horizontal="center" vertical="top" wrapText="1"/>
    </xf>
    <xf numFmtId="0" fontId="18" fillId="2" borderId="1" xfId="0" applyFont="1" applyFill="1" applyBorder="1" applyAlignment="1">
      <alignment horizontal="center" vertical="top" wrapText="1"/>
    </xf>
    <xf numFmtId="0" fontId="13" fillId="2" borderId="1" xfId="0" applyFont="1" applyFill="1" applyBorder="1" applyAlignment="1">
      <alignment horizontal="center" vertical="top" wrapText="1"/>
    </xf>
    <xf numFmtId="0" fontId="16" fillId="2" borderId="12" xfId="0" applyFont="1" applyFill="1" applyBorder="1" applyAlignment="1">
      <alignment horizontal="center" vertical="top" wrapText="1"/>
    </xf>
    <xf numFmtId="49" fontId="13" fillId="2" borderId="2" xfId="0" applyNumberFormat="1" applyFont="1" applyFill="1" applyBorder="1" applyAlignment="1">
      <alignment horizontal="left" vertical="top" wrapText="1"/>
    </xf>
    <xf numFmtId="0" fontId="21" fillId="2" borderId="12" xfId="3" applyFont="1" applyFill="1" applyBorder="1" applyAlignment="1">
      <alignment horizontal="left" vertical="top" wrapText="1"/>
    </xf>
    <xf numFmtId="0" fontId="21" fillId="2" borderId="1" xfId="3" applyFont="1" applyFill="1" applyBorder="1" applyAlignment="1">
      <alignment horizontal="left" vertical="top" wrapText="1"/>
    </xf>
    <xf numFmtId="0" fontId="10" fillId="2" borderId="6"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21" fillId="2" borderId="8" xfId="0" applyFont="1" applyFill="1" applyBorder="1" applyAlignment="1">
      <alignment horizontal="left" vertical="top" wrapText="1"/>
    </xf>
    <xf numFmtId="0" fontId="14" fillId="2" borderId="8" xfId="0" applyFont="1" applyFill="1" applyBorder="1" applyAlignment="1">
      <alignment horizontal="left" vertical="top" wrapText="1"/>
    </xf>
    <xf numFmtId="0" fontId="1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top" wrapText="1"/>
    </xf>
    <xf numFmtId="0" fontId="21" fillId="2" borderId="1" xfId="0" applyFont="1" applyFill="1" applyBorder="1" applyAlignment="1">
      <alignment vertical="top" wrapText="1"/>
    </xf>
    <xf numFmtId="0" fontId="10" fillId="2" borderId="6" xfId="0" applyFont="1" applyFill="1" applyBorder="1" applyAlignment="1">
      <alignment horizontal="center" vertical="top" wrapText="1"/>
    </xf>
    <xf numFmtId="0" fontId="18" fillId="2" borderId="9"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21" fillId="2" borderId="1" xfId="0" applyFont="1" applyFill="1" applyBorder="1" applyAlignment="1">
      <alignment horizontal="left" vertical="center" wrapText="1"/>
    </xf>
    <xf numFmtId="0" fontId="14" fillId="2" borderId="9" xfId="0" applyFont="1" applyFill="1" applyBorder="1" applyAlignment="1">
      <alignment horizontal="center" vertical="top" wrapText="1"/>
    </xf>
    <xf numFmtId="49" fontId="18" fillId="2" borderId="9" xfId="0" applyNumberFormat="1" applyFont="1" applyFill="1" applyBorder="1" applyAlignment="1">
      <alignment horizontal="center" vertical="top" wrapText="1"/>
    </xf>
    <xf numFmtId="3" fontId="10" fillId="2" borderId="1" xfId="0" applyNumberFormat="1" applyFont="1" applyFill="1" applyBorder="1" applyAlignment="1">
      <alignment horizontal="left" vertical="top" wrapText="1"/>
    </xf>
    <xf numFmtId="3" fontId="10" fillId="2" borderId="4" xfId="0" applyNumberFormat="1" applyFont="1" applyFill="1" applyBorder="1" applyAlignment="1">
      <alignment horizontal="left" vertical="top" wrapText="1"/>
    </xf>
    <xf numFmtId="3" fontId="10" fillId="2" borderId="2" xfId="0" applyNumberFormat="1" applyFont="1" applyFill="1" applyBorder="1" applyAlignment="1">
      <alignment horizontal="left" vertical="top" wrapText="1"/>
    </xf>
    <xf numFmtId="3" fontId="10" fillId="2" borderId="1" xfId="0" applyNumberFormat="1" applyFont="1" applyFill="1" applyBorder="1" applyAlignment="1">
      <alignment horizontal="left" vertical="top"/>
    </xf>
    <xf numFmtId="3" fontId="10" fillId="2" borderId="1" xfId="6" applyNumberFormat="1" applyFont="1" applyFill="1" applyBorder="1" applyAlignment="1">
      <alignment horizontal="left" vertical="top"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3" fillId="2" borderId="1" xfId="0" applyNumberFormat="1" applyFont="1" applyFill="1" applyBorder="1" applyAlignment="1">
      <alignment horizontal="left" vertical="top"/>
    </xf>
    <xf numFmtId="3" fontId="10" fillId="2" borderId="3" xfId="6" applyNumberFormat="1" applyFont="1" applyFill="1" applyBorder="1" applyAlignment="1">
      <alignment horizontal="left" vertical="top" wrapText="1"/>
    </xf>
    <xf numFmtId="0" fontId="13" fillId="2" borderId="3" xfId="0" applyFont="1" applyFill="1" applyBorder="1" applyAlignment="1">
      <alignment horizontal="left" vertical="top" wrapText="1"/>
    </xf>
    <xf numFmtId="0" fontId="1" fillId="0" borderId="0" xfId="0" applyFont="1" applyAlignment="1">
      <alignment horizontal="center"/>
    </xf>
    <xf numFmtId="0" fontId="3" fillId="0" borderId="1" xfId="0" applyFont="1" applyBorder="1" applyAlignment="1">
      <alignment horizontal="left" vertical="top"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3" fillId="0" borderId="0" xfId="3" applyFont="1" applyFill="1" applyAlignment="1">
      <alignment horizontal="left"/>
    </xf>
    <xf numFmtId="0" fontId="3" fillId="0" borderId="0" xfId="0" applyFont="1" applyAlignment="1">
      <alignment horizontal="left" wrapText="1"/>
    </xf>
    <xf numFmtId="0" fontId="3"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3" xfId="0" applyFont="1" applyBorder="1" applyAlignment="1">
      <alignment horizontal="center" wrapText="1"/>
    </xf>
    <xf numFmtId="0" fontId="3" fillId="2" borderId="1"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21" fillId="2" borderId="6" xfId="3" applyFont="1" applyFill="1" applyBorder="1" applyAlignment="1">
      <alignment horizontal="left" vertical="top" wrapText="1"/>
    </xf>
    <xf numFmtId="0" fontId="21" fillId="2" borderId="9" xfId="3" applyFont="1" applyFill="1" applyBorder="1" applyAlignment="1">
      <alignment horizontal="left" vertical="top" wrapText="1"/>
    </xf>
    <xf numFmtId="0" fontId="21" fillId="2" borderId="1" xfId="0" applyFont="1" applyFill="1" applyBorder="1" applyAlignment="1">
      <alignment horizontal="left" vertical="top" wrapText="1"/>
    </xf>
    <xf numFmtId="0" fontId="13" fillId="2" borderId="6" xfId="0" applyFont="1" applyFill="1" applyBorder="1" applyAlignment="1">
      <alignment horizontal="center" vertical="top" wrapText="1"/>
    </xf>
    <xf numFmtId="0" fontId="13" fillId="2" borderId="12" xfId="0" applyFont="1" applyFill="1" applyBorder="1" applyAlignment="1">
      <alignment horizontal="center" vertical="top" wrapText="1"/>
    </xf>
    <xf numFmtId="0" fontId="18" fillId="2" borderId="3"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3" fillId="2" borderId="6" xfId="3" applyFont="1" applyFill="1" applyBorder="1" applyAlignment="1">
      <alignment horizontal="center" vertical="top" wrapText="1"/>
    </xf>
    <xf numFmtId="0" fontId="13" fillId="2" borderId="12" xfId="3" applyFont="1" applyFill="1" applyBorder="1" applyAlignment="1">
      <alignment horizontal="center" vertical="top" wrapText="1"/>
    </xf>
    <xf numFmtId="0" fontId="13" fillId="2" borderId="9" xfId="3" applyFont="1" applyFill="1" applyBorder="1" applyAlignment="1">
      <alignment horizontal="center" vertical="top" wrapText="1"/>
    </xf>
    <xf numFmtId="0" fontId="21" fillId="2" borderId="12"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13" fillId="2" borderId="9" xfId="0" applyFont="1" applyFill="1" applyBorder="1" applyAlignment="1">
      <alignment horizontal="center" vertical="top" wrapText="1"/>
    </xf>
    <xf numFmtId="49" fontId="21" fillId="2" borderId="6" xfId="0" applyNumberFormat="1" applyFont="1" applyFill="1" applyBorder="1" applyAlignment="1">
      <alignment horizontal="left" vertical="top" wrapText="1"/>
    </xf>
    <xf numFmtId="49" fontId="21" fillId="2" borderId="12" xfId="0" applyNumberFormat="1" applyFont="1" applyFill="1" applyBorder="1" applyAlignment="1">
      <alignment horizontal="left" vertical="top" wrapText="1"/>
    </xf>
    <xf numFmtId="49" fontId="21" fillId="2" borderId="9" xfId="0" applyNumberFormat="1" applyFont="1" applyFill="1" applyBorder="1" applyAlignment="1">
      <alignment horizontal="left" vertical="top" wrapText="1"/>
    </xf>
    <xf numFmtId="0" fontId="21" fillId="2" borderId="6" xfId="0" applyFont="1" applyFill="1" applyBorder="1" applyAlignment="1">
      <alignment horizontal="left" vertical="top" wrapText="1"/>
    </xf>
    <xf numFmtId="0" fontId="21" fillId="2" borderId="12" xfId="0" applyFont="1" applyFill="1" applyBorder="1" applyAlignment="1">
      <alignment horizontal="left" vertical="top" wrapText="1"/>
    </xf>
    <xf numFmtId="0" fontId="21" fillId="2" borderId="9" xfId="0" applyFont="1" applyFill="1" applyBorder="1" applyAlignment="1">
      <alignment horizontal="left" vertical="top" wrapText="1"/>
    </xf>
    <xf numFmtId="0" fontId="21" fillId="2" borderId="6" xfId="0" applyFont="1" applyFill="1" applyBorder="1" applyAlignment="1">
      <alignment horizontal="left" vertical="center" wrapText="1"/>
    </xf>
    <xf numFmtId="0" fontId="21" fillId="2" borderId="12"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19" fillId="2" borderId="5" xfId="0" applyFont="1" applyFill="1" applyBorder="1" applyAlignment="1">
      <alignment horizontal="left" vertical="top"/>
    </xf>
    <xf numFmtId="0" fontId="19" fillId="2" borderId="14" xfId="0" applyFont="1" applyFill="1" applyBorder="1" applyAlignment="1">
      <alignment horizontal="left" vertical="top"/>
    </xf>
    <xf numFmtId="0" fontId="19" fillId="2" borderId="13" xfId="0" applyFont="1" applyFill="1" applyBorder="1" applyAlignment="1">
      <alignment horizontal="left" vertical="top"/>
    </xf>
    <xf numFmtId="0" fontId="19" fillId="2" borderId="7" xfId="0" applyFont="1" applyFill="1" applyBorder="1" applyAlignment="1">
      <alignment horizontal="left" vertical="top"/>
    </xf>
    <xf numFmtId="0" fontId="19" fillId="2" borderId="15" xfId="0" applyFont="1" applyFill="1" applyBorder="1" applyAlignment="1">
      <alignment horizontal="left" vertical="top"/>
    </xf>
    <xf numFmtId="0" fontId="19" fillId="2" borderId="8" xfId="0" applyFont="1" applyFill="1" applyBorder="1" applyAlignment="1">
      <alignment horizontal="left" vertical="top"/>
    </xf>
    <xf numFmtId="0" fontId="13" fillId="2" borderId="1" xfId="3" applyFont="1" applyFill="1" applyBorder="1" applyAlignment="1">
      <alignment horizontal="center" vertical="top" wrapText="1"/>
    </xf>
    <xf numFmtId="0" fontId="18" fillId="2" borderId="6" xfId="0" applyFont="1" applyFill="1" applyBorder="1" applyAlignment="1">
      <alignment horizontal="left" vertical="top" wrapText="1"/>
    </xf>
    <xf numFmtId="0" fontId="18" fillId="2" borderId="12" xfId="0" applyFont="1" applyFill="1" applyBorder="1" applyAlignment="1">
      <alignment horizontal="left" vertical="top" wrapText="1"/>
    </xf>
    <xf numFmtId="0" fontId="14" fillId="2" borderId="1" xfId="0" applyFont="1" applyFill="1" applyBorder="1" applyAlignment="1">
      <alignment horizontal="center" vertical="top" wrapText="1"/>
    </xf>
    <xf numFmtId="0" fontId="21" fillId="2" borderId="14" xfId="3" applyFont="1" applyFill="1" applyBorder="1" applyAlignment="1">
      <alignment horizontal="left" vertical="top" wrapText="1"/>
    </xf>
    <xf numFmtId="0" fontId="21" fillId="2" borderId="0" xfId="3" applyFont="1" applyFill="1" applyBorder="1" applyAlignment="1">
      <alignment horizontal="left" vertical="top" wrapText="1"/>
    </xf>
    <xf numFmtId="0" fontId="21" fillId="2" borderId="15" xfId="3" applyFont="1" applyFill="1" applyBorder="1" applyAlignment="1">
      <alignment horizontal="left" vertical="top" wrapText="1"/>
    </xf>
    <xf numFmtId="0" fontId="19" fillId="2" borderId="1" xfId="0" applyFont="1" applyFill="1" applyBorder="1" applyAlignment="1">
      <alignment horizontal="left" vertical="top"/>
    </xf>
    <xf numFmtId="0" fontId="18" fillId="2" borderId="1" xfId="0" applyFont="1" applyFill="1" applyBorder="1" applyAlignment="1">
      <alignment horizontal="left" vertical="top" wrapText="1"/>
    </xf>
    <xf numFmtId="0" fontId="21" fillId="2" borderId="3" xfId="0" applyFont="1" applyFill="1" applyBorder="1" applyAlignment="1">
      <alignment horizontal="left" vertical="top" wrapText="1"/>
    </xf>
    <xf numFmtId="0" fontId="21" fillId="2" borderId="2" xfId="0" applyFont="1" applyFill="1" applyBorder="1" applyAlignment="1">
      <alignment horizontal="left" vertical="top" wrapText="1"/>
    </xf>
    <xf numFmtId="0" fontId="13" fillId="2" borderId="6"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21" fillId="2" borderId="6" xfId="0" applyFont="1" applyFill="1" applyBorder="1" applyAlignment="1">
      <alignment vertical="top" wrapText="1"/>
    </xf>
    <xf numFmtId="0" fontId="21" fillId="2" borderId="12" xfId="0" applyFont="1" applyFill="1" applyBorder="1" applyAlignment="1">
      <alignment vertical="top" wrapText="1"/>
    </xf>
    <xf numFmtId="0" fontId="21" fillId="2" borderId="9" xfId="0" applyFont="1" applyFill="1" applyBorder="1" applyAlignment="1">
      <alignment vertical="top" wrapText="1"/>
    </xf>
    <xf numFmtId="0" fontId="23" fillId="2" borderId="6" xfId="0" applyFont="1" applyFill="1" applyBorder="1" applyAlignment="1">
      <alignment horizontal="center" vertical="top" wrapText="1"/>
    </xf>
    <xf numFmtId="0" fontId="23" fillId="2" borderId="12" xfId="0" applyFont="1" applyFill="1" applyBorder="1" applyAlignment="1">
      <alignment horizontal="center" vertical="top" wrapText="1"/>
    </xf>
    <xf numFmtId="0" fontId="23" fillId="2" borderId="9" xfId="0" applyFont="1" applyFill="1" applyBorder="1" applyAlignment="1">
      <alignment horizontal="center" vertical="top" wrapText="1"/>
    </xf>
    <xf numFmtId="0" fontId="14" fillId="2" borderId="1" xfId="0" applyFont="1" applyFill="1" applyBorder="1" applyAlignment="1">
      <alignment horizontal="center" vertical="top"/>
    </xf>
    <xf numFmtId="0" fontId="14" fillId="2" borderId="6" xfId="0" applyFont="1" applyFill="1" applyBorder="1" applyAlignment="1">
      <alignment horizontal="center" vertical="top"/>
    </xf>
    <xf numFmtId="0" fontId="14" fillId="2" borderId="12" xfId="0" applyFont="1" applyFill="1" applyBorder="1" applyAlignment="1">
      <alignment horizontal="center" vertical="top"/>
    </xf>
    <xf numFmtId="0" fontId="16" fillId="2" borderId="6" xfId="0" applyFont="1" applyFill="1" applyBorder="1" applyAlignment="1">
      <alignment horizontal="center" vertical="top" wrapText="1"/>
    </xf>
    <xf numFmtId="0" fontId="16" fillId="2" borderId="9" xfId="0" applyFont="1" applyFill="1" applyBorder="1" applyAlignment="1">
      <alignment horizontal="center" vertical="top" wrapText="1"/>
    </xf>
    <xf numFmtId="0" fontId="14" fillId="2" borderId="9" xfId="0" applyFont="1" applyFill="1" applyBorder="1" applyAlignment="1">
      <alignment horizontal="center" vertical="top"/>
    </xf>
    <xf numFmtId="0" fontId="18" fillId="2" borderId="1" xfId="0" applyFont="1" applyFill="1" applyBorder="1" applyAlignment="1">
      <alignment horizontal="center" vertical="top" wrapText="1"/>
    </xf>
    <xf numFmtId="0" fontId="13" fillId="2" borderId="1" xfId="0" applyFont="1" applyFill="1" applyBorder="1" applyAlignment="1">
      <alignment horizontal="center" vertical="top" wrapText="1"/>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top" wrapText="1"/>
    </xf>
    <xf numFmtId="0" fontId="16" fillId="2" borderId="12" xfId="0" applyFont="1" applyFill="1" applyBorder="1" applyAlignment="1">
      <alignment horizontal="center" vertical="top" wrapText="1"/>
    </xf>
    <xf numFmtId="0" fontId="19" fillId="2" borderId="3"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2" xfId="0" applyFont="1" applyFill="1" applyBorder="1" applyAlignment="1">
      <alignment horizontal="left" vertical="center" wrapText="1"/>
    </xf>
    <xf numFmtId="49" fontId="13" fillId="2" borderId="2" xfId="0" applyNumberFormat="1" applyFont="1" applyFill="1" applyBorder="1" applyAlignment="1">
      <alignment horizontal="left" vertical="top" wrapText="1"/>
    </xf>
    <xf numFmtId="0" fontId="19" fillId="2" borderId="3" xfId="0" applyFont="1" applyFill="1" applyBorder="1" applyAlignment="1">
      <alignment horizontal="left" vertical="top"/>
    </xf>
    <xf numFmtId="0" fontId="19" fillId="2" borderId="4" xfId="0" applyFont="1" applyFill="1" applyBorder="1" applyAlignment="1">
      <alignment horizontal="left" vertical="top"/>
    </xf>
    <xf numFmtId="0" fontId="19" fillId="2" borderId="2" xfId="0" applyFont="1" applyFill="1" applyBorder="1" applyAlignment="1">
      <alignment horizontal="left" vertical="top"/>
    </xf>
    <xf numFmtId="0" fontId="21" fillId="2" borderId="5" xfId="0" applyFont="1" applyFill="1" applyBorder="1" applyAlignment="1">
      <alignment horizontal="left" vertical="top" wrapText="1"/>
    </xf>
    <xf numFmtId="0" fontId="21" fillId="2" borderId="10" xfId="0" applyFont="1" applyFill="1" applyBorder="1" applyAlignment="1">
      <alignment horizontal="left" vertical="top" wrapText="1"/>
    </xf>
    <xf numFmtId="0" fontId="21" fillId="2" borderId="7" xfId="0" applyFont="1" applyFill="1" applyBorder="1" applyAlignment="1">
      <alignment horizontal="left" vertical="top" wrapText="1"/>
    </xf>
    <xf numFmtId="49" fontId="18" fillId="2" borderId="1" xfId="0" applyNumberFormat="1" applyFont="1" applyFill="1" applyBorder="1" applyAlignment="1">
      <alignment horizontal="center" vertical="top" wrapText="1"/>
    </xf>
    <xf numFmtId="0" fontId="18" fillId="2" borderId="6" xfId="0" applyFont="1" applyFill="1" applyBorder="1" applyAlignment="1">
      <alignment horizontal="center" vertical="top" wrapText="1"/>
    </xf>
    <xf numFmtId="0" fontId="18" fillId="2" borderId="12" xfId="0" applyFont="1" applyFill="1" applyBorder="1" applyAlignment="1">
      <alignment horizontal="center" vertical="top" wrapText="1"/>
    </xf>
    <xf numFmtId="0" fontId="18" fillId="2" borderId="9" xfId="0" applyFont="1" applyFill="1" applyBorder="1" applyAlignment="1">
      <alignment horizontal="center" vertical="top" wrapText="1"/>
    </xf>
    <xf numFmtId="0" fontId="21" fillId="2" borderId="6" xfId="0" applyFont="1" applyFill="1" applyBorder="1" applyAlignment="1">
      <alignment horizontal="center" vertical="center" wrapText="1"/>
    </xf>
    <xf numFmtId="0" fontId="21" fillId="2" borderId="12" xfId="3" applyFont="1" applyFill="1" applyBorder="1" applyAlignment="1">
      <alignment horizontal="left" vertical="top" wrapText="1"/>
    </xf>
    <xf numFmtId="0" fontId="21" fillId="2" borderId="6" xfId="0" applyFont="1" applyFill="1" applyBorder="1" applyAlignment="1">
      <alignment horizontal="center" vertical="top" wrapText="1"/>
    </xf>
    <xf numFmtId="0" fontId="21" fillId="2" borderId="12" xfId="0" applyFont="1" applyFill="1" applyBorder="1" applyAlignment="1">
      <alignment horizontal="center" vertical="top" wrapText="1"/>
    </xf>
    <xf numFmtId="0" fontId="21" fillId="2" borderId="9" xfId="0" applyFont="1" applyFill="1" applyBorder="1" applyAlignment="1">
      <alignment horizontal="center" vertical="top" wrapText="1"/>
    </xf>
    <xf numFmtId="0" fontId="14" fillId="2" borderId="6"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8" fillId="2" borderId="3" xfId="0" applyFont="1" applyFill="1" applyBorder="1" applyAlignment="1">
      <alignment horizontal="left" vertical="top" wrapText="1"/>
    </xf>
    <xf numFmtId="0" fontId="18" fillId="2" borderId="4" xfId="0" applyFont="1" applyFill="1" applyBorder="1" applyAlignment="1">
      <alignment horizontal="left" vertical="top" wrapText="1"/>
    </xf>
    <xf numFmtId="0" fontId="18" fillId="2" borderId="2" xfId="0" applyFont="1" applyFill="1" applyBorder="1" applyAlignment="1">
      <alignment horizontal="left" vertical="top" wrapText="1"/>
    </xf>
    <xf numFmtId="0" fontId="21" fillId="2" borderId="13" xfId="0" applyFont="1" applyFill="1" applyBorder="1" applyAlignment="1">
      <alignment horizontal="left" vertical="top" wrapText="1"/>
    </xf>
    <xf numFmtId="0" fontId="21" fillId="2" borderId="11" xfId="0" applyFont="1" applyFill="1" applyBorder="1" applyAlignment="1">
      <alignment horizontal="left" vertical="top" wrapText="1"/>
    </xf>
    <xf numFmtId="0" fontId="21" fillId="2" borderId="8"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8" xfId="0" applyFont="1" applyFill="1" applyBorder="1" applyAlignment="1">
      <alignment horizontal="left" vertical="top" wrapText="1"/>
    </xf>
    <xf numFmtId="0" fontId="18" fillId="2" borderId="14" xfId="0" applyFont="1" applyFill="1" applyBorder="1" applyAlignment="1">
      <alignment horizontal="left" vertical="top" wrapText="1"/>
    </xf>
    <xf numFmtId="0" fontId="18" fillId="2" borderId="13" xfId="0" applyFont="1" applyFill="1" applyBorder="1" applyAlignment="1">
      <alignment horizontal="left" vertical="top" wrapText="1"/>
    </xf>
    <xf numFmtId="0" fontId="18" fillId="2" borderId="15" xfId="0" applyFont="1" applyFill="1" applyBorder="1" applyAlignment="1">
      <alignment horizontal="left" vertical="top" wrapText="1"/>
    </xf>
    <xf numFmtId="0" fontId="18" fillId="2" borderId="8" xfId="0" applyFont="1" applyFill="1" applyBorder="1" applyAlignment="1">
      <alignment horizontal="left" vertical="top" wrapText="1"/>
    </xf>
    <xf numFmtId="49" fontId="18" fillId="2" borderId="1" xfId="0" applyNumberFormat="1" applyFont="1" applyFill="1" applyBorder="1" applyAlignment="1">
      <alignment horizontal="left" vertical="top" wrapText="1"/>
    </xf>
    <xf numFmtId="0" fontId="18" fillId="2" borderId="5" xfId="0" applyFont="1" applyFill="1" applyBorder="1" applyAlignment="1">
      <alignment horizontal="center" vertical="top" wrapText="1"/>
    </xf>
    <xf numFmtId="0" fontId="18" fillId="2" borderId="14" xfId="0" applyFont="1" applyFill="1" applyBorder="1" applyAlignment="1">
      <alignment horizontal="center" vertical="top" wrapText="1"/>
    </xf>
    <xf numFmtId="0" fontId="18" fillId="2" borderId="13" xfId="0" applyFont="1" applyFill="1" applyBorder="1" applyAlignment="1">
      <alignment horizontal="center" vertical="top" wrapText="1"/>
    </xf>
    <xf numFmtId="0" fontId="18" fillId="2" borderId="10" xfId="0" applyFont="1" applyFill="1" applyBorder="1" applyAlignment="1">
      <alignment horizontal="center" vertical="top" wrapText="1"/>
    </xf>
    <xf numFmtId="0" fontId="18" fillId="2" borderId="0" xfId="0" applyFont="1" applyFill="1" applyBorder="1" applyAlignment="1">
      <alignment horizontal="center" vertical="top" wrapText="1"/>
    </xf>
    <xf numFmtId="0" fontId="18" fillId="2" borderId="11" xfId="0" applyFont="1" applyFill="1" applyBorder="1" applyAlignment="1">
      <alignment horizontal="center" vertical="top" wrapText="1"/>
    </xf>
    <xf numFmtId="0" fontId="18" fillId="2" borderId="7" xfId="0" applyFont="1" applyFill="1" applyBorder="1" applyAlignment="1">
      <alignment horizontal="center" vertical="top" wrapText="1"/>
    </xf>
    <xf numFmtId="0" fontId="18" fillId="2" borderId="15" xfId="0" applyFont="1" applyFill="1" applyBorder="1" applyAlignment="1">
      <alignment horizontal="center" vertical="top" wrapText="1"/>
    </xf>
    <xf numFmtId="0" fontId="18" fillId="2" borderId="8" xfId="0" applyFont="1" applyFill="1" applyBorder="1" applyAlignment="1">
      <alignment horizontal="center" vertical="top" wrapText="1"/>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24" fillId="2" borderId="0" xfId="0" applyFont="1" applyFill="1" applyAlignment="1">
      <alignment horizontal="center" vertical="center"/>
    </xf>
    <xf numFmtId="0" fontId="18"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8" fillId="2" borderId="3" xfId="0" applyFont="1" applyFill="1" applyBorder="1" applyAlignment="1">
      <alignment horizontal="center" wrapText="1"/>
    </xf>
    <xf numFmtId="0" fontId="18" fillId="2" borderId="4" xfId="0" applyFont="1" applyFill="1" applyBorder="1" applyAlignment="1">
      <alignment horizontal="center" wrapText="1"/>
    </xf>
    <xf numFmtId="0" fontId="18" fillId="2" borderId="2" xfId="0" applyFont="1" applyFill="1" applyBorder="1" applyAlignment="1">
      <alignment horizontal="center" wrapText="1"/>
    </xf>
    <xf numFmtId="0" fontId="18" fillId="2" borderId="1" xfId="0" applyFont="1" applyFill="1" applyBorder="1" applyAlignment="1">
      <alignment horizontal="center" wrapText="1"/>
    </xf>
    <xf numFmtId="0" fontId="11"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21" fillId="2" borderId="1" xfId="0" applyFont="1" applyFill="1" applyBorder="1" applyAlignment="1">
      <alignment vertical="top" wrapText="1"/>
    </xf>
    <xf numFmtId="0" fontId="10" fillId="2" borderId="6" xfId="0" applyFont="1" applyFill="1" applyBorder="1" applyAlignment="1">
      <alignment horizontal="center" vertical="top" wrapText="1"/>
    </xf>
    <xf numFmtId="0" fontId="10" fillId="2" borderId="12" xfId="0" applyFont="1" applyFill="1" applyBorder="1" applyAlignment="1">
      <alignment horizontal="center" vertical="top" wrapText="1"/>
    </xf>
    <xf numFmtId="0" fontId="10" fillId="2" borderId="9" xfId="0" applyFont="1" applyFill="1" applyBorder="1" applyAlignment="1">
      <alignment horizontal="center" vertical="top" wrapText="1"/>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2" xfId="0" applyFont="1" applyFill="1" applyBorder="1" applyAlignment="1">
      <alignment horizontal="left" vertical="top" wrapText="1"/>
    </xf>
    <xf numFmtId="0" fontId="18" fillId="2" borderId="9" xfId="0" applyFont="1" applyFill="1" applyBorder="1" applyAlignment="1">
      <alignment horizontal="left" vertical="top" wrapText="1"/>
    </xf>
    <xf numFmtId="0" fontId="18" fillId="2" borderId="3" xfId="0" applyFont="1" applyFill="1" applyBorder="1" applyAlignment="1">
      <alignment horizontal="left" vertical="top"/>
    </xf>
    <xf numFmtId="0" fontId="18" fillId="2" borderId="4" xfId="0" applyFont="1" applyFill="1" applyBorder="1" applyAlignment="1">
      <alignment horizontal="left" vertical="top"/>
    </xf>
    <xf numFmtId="0" fontId="18" fillId="2" borderId="2" xfId="0" applyFont="1" applyFill="1" applyBorder="1" applyAlignment="1">
      <alignment horizontal="left" vertical="top"/>
    </xf>
    <xf numFmtId="0" fontId="10" fillId="2" borderId="5" xfId="0" applyFont="1" applyFill="1" applyBorder="1" applyAlignment="1">
      <alignment horizontal="left" vertical="top"/>
    </xf>
    <xf numFmtId="0" fontId="10" fillId="2" borderId="14" xfId="0" applyFont="1" applyFill="1" applyBorder="1" applyAlignment="1">
      <alignment horizontal="left" vertical="top"/>
    </xf>
    <xf numFmtId="0" fontId="10" fillId="2" borderId="13" xfId="0" applyFont="1" applyFill="1" applyBorder="1" applyAlignment="1">
      <alignment horizontal="left" vertical="top"/>
    </xf>
    <xf numFmtId="0" fontId="10" fillId="2" borderId="10" xfId="0" applyFont="1" applyFill="1" applyBorder="1" applyAlignment="1">
      <alignment horizontal="left" vertical="top"/>
    </xf>
    <xf numFmtId="0" fontId="10" fillId="2" borderId="0" xfId="0" applyFont="1" applyFill="1" applyBorder="1" applyAlignment="1">
      <alignment horizontal="left" vertical="top"/>
    </xf>
    <xf numFmtId="0" fontId="10" fillId="2" borderId="11" xfId="0" applyFont="1" applyFill="1" applyBorder="1" applyAlignment="1">
      <alignment horizontal="left" vertical="top"/>
    </xf>
    <xf numFmtId="0" fontId="10" fillId="2" borderId="7" xfId="0" applyFont="1" applyFill="1" applyBorder="1" applyAlignment="1">
      <alignment horizontal="left" vertical="top"/>
    </xf>
    <xf numFmtId="0" fontId="10" fillId="2" borderId="15" xfId="0" applyFont="1" applyFill="1" applyBorder="1" applyAlignment="1">
      <alignment horizontal="left" vertical="top"/>
    </xf>
    <xf numFmtId="0" fontId="10" fillId="2" borderId="8" xfId="0" applyFont="1" applyFill="1" applyBorder="1" applyAlignment="1">
      <alignment horizontal="left" vertical="top"/>
    </xf>
    <xf numFmtId="0" fontId="11" fillId="2" borderId="5"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4" fillId="2" borderId="14" xfId="0" applyFont="1" applyFill="1" applyBorder="1" applyAlignment="1">
      <alignment horizontal="left" vertical="top" wrapText="1"/>
    </xf>
    <xf numFmtId="0" fontId="17" fillId="2" borderId="4" xfId="0" applyFont="1" applyFill="1" applyBorder="1" applyAlignment="1">
      <alignment horizontal="center" vertical="top"/>
    </xf>
    <xf numFmtId="0" fontId="17" fillId="2" borderId="2" xfId="0" applyFont="1" applyFill="1" applyBorder="1" applyAlignment="1">
      <alignment horizontal="center" vertical="top"/>
    </xf>
    <xf numFmtId="0" fontId="21" fillId="2" borderId="1" xfId="0" applyFont="1" applyFill="1" applyBorder="1" applyAlignment="1">
      <alignment horizontal="left" vertical="center" wrapText="1"/>
    </xf>
    <xf numFmtId="0" fontId="18" fillId="2" borderId="5" xfId="0" applyFont="1" applyFill="1" applyBorder="1" applyAlignment="1">
      <alignment horizontal="left" vertical="top" wrapText="1"/>
    </xf>
    <xf numFmtId="0" fontId="18" fillId="2" borderId="10" xfId="0" applyFont="1" applyFill="1" applyBorder="1" applyAlignment="1">
      <alignment horizontal="left" vertical="top" wrapText="1"/>
    </xf>
    <xf numFmtId="0" fontId="18" fillId="2" borderId="0" xfId="0" applyFont="1" applyFill="1" applyBorder="1" applyAlignment="1">
      <alignment horizontal="left" vertical="top" wrapText="1"/>
    </xf>
    <xf numFmtId="0" fontId="18" fillId="2" borderId="11" xfId="0" applyFont="1" applyFill="1" applyBorder="1" applyAlignment="1">
      <alignment horizontal="left" vertical="top" wrapText="1"/>
    </xf>
    <xf numFmtId="0" fontId="18" fillId="2" borderId="7" xfId="0" applyFont="1" applyFill="1" applyBorder="1" applyAlignment="1">
      <alignment horizontal="left" vertical="top" wrapText="1"/>
    </xf>
    <xf numFmtId="0" fontId="14" fillId="2" borderId="5" xfId="0" applyFont="1" applyFill="1" applyBorder="1" applyAlignment="1">
      <alignment horizontal="center" vertical="top"/>
    </xf>
    <xf numFmtId="0" fontId="14" fillId="2" borderId="14" xfId="0" applyFont="1" applyFill="1" applyBorder="1" applyAlignment="1">
      <alignment horizontal="center" vertical="top"/>
    </xf>
    <xf numFmtId="0" fontId="14" fillId="2" borderId="10" xfId="0" applyFont="1" applyFill="1" applyBorder="1" applyAlignment="1">
      <alignment horizontal="center" vertical="top"/>
    </xf>
    <xf numFmtId="0" fontId="14" fillId="2" borderId="0" xfId="0" applyFont="1" applyFill="1" applyBorder="1" applyAlignment="1">
      <alignment horizontal="center" vertical="top"/>
    </xf>
    <xf numFmtId="0" fontId="14" fillId="2" borderId="7" xfId="0" applyFont="1" applyFill="1" applyBorder="1" applyAlignment="1">
      <alignment horizontal="center" vertical="top"/>
    </xf>
    <xf numFmtId="0" fontId="14" fillId="2" borderId="15" xfId="0" applyFont="1" applyFill="1" applyBorder="1" applyAlignment="1">
      <alignment horizontal="center" vertical="top"/>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13"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5" xfId="0" applyFont="1" applyFill="1" applyBorder="1" applyAlignment="1">
      <alignment horizontal="center" vertical="center" wrapText="1"/>
    </xf>
    <xf numFmtId="0" fontId="18" fillId="2" borderId="14" xfId="0" applyFont="1" applyFill="1" applyBorder="1" applyAlignment="1">
      <alignment horizontal="left" vertical="top"/>
    </xf>
    <xf numFmtId="0" fontId="18" fillId="2" borderId="13" xfId="0" applyFont="1" applyFill="1" applyBorder="1" applyAlignment="1">
      <alignment horizontal="left" vertical="top"/>
    </xf>
    <xf numFmtId="0" fontId="18" fillId="2" borderId="0" xfId="0" applyFont="1" applyFill="1" applyBorder="1" applyAlignment="1">
      <alignment horizontal="left" vertical="top"/>
    </xf>
    <xf numFmtId="0" fontId="18" fillId="2" borderId="11" xfId="0" applyFont="1" applyFill="1" applyBorder="1" applyAlignment="1">
      <alignment horizontal="left" vertical="top"/>
    </xf>
    <xf numFmtId="0" fontId="18" fillId="2" borderId="15" xfId="0" applyFont="1" applyFill="1" applyBorder="1" applyAlignment="1">
      <alignment horizontal="left" vertical="top"/>
    </xf>
    <xf numFmtId="0" fontId="18" fillId="2" borderId="8" xfId="0" applyFont="1" applyFill="1" applyBorder="1" applyAlignment="1">
      <alignment horizontal="left" vertical="top"/>
    </xf>
    <xf numFmtId="0" fontId="14" fillId="2" borderId="4" xfId="0" applyFont="1" applyFill="1" applyBorder="1" applyAlignment="1">
      <alignment horizontal="left" vertical="top" wrapText="1"/>
    </xf>
    <xf numFmtId="0" fontId="14" fillId="2" borderId="2" xfId="0" applyFont="1" applyFill="1" applyBorder="1" applyAlignment="1">
      <alignment horizontal="left" vertical="top" wrapText="1"/>
    </xf>
    <xf numFmtId="0" fontId="10" fillId="2" borderId="6" xfId="0" applyFont="1" applyFill="1" applyBorder="1" applyAlignment="1">
      <alignment horizontal="center" vertical="top"/>
    </xf>
    <xf numFmtId="0" fontId="10" fillId="2" borderId="12" xfId="0" applyFont="1" applyFill="1" applyBorder="1" applyAlignment="1">
      <alignment horizontal="center" vertical="top"/>
    </xf>
    <xf numFmtId="0" fontId="10" fillId="2" borderId="9" xfId="0" applyFont="1" applyFill="1" applyBorder="1" applyAlignment="1">
      <alignment horizontal="center" vertical="top"/>
    </xf>
    <xf numFmtId="49" fontId="18" fillId="2" borderId="3" xfId="0" applyNumberFormat="1" applyFont="1" applyFill="1" applyBorder="1" applyAlignment="1">
      <alignment horizontal="left" vertical="top" wrapText="1"/>
    </xf>
    <xf numFmtId="49" fontId="18" fillId="2" borderId="4" xfId="0" applyNumberFormat="1" applyFont="1" applyFill="1" applyBorder="1" applyAlignment="1">
      <alignment horizontal="left" vertical="top" wrapText="1"/>
    </xf>
    <xf numFmtId="49" fontId="18" fillId="2" borderId="2" xfId="0" applyNumberFormat="1" applyFont="1" applyFill="1" applyBorder="1" applyAlignment="1">
      <alignment horizontal="left" vertical="top" wrapText="1"/>
    </xf>
    <xf numFmtId="0" fontId="11" fillId="2" borderId="1" xfId="0" applyFont="1" applyFill="1" applyBorder="1" applyAlignment="1">
      <alignment horizontal="center" vertical="top" wrapText="1"/>
    </xf>
    <xf numFmtId="0" fontId="18" fillId="2" borderId="5" xfId="0" applyFont="1" applyFill="1" applyBorder="1" applyAlignment="1">
      <alignment horizontal="left" vertical="top"/>
    </xf>
    <xf numFmtId="0" fontId="18" fillId="2" borderId="10" xfId="0" applyFont="1" applyFill="1" applyBorder="1" applyAlignment="1">
      <alignment horizontal="left" vertical="top"/>
    </xf>
    <xf numFmtId="0" fontId="18" fillId="2" borderId="7" xfId="0" applyFont="1" applyFill="1" applyBorder="1" applyAlignment="1">
      <alignment horizontal="left" vertical="top"/>
    </xf>
    <xf numFmtId="0" fontId="18" fillId="2" borderId="14" xfId="0" applyFont="1" applyFill="1" applyBorder="1" applyAlignment="1">
      <alignment horizontal="center" vertical="top"/>
    </xf>
    <xf numFmtId="0" fontId="18" fillId="2" borderId="13" xfId="0" applyFont="1" applyFill="1" applyBorder="1" applyAlignment="1">
      <alignment horizontal="center" vertical="top"/>
    </xf>
    <xf numFmtId="0" fontId="18" fillId="2" borderId="0" xfId="0" applyFont="1" applyFill="1" applyBorder="1" applyAlignment="1">
      <alignment horizontal="center" vertical="top"/>
    </xf>
    <xf numFmtId="0" fontId="18" fillId="2" borderId="11" xfId="0" applyFont="1" applyFill="1" applyBorder="1" applyAlignment="1">
      <alignment horizontal="center" vertical="top"/>
    </xf>
    <xf numFmtId="0" fontId="18" fillId="2" borderId="15" xfId="0" applyFont="1" applyFill="1" applyBorder="1" applyAlignment="1">
      <alignment horizontal="center" vertical="top"/>
    </xf>
    <xf numFmtId="0" fontId="18" fillId="2" borderId="8" xfId="0" applyFont="1" applyFill="1" applyBorder="1" applyAlignment="1">
      <alignment horizontal="center" vertical="top"/>
    </xf>
    <xf numFmtId="49" fontId="21" fillId="2" borderId="1" xfId="0" applyNumberFormat="1" applyFont="1" applyFill="1" applyBorder="1" applyAlignment="1">
      <alignment horizontal="left" vertical="top" wrapText="1"/>
    </xf>
    <xf numFmtId="0" fontId="14" fillId="2" borderId="13" xfId="0" applyFont="1" applyFill="1" applyBorder="1" applyAlignment="1">
      <alignment horizontal="center" vertical="top"/>
    </xf>
    <xf numFmtId="0" fontId="14" fillId="2" borderId="11" xfId="0" applyFont="1" applyFill="1" applyBorder="1" applyAlignment="1">
      <alignment horizontal="center" vertical="top"/>
    </xf>
    <xf numFmtId="0" fontId="14" fillId="2" borderId="8" xfId="0" applyFont="1" applyFill="1" applyBorder="1" applyAlignment="1">
      <alignment horizontal="center" vertical="top"/>
    </xf>
    <xf numFmtId="0" fontId="14" fillId="2" borderId="6" xfId="0" applyFont="1" applyFill="1" applyBorder="1" applyAlignment="1">
      <alignment horizontal="center" vertical="top" wrapText="1"/>
    </xf>
    <xf numFmtId="0" fontId="14" fillId="2" borderId="12" xfId="0" applyFont="1" applyFill="1" applyBorder="1" applyAlignment="1">
      <alignment horizontal="center" vertical="top" wrapText="1"/>
    </xf>
    <xf numFmtId="0" fontId="14" fillId="2" borderId="9" xfId="0" applyFont="1" applyFill="1" applyBorder="1" applyAlignment="1">
      <alignment horizontal="center" vertical="top" wrapText="1"/>
    </xf>
    <xf numFmtId="49" fontId="18" fillId="2" borderId="6" xfId="0" applyNumberFormat="1" applyFont="1" applyFill="1" applyBorder="1" applyAlignment="1">
      <alignment horizontal="center" vertical="top" wrapText="1"/>
    </xf>
    <xf numFmtId="49" fontId="18" fillId="2" borderId="12" xfId="0" applyNumberFormat="1" applyFont="1" applyFill="1" applyBorder="1" applyAlignment="1">
      <alignment horizontal="center" vertical="top" wrapText="1"/>
    </xf>
    <xf numFmtId="49" fontId="18" fillId="2" borderId="9" xfId="0" applyNumberFormat="1" applyFont="1" applyFill="1" applyBorder="1" applyAlignment="1">
      <alignment horizontal="center" vertical="top" wrapText="1"/>
    </xf>
    <xf numFmtId="0" fontId="18" fillId="2" borderId="1" xfId="0" applyFont="1" applyFill="1" applyBorder="1" applyAlignment="1">
      <alignment horizontal="left" vertical="top"/>
    </xf>
    <xf numFmtId="0" fontId="21" fillId="2" borderId="1" xfId="3" applyFont="1" applyFill="1" applyBorder="1" applyAlignment="1">
      <alignment horizontal="center" vertical="top" wrapText="1"/>
    </xf>
    <xf numFmtId="0" fontId="21" fillId="2" borderId="1" xfId="3" applyFont="1" applyFill="1" applyBorder="1" applyAlignment="1">
      <alignment horizontal="left" vertical="top" wrapText="1"/>
    </xf>
    <xf numFmtId="3" fontId="10" fillId="2" borderId="1" xfId="0" applyNumberFormat="1" applyFont="1" applyFill="1" applyBorder="1" applyAlignment="1">
      <alignment horizontal="left" vertical="top" wrapText="1"/>
    </xf>
    <xf numFmtId="3" fontId="10" fillId="2" borderId="3" xfId="0" applyNumberFormat="1" applyFont="1" applyFill="1" applyBorder="1" applyAlignment="1">
      <alignment horizontal="left" vertical="top" wrapText="1"/>
    </xf>
    <xf numFmtId="3" fontId="10" fillId="2" borderId="4" xfId="0" applyNumberFormat="1" applyFont="1" applyFill="1" applyBorder="1" applyAlignment="1">
      <alignment horizontal="left" vertical="top" wrapText="1"/>
    </xf>
    <xf numFmtId="3" fontId="10" fillId="2" borderId="2" xfId="0" applyNumberFormat="1" applyFont="1" applyFill="1" applyBorder="1" applyAlignment="1">
      <alignment horizontal="left" vertical="top" wrapText="1"/>
    </xf>
    <xf numFmtId="3" fontId="10" fillId="2" borderId="1" xfId="0" applyNumberFormat="1" applyFont="1" applyFill="1" applyBorder="1" applyAlignment="1">
      <alignment horizontal="left" vertical="top"/>
    </xf>
    <xf numFmtId="3" fontId="10" fillId="2" borderId="1" xfId="6" applyNumberFormat="1" applyFont="1" applyFill="1" applyBorder="1" applyAlignment="1">
      <alignment horizontal="left" vertical="top" wrapText="1"/>
    </xf>
    <xf numFmtId="3" fontId="10" fillId="2" borderId="3" xfId="0" applyNumberFormat="1" applyFont="1" applyFill="1" applyBorder="1" applyAlignment="1">
      <alignment horizontal="left" vertical="top"/>
    </xf>
    <xf numFmtId="3" fontId="10" fillId="2" borderId="4" xfId="0" applyNumberFormat="1" applyFont="1" applyFill="1" applyBorder="1" applyAlignment="1">
      <alignment horizontal="left" vertical="top"/>
    </xf>
    <xf numFmtId="3" fontId="10" fillId="2" borderId="2" xfId="0" applyNumberFormat="1" applyFont="1" applyFill="1" applyBorder="1" applyAlignment="1">
      <alignment horizontal="left" vertical="top"/>
    </xf>
    <xf numFmtId="0" fontId="21" fillId="2" borderId="0" xfId="0" applyFont="1" applyFill="1" applyBorder="1" applyAlignment="1">
      <alignment horizontal="justify" wrapText="1"/>
    </xf>
    <xf numFmtId="3" fontId="14" fillId="2" borderId="1" xfId="0" applyNumberFormat="1" applyFont="1" applyFill="1" applyBorder="1" applyAlignment="1">
      <alignment horizontal="left" vertical="top" wrapText="1"/>
    </xf>
    <xf numFmtId="3" fontId="21" fillId="2" borderId="0" xfId="0" applyNumberFormat="1" applyFont="1" applyFill="1" applyAlignment="1">
      <alignment horizontal="left" wrapText="1"/>
    </xf>
    <xf numFmtId="3" fontId="20" fillId="2" borderId="0" xfId="0" applyNumberFormat="1" applyFont="1" applyFill="1" applyAlignment="1">
      <alignment horizontal="center" vertical="center"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3" fillId="2" borderId="1" xfId="0" applyNumberFormat="1" applyFont="1" applyFill="1" applyBorder="1" applyAlignment="1">
      <alignment horizontal="left" vertical="top"/>
    </xf>
    <xf numFmtId="3" fontId="10" fillId="2" borderId="1" xfId="0" applyNumberFormat="1" applyFont="1" applyFill="1" applyBorder="1" applyAlignment="1">
      <alignment horizontal="left"/>
    </xf>
    <xf numFmtId="3" fontId="10" fillId="2" borderId="3" xfId="7" applyNumberFormat="1" applyFont="1" applyFill="1" applyBorder="1" applyAlignment="1">
      <alignment horizontal="left" vertical="top" wrapText="1"/>
    </xf>
    <xf numFmtId="3" fontId="10" fillId="2" borderId="4" xfId="7" applyNumberFormat="1" applyFont="1" applyFill="1" applyBorder="1" applyAlignment="1">
      <alignment horizontal="left" vertical="top" wrapText="1"/>
    </xf>
    <xf numFmtId="3" fontId="10" fillId="2" borderId="2" xfId="7" applyNumberFormat="1" applyFont="1" applyFill="1" applyBorder="1" applyAlignment="1">
      <alignment horizontal="left" vertical="top" wrapText="1"/>
    </xf>
    <xf numFmtId="3" fontId="10" fillId="2" borderId="3" xfId="6" applyNumberFormat="1" applyFont="1" applyFill="1" applyBorder="1" applyAlignment="1">
      <alignment horizontal="left" vertical="top" wrapText="1"/>
    </xf>
    <xf numFmtId="3" fontId="10" fillId="2" borderId="4" xfId="6" applyNumberFormat="1" applyFont="1" applyFill="1" applyBorder="1" applyAlignment="1">
      <alignment horizontal="left" vertical="top" wrapText="1"/>
    </xf>
    <xf numFmtId="3" fontId="10" fillId="2" borderId="2" xfId="6" applyNumberFormat="1" applyFont="1" applyFill="1" applyBorder="1" applyAlignment="1">
      <alignment horizontal="left" vertical="top" wrapText="1"/>
    </xf>
    <xf numFmtId="0" fontId="11" fillId="2" borderId="3" xfId="0" applyFont="1" applyFill="1" applyBorder="1" applyAlignment="1">
      <alignment horizontal="center" vertical="top"/>
    </xf>
    <xf numFmtId="0" fontId="11" fillId="2" borderId="4" xfId="0" applyFont="1" applyFill="1" applyBorder="1" applyAlignment="1">
      <alignment horizontal="center" vertical="top"/>
    </xf>
    <xf numFmtId="0" fontId="11" fillId="2" borderId="2" xfId="0" applyFont="1" applyFill="1" applyBorder="1" applyAlignment="1">
      <alignment horizontal="center" vertical="top"/>
    </xf>
    <xf numFmtId="0" fontId="13" fillId="2" borderId="3" xfId="0" applyFont="1" applyFill="1" applyBorder="1" applyAlignment="1">
      <alignment horizontal="left"/>
    </xf>
    <xf numFmtId="0" fontId="13" fillId="2" borderId="2" xfId="0" applyFont="1" applyFill="1" applyBorder="1" applyAlignment="1">
      <alignment horizontal="left"/>
    </xf>
    <xf numFmtId="0" fontId="13" fillId="2" borderId="3" xfId="0" applyFont="1" applyFill="1" applyBorder="1" applyAlignment="1">
      <alignment horizontal="left" vertical="top" wrapText="1"/>
    </xf>
    <xf numFmtId="0" fontId="13" fillId="2" borderId="2"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2" xfId="0" applyFont="1" applyFill="1" applyBorder="1" applyAlignment="1">
      <alignment horizontal="left" vertical="top" wrapText="1"/>
    </xf>
    <xf numFmtId="0" fontId="13" fillId="2" borderId="6" xfId="0" applyFont="1" applyFill="1" applyBorder="1" applyAlignment="1">
      <alignment horizontal="center" vertical="top"/>
    </xf>
    <xf numFmtId="0" fontId="13" fillId="2" borderId="12" xfId="0" applyFont="1" applyFill="1" applyBorder="1" applyAlignment="1">
      <alignment horizontal="center" vertical="top"/>
    </xf>
    <xf numFmtId="0" fontId="13" fillId="2" borderId="9" xfId="0" applyFont="1" applyFill="1" applyBorder="1" applyAlignment="1">
      <alignment horizontal="center" vertical="top"/>
    </xf>
    <xf numFmtId="0" fontId="13" fillId="2" borderId="6" xfId="0" applyFont="1" applyFill="1" applyBorder="1" applyAlignment="1">
      <alignment horizontal="left" vertical="top" wrapText="1"/>
    </xf>
    <xf numFmtId="0" fontId="13" fillId="2" borderId="9" xfId="0" applyFont="1" applyFill="1" applyBorder="1" applyAlignment="1">
      <alignment horizontal="left" vertical="top" wrapText="1"/>
    </xf>
    <xf numFmtId="0" fontId="13" fillId="2" borderId="3" xfId="0" applyFont="1" applyFill="1" applyBorder="1" applyAlignment="1">
      <alignment horizontal="center" vertical="top" wrapText="1"/>
    </xf>
    <xf numFmtId="0" fontId="13" fillId="2" borderId="2" xfId="0" applyFont="1" applyFill="1" applyBorder="1" applyAlignment="1">
      <alignment horizontal="center" vertical="top" wrapText="1"/>
    </xf>
    <xf numFmtId="0" fontId="14" fillId="2" borderId="0" xfId="0" applyFont="1" applyFill="1" applyAlignment="1">
      <alignment horizontal="center" wrapText="1"/>
    </xf>
    <xf numFmtId="0" fontId="14" fillId="2" borderId="15" xfId="0" applyFont="1" applyFill="1" applyBorder="1" applyAlignment="1">
      <alignment horizont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wrapText="1"/>
    </xf>
    <xf numFmtId="0" fontId="9" fillId="2" borderId="5"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3" fillId="2" borderId="3" xfId="0" applyFont="1" applyFill="1" applyBorder="1" applyAlignment="1">
      <alignment horizontal="center"/>
    </xf>
    <xf numFmtId="0" fontId="3" fillId="2" borderId="2" xfId="0" applyFont="1" applyFill="1" applyBorder="1" applyAlignment="1">
      <alignment horizontal="center"/>
    </xf>
    <xf numFmtId="0" fontId="9" fillId="2" borderId="6"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6" xfId="0" applyFont="1" applyFill="1" applyBorder="1" applyAlignment="1">
      <alignment horizontal="center" vertical="top" wrapText="1"/>
    </xf>
    <xf numFmtId="0" fontId="9" fillId="2" borderId="12" xfId="0" applyFont="1" applyFill="1" applyBorder="1" applyAlignment="1">
      <alignment horizontal="center" vertical="top" wrapText="1"/>
    </xf>
    <xf numFmtId="0" fontId="9" fillId="2" borderId="9" xfId="0" applyFont="1" applyFill="1" applyBorder="1" applyAlignment="1">
      <alignment horizontal="center" vertical="top" wrapText="1"/>
    </xf>
    <xf numFmtId="0" fontId="9" fillId="2" borderId="6" xfId="0" applyFont="1" applyFill="1" applyBorder="1" applyAlignment="1">
      <alignment horizontal="center" vertical="top"/>
    </xf>
    <xf numFmtId="0" fontId="9" fillId="2" borderId="12" xfId="0" applyFont="1" applyFill="1" applyBorder="1" applyAlignment="1">
      <alignment horizontal="center" vertical="top"/>
    </xf>
    <xf numFmtId="0" fontId="9" fillId="2" borderId="9" xfId="0" applyFont="1" applyFill="1" applyBorder="1" applyAlignment="1">
      <alignment horizontal="center" vertical="top"/>
    </xf>
    <xf numFmtId="0" fontId="11" fillId="2" borderId="0" xfId="0" applyFont="1" applyFill="1" applyAlignment="1">
      <alignment horizontal="center" vertical="top" wrapText="1"/>
    </xf>
  </cellXfs>
  <cellStyles count="11">
    <cellStyle name="Обычный" xfId="0" builtinId="0"/>
    <cellStyle name="Обычный 2" xfId="1"/>
    <cellStyle name="Обычный 2 3" xfId="9"/>
    <cellStyle name="Обычный 3" xfId="2"/>
    <cellStyle name="Обычный 4" xfId="8"/>
    <cellStyle name="Обычный 7" xfId="10"/>
    <cellStyle name="Обычный_Dnepr" xfId="6"/>
    <cellStyle name="Обычный_Запит ПЦМ 2012 свод4 по уоз" xfId="7"/>
    <cellStyle name="Обычный_Лист1" xfId="3"/>
    <cellStyle name="Процентный 2" xfId="4"/>
    <cellStyle name="Стиль 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8"/>
  <sheetViews>
    <sheetView view="pageBreakPreview" topLeftCell="A19" zoomScale="84" zoomScaleSheetLayoutView="84" workbookViewId="0">
      <selection activeCell="A29" sqref="A29:IV29"/>
    </sheetView>
  </sheetViews>
  <sheetFormatPr defaultColWidth="9.140625" defaultRowHeight="18.75" x14ac:dyDescent="0.3"/>
  <cols>
    <col min="1" max="1" width="40.85546875" style="1" customWidth="1"/>
    <col min="2" max="2" width="38.85546875" style="1" customWidth="1"/>
    <col min="3" max="3" width="52.140625" style="1" customWidth="1"/>
    <col min="4" max="4" width="9.140625" style="1"/>
    <col min="5" max="5" width="37.42578125" style="1" customWidth="1"/>
    <col min="6" max="16384" width="9.140625" style="1"/>
  </cols>
  <sheetData>
    <row r="1" spans="1:13" x14ac:dyDescent="0.3">
      <c r="C1" s="1" t="s">
        <v>0</v>
      </c>
    </row>
    <row r="2" spans="1:13" ht="114" customHeight="1" x14ac:dyDescent="0.3">
      <c r="C2" s="4" t="s">
        <v>37</v>
      </c>
      <c r="F2" s="275"/>
      <c r="G2" s="275"/>
      <c r="H2" s="275"/>
      <c r="I2" s="2"/>
      <c r="J2" s="2"/>
      <c r="K2" s="2"/>
      <c r="L2" s="15"/>
      <c r="M2" s="15"/>
    </row>
    <row r="3" spans="1:13" ht="24" customHeight="1" x14ac:dyDescent="0.3">
      <c r="C3" s="4" t="s">
        <v>40</v>
      </c>
      <c r="E3" s="17"/>
      <c r="F3" s="276"/>
      <c r="G3" s="276"/>
      <c r="H3" s="276"/>
      <c r="J3" s="15"/>
      <c r="K3" s="15"/>
      <c r="L3" s="15"/>
      <c r="M3" s="15"/>
    </row>
    <row r="4" spans="1:13" ht="30" customHeight="1" x14ac:dyDescent="0.3">
      <c r="C4" s="4"/>
      <c r="E4" s="17"/>
      <c r="F4" s="16"/>
      <c r="G4" s="16"/>
      <c r="H4" s="16"/>
      <c r="J4" s="15"/>
      <c r="K4" s="15"/>
      <c r="L4" s="15"/>
      <c r="M4" s="15"/>
    </row>
    <row r="5" spans="1:13" ht="17.25" customHeight="1" x14ac:dyDescent="0.3">
      <c r="A5" s="271" t="s">
        <v>7</v>
      </c>
      <c r="B5" s="271"/>
      <c r="C5" s="271"/>
      <c r="F5" s="277"/>
      <c r="G5" s="277"/>
      <c r="H5" s="277"/>
      <c r="I5" s="277"/>
      <c r="J5" s="277"/>
      <c r="K5" s="277"/>
      <c r="L5" s="277"/>
      <c r="M5" s="277"/>
    </row>
    <row r="6" spans="1:13" ht="17.25" customHeight="1" x14ac:dyDescent="0.3">
      <c r="A6" s="271" t="s">
        <v>16</v>
      </c>
      <c r="B6" s="271"/>
      <c r="C6" s="271"/>
    </row>
    <row r="7" spans="1:13" ht="17.25" customHeight="1" x14ac:dyDescent="0.3">
      <c r="A7" s="271" t="s">
        <v>14</v>
      </c>
      <c r="B7" s="271"/>
      <c r="C7" s="271"/>
    </row>
    <row r="8" spans="1:13" ht="22.5" customHeight="1" x14ac:dyDescent="0.3"/>
    <row r="9" spans="1:13" ht="37.5" customHeight="1" x14ac:dyDescent="0.3">
      <c r="A9" s="273" t="s">
        <v>6</v>
      </c>
      <c r="B9" s="280" t="s">
        <v>8</v>
      </c>
      <c r="C9" s="281"/>
    </row>
    <row r="10" spans="1:13" ht="37.5" customHeight="1" x14ac:dyDescent="0.3">
      <c r="A10" s="274"/>
      <c r="B10" s="283" t="s">
        <v>9</v>
      </c>
      <c r="C10" s="284"/>
    </row>
    <row r="11" spans="1:13" x14ac:dyDescent="0.3">
      <c r="A11" s="7">
        <v>1</v>
      </c>
      <c r="B11" s="278">
        <v>2</v>
      </c>
      <c r="C11" s="279"/>
    </row>
    <row r="12" spans="1:13" ht="49.5" customHeight="1" x14ac:dyDescent="0.3">
      <c r="A12" s="20" t="s">
        <v>26</v>
      </c>
      <c r="B12" s="272" t="s">
        <v>10</v>
      </c>
      <c r="C12" s="272"/>
    </row>
    <row r="13" spans="1:13" ht="49.5" customHeight="1" x14ac:dyDescent="0.3">
      <c r="A13" s="20" t="s">
        <v>27</v>
      </c>
      <c r="B13" s="272" t="s">
        <v>13</v>
      </c>
      <c r="C13" s="272"/>
    </row>
    <row r="14" spans="1:13" ht="49.5" customHeight="1" x14ac:dyDescent="0.3">
      <c r="A14" s="20" t="s">
        <v>28</v>
      </c>
      <c r="B14" s="272" t="s">
        <v>11</v>
      </c>
      <c r="C14" s="272"/>
    </row>
    <row r="15" spans="1:13" ht="49.5" customHeight="1" x14ac:dyDescent="0.3">
      <c r="A15" s="20" t="s">
        <v>29</v>
      </c>
      <c r="B15" s="272" t="s">
        <v>19</v>
      </c>
      <c r="C15" s="272"/>
    </row>
    <row r="16" spans="1:13" ht="49.5" customHeight="1" x14ac:dyDescent="0.3">
      <c r="A16" s="20" t="s">
        <v>30</v>
      </c>
      <c r="B16" s="272" t="s">
        <v>18</v>
      </c>
      <c r="C16" s="272"/>
    </row>
    <row r="17" spans="1:11" ht="49.5" customHeight="1" x14ac:dyDescent="0.3">
      <c r="A17" s="20" t="s">
        <v>31</v>
      </c>
      <c r="B17" s="282" t="s">
        <v>39</v>
      </c>
      <c r="C17" s="282"/>
    </row>
    <row r="18" spans="1:11" ht="55.5" customHeight="1" x14ac:dyDescent="0.3">
      <c r="A18" s="20" t="s">
        <v>32</v>
      </c>
      <c r="B18" s="282" t="s">
        <v>38</v>
      </c>
      <c r="C18" s="282"/>
    </row>
    <row r="19" spans="1:11" ht="57" customHeight="1" x14ac:dyDescent="0.3">
      <c r="A19" s="20" t="s">
        <v>33</v>
      </c>
      <c r="B19" s="272" t="s">
        <v>12</v>
      </c>
      <c r="C19" s="272"/>
    </row>
    <row r="20" spans="1:11" ht="41.25" customHeight="1" x14ac:dyDescent="0.3">
      <c r="A20" s="20" t="s">
        <v>34</v>
      </c>
      <c r="B20" s="282" t="s">
        <v>20</v>
      </c>
      <c r="C20" s="282"/>
    </row>
    <row r="21" spans="1:11" ht="41.25" customHeight="1" x14ac:dyDescent="0.3">
      <c r="A21" s="20" t="s">
        <v>35</v>
      </c>
      <c r="B21" s="282" t="s">
        <v>21</v>
      </c>
      <c r="C21" s="282"/>
    </row>
    <row r="22" spans="1:11" ht="41.25" customHeight="1" x14ac:dyDescent="0.3">
      <c r="A22" s="20" t="s">
        <v>36</v>
      </c>
      <c r="B22" s="282" t="s">
        <v>22</v>
      </c>
      <c r="C22" s="282"/>
    </row>
    <row r="23" spans="1:11" ht="14.25" customHeight="1" x14ac:dyDescent="0.3">
      <c r="A23" s="19"/>
      <c r="B23" s="11"/>
      <c r="C23" s="11"/>
    </row>
    <row r="24" spans="1:11" ht="14.25" customHeight="1" x14ac:dyDescent="0.3">
      <c r="A24" s="19"/>
      <c r="B24" s="11"/>
      <c r="C24" s="11"/>
    </row>
    <row r="25" spans="1:11" ht="14.25" customHeight="1" x14ac:dyDescent="0.3">
      <c r="A25" s="19"/>
      <c r="B25" s="11"/>
      <c r="C25" s="11"/>
    </row>
    <row r="26" spans="1:11" ht="14.25" customHeight="1" x14ac:dyDescent="0.3"/>
    <row r="27" spans="1:11" ht="22.5" customHeight="1" x14ac:dyDescent="0.3">
      <c r="A27" s="8" t="s">
        <v>23</v>
      </c>
      <c r="B27" s="10"/>
      <c r="C27" s="9" t="s">
        <v>24</v>
      </c>
      <c r="D27" s="10"/>
      <c r="E27" s="12"/>
      <c r="F27" s="10"/>
      <c r="G27" s="13"/>
      <c r="H27" s="13"/>
      <c r="I27" s="13"/>
      <c r="J27" s="14"/>
      <c r="K27" s="13"/>
    </row>
    <row r="28" spans="1:11" ht="20.25" customHeight="1" x14ac:dyDescent="0.3">
      <c r="A28" s="18" t="s">
        <v>25</v>
      </c>
      <c r="B28"/>
      <c r="C28" s="5"/>
      <c r="D28" s="3"/>
      <c r="F28" s="4"/>
      <c r="H28" s="6"/>
    </row>
  </sheetData>
  <mergeCells count="21">
    <mergeCell ref="B22:C22"/>
    <mergeCell ref="B10:C10"/>
    <mergeCell ref="B16:C16"/>
    <mergeCell ref="B20:C20"/>
    <mergeCell ref="B19:C19"/>
    <mergeCell ref="B13:C13"/>
    <mergeCell ref="B21:C21"/>
    <mergeCell ref="B14:C14"/>
    <mergeCell ref="B18:C18"/>
    <mergeCell ref="B17:C17"/>
    <mergeCell ref="B15:C15"/>
    <mergeCell ref="A7:C7"/>
    <mergeCell ref="B12:C12"/>
    <mergeCell ref="A6:C6"/>
    <mergeCell ref="A9:A10"/>
    <mergeCell ref="F2:H2"/>
    <mergeCell ref="F3:H3"/>
    <mergeCell ref="F5:M5"/>
    <mergeCell ref="B11:C11"/>
    <mergeCell ref="A5:C5"/>
    <mergeCell ref="B9:C9"/>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62"/>
  <sheetViews>
    <sheetView tabSelected="1" view="pageBreakPreview" zoomScale="30" zoomScaleNormal="35" zoomScaleSheetLayoutView="30" workbookViewId="0">
      <pane ySplit="9" topLeftCell="A10" activePane="bottomLeft" state="frozen"/>
      <selection pane="bottomLeft" sqref="A1:XFD1048576"/>
    </sheetView>
  </sheetViews>
  <sheetFormatPr defaultColWidth="9.140625" defaultRowHeight="75" customHeight="1" x14ac:dyDescent="0.4"/>
  <cols>
    <col min="1" max="1" width="8.42578125" style="38" customWidth="1"/>
    <col min="2" max="2" width="38.85546875" style="8" customWidth="1"/>
    <col min="3" max="3" width="51.28515625" style="39" customWidth="1"/>
    <col min="4" max="4" width="18.28515625" style="40" customWidth="1"/>
    <col min="5" max="5" width="69.42578125" style="41" customWidth="1"/>
    <col min="6" max="6" width="22.7109375" style="42" customWidth="1"/>
    <col min="7" max="7" width="43" style="45" customWidth="1"/>
    <col min="8" max="8" width="32.28515625" style="46" customWidth="1"/>
    <col min="9" max="9" width="28" style="46" customWidth="1"/>
    <col min="10" max="10" width="29.28515625" style="46" customWidth="1"/>
    <col min="11" max="11" width="30.7109375" style="46" customWidth="1"/>
    <col min="12" max="12" width="75.85546875" style="160" customWidth="1"/>
    <col min="13" max="16384" width="9.140625" style="8"/>
  </cols>
  <sheetData>
    <row r="1" spans="1:12" ht="36" customHeight="1" x14ac:dyDescent="0.4">
      <c r="G1" s="43"/>
      <c r="H1" s="44"/>
      <c r="I1" s="44"/>
      <c r="J1" s="44"/>
      <c r="K1" s="44"/>
      <c r="L1" s="158" t="s">
        <v>563</v>
      </c>
    </row>
    <row r="2" spans="1:12" ht="165" customHeight="1" x14ac:dyDescent="0.4">
      <c r="L2" s="159" t="s">
        <v>334</v>
      </c>
    </row>
    <row r="3" spans="1:12" ht="51.75" customHeight="1" x14ac:dyDescent="0.4">
      <c r="A3" s="47"/>
      <c r="L3" s="158" t="s">
        <v>510</v>
      </c>
    </row>
    <row r="4" spans="1:12" ht="40.5" customHeight="1" x14ac:dyDescent="0.4">
      <c r="A4" s="47"/>
    </row>
    <row r="5" spans="1:12" ht="75" customHeight="1" x14ac:dyDescent="0.3">
      <c r="A5" s="396" t="s">
        <v>143</v>
      </c>
      <c r="B5" s="396"/>
      <c r="C5" s="396"/>
      <c r="D5" s="396"/>
      <c r="E5" s="396"/>
      <c r="F5" s="396"/>
      <c r="G5" s="396"/>
      <c r="H5" s="396"/>
      <c r="I5" s="396"/>
      <c r="J5" s="396"/>
      <c r="K5" s="396"/>
      <c r="L5" s="396"/>
    </row>
    <row r="6" spans="1:12" ht="2.25" customHeight="1" x14ac:dyDescent="0.4">
      <c r="H6" s="46" t="s">
        <v>17</v>
      </c>
      <c r="I6" s="48" t="e">
        <f>#REF!+#REF!+#REF!+#REF!</f>
        <v>#REF!</v>
      </c>
    </row>
    <row r="7" spans="1:12" ht="75" customHeight="1" x14ac:dyDescent="0.35">
      <c r="A7" s="397" t="s">
        <v>1</v>
      </c>
      <c r="B7" s="398" t="s">
        <v>2</v>
      </c>
      <c r="C7" s="398" t="s">
        <v>3</v>
      </c>
      <c r="D7" s="397" t="s">
        <v>44</v>
      </c>
      <c r="E7" s="399" t="s">
        <v>43</v>
      </c>
      <c r="F7" s="402" t="s">
        <v>41</v>
      </c>
      <c r="G7" s="398" t="s">
        <v>4</v>
      </c>
      <c r="H7" s="403" t="s">
        <v>15</v>
      </c>
      <c r="I7" s="404"/>
      <c r="J7" s="404"/>
      <c r="K7" s="405"/>
      <c r="L7" s="398" t="s">
        <v>5</v>
      </c>
    </row>
    <row r="8" spans="1:12" ht="75" customHeight="1" x14ac:dyDescent="0.35">
      <c r="A8" s="397"/>
      <c r="B8" s="398"/>
      <c r="C8" s="398"/>
      <c r="D8" s="397"/>
      <c r="E8" s="400"/>
      <c r="F8" s="402"/>
      <c r="G8" s="398"/>
      <c r="H8" s="397" t="s">
        <v>60</v>
      </c>
      <c r="I8" s="406" t="s">
        <v>145</v>
      </c>
      <c r="J8" s="406"/>
      <c r="K8" s="406"/>
      <c r="L8" s="398"/>
    </row>
    <row r="9" spans="1:12" s="49" customFormat="1" ht="102.75" customHeight="1" x14ac:dyDescent="0.2">
      <c r="A9" s="397"/>
      <c r="B9" s="398"/>
      <c r="C9" s="398"/>
      <c r="D9" s="397"/>
      <c r="E9" s="401"/>
      <c r="F9" s="402"/>
      <c r="G9" s="398"/>
      <c r="H9" s="397"/>
      <c r="I9" s="250" t="s">
        <v>146</v>
      </c>
      <c r="J9" s="250" t="s">
        <v>147</v>
      </c>
      <c r="K9" s="250" t="s">
        <v>148</v>
      </c>
      <c r="L9" s="398"/>
    </row>
    <row r="10" spans="1:12" s="49" customFormat="1" ht="26.25" customHeight="1" x14ac:dyDescent="0.2">
      <c r="A10" s="50">
        <v>1</v>
      </c>
      <c r="B10" s="50">
        <v>2</v>
      </c>
      <c r="C10" s="250">
        <v>3</v>
      </c>
      <c r="D10" s="251">
        <v>4</v>
      </c>
      <c r="E10" s="250">
        <v>5</v>
      </c>
      <c r="F10" s="251">
        <v>6</v>
      </c>
      <c r="G10" s="251">
        <v>7</v>
      </c>
      <c r="H10" s="250">
        <v>8</v>
      </c>
      <c r="I10" s="250">
        <v>9</v>
      </c>
      <c r="J10" s="250">
        <v>10</v>
      </c>
      <c r="K10" s="250">
        <v>11</v>
      </c>
      <c r="L10" s="51">
        <v>12</v>
      </c>
    </row>
    <row r="11" spans="1:12" s="49" customFormat="1" ht="61.5" customHeight="1" x14ac:dyDescent="0.2">
      <c r="A11" s="290" t="s">
        <v>105</v>
      </c>
      <c r="B11" s="291"/>
      <c r="C11" s="291"/>
      <c r="D11" s="291"/>
      <c r="E11" s="291"/>
      <c r="F11" s="291"/>
      <c r="G11" s="291"/>
      <c r="H11" s="291"/>
      <c r="I11" s="291"/>
      <c r="J11" s="291"/>
      <c r="K11" s="291"/>
      <c r="L11" s="292"/>
    </row>
    <row r="12" spans="1:12" s="10" customFormat="1" ht="92.25" hidden="1" customHeight="1" x14ac:dyDescent="0.3">
      <c r="A12" s="407" t="s">
        <v>88</v>
      </c>
      <c r="B12" s="340" t="s">
        <v>85</v>
      </c>
      <c r="C12" s="409" t="s">
        <v>89</v>
      </c>
      <c r="D12" s="367" t="s">
        <v>117</v>
      </c>
      <c r="E12" s="368"/>
      <c r="F12" s="368"/>
      <c r="G12" s="369"/>
      <c r="H12" s="26">
        <f>H13+H14</f>
        <v>0</v>
      </c>
      <c r="I12" s="26">
        <f>I13+I14</f>
        <v>0</v>
      </c>
      <c r="J12" s="26">
        <f>J13+J14</f>
        <v>0</v>
      </c>
      <c r="K12" s="26">
        <f>K13+K14</f>
        <v>0</v>
      </c>
      <c r="L12" s="302" t="s">
        <v>516</v>
      </c>
    </row>
    <row r="13" spans="1:12" ht="92.25" hidden="1" customHeight="1" x14ac:dyDescent="0.3">
      <c r="A13" s="407"/>
      <c r="B13" s="340"/>
      <c r="C13" s="409"/>
      <c r="D13" s="34" t="s">
        <v>33</v>
      </c>
      <c r="E13" s="222" t="s">
        <v>56</v>
      </c>
      <c r="F13" s="341" t="s">
        <v>131</v>
      </c>
      <c r="G13" s="341" t="s">
        <v>137</v>
      </c>
      <c r="H13" s="26">
        <f>I13+J13+K13</f>
        <v>0</v>
      </c>
      <c r="I13" s="28"/>
      <c r="J13" s="28"/>
      <c r="K13" s="28"/>
      <c r="L13" s="303"/>
    </row>
    <row r="14" spans="1:12" ht="92.25" hidden="1" customHeight="1" x14ac:dyDescent="0.3">
      <c r="A14" s="407"/>
      <c r="B14" s="340"/>
      <c r="C14" s="409"/>
      <c r="D14" s="34" t="s">
        <v>33</v>
      </c>
      <c r="E14" s="222" t="s">
        <v>57</v>
      </c>
      <c r="F14" s="341"/>
      <c r="G14" s="341"/>
      <c r="H14" s="26">
        <f>I14+J14+K14</f>
        <v>0</v>
      </c>
      <c r="I14" s="28"/>
      <c r="J14" s="28"/>
      <c r="K14" s="28"/>
      <c r="L14" s="303"/>
    </row>
    <row r="15" spans="1:12" ht="75" customHeight="1" x14ac:dyDescent="0.3">
      <c r="A15" s="407"/>
      <c r="B15" s="340"/>
      <c r="C15" s="409" t="s">
        <v>153</v>
      </c>
      <c r="D15" s="367" t="s">
        <v>254</v>
      </c>
      <c r="E15" s="368"/>
      <c r="F15" s="368"/>
      <c r="G15" s="369"/>
      <c r="H15" s="26">
        <f>H16+H17</f>
        <v>16965.900000000001</v>
      </c>
      <c r="I15" s="26">
        <f>I16+I17</f>
        <v>5307.1</v>
      </c>
      <c r="J15" s="26">
        <f>J16+J17</f>
        <v>5707</v>
      </c>
      <c r="K15" s="26">
        <f>K16+K17</f>
        <v>5951.7999999999993</v>
      </c>
      <c r="L15" s="303"/>
    </row>
    <row r="16" spans="1:12" ht="61.5" customHeight="1" x14ac:dyDescent="0.3">
      <c r="A16" s="407"/>
      <c r="B16" s="340"/>
      <c r="C16" s="409"/>
      <c r="D16" s="34" t="s">
        <v>33</v>
      </c>
      <c r="E16" s="222" t="s">
        <v>56</v>
      </c>
      <c r="F16" s="341" t="s">
        <v>131</v>
      </c>
      <c r="G16" s="341" t="s">
        <v>149</v>
      </c>
      <c r="H16" s="26">
        <f>I16+J16+K16</f>
        <v>9141.7000000000007</v>
      </c>
      <c r="I16" s="28">
        <f>1567.4+1189</f>
        <v>2756.4</v>
      </c>
      <c r="J16" s="28">
        <v>3294.1</v>
      </c>
      <c r="K16" s="28">
        <v>3091.2</v>
      </c>
      <c r="L16" s="303"/>
    </row>
    <row r="17" spans="1:12" ht="61.5" customHeight="1" x14ac:dyDescent="0.3">
      <c r="A17" s="407"/>
      <c r="B17" s="340"/>
      <c r="C17" s="409"/>
      <c r="D17" s="34" t="s">
        <v>33</v>
      </c>
      <c r="E17" s="222" t="s">
        <v>57</v>
      </c>
      <c r="F17" s="341"/>
      <c r="G17" s="341"/>
      <c r="H17" s="26">
        <f>I17+J17+K17</f>
        <v>7824.2000000000007</v>
      </c>
      <c r="I17" s="28">
        <f>1484.3+1066.4</f>
        <v>2550.6999999999998</v>
      </c>
      <c r="J17" s="28">
        <v>2412.9</v>
      </c>
      <c r="K17" s="28">
        <v>2860.6</v>
      </c>
      <c r="L17" s="304"/>
    </row>
    <row r="18" spans="1:12" ht="75" customHeight="1" x14ac:dyDescent="0.3">
      <c r="A18" s="407"/>
      <c r="B18" s="340"/>
      <c r="C18" s="409" t="s">
        <v>174</v>
      </c>
      <c r="D18" s="367" t="s">
        <v>255</v>
      </c>
      <c r="E18" s="368"/>
      <c r="F18" s="368"/>
      <c r="G18" s="369"/>
      <c r="H18" s="27">
        <f>H19+H20</f>
        <v>1908.6</v>
      </c>
      <c r="I18" s="27">
        <f>I19+I20</f>
        <v>535.6</v>
      </c>
      <c r="J18" s="27">
        <f>J19+J20</f>
        <v>0</v>
      </c>
      <c r="K18" s="27">
        <f>K19+K20</f>
        <v>1373</v>
      </c>
      <c r="L18" s="287" t="s">
        <v>42</v>
      </c>
    </row>
    <row r="19" spans="1:12" ht="75" customHeight="1" x14ac:dyDescent="0.3">
      <c r="A19" s="407"/>
      <c r="B19" s="340"/>
      <c r="C19" s="409"/>
      <c r="D19" s="34" t="s">
        <v>30</v>
      </c>
      <c r="E19" s="222" t="s">
        <v>56</v>
      </c>
      <c r="F19" s="341" t="s">
        <v>131</v>
      </c>
      <c r="G19" s="341" t="s">
        <v>149</v>
      </c>
      <c r="H19" s="26">
        <f>I19+J19+K19</f>
        <v>741.3</v>
      </c>
      <c r="I19" s="28">
        <v>65.8</v>
      </c>
      <c r="J19" s="28">
        <v>0</v>
      </c>
      <c r="K19" s="28">
        <v>675.5</v>
      </c>
      <c r="L19" s="287"/>
    </row>
    <row r="20" spans="1:12" ht="75" customHeight="1" x14ac:dyDescent="0.3">
      <c r="A20" s="407"/>
      <c r="B20" s="340"/>
      <c r="C20" s="409"/>
      <c r="D20" s="34" t="s">
        <v>30</v>
      </c>
      <c r="E20" s="258" t="s">
        <v>57</v>
      </c>
      <c r="F20" s="341"/>
      <c r="G20" s="341"/>
      <c r="H20" s="26">
        <f>I20+J20+K20</f>
        <v>1167.3</v>
      </c>
      <c r="I20" s="28">
        <v>469.8</v>
      </c>
      <c r="J20" s="28">
        <v>0</v>
      </c>
      <c r="K20" s="28">
        <v>697.5</v>
      </c>
      <c r="L20" s="302"/>
    </row>
    <row r="21" spans="1:12" ht="75" customHeight="1" x14ac:dyDescent="0.3">
      <c r="A21" s="407"/>
      <c r="B21" s="340"/>
      <c r="C21" s="302" t="s">
        <v>530</v>
      </c>
      <c r="D21" s="367" t="s">
        <v>256</v>
      </c>
      <c r="E21" s="368"/>
      <c r="F21" s="368"/>
      <c r="G21" s="369"/>
      <c r="H21" s="26">
        <f>I21+J21+K21</f>
        <v>2174</v>
      </c>
      <c r="I21" s="28">
        <f>I23</f>
        <v>700</v>
      </c>
      <c r="J21" s="28">
        <f>J23</f>
        <v>700</v>
      </c>
      <c r="K21" s="28">
        <f>K23</f>
        <v>774</v>
      </c>
      <c r="L21" s="302" t="s">
        <v>417</v>
      </c>
    </row>
    <row r="22" spans="1:12" ht="75" hidden="1" customHeight="1" x14ac:dyDescent="0.3">
      <c r="A22" s="407"/>
      <c r="B22" s="340"/>
      <c r="C22" s="303"/>
      <c r="D22" s="34" t="s">
        <v>30</v>
      </c>
      <c r="E22" s="222" t="s">
        <v>56</v>
      </c>
      <c r="F22" s="341" t="s">
        <v>131</v>
      </c>
      <c r="G22" s="341" t="s">
        <v>149</v>
      </c>
      <c r="H22" s="26">
        <f>I22</f>
        <v>0</v>
      </c>
      <c r="I22" s="28"/>
      <c r="J22" s="28"/>
      <c r="K22" s="52"/>
      <c r="L22" s="303"/>
    </row>
    <row r="23" spans="1:12" ht="92.25" customHeight="1" x14ac:dyDescent="0.3">
      <c r="A23" s="407"/>
      <c r="B23" s="340"/>
      <c r="C23" s="304"/>
      <c r="D23" s="34" t="s">
        <v>30</v>
      </c>
      <c r="E23" s="258" t="s">
        <v>57</v>
      </c>
      <c r="F23" s="341"/>
      <c r="G23" s="341"/>
      <c r="H23" s="26">
        <f>I23+J23+K23</f>
        <v>2174</v>
      </c>
      <c r="I23" s="28">
        <v>700</v>
      </c>
      <c r="J23" s="28">
        <v>700</v>
      </c>
      <c r="K23" s="52">
        <v>774</v>
      </c>
      <c r="L23" s="304"/>
    </row>
    <row r="24" spans="1:12" ht="51" customHeight="1" x14ac:dyDescent="0.3">
      <c r="A24" s="407"/>
      <c r="B24" s="340"/>
      <c r="C24" s="302" t="s">
        <v>531</v>
      </c>
      <c r="D24" s="367" t="s">
        <v>257</v>
      </c>
      <c r="E24" s="368"/>
      <c r="F24" s="368"/>
      <c r="G24" s="369"/>
      <c r="H24" s="26">
        <f>I24+J24+K24</f>
        <v>757.40000000000009</v>
      </c>
      <c r="I24" s="28">
        <f>I25+I26</f>
        <v>218.1</v>
      </c>
      <c r="J24" s="28">
        <f>J25+J26</f>
        <v>300</v>
      </c>
      <c r="K24" s="28">
        <f>K25+K26</f>
        <v>239.3</v>
      </c>
      <c r="L24" s="302" t="s">
        <v>371</v>
      </c>
    </row>
    <row r="25" spans="1:12" ht="78.75" customHeight="1" x14ac:dyDescent="0.3">
      <c r="A25" s="407"/>
      <c r="B25" s="340"/>
      <c r="C25" s="303"/>
      <c r="D25" s="34" t="s">
        <v>30</v>
      </c>
      <c r="E25" s="222" t="s">
        <v>56</v>
      </c>
      <c r="F25" s="341" t="s">
        <v>131</v>
      </c>
      <c r="G25" s="341" t="s">
        <v>137</v>
      </c>
      <c r="H25" s="26">
        <f>I25+J25+K25</f>
        <v>150</v>
      </c>
      <c r="I25" s="28">
        <v>0</v>
      </c>
      <c r="J25" s="28">
        <v>150</v>
      </c>
      <c r="K25" s="52"/>
      <c r="L25" s="303"/>
    </row>
    <row r="26" spans="1:12" ht="78.75" customHeight="1" x14ac:dyDescent="0.3">
      <c r="A26" s="407"/>
      <c r="B26" s="340"/>
      <c r="C26" s="303"/>
      <c r="D26" s="34" t="s">
        <v>30</v>
      </c>
      <c r="E26" s="258" t="s">
        <v>57</v>
      </c>
      <c r="F26" s="341"/>
      <c r="G26" s="341"/>
      <c r="H26" s="26">
        <f>I26+J26+K26</f>
        <v>607.40000000000009</v>
      </c>
      <c r="I26" s="28">
        <v>218.1</v>
      </c>
      <c r="J26" s="28">
        <v>150</v>
      </c>
      <c r="K26" s="52">
        <v>239.3</v>
      </c>
      <c r="L26" s="303"/>
    </row>
    <row r="27" spans="1:12" ht="78.75" hidden="1" customHeight="1" x14ac:dyDescent="0.3">
      <c r="A27" s="407"/>
      <c r="B27" s="340"/>
      <c r="C27" s="304"/>
      <c r="D27" s="34" t="s">
        <v>30</v>
      </c>
      <c r="E27" s="258" t="s">
        <v>138</v>
      </c>
      <c r="F27" s="341"/>
      <c r="G27" s="341"/>
      <c r="H27" s="26"/>
      <c r="I27" s="28"/>
      <c r="J27" s="28"/>
      <c r="K27" s="52"/>
      <c r="L27" s="304"/>
    </row>
    <row r="28" spans="1:12" ht="112.5" hidden="1" customHeight="1" x14ac:dyDescent="0.3">
      <c r="A28" s="407"/>
      <c r="B28" s="340"/>
      <c r="C28" s="231"/>
      <c r="D28" s="34" t="s">
        <v>30</v>
      </c>
      <c r="E28" s="258" t="s">
        <v>138</v>
      </c>
      <c r="F28" s="241"/>
      <c r="G28" s="241"/>
      <c r="H28" s="26">
        <f>I28+J28+K28</f>
        <v>0</v>
      </c>
      <c r="I28" s="28"/>
      <c r="J28" s="28"/>
      <c r="K28" s="28"/>
      <c r="L28" s="253"/>
    </row>
    <row r="29" spans="1:12" ht="52.5" customHeight="1" x14ac:dyDescent="0.3">
      <c r="A29" s="407"/>
      <c r="B29" s="340"/>
      <c r="C29" s="302" t="s">
        <v>532</v>
      </c>
      <c r="D29" s="367" t="s">
        <v>258</v>
      </c>
      <c r="E29" s="368"/>
      <c r="F29" s="368"/>
      <c r="G29" s="369"/>
      <c r="H29" s="26">
        <f>I29+J29+K29</f>
        <v>135.19999999999999</v>
      </c>
      <c r="I29" s="28">
        <f>I30+I31</f>
        <v>42.5</v>
      </c>
      <c r="J29" s="28">
        <f>J30+J31</f>
        <v>42.5</v>
      </c>
      <c r="K29" s="28">
        <f>K30+K31</f>
        <v>50.2</v>
      </c>
      <c r="L29" s="302" t="s">
        <v>372</v>
      </c>
    </row>
    <row r="30" spans="1:12" ht="78" customHeight="1" x14ac:dyDescent="0.3">
      <c r="A30" s="407"/>
      <c r="B30" s="340"/>
      <c r="C30" s="303"/>
      <c r="D30" s="34" t="s">
        <v>30</v>
      </c>
      <c r="E30" s="222" t="s">
        <v>56</v>
      </c>
      <c r="F30" s="341" t="s">
        <v>131</v>
      </c>
      <c r="G30" s="341" t="s">
        <v>149</v>
      </c>
      <c r="H30" s="26">
        <f>I30+J30+K30</f>
        <v>51.9</v>
      </c>
      <c r="I30" s="28">
        <v>12.6</v>
      </c>
      <c r="J30" s="28">
        <v>12.6</v>
      </c>
      <c r="K30" s="28">
        <v>26.7</v>
      </c>
      <c r="L30" s="303"/>
    </row>
    <row r="31" spans="1:12" ht="67.5" customHeight="1" x14ac:dyDescent="0.3">
      <c r="A31" s="407"/>
      <c r="B31" s="340"/>
      <c r="C31" s="304"/>
      <c r="D31" s="34" t="s">
        <v>30</v>
      </c>
      <c r="E31" s="258" t="s">
        <v>57</v>
      </c>
      <c r="F31" s="341"/>
      <c r="G31" s="341"/>
      <c r="H31" s="26">
        <f>I31+J31+K31</f>
        <v>83.3</v>
      </c>
      <c r="I31" s="28">
        <v>29.9</v>
      </c>
      <c r="J31" s="28">
        <v>29.9</v>
      </c>
      <c r="K31" s="28">
        <v>23.5</v>
      </c>
      <c r="L31" s="304"/>
    </row>
    <row r="32" spans="1:12" s="49" customFormat="1" ht="62.25" customHeight="1" x14ac:dyDescent="0.2">
      <c r="A32" s="408"/>
      <c r="B32" s="408"/>
      <c r="C32" s="408"/>
      <c r="D32" s="408"/>
      <c r="E32" s="290" t="s">
        <v>106</v>
      </c>
      <c r="F32" s="291"/>
      <c r="G32" s="292"/>
      <c r="H32" s="27">
        <f>H33+H34+H35</f>
        <v>21941.1</v>
      </c>
      <c r="I32" s="27">
        <f>I33+I34+I35</f>
        <v>6803.3</v>
      </c>
      <c r="J32" s="27">
        <f>J33+J34+J35</f>
        <v>6749.5</v>
      </c>
      <c r="K32" s="27">
        <f>K33+K34+K35</f>
        <v>8388.2999999999993</v>
      </c>
      <c r="L32" s="361"/>
    </row>
    <row r="33" spans="1:12" s="49" customFormat="1" ht="69.75" customHeight="1" x14ac:dyDescent="0.2">
      <c r="A33" s="408"/>
      <c r="B33" s="408"/>
      <c r="C33" s="408"/>
      <c r="D33" s="408"/>
      <c r="E33" s="222" t="s">
        <v>56</v>
      </c>
      <c r="F33" s="341" t="s">
        <v>131</v>
      </c>
      <c r="G33" s="408" t="s">
        <v>149</v>
      </c>
      <c r="H33" s="27">
        <f>H16+H19+H25+H30</f>
        <v>10084.9</v>
      </c>
      <c r="I33" s="27">
        <f>I16+I19+I25+I30</f>
        <v>2834.8</v>
      </c>
      <c r="J33" s="27">
        <f>J16+J19+J25+J30</f>
        <v>3456.7</v>
      </c>
      <c r="K33" s="27">
        <f>K16+K19+K25+K30</f>
        <v>3793.3999999999996</v>
      </c>
      <c r="L33" s="362"/>
    </row>
    <row r="34" spans="1:12" s="49" customFormat="1" ht="75" customHeight="1" x14ac:dyDescent="0.2">
      <c r="A34" s="408"/>
      <c r="B34" s="408"/>
      <c r="C34" s="408"/>
      <c r="D34" s="408"/>
      <c r="E34" s="232" t="s">
        <v>57</v>
      </c>
      <c r="F34" s="341"/>
      <c r="G34" s="408"/>
      <c r="H34" s="27">
        <f>H17+H20+H23+H26+H31</f>
        <v>11856.199999999999</v>
      </c>
      <c r="I34" s="27">
        <f>I17+I20+I23+I26+I31</f>
        <v>3968.5</v>
      </c>
      <c r="J34" s="27">
        <f>J17+J20+J23+J26+J31</f>
        <v>3292.8</v>
      </c>
      <c r="K34" s="27">
        <f>K17+K20+K23+K26+K31</f>
        <v>4594.9000000000005</v>
      </c>
      <c r="L34" s="363"/>
    </row>
    <row r="35" spans="1:12" s="49" customFormat="1" ht="75" hidden="1" customHeight="1" x14ac:dyDescent="0.2">
      <c r="A35" s="408"/>
      <c r="B35" s="408"/>
      <c r="C35" s="408"/>
      <c r="D35" s="408"/>
      <c r="E35" s="258" t="s">
        <v>138</v>
      </c>
      <c r="F35" s="341"/>
      <c r="G35" s="408"/>
      <c r="H35" s="27">
        <f>H28</f>
        <v>0</v>
      </c>
      <c r="I35" s="27">
        <f>I28</f>
        <v>0</v>
      </c>
      <c r="J35" s="27">
        <f>J28</f>
        <v>0</v>
      </c>
      <c r="K35" s="27">
        <f>K28</f>
        <v>0</v>
      </c>
      <c r="L35" s="253"/>
    </row>
    <row r="36" spans="1:12" s="49" customFormat="1" ht="92.25" hidden="1" customHeight="1" x14ac:dyDescent="0.2">
      <c r="A36" s="98" t="s">
        <v>92</v>
      </c>
      <c r="B36" s="340" t="s">
        <v>415</v>
      </c>
      <c r="C36" s="324" t="s">
        <v>90</v>
      </c>
      <c r="D36" s="322" t="s">
        <v>118</v>
      </c>
      <c r="E36" s="322"/>
      <c r="F36" s="322"/>
      <c r="G36" s="322"/>
      <c r="H36" s="27">
        <f>H37+H38+H39+H40+H41</f>
        <v>0</v>
      </c>
      <c r="I36" s="27">
        <f>I37+I38+I39+I40+I41</f>
        <v>0</v>
      </c>
      <c r="J36" s="27">
        <f>J37+J38+J39+J40+J41</f>
        <v>0</v>
      </c>
      <c r="K36" s="27">
        <f>K37+K38+K39+K40+K41</f>
        <v>0</v>
      </c>
      <c r="L36" s="287" t="s">
        <v>119</v>
      </c>
    </row>
    <row r="37" spans="1:12" s="49" customFormat="1" ht="92.25" hidden="1" customHeight="1" x14ac:dyDescent="0.2">
      <c r="A37" s="99"/>
      <c r="B37" s="340"/>
      <c r="C37" s="324"/>
      <c r="D37" s="34" t="s">
        <v>26</v>
      </c>
      <c r="E37" s="222" t="s">
        <v>58</v>
      </c>
      <c r="F37" s="314" t="s">
        <v>131</v>
      </c>
      <c r="G37" s="341" t="s">
        <v>137</v>
      </c>
      <c r="H37" s="28">
        <f>I37+J37+K37</f>
        <v>0</v>
      </c>
      <c r="I37" s="28"/>
      <c r="J37" s="28"/>
      <c r="K37" s="28"/>
      <c r="L37" s="287"/>
    </row>
    <row r="38" spans="1:12" s="49" customFormat="1" ht="92.25" hidden="1" customHeight="1" x14ac:dyDescent="0.2">
      <c r="A38" s="99"/>
      <c r="B38" s="340"/>
      <c r="C38" s="324"/>
      <c r="D38" s="34" t="s">
        <v>26</v>
      </c>
      <c r="E38" s="222" t="s">
        <v>52</v>
      </c>
      <c r="F38" s="314"/>
      <c r="G38" s="341"/>
      <c r="H38" s="28">
        <f>I38+J38+K38</f>
        <v>0</v>
      </c>
      <c r="I38" s="28"/>
      <c r="J38" s="28"/>
      <c r="K38" s="28"/>
      <c r="L38" s="287"/>
    </row>
    <row r="39" spans="1:12" s="49" customFormat="1" ht="92.25" hidden="1" customHeight="1" x14ac:dyDescent="0.2">
      <c r="A39" s="99"/>
      <c r="B39" s="340"/>
      <c r="C39" s="324"/>
      <c r="D39" s="34" t="s">
        <v>26</v>
      </c>
      <c r="E39" s="222" t="s">
        <v>53</v>
      </c>
      <c r="F39" s="314"/>
      <c r="G39" s="341"/>
      <c r="H39" s="28">
        <f>I39+J39+K39</f>
        <v>0</v>
      </c>
      <c r="I39" s="28"/>
      <c r="J39" s="28"/>
      <c r="K39" s="28"/>
      <c r="L39" s="287"/>
    </row>
    <row r="40" spans="1:12" s="49" customFormat="1" ht="92.25" hidden="1" customHeight="1" x14ac:dyDescent="0.2">
      <c r="A40" s="99"/>
      <c r="B40" s="340"/>
      <c r="C40" s="324"/>
      <c r="D40" s="34" t="s">
        <v>26</v>
      </c>
      <c r="E40" s="222" t="s">
        <v>51</v>
      </c>
      <c r="F40" s="314"/>
      <c r="G40" s="341"/>
      <c r="H40" s="28">
        <f>I40+J40+K40</f>
        <v>0</v>
      </c>
      <c r="I40" s="28"/>
      <c r="J40" s="28"/>
      <c r="K40" s="28"/>
      <c r="L40" s="287"/>
    </row>
    <row r="41" spans="1:12" s="49" customFormat="1" ht="92.25" hidden="1" customHeight="1" x14ac:dyDescent="0.2">
      <c r="A41" s="99"/>
      <c r="B41" s="340"/>
      <c r="C41" s="324"/>
      <c r="D41" s="34" t="s">
        <v>26</v>
      </c>
      <c r="E41" s="222" t="s">
        <v>138</v>
      </c>
      <c r="F41" s="314"/>
      <c r="G41" s="341"/>
      <c r="H41" s="28">
        <f>I41+J41+K41</f>
        <v>0</v>
      </c>
      <c r="I41" s="28"/>
      <c r="J41" s="28"/>
      <c r="K41" s="28"/>
      <c r="L41" s="222"/>
    </row>
    <row r="42" spans="1:12" s="53" customFormat="1" ht="60" customHeight="1" x14ac:dyDescent="0.2">
      <c r="A42" s="334" t="s">
        <v>92</v>
      </c>
      <c r="B42" s="340"/>
      <c r="C42" s="324" t="s">
        <v>142</v>
      </c>
      <c r="D42" s="322" t="s">
        <v>259</v>
      </c>
      <c r="E42" s="322"/>
      <c r="F42" s="322"/>
      <c r="G42" s="322"/>
      <c r="H42" s="26">
        <f>SUM(H43:H47)</f>
        <v>136695.69999999998</v>
      </c>
      <c r="I42" s="26">
        <f>SUM(I43:I47)</f>
        <v>42367.7</v>
      </c>
      <c r="J42" s="26">
        <f>SUM(J43:J47)</f>
        <v>46813.700000000004</v>
      </c>
      <c r="K42" s="26">
        <f>SUM(K43:K47)</f>
        <v>47514.3</v>
      </c>
      <c r="L42" s="287" t="s">
        <v>467</v>
      </c>
    </row>
    <row r="43" spans="1:12" ht="75" customHeight="1" x14ac:dyDescent="0.3">
      <c r="A43" s="334"/>
      <c r="B43" s="340"/>
      <c r="C43" s="324"/>
      <c r="D43" s="34" t="s">
        <v>26</v>
      </c>
      <c r="E43" s="222" t="s">
        <v>58</v>
      </c>
      <c r="F43" s="341" t="s">
        <v>131</v>
      </c>
      <c r="G43" s="341" t="s">
        <v>149</v>
      </c>
      <c r="H43" s="26">
        <f t="shared" ref="H43:H51" si="0">I43+J43+K43</f>
        <v>25397.300000000003</v>
      </c>
      <c r="I43" s="28">
        <v>7485</v>
      </c>
      <c r="J43" s="28">
        <v>8818.7000000000007</v>
      </c>
      <c r="K43" s="28">
        <v>9093.6</v>
      </c>
      <c r="L43" s="287"/>
    </row>
    <row r="44" spans="1:12" ht="57.75" customHeight="1" x14ac:dyDescent="0.3">
      <c r="A44" s="334"/>
      <c r="B44" s="340"/>
      <c r="C44" s="324"/>
      <c r="D44" s="34" t="s">
        <v>26</v>
      </c>
      <c r="E44" s="222" t="s">
        <v>52</v>
      </c>
      <c r="F44" s="341"/>
      <c r="G44" s="341"/>
      <c r="H44" s="26">
        <f t="shared" si="0"/>
        <v>29086.799999999999</v>
      </c>
      <c r="I44" s="28">
        <v>9899.7000000000007</v>
      </c>
      <c r="J44" s="28">
        <v>10433.299999999999</v>
      </c>
      <c r="K44" s="28">
        <v>8753.7999999999993</v>
      </c>
      <c r="L44" s="287"/>
    </row>
    <row r="45" spans="1:12" s="49" customFormat="1" ht="54.75" customHeight="1" x14ac:dyDescent="0.2">
      <c r="A45" s="334"/>
      <c r="B45" s="340"/>
      <c r="C45" s="324"/>
      <c r="D45" s="34" t="s">
        <v>26</v>
      </c>
      <c r="E45" s="222" t="s">
        <v>53</v>
      </c>
      <c r="F45" s="341"/>
      <c r="G45" s="341"/>
      <c r="H45" s="26">
        <f t="shared" si="0"/>
        <v>39592.199999999997</v>
      </c>
      <c r="I45" s="28">
        <v>11953.3</v>
      </c>
      <c r="J45" s="28">
        <v>13128.7</v>
      </c>
      <c r="K45" s="28">
        <v>14510.2</v>
      </c>
      <c r="L45" s="287"/>
    </row>
    <row r="46" spans="1:12" s="49" customFormat="1" ht="65.25" customHeight="1" x14ac:dyDescent="0.2">
      <c r="A46" s="334"/>
      <c r="B46" s="340"/>
      <c r="C46" s="324"/>
      <c r="D46" s="34" t="s">
        <v>26</v>
      </c>
      <c r="E46" s="222" t="s">
        <v>51</v>
      </c>
      <c r="F46" s="341"/>
      <c r="G46" s="341"/>
      <c r="H46" s="26">
        <f t="shared" si="0"/>
        <v>28245.899999999998</v>
      </c>
      <c r="I46" s="28">
        <v>8736</v>
      </c>
      <c r="J46" s="28">
        <v>9426.6</v>
      </c>
      <c r="K46" s="28">
        <v>10083.299999999999</v>
      </c>
      <c r="L46" s="287"/>
    </row>
    <row r="47" spans="1:12" s="49" customFormat="1" ht="75" customHeight="1" x14ac:dyDescent="0.2">
      <c r="A47" s="334"/>
      <c r="B47" s="340"/>
      <c r="C47" s="324"/>
      <c r="D47" s="34" t="s">
        <v>26</v>
      </c>
      <c r="E47" s="222" t="s">
        <v>138</v>
      </c>
      <c r="F47" s="341"/>
      <c r="G47" s="341"/>
      <c r="H47" s="26">
        <f t="shared" si="0"/>
        <v>14373.499999999998</v>
      </c>
      <c r="I47" s="28">
        <v>4293.7</v>
      </c>
      <c r="J47" s="28">
        <v>5006.3999999999996</v>
      </c>
      <c r="K47" s="28">
        <v>5073.3999999999996</v>
      </c>
      <c r="L47" s="287"/>
    </row>
    <row r="48" spans="1:12" ht="114" customHeight="1" x14ac:dyDescent="0.3">
      <c r="A48" s="334"/>
      <c r="B48" s="340"/>
      <c r="C48" s="235" t="s">
        <v>154</v>
      </c>
      <c r="D48" s="35" t="s">
        <v>26</v>
      </c>
      <c r="E48" s="222" t="s">
        <v>58</v>
      </c>
      <c r="F48" s="241" t="s">
        <v>131</v>
      </c>
      <c r="G48" s="241" t="s">
        <v>149</v>
      </c>
      <c r="H48" s="26">
        <f t="shared" si="0"/>
        <v>989.7</v>
      </c>
      <c r="I48" s="28">
        <v>318.7</v>
      </c>
      <c r="J48" s="28">
        <v>318.7</v>
      </c>
      <c r="K48" s="28">
        <v>352.3</v>
      </c>
      <c r="L48" s="253" t="s">
        <v>517</v>
      </c>
    </row>
    <row r="49" spans="1:12" s="49" customFormat="1" ht="197.25" customHeight="1" x14ac:dyDescent="0.2">
      <c r="A49" s="334"/>
      <c r="B49" s="340"/>
      <c r="C49" s="100" t="s">
        <v>251</v>
      </c>
      <c r="D49" s="34" t="s">
        <v>26</v>
      </c>
      <c r="E49" s="222" t="s">
        <v>53</v>
      </c>
      <c r="F49" s="241" t="s">
        <v>131</v>
      </c>
      <c r="G49" s="241" t="s">
        <v>149</v>
      </c>
      <c r="H49" s="26">
        <f t="shared" si="0"/>
        <v>201.7</v>
      </c>
      <c r="I49" s="28">
        <v>201.7</v>
      </c>
      <c r="J49" s="28">
        <v>0</v>
      </c>
      <c r="K49" s="28">
        <v>0</v>
      </c>
      <c r="L49" s="253" t="s">
        <v>368</v>
      </c>
    </row>
    <row r="50" spans="1:12" ht="300" customHeight="1" x14ac:dyDescent="0.3">
      <c r="A50" s="334"/>
      <c r="B50" s="340"/>
      <c r="C50" s="101" t="s">
        <v>252</v>
      </c>
      <c r="D50" s="35" t="s">
        <v>30</v>
      </c>
      <c r="E50" s="222" t="s">
        <v>52</v>
      </c>
      <c r="F50" s="241" t="s">
        <v>131</v>
      </c>
      <c r="G50" s="241" t="s">
        <v>150</v>
      </c>
      <c r="H50" s="26">
        <f t="shared" si="0"/>
        <v>6596.4</v>
      </c>
      <c r="I50" s="36">
        <v>2124</v>
      </c>
      <c r="J50" s="28">
        <v>2124</v>
      </c>
      <c r="K50" s="36">
        <v>2348.4</v>
      </c>
      <c r="L50" s="253" t="s">
        <v>122</v>
      </c>
    </row>
    <row r="51" spans="1:12" ht="274.5" customHeight="1" x14ac:dyDescent="0.3">
      <c r="A51" s="334"/>
      <c r="B51" s="340"/>
      <c r="C51" s="102" t="s">
        <v>346</v>
      </c>
      <c r="D51" s="35" t="s">
        <v>26</v>
      </c>
      <c r="E51" s="222" t="s">
        <v>51</v>
      </c>
      <c r="F51" s="241" t="s">
        <v>131</v>
      </c>
      <c r="G51" s="241" t="s">
        <v>151</v>
      </c>
      <c r="H51" s="26">
        <f t="shared" si="0"/>
        <v>6331.9</v>
      </c>
      <c r="I51" s="28">
        <f>2138.5+50.4</f>
        <v>2188.9</v>
      </c>
      <c r="J51" s="28">
        <f>2480.4+8.5</f>
        <v>2488.9</v>
      </c>
      <c r="K51" s="28">
        <v>1654.1</v>
      </c>
      <c r="L51" s="161" t="s">
        <v>347</v>
      </c>
    </row>
    <row r="52" spans="1:12" ht="63.75" customHeight="1" x14ac:dyDescent="0.3">
      <c r="A52" s="334"/>
      <c r="B52" s="340"/>
      <c r="C52" s="285" t="s">
        <v>412</v>
      </c>
      <c r="D52" s="322" t="s">
        <v>261</v>
      </c>
      <c r="E52" s="322"/>
      <c r="F52" s="322"/>
      <c r="G52" s="322"/>
      <c r="H52" s="26">
        <f t="shared" ref="H52:H57" si="1">I52</f>
        <v>4107.6000000000004</v>
      </c>
      <c r="I52" s="28">
        <v>4107.6000000000004</v>
      </c>
      <c r="J52" s="28"/>
      <c r="K52" s="28"/>
      <c r="L52" s="285" t="s">
        <v>391</v>
      </c>
    </row>
    <row r="53" spans="1:12" ht="63.75" customHeight="1" x14ac:dyDescent="0.3">
      <c r="A53" s="334"/>
      <c r="B53" s="340"/>
      <c r="C53" s="360"/>
      <c r="D53" s="34" t="s">
        <v>26</v>
      </c>
      <c r="E53" s="222" t="s">
        <v>52</v>
      </c>
      <c r="F53" s="288" t="s">
        <v>131</v>
      </c>
      <c r="G53" s="288" t="s">
        <v>151</v>
      </c>
      <c r="H53" s="26">
        <f t="shared" si="1"/>
        <v>3838.4</v>
      </c>
      <c r="I53" s="28">
        <v>3838.4</v>
      </c>
      <c r="J53" s="28"/>
      <c r="K53" s="28"/>
      <c r="L53" s="360"/>
    </row>
    <row r="54" spans="1:12" ht="63.75" customHeight="1" x14ac:dyDescent="0.3">
      <c r="A54" s="334"/>
      <c r="B54" s="340"/>
      <c r="C54" s="360"/>
      <c r="D54" s="34" t="s">
        <v>30</v>
      </c>
      <c r="E54" s="222" t="s">
        <v>58</v>
      </c>
      <c r="F54" s="289"/>
      <c r="G54" s="289"/>
      <c r="H54" s="26">
        <f t="shared" si="1"/>
        <v>100</v>
      </c>
      <c r="I54" s="28">
        <v>100</v>
      </c>
      <c r="J54" s="28"/>
      <c r="K54" s="28"/>
      <c r="L54" s="360"/>
    </row>
    <row r="55" spans="1:12" ht="63.75" hidden="1" customHeight="1" x14ac:dyDescent="0.3">
      <c r="A55" s="334"/>
      <c r="B55" s="340"/>
      <c r="C55" s="360"/>
      <c r="D55" s="34" t="s">
        <v>26</v>
      </c>
      <c r="E55" s="222" t="s">
        <v>58</v>
      </c>
      <c r="F55" s="289"/>
      <c r="G55" s="289"/>
      <c r="H55" s="26">
        <f t="shared" si="1"/>
        <v>0</v>
      </c>
      <c r="I55" s="28">
        <v>0</v>
      </c>
      <c r="J55" s="28"/>
      <c r="K55" s="28"/>
      <c r="L55" s="360"/>
    </row>
    <row r="56" spans="1:12" ht="57" customHeight="1" x14ac:dyDescent="0.3">
      <c r="A56" s="334"/>
      <c r="B56" s="340"/>
      <c r="C56" s="360"/>
      <c r="D56" s="34" t="s">
        <v>26</v>
      </c>
      <c r="E56" s="222" t="s">
        <v>138</v>
      </c>
      <c r="F56" s="289"/>
      <c r="G56" s="289"/>
      <c r="H56" s="26">
        <f t="shared" si="1"/>
        <v>169.2</v>
      </c>
      <c r="I56" s="28">
        <v>169.2</v>
      </c>
      <c r="J56" s="28"/>
      <c r="K56" s="28"/>
      <c r="L56" s="286"/>
    </row>
    <row r="57" spans="1:12" ht="111" hidden="1" customHeight="1" x14ac:dyDescent="0.3">
      <c r="A57" s="334"/>
      <c r="B57" s="340"/>
      <c r="C57" s="286"/>
      <c r="D57" s="34" t="s">
        <v>30</v>
      </c>
      <c r="E57" s="222" t="s">
        <v>133</v>
      </c>
      <c r="F57" s="298"/>
      <c r="G57" s="298"/>
      <c r="H57" s="26">
        <f t="shared" si="1"/>
        <v>0</v>
      </c>
      <c r="I57" s="28">
        <v>0</v>
      </c>
      <c r="J57" s="28"/>
      <c r="K57" s="28"/>
      <c r="L57" s="220" t="s">
        <v>335</v>
      </c>
    </row>
    <row r="58" spans="1:12" ht="67.5" customHeight="1" x14ac:dyDescent="0.3">
      <c r="A58" s="334"/>
      <c r="B58" s="340"/>
      <c r="C58" s="285" t="s">
        <v>458</v>
      </c>
      <c r="D58" s="322" t="s">
        <v>260</v>
      </c>
      <c r="E58" s="322"/>
      <c r="F58" s="322"/>
      <c r="G58" s="322"/>
      <c r="H58" s="26">
        <f>SUM(H59:H64)</f>
        <v>5305.2000000000007</v>
      </c>
      <c r="I58" s="26"/>
      <c r="J58" s="26">
        <f>SUM(J59:J64)</f>
        <v>5205.2</v>
      </c>
      <c r="K58" s="26">
        <f>SUM(K59:K64)</f>
        <v>100</v>
      </c>
      <c r="L58" s="285" t="s">
        <v>534</v>
      </c>
    </row>
    <row r="59" spans="1:12" ht="60" hidden="1" customHeight="1" x14ac:dyDescent="0.3">
      <c r="A59" s="334"/>
      <c r="B59" s="340"/>
      <c r="C59" s="360"/>
      <c r="D59" s="34" t="s">
        <v>26</v>
      </c>
      <c r="E59" s="222" t="s">
        <v>51</v>
      </c>
      <c r="F59" s="288" t="s">
        <v>131</v>
      </c>
      <c r="G59" s="288" t="s">
        <v>151</v>
      </c>
      <c r="H59" s="26">
        <f t="shared" ref="H59:H64" si="2">I59+J59+K59</f>
        <v>0</v>
      </c>
      <c r="I59" s="28"/>
      <c r="J59" s="28">
        <v>0</v>
      </c>
      <c r="K59" s="28">
        <v>0</v>
      </c>
      <c r="L59" s="360"/>
    </row>
    <row r="60" spans="1:12" ht="43.5" hidden="1" customHeight="1" x14ac:dyDescent="0.3">
      <c r="A60" s="334"/>
      <c r="B60" s="340"/>
      <c r="C60" s="360"/>
      <c r="D60" s="34" t="s">
        <v>26</v>
      </c>
      <c r="E60" s="222" t="s">
        <v>52</v>
      </c>
      <c r="F60" s="289"/>
      <c r="G60" s="289"/>
      <c r="H60" s="26">
        <f t="shared" si="2"/>
        <v>0</v>
      </c>
      <c r="I60" s="28"/>
      <c r="J60" s="28">
        <v>0</v>
      </c>
      <c r="K60" s="28">
        <v>0</v>
      </c>
      <c r="L60" s="360"/>
    </row>
    <row r="61" spans="1:12" ht="64.5" customHeight="1" x14ac:dyDescent="0.3">
      <c r="A61" s="334"/>
      <c r="B61" s="340"/>
      <c r="C61" s="360"/>
      <c r="D61" s="34" t="s">
        <v>30</v>
      </c>
      <c r="E61" s="222" t="s">
        <v>58</v>
      </c>
      <c r="F61" s="289"/>
      <c r="G61" s="289"/>
      <c r="H61" s="26">
        <f t="shared" si="2"/>
        <v>200</v>
      </c>
      <c r="I61" s="28"/>
      <c r="J61" s="28">
        <v>100</v>
      </c>
      <c r="K61" s="28">
        <v>100</v>
      </c>
      <c r="L61" s="360"/>
    </row>
    <row r="62" spans="1:12" ht="72" customHeight="1" x14ac:dyDescent="0.3">
      <c r="A62" s="334"/>
      <c r="B62" s="340"/>
      <c r="C62" s="360"/>
      <c r="D62" s="34" t="s">
        <v>26</v>
      </c>
      <c r="E62" s="222" t="s">
        <v>58</v>
      </c>
      <c r="F62" s="289"/>
      <c r="G62" s="289"/>
      <c r="H62" s="26">
        <f t="shared" si="2"/>
        <v>3985.6</v>
      </c>
      <c r="I62" s="28"/>
      <c r="J62" s="28">
        <v>3985.6</v>
      </c>
      <c r="K62" s="28">
        <v>0</v>
      </c>
      <c r="L62" s="360"/>
    </row>
    <row r="63" spans="1:12" ht="139.5" customHeight="1" x14ac:dyDescent="0.3">
      <c r="A63" s="334"/>
      <c r="B63" s="340"/>
      <c r="C63" s="360"/>
      <c r="D63" s="34" t="s">
        <v>26</v>
      </c>
      <c r="E63" s="222" t="s">
        <v>138</v>
      </c>
      <c r="F63" s="289"/>
      <c r="G63" s="289"/>
      <c r="H63" s="26">
        <f t="shared" si="2"/>
        <v>219.6</v>
      </c>
      <c r="I63" s="28"/>
      <c r="J63" s="28">
        <v>219.6</v>
      </c>
      <c r="K63" s="28">
        <v>0</v>
      </c>
      <c r="L63" s="286"/>
    </row>
    <row r="64" spans="1:12" ht="119.25" customHeight="1" x14ac:dyDescent="0.3">
      <c r="A64" s="334"/>
      <c r="B64" s="340"/>
      <c r="C64" s="286"/>
      <c r="D64" s="34" t="s">
        <v>30</v>
      </c>
      <c r="E64" s="222" t="s">
        <v>133</v>
      </c>
      <c r="F64" s="298"/>
      <c r="G64" s="298"/>
      <c r="H64" s="26">
        <f t="shared" si="2"/>
        <v>900</v>
      </c>
      <c r="I64" s="28"/>
      <c r="J64" s="28">
        <f>1000-100</f>
        <v>900</v>
      </c>
      <c r="K64" s="28">
        <v>0</v>
      </c>
      <c r="L64" s="221" t="s">
        <v>554</v>
      </c>
    </row>
    <row r="65" spans="1:12" ht="138.75" customHeight="1" x14ac:dyDescent="0.3">
      <c r="A65" s="334"/>
      <c r="B65" s="340"/>
      <c r="C65" s="102" t="s">
        <v>422</v>
      </c>
      <c r="D65" s="322" t="s">
        <v>262</v>
      </c>
      <c r="E65" s="322"/>
      <c r="F65" s="322"/>
      <c r="G65" s="322"/>
      <c r="H65" s="26">
        <f>H66+H67+H68+H69+H70</f>
        <v>3400</v>
      </c>
      <c r="I65" s="26">
        <f>I66+I67+I68+I69+I70</f>
        <v>1200</v>
      </c>
      <c r="J65" s="26">
        <f>J66+J67+J68+J69+J70</f>
        <v>2200</v>
      </c>
      <c r="K65" s="26">
        <f>K66+K67+K68+K69+K70</f>
        <v>0</v>
      </c>
      <c r="L65" s="245" t="s">
        <v>361</v>
      </c>
    </row>
    <row r="66" spans="1:12" ht="115.5" customHeight="1" x14ac:dyDescent="0.3">
      <c r="A66" s="334"/>
      <c r="B66" s="340"/>
      <c r="C66" s="285" t="s">
        <v>423</v>
      </c>
      <c r="D66" s="35" t="s">
        <v>26</v>
      </c>
      <c r="E66" s="222" t="s">
        <v>58</v>
      </c>
      <c r="F66" s="288" t="s">
        <v>131</v>
      </c>
      <c r="G66" s="361" t="s">
        <v>151</v>
      </c>
      <c r="H66" s="26">
        <f>I66</f>
        <v>1000</v>
      </c>
      <c r="I66" s="26">
        <v>1000</v>
      </c>
      <c r="J66" s="26"/>
      <c r="K66" s="26"/>
      <c r="L66" s="285" t="s">
        <v>392</v>
      </c>
    </row>
    <row r="67" spans="1:12" ht="75" hidden="1" customHeight="1" x14ac:dyDescent="0.3">
      <c r="A67" s="334"/>
      <c r="B67" s="340"/>
      <c r="C67" s="286"/>
      <c r="D67" s="35" t="s">
        <v>26</v>
      </c>
      <c r="E67" s="222" t="s">
        <v>138</v>
      </c>
      <c r="F67" s="298"/>
      <c r="G67" s="363"/>
      <c r="H67" s="26">
        <f>I67</f>
        <v>0</v>
      </c>
      <c r="I67" s="26">
        <v>0</v>
      </c>
      <c r="J67" s="26"/>
      <c r="K67" s="26"/>
      <c r="L67" s="286"/>
    </row>
    <row r="68" spans="1:12" ht="117" customHeight="1" x14ac:dyDescent="0.3">
      <c r="A68" s="334"/>
      <c r="B68" s="340"/>
      <c r="C68" s="285" t="s">
        <v>424</v>
      </c>
      <c r="D68" s="35" t="s">
        <v>26</v>
      </c>
      <c r="E68" s="222" t="s">
        <v>58</v>
      </c>
      <c r="F68" s="341" t="s">
        <v>131</v>
      </c>
      <c r="G68" s="241" t="s">
        <v>151</v>
      </c>
      <c r="H68" s="26">
        <f>I68+J68+K68</f>
        <v>1000</v>
      </c>
      <c r="I68" s="28"/>
      <c r="J68" s="28">
        <v>1000</v>
      </c>
      <c r="K68" s="28">
        <v>0</v>
      </c>
      <c r="L68" s="285" t="s">
        <v>369</v>
      </c>
    </row>
    <row r="69" spans="1:12" ht="117" customHeight="1" x14ac:dyDescent="0.3">
      <c r="A69" s="334"/>
      <c r="B69" s="340"/>
      <c r="C69" s="286"/>
      <c r="D69" s="35" t="s">
        <v>26</v>
      </c>
      <c r="E69" s="222" t="s">
        <v>138</v>
      </c>
      <c r="F69" s="341"/>
      <c r="G69" s="241" t="s">
        <v>151</v>
      </c>
      <c r="H69" s="26">
        <f>I69+J69+K69</f>
        <v>1000</v>
      </c>
      <c r="I69" s="28"/>
      <c r="J69" s="28">
        <v>1000</v>
      </c>
      <c r="K69" s="28">
        <v>0</v>
      </c>
      <c r="L69" s="286"/>
    </row>
    <row r="70" spans="1:12" ht="175.5" customHeight="1" x14ac:dyDescent="0.3">
      <c r="A70" s="334"/>
      <c r="B70" s="340"/>
      <c r="C70" s="102" t="s">
        <v>425</v>
      </c>
      <c r="D70" s="35" t="s">
        <v>26</v>
      </c>
      <c r="E70" s="222" t="s">
        <v>53</v>
      </c>
      <c r="F70" s="341"/>
      <c r="G70" s="241" t="s">
        <v>151</v>
      </c>
      <c r="H70" s="26">
        <f>I70+J70+K70</f>
        <v>400</v>
      </c>
      <c r="I70" s="28">
        <v>200</v>
      </c>
      <c r="J70" s="28">
        <v>200</v>
      </c>
      <c r="K70" s="28">
        <v>0</v>
      </c>
      <c r="L70" s="245" t="s">
        <v>139</v>
      </c>
    </row>
    <row r="71" spans="1:12" ht="163.5" customHeight="1" x14ac:dyDescent="0.3">
      <c r="A71" s="334"/>
      <c r="B71" s="340"/>
      <c r="C71" s="102" t="s">
        <v>426</v>
      </c>
      <c r="D71" s="383" t="s">
        <v>354</v>
      </c>
      <c r="E71" s="383"/>
      <c r="F71" s="383"/>
      <c r="G71" s="383"/>
      <c r="H71" s="26">
        <f>H72+H73+H74+H75+H76+H77</f>
        <v>4007.6</v>
      </c>
      <c r="I71" s="26">
        <f>I72+I73+I74+I75+I76+I77</f>
        <v>653.29999999999995</v>
      </c>
      <c r="J71" s="26">
        <f>J72+J73+J74+J75+J76+J77</f>
        <v>1593</v>
      </c>
      <c r="K71" s="26">
        <f>K72+K73+K74+K75+K76+K77</f>
        <v>1761.3</v>
      </c>
      <c r="L71" s="245"/>
    </row>
    <row r="72" spans="1:12" ht="81.75" customHeight="1" x14ac:dyDescent="0.3">
      <c r="A72" s="334"/>
      <c r="B72" s="340"/>
      <c r="C72" s="102" t="s">
        <v>427</v>
      </c>
      <c r="D72" s="35" t="s">
        <v>26</v>
      </c>
      <c r="E72" s="222" t="s">
        <v>51</v>
      </c>
      <c r="F72" s="205" t="s">
        <v>131</v>
      </c>
      <c r="G72" s="241" t="s">
        <v>151</v>
      </c>
      <c r="H72" s="26">
        <f>I72</f>
        <v>93.6</v>
      </c>
      <c r="I72" s="26">
        <v>93.6</v>
      </c>
      <c r="J72" s="26"/>
      <c r="K72" s="26"/>
      <c r="L72" s="245" t="s">
        <v>393</v>
      </c>
    </row>
    <row r="73" spans="1:12" ht="118.5" customHeight="1" x14ac:dyDescent="0.3">
      <c r="A73" s="334"/>
      <c r="B73" s="340"/>
      <c r="C73" s="102" t="s">
        <v>428</v>
      </c>
      <c r="D73" s="35" t="s">
        <v>26</v>
      </c>
      <c r="E73" s="222" t="s">
        <v>51</v>
      </c>
      <c r="F73" s="223" t="s">
        <v>131</v>
      </c>
      <c r="G73" s="241" t="s">
        <v>151</v>
      </c>
      <c r="H73" s="26">
        <f>I73+J73+K73</f>
        <v>227.4</v>
      </c>
      <c r="I73" s="28"/>
      <c r="J73" s="28">
        <v>110</v>
      </c>
      <c r="K73" s="28">
        <v>117.4</v>
      </c>
      <c r="L73" s="161" t="s">
        <v>535</v>
      </c>
    </row>
    <row r="74" spans="1:12" ht="118.5" customHeight="1" x14ac:dyDescent="0.3">
      <c r="A74" s="334"/>
      <c r="B74" s="340"/>
      <c r="C74" s="102" t="s">
        <v>429</v>
      </c>
      <c r="D74" s="35" t="s">
        <v>26</v>
      </c>
      <c r="E74" s="222" t="s">
        <v>51</v>
      </c>
      <c r="F74" s="109"/>
      <c r="G74" s="241" t="s">
        <v>151</v>
      </c>
      <c r="H74" s="26">
        <f>I74</f>
        <v>106.8</v>
      </c>
      <c r="I74" s="28">
        <v>106.8</v>
      </c>
      <c r="J74" s="28"/>
      <c r="K74" s="28"/>
      <c r="L74" s="161" t="s">
        <v>394</v>
      </c>
    </row>
    <row r="75" spans="1:12" ht="118.5" customHeight="1" x14ac:dyDescent="0.3">
      <c r="A75" s="334"/>
      <c r="B75" s="340"/>
      <c r="C75" s="102" t="s">
        <v>500</v>
      </c>
      <c r="D75" s="35" t="s">
        <v>26</v>
      </c>
      <c r="E75" s="222" t="s">
        <v>51</v>
      </c>
      <c r="F75" s="109"/>
      <c r="G75" s="241" t="s">
        <v>151</v>
      </c>
      <c r="H75" s="26">
        <f>I75+J75+K75</f>
        <v>1114.3000000000002</v>
      </c>
      <c r="I75" s="28"/>
      <c r="J75" s="28">
        <v>527.20000000000005</v>
      </c>
      <c r="K75" s="28">
        <v>587.1</v>
      </c>
      <c r="L75" s="161" t="s">
        <v>362</v>
      </c>
    </row>
    <row r="76" spans="1:12" ht="118.5" customHeight="1" x14ac:dyDescent="0.3">
      <c r="A76" s="334"/>
      <c r="B76" s="340"/>
      <c r="C76" s="102" t="s">
        <v>430</v>
      </c>
      <c r="D76" s="35" t="s">
        <v>26</v>
      </c>
      <c r="E76" s="222" t="s">
        <v>51</v>
      </c>
      <c r="F76" s="109"/>
      <c r="G76" s="241" t="s">
        <v>151</v>
      </c>
      <c r="H76" s="26">
        <f>I76</f>
        <v>452.9</v>
      </c>
      <c r="I76" s="28">
        <v>452.9</v>
      </c>
      <c r="J76" s="28"/>
      <c r="K76" s="28"/>
      <c r="L76" s="161" t="s">
        <v>395</v>
      </c>
    </row>
    <row r="77" spans="1:12" ht="154.5" customHeight="1" x14ac:dyDescent="0.3">
      <c r="A77" s="334"/>
      <c r="B77" s="340"/>
      <c r="C77" s="102" t="s">
        <v>431</v>
      </c>
      <c r="D77" s="35" t="s">
        <v>26</v>
      </c>
      <c r="E77" s="222" t="s">
        <v>51</v>
      </c>
      <c r="F77" s="109"/>
      <c r="G77" s="241" t="s">
        <v>151</v>
      </c>
      <c r="H77" s="26">
        <f>I77+J77+K77</f>
        <v>2012.6</v>
      </c>
      <c r="I77" s="28"/>
      <c r="J77" s="28">
        <v>955.8</v>
      </c>
      <c r="K77" s="28">
        <v>1056.8</v>
      </c>
      <c r="L77" s="161" t="s">
        <v>375</v>
      </c>
    </row>
    <row r="78" spans="1:12" ht="54" customHeight="1" x14ac:dyDescent="0.3">
      <c r="A78" s="334"/>
      <c r="B78" s="340"/>
      <c r="C78" s="285" t="s">
        <v>432</v>
      </c>
      <c r="D78" s="383" t="s">
        <v>323</v>
      </c>
      <c r="E78" s="383"/>
      <c r="F78" s="383"/>
      <c r="G78" s="383"/>
      <c r="H78" s="26">
        <f>I78</f>
        <v>1748.4</v>
      </c>
      <c r="I78" s="28">
        <f>I79+I80+I81</f>
        <v>1748.4</v>
      </c>
      <c r="J78" s="28"/>
      <c r="K78" s="28"/>
      <c r="L78" s="161"/>
    </row>
    <row r="79" spans="1:12" ht="171.75" customHeight="1" x14ac:dyDescent="0.3">
      <c r="A79" s="334"/>
      <c r="B79" s="340"/>
      <c r="C79" s="360"/>
      <c r="D79" s="35" t="s">
        <v>26</v>
      </c>
      <c r="E79" s="222" t="s">
        <v>51</v>
      </c>
      <c r="F79" s="109"/>
      <c r="G79" s="288" t="s">
        <v>151</v>
      </c>
      <c r="H79" s="26">
        <f>I79</f>
        <v>1003.4</v>
      </c>
      <c r="I79" s="28">
        <f>50+199.9+50+688.5+15</f>
        <v>1003.4</v>
      </c>
      <c r="J79" s="28"/>
      <c r="K79" s="28"/>
      <c r="L79" s="285" t="s">
        <v>396</v>
      </c>
    </row>
    <row r="80" spans="1:12" ht="90" customHeight="1" x14ac:dyDescent="0.3">
      <c r="A80" s="334"/>
      <c r="B80" s="340"/>
      <c r="C80" s="360"/>
      <c r="D80" s="35" t="s">
        <v>26</v>
      </c>
      <c r="E80" s="222" t="s">
        <v>138</v>
      </c>
      <c r="F80" s="109"/>
      <c r="G80" s="298"/>
      <c r="H80" s="26">
        <f>I80</f>
        <v>250</v>
      </c>
      <c r="I80" s="33">
        <f>200+50</f>
        <v>250</v>
      </c>
      <c r="J80" s="28"/>
      <c r="K80" s="28"/>
      <c r="L80" s="286"/>
    </row>
    <row r="81" spans="1:12" ht="119.25" customHeight="1" x14ac:dyDescent="0.3">
      <c r="A81" s="334"/>
      <c r="B81" s="340"/>
      <c r="C81" s="286"/>
      <c r="D81" s="35" t="s">
        <v>26</v>
      </c>
      <c r="E81" s="222" t="s">
        <v>138</v>
      </c>
      <c r="F81" s="109"/>
      <c r="G81" s="226" t="s">
        <v>353</v>
      </c>
      <c r="H81" s="26">
        <f>I81</f>
        <v>495</v>
      </c>
      <c r="I81" s="33">
        <v>495</v>
      </c>
      <c r="J81" s="28"/>
      <c r="K81" s="28"/>
      <c r="L81" s="175" t="s">
        <v>370</v>
      </c>
    </row>
    <row r="82" spans="1:12" ht="66.75" customHeight="1" x14ac:dyDescent="0.3">
      <c r="A82" s="334"/>
      <c r="B82" s="340"/>
      <c r="C82" s="285" t="s">
        <v>434</v>
      </c>
      <c r="D82" s="383" t="s">
        <v>433</v>
      </c>
      <c r="E82" s="383"/>
      <c r="F82" s="383"/>
      <c r="G82" s="383"/>
      <c r="H82" s="26">
        <f>H83+H84+H85</f>
        <v>3853.3999999999996</v>
      </c>
      <c r="I82" s="26"/>
      <c r="J82" s="26">
        <f>SUM(J83:J85)</f>
        <v>3853.3999999999996</v>
      </c>
      <c r="K82" s="26">
        <f>SUM(K83:K85)</f>
        <v>0</v>
      </c>
      <c r="L82" s="161"/>
    </row>
    <row r="83" spans="1:12" ht="89.25" customHeight="1" x14ac:dyDescent="0.3">
      <c r="A83" s="334"/>
      <c r="B83" s="340"/>
      <c r="C83" s="360"/>
      <c r="D83" s="35" t="s">
        <v>26</v>
      </c>
      <c r="E83" s="222" t="s">
        <v>51</v>
      </c>
      <c r="F83" s="109"/>
      <c r="G83" s="341" t="s">
        <v>151</v>
      </c>
      <c r="H83" s="26">
        <f>I83+J83+K83</f>
        <v>3853.3999999999996</v>
      </c>
      <c r="I83" s="28"/>
      <c r="J83" s="28">
        <f>600+15+3000+99.7+138.7</f>
        <v>3853.3999999999996</v>
      </c>
      <c r="K83" s="28">
        <v>0</v>
      </c>
      <c r="L83" s="285" t="s">
        <v>373</v>
      </c>
    </row>
    <row r="84" spans="1:12" ht="57.75" hidden="1" customHeight="1" x14ac:dyDescent="0.3">
      <c r="A84" s="334"/>
      <c r="B84" s="340"/>
      <c r="C84" s="360"/>
      <c r="D84" s="35" t="s">
        <v>26</v>
      </c>
      <c r="E84" s="222" t="s">
        <v>138</v>
      </c>
      <c r="F84" s="109"/>
      <c r="G84" s="341"/>
      <c r="H84" s="32">
        <f>I84+J84+K84</f>
        <v>0</v>
      </c>
      <c r="I84" s="33"/>
      <c r="J84" s="33">
        <v>0</v>
      </c>
      <c r="K84" s="33">
        <v>0</v>
      </c>
      <c r="L84" s="286"/>
    </row>
    <row r="85" spans="1:12" ht="110.25" hidden="1" customHeight="1" x14ac:dyDescent="0.3">
      <c r="A85" s="334"/>
      <c r="B85" s="340"/>
      <c r="C85" s="286"/>
      <c r="D85" s="35" t="s">
        <v>26</v>
      </c>
      <c r="E85" s="222" t="s">
        <v>138</v>
      </c>
      <c r="F85" s="110"/>
      <c r="G85" s="241" t="s">
        <v>353</v>
      </c>
      <c r="H85" s="32">
        <f>I85+J85+K85</f>
        <v>0</v>
      </c>
      <c r="I85" s="33"/>
      <c r="J85" s="33">
        <v>0</v>
      </c>
      <c r="K85" s="33">
        <v>0</v>
      </c>
      <c r="L85" s="175" t="s">
        <v>370</v>
      </c>
    </row>
    <row r="86" spans="1:12" ht="77.25" customHeight="1" x14ac:dyDescent="0.3">
      <c r="A86" s="334"/>
      <c r="B86" s="340"/>
      <c r="C86" s="285" t="s">
        <v>435</v>
      </c>
      <c r="D86" s="322" t="s">
        <v>436</v>
      </c>
      <c r="E86" s="322"/>
      <c r="F86" s="322"/>
      <c r="G86" s="322"/>
      <c r="H86" s="32">
        <f>H87+H88</f>
        <v>1000</v>
      </c>
      <c r="I86" s="33">
        <f>I87+I88</f>
        <v>1000</v>
      </c>
      <c r="J86" s="33"/>
      <c r="K86" s="33"/>
      <c r="L86" s="285" t="s">
        <v>397</v>
      </c>
    </row>
    <row r="87" spans="1:12" ht="102.75" customHeight="1" x14ac:dyDescent="0.3">
      <c r="A87" s="334"/>
      <c r="B87" s="340"/>
      <c r="C87" s="360"/>
      <c r="D87" s="35" t="s">
        <v>26</v>
      </c>
      <c r="E87" s="222" t="s">
        <v>58</v>
      </c>
      <c r="F87" s="288"/>
      <c r="G87" s="288" t="s">
        <v>151</v>
      </c>
      <c r="H87" s="32">
        <f>I87</f>
        <v>800</v>
      </c>
      <c r="I87" s="33">
        <v>800</v>
      </c>
      <c r="J87" s="33"/>
      <c r="K87" s="33"/>
      <c r="L87" s="360"/>
    </row>
    <row r="88" spans="1:12" ht="102.75" customHeight="1" x14ac:dyDescent="0.3">
      <c r="A88" s="334"/>
      <c r="B88" s="340"/>
      <c r="C88" s="286"/>
      <c r="D88" s="35" t="s">
        <v>26</v>
      </c>
      <c r="E88" s="222" t="s">
        <v>138</v>
      </c>
      <c r="F88" s="298"/>
      <c r="G88" s="298"/>
      <c r="H88" s="32">
        <f>I88</f>
        <v>200</v>
      </c>
      <c r="I88" s="33">
        <v>200</v>
      </c>
      <c r="J88" s="33"/>
      <c r="K88" s="33"/>
      <c r="L88" s="286"/>
    </row>
    <row r="89" spans="1:12" ht="55.5" customHeight="1" x14ac:dyDescent="0.3">
      <c r="A89" s="334"/>
      <c r="B89" s="340"/>
      <c r="C89" s="318" t="s">
        <v>438</v>
      </c>
      <c r="D89" s="322" t="s">
        <v>437</v>
      </c>
      <c r="E89" s="322"/>
      <c r="F89" s="322"/>
      <c r="G89" s="322"/>
      <c r="H89" s="32">
        <f>H90+H91</f>
        <v>1000</v>
      </c>
      <c r="I89" s="32"/>
      <c r="J89" s="32">
        <f>J90+J91</f>
        <v>1000</v>
      </c>
      <c r="K89" s="32">
        <f>K90+K91</f>
        <v>0</v>
      </c>
      <c r="L89" s="285" t="s">
        <v>374</v>
      </c>
    </row>
    <row r="90" spans="1:12" ht="81" customHeight="1" x14ac:dyDescent="0.3">
      <c r="A90" s="334"/>
      <c r="B90" s="340"/>
      <c r="C90" s="319"/>
      <c r="D90" s="35" t="s">
        <v>26</v>
      </c>
      <c r="E90" s="222" t="s">
        <v>58</v>
      </c>
      <c r="F90" s="288" t="s">
        <v>131</v>
      </c>
      <c r="G90" s="288" t="s">
        <v>151</v>
      </c>
      <c r="H90" s="32">
        <f>I90+J90+K90</f>
        <v>800</v>
      </c>
      <c r="I90" s="33"/>
      <c r="J90" s="33">
        <v>800</v>
      </c>
      <c r="K90" s="33">
        <v>0</v>
      </c>
      <c r="L90" s="360"/>
    </row>
    <row r="91" spans="1:12" ht="220.5" customHeight="1" x14ac:dyDescent="0.3">
      <c r="A91" s="334"/>
      <c r="B91" s="340"/>
      <c r="C91" s="320"/>
      <c r="D91" s="35" t="s">
        <v>26</v>
      </c>
      <c r="E91" s="222" t="s">
        <v>138</v>
      </c>
      <c r="F91" s="298"/>
      <c r="G91" s="298"/>
      <c r="H91" s="32">
        <f>I91+J91+K91</f>
        <v>200</v>
      </c>
      <c r="I91" s="33"/>
      <c r="J91" s="33">
        <v>200</v>
      </c>
      <c r="K91" s="33">
        <v>0</v>
      </c>
      <c r="L91" s="286"/>
    </row>
    <row r="92" spans="1:12" ht="209.25" customHeight="1" x14ac:dyDescent="0.3">
      <c r="A92" s="334"/>
      <c r="B92" s="340"/>
      <c r="C92" s="245" t="s">
        <v>439</v>
      </c>
      <c r="D92" s="35" t="s">
        <v>26</v>
      </c>
      <c r="E92" s="222" t="s">
        <v>51</v>
      </c>
      <c r="F92" s="241" t="s">
        <v>131</v>
      </c>
      <c r="G92" s="241" t="s">
        <v>151</v>
      </c>
      <c r="H92" s="26">
        <f>I92+J92+K92</f>
        <v>8119.9</v>
      </c>
      <c r="I92" s="33">
        <v>0</v>
      </c>
      <c r="J92" s="33">
        <v>8119.9</v>
      </c>
      <c r="K92" s="33">
        <v>0</v>
      </c>
      <c r="L92" s="244" t="s">
        <v>336</v>
      </c>
    </row>
    <row r="93" spans="1:12" ht="42" customHeight="1" x14ac:dyDescent="0.3">
      <c r="A93" s="334"/>
      <c r="B93" s="334"/>
      <c r="C93" s="334"/>
      <c r="D93" s="334"/>
      <c r="E93" s="373" t="s">
        <v>108</v>
      </c>
      <c r="F93" s="374"/>
      <c r="G93" s="22"/>
      <c r="H93" s="32">
        <f>SUM(H94:H95)</f>
        <v>183357.49999999997</v>
      </c>
      <c r="I93" s="32">
        <f>SUM(I94:I95)</f>
        <v>55910.299999999996</v>
      </c>
      <c r="J93" s="32">
        <f>SUM(J94:J95)</f>
        <v>73716.800000000003</v>
      </c>
      <c r="K93" s="32">
        <f>SUM(K94:K95)</f>
        <v>53730.400000000009</v>
      </c>
      <c r="L93" s="490"/>
    </row>
    <row r="94" spans="1:12" ht="52.5" customHeight="1" x14ac:dyDescent="0.3">
      <c r="A94" s="334"/>
      <c r="B94" s="334"/>
      <c r="C94" s="334"/>
      <c r="D94" s="334"/>
      <c r="E94" s="375"/>
      <c r="F94" s="376"/>
      <c r="G94" s="241" t="s">
        <v>151</v>
      </c>
      <c r="H94" s="26">
        <f>H43+H44+H45+H46+H47+H48+H49+H50+H51+H53+H54+H55+H56+H57+H60+H61+H62+H63+H64+H66+H67+H68+H69+H70+H72+H73+H74+H75+H76+H79+H80+H83+H85+H87+H88+H90+H91+H92+H77</f>
        <v>182862.49999999997</v>
      </c>
      <c r="I94" s="26">
        <f>I43+I44+I45+I46+I47+I48+I49+I50+I51+I53+I54+I55+I56+I57+I60+I61+I62+I63+I64+I66+I67+I68+I69+I70+I72+I73+I74+I75+I76+I79+I80+I83+I85+I87+I88+I90+I91+I92+I77</f>
        <v>55415.299999999996</v>
      </c>
      <c r="J94" s="26">
        <f>J43+J44+J45+J46+J47+J48+J49+J50+J51+J53+J54+J55+J56+J57+J60+J61+J62+J63+J64+J66+J67+J68+J69+J70+J72+J73+J74+J75+J76+J79+J80+J83+J85+J87+J88+J90+J91+J92+J77</f>
        <v>73716.800000000003</v>
      </c>
      <c r="K94" s="26">
        <f>K43+K44+K45+K46+K47+K48+K49+K50+K51+K53+K54+K55+K56+K57+K60+K61+K62+K63+K64+K66+K67+K68+K69+K70+K72+K73+K74+K75+K76+K79+K80+K83+K85+K87+K88+K90+K91+K92+K77</f>
        <v>53730.400000000009</v>
      </c>
      <c r="L94" s="490"/>
    </row>
    <row r="95" spans="1:12" ht="52.5" customHeight="1" x14ac:dyDescent="0.3">
      <c r="A95" s="334"/>
      <c r="B95" s="334"/>
      <c r="C95" s="334"/>
      <c r="D95" s="334"/>
      <c r="E95" s="377"/>
      <c r="F95" s="378"/>
      <c r="G95" s="241" t="s">
        <v>353</v>
      </c>
      <c r="H95" s="32">
        <f>H81</f>
        <v>495</v>
      </c>
      <c r="I95" s="32">
        <f>I81</f>
        <v>495</v>
      </c>
      <c r="J95" s="32">
        <f>J81</f>
        <v>0</v>
      </c>
      <c r="K95" s="32">
        <f>K81</f>
        <v>0</v>
      </c>
      <c r="L95" s="490"/>
    </row>
    <row r="96" spans="1:12" ht="42" customHeight="1" x14ac:dyDescent="0.3">
      <c r="A96" s="334"/>
      <c r="B96" s="334"/>
      <c r="C96" s="334"/>
      <c r="D96" s="334"/>
      <c r="E96" s="367" t="s">
        <v>109</v>
      </c>
      <c r="F96" s="369"/>
      <c r="G96" s="241"/>
      <c r="H96" s="26"/>
      <c r="I96" s="33"/>
      <c r="J96" s="28"/>
      <c r="K96" s="28"/>
      <c r="L96" s="490"/>
    </row>
    <row r="97" spans="1:12" ht="57.75" customHeight="1" x14ac:dyDescent="0.3">
      <c r="A97" s="334"/>
      <c r="B97" s="334"/>
      <c r="C97" s="334"/>
      <c r="D97" s="334"/>
      <c r="E97" s="352" t="s">
        <v>58</v>
      </c>
      <c r="F97" s="370"/>
      <c r="G97" s="252" t="s">
        <v>68</v>
      </c>
      <c r="H97" s="26">
        <f>I97+J97+K97</f>
        <v>34272.600000000006</v>
      </c>
      <c r="I97" s="26">
        <f>I98</f>
        <v>9703.7000000000007</v>
      </c>
      <c r="J97" s="26">
        <f>J98</f>
        <v>15023.000000000002</v>
      </c>
      <c r="K97" s="26">
        <f>K98</f>
        <v>9545.9</v>
      </c>
      <c r="L97" s="490"/>
    </row>
    <row r="98" spans="1:12" ht="52.5" customHeight="1" x14ac:dyDescent="0.3">
      <c r="A98" s="334"/>
      <c r="B98" s="334"/>
      <c r="C98" s="334"/>
      <c r="D98" s="334"/>
      <c r="E98" s="353"/>
      <c r="F98" s="371"/>
      <c r="G98" s="241" t="s">
        <v>151</v>
      </c>
      <c r="H98" s="26">
        <f>H37+H43+H48+H61+H68+H90+H62+H87+H54+H66</f>
        <v>34272.600000000006</v>
      </c>
      <c r="I98" s="26">
        <f>I43+I48+I54++I55+I66+I87</f>
        <v>9703.7000000000007</v>
      </c>
      <c r="J98" s="26">
        <f>J37+J43+J48+J61+J68+J90+J62</f>
        <v>15023.000000000002</v>
      </c>
      <c r="K98" s="26">
        <f>K37+K43+K48+K61+K68+K90+K62</f>
        <v>9545.9</v>
      </c>
      <c r="L98" s="490"/>
    </row>
    <row r="99" spans="1:12" ht="51.75" customHeight="1" x14ac:dyDescent="0.3">
      <c r="A99" s="334"/>
      <c r="B99" s="334"/>
      <c r="C99" s="334"/>
      <c r="D99" s="334"/>
      <c r="E99" s="352" t="s">
        <v>52</v>
      </c>
      <c r="F99" s="370"/>
      <c r="G99" s="252" t="s">
        <v>68</v>
      </c>
      <c r="H99" s="26">
        <f>I99+J99+K99</f>
        <v>39521.599999999999</v>
      </c>
      <c r="I99" s="26">
        <f>I100</f>
        <v>15862.1</v>
      </c>
      <c r="J99" s="26">
        <f>J100</f>
        <v>12557.3</v>
      </c>
      <c r="K99" s="26">
        <f>K100</f>
        <v>11102.199999999999</v>
      </c>
      <c r="L99" s="490"/>
    </row>
    <row r="100" spans="1:12" ht="60.75" customHeight="1" x14ac:dyDescent="0.3">
      <c r="A100" s="334"/>
      <c r="B100" s="334"/>
      <c r="C100" s="334"/>
      <c r="D100" s="334"/>
      <c r="E100" s="353"/>
      <c r="F100" s="371"/>
      <c r="G100" s="241" t="s">
        <v>151</v>
      </c>
      <c r="H100" s="26">
        <f>H44+H50+H60+H53</f>
        <v>39521.599999999999</v>
      </c>
      <c r="I100" s="26">
        <f>I44+I50+I60+I53</f>
        <v>15862.1</v>
      </c>
      <c r="J100" s="26">
        <f>J44+J50+J60+J53</f>
        <v>12557.3</v>
      </c>
      <c r="K100" s="26">
        <f>K44+K50+K60+K53</f>
        <v>11102.199999999999</v>
      </c>
      <c r="L100" s="490"/>
    </row>
    <row r="101" spans="1:12" ht="55.5" customHeight="1" x14ac:dyDescent="0.3">
      <c r="A101" s="334"/>
      <c r="B101" s="334"/>
      <c r="C101" s="334"/>
      <c r="D101" s="334"/>
      <c r="E101" s="352" t="s">
        <v>53</v>
      </c>
      <c r="F101" s="370"/>
      <c r="G101" s="252" t="s">
        <v>68</v>
      </c>
      <c r="H101" s="26">
        <f>I101+J101+K101</f>
        <v>40193.9</v>
      </c>
      <c r="I101" s="26">
        <f>I102</f>
        <v>12355</v>
      </c>
      <c r="J101" s="26">
        <f>J102</f>
        <v>13328.7</v>
      </c>
      <c r="K101" s="26">
        <f>K102</f>
        <v>14510.2</v>
      </c>
      <c r="L101" s="490"/>
    </row>
    <row r="102" spans="1:12" ht="57.75" customHeight="1" x14ac:dyDescent="0.3">
      <c r="A102" s="334"/>
      <c r="B102" s="334"/>
      <c r="C102" s="334"/>
      <c r="D102" s="334"/>
      <c r="E102" s="353"/>
      <c r="F102" s="371"/>
      <c r="G102" s="241" t="s">
        <v>151</v>
      </c>
      <c r="H102" s="26">
        <f>H45+H49+H70</f>
        <v>40193.899999999994</v>
      </c>
      <c r="I102" s="26">
        <f>I45+I49+I70</f>
        <v>12355</v>
      </c>
      <c r="J102" s="26">
        <f>J45+J49+J70</f>
        <v>13328.7</v>
      </c>
      <c r="K102" s="26">
        <f>K45+K49+K70</f>
        <v>14510.2</v>
      </c>
      <c r="L102" s="490"/>
    </row>
    <row r="103" spans="1:12" ht="53.25" customHeight="1" x14ac:dyDescent="0.3">
      <c r="A103" s="334"/>
      <c r="B103" s="334"/>
      <c r="C103" s="334"/>
      <c r="D103" s="334"/>
      <c r="E103" s="352" t="s">
        <v>51</v>
      </c>
      <c r="F103" s="370"/>
      <c r="G103" s="252" t="s">
        <v>68</v>
      </c>
      <c r="H103" s="26">
        <f>I103+J103+K103</f>
        <v>51562.1</v>
      </c>
      <c r="I103" s="26">
        <f>I104</f>
        <v>12581.599999999999</v>
      </c>
      <c r="J103" s="26">
        <f>J104</f>
        <v>25481.800000000003</v>
      </c>
      <c r="K103" s="26">
        <f>K104</f>
        <v>13498.699999999999</v>
      </c>
      <c r="L103" s="490"/>
    </row>
    <row r="104" spans="1:12" ht="75" customHeight="1" x14ac:dyDescent="0.3">
      <c r="A104" s="334"/>
      <c r="B104" s="334"/>
      <c r="C104" s="334"/>
      <c r="D104" s="334"/>
      <c r="E104" s="354"/>
      <c r="F104" s="372"/>
      <c r="G104" s="241" t="s">
        <v>151</v>
      </c>
      <c r="H104" s="26">
        <f>H46+H51+H72+H73+H74+H75+H76+H77+H79+H92+H83</f>
        <v>51562.100000000006</v>
      </c>
      <c r="I104" s="26">
        <f>I46+I51+I72+I73+I74+I75+I76+I77+I79+I92+I83</f>
        <v>12581.599999999999</v>
      </c>
      <c r="J104" s="26">
        <f>J46+J51+J72+J73+J74+J75+J76+J77+J79+J92+J83</f>
        <v>25481.800000000003</v>
      </c>
      <c r="K104" s="26">
        <f>K46+K51+K72+K73+K74+K75+K76+K77+K79+K92+K83</f>
        <v>13498.699999999999</v>
      </c>
      <c r="L104" s="490"/>
    </row>
    <row r="105" spans="1:12" ht="52.5" customHeight="1" x14ac:dyDescent="0.3">
      <c r="A105" s="334"/>
      <c r="B105" s="334"/>
      <c r="C105" s="334"/>
      <c r="D105" s="334"/>
      <c r="E105" s="352" t="s">
        <v>138</v>
      </c>
      <c r="F105" s="370"/>
      <c r="G105" s="252" t="s">
        <v>68</v>
      </c>
      <c r="H105" s="26">
        <f>I105+J105+K105</f>
        <v>16907.3</v>
      </c>
      <c r="I105" s="26">
        <f>SUM(I106:I107)</f>
        <v>5407.9</v>
      </c>
      <c r="J105" s="26">
        <f>SUM(J106:J107)</f>
        <v>6426</v>
      </c>
      <c r="K105" s="26">
        <f>SUM(K106:K107)</f>
        <v>5073.3999999999996</v>
      </c>
      <c r="L105" s="490"/>
    </row>
    <row r="106" spans="1:12" ht="59.25" customHeight="1" x14ac:dyDescent="0.3">
      <c r="A106" s="334"/>
      <c r="B106" s="334"/>
      <c r="C106" s="334"/>
      <c r="D106" s="334"/>
      <c r="E106" s="353"/>
      <c r="F106" s="371"/>
      <c r="G106" s="241" t="s">
        <v>151</v>
      </c>
      <c r="H106" s="26">
        <f>H47+H56+H63+H67+H69+H80+H84+H85+H88+H91</f>
        <v>16412.3</v>
      </c>
      <c r="I106" s="26">
        <f>I47+I56+I63+I67+I69+I80+I84+I85+I88+I91</f>
        <v>4912.8999999999996</v>
      </c>
      <c r="J106" s="26">
        <f>J47+J56+J63+J67+J69+J80+J84+J85+J88+J91</f>
        <v>6426</v>
      </c>
      <c r="K106" s="26">
        <f>K47+K56+K63+K67+K69+K80+K84+K85+K88+K91</f>
        <v>5073.3999999999996</v>
      </c>
      <c r="L106" s="490"/>
    </row>
    <row r="107" spans="1:12" ht="59.25" customHeight="1" x14ac:dyDescent="0.3">
      <c r="A107" s="334"/>
      <c r="B107" s="334"/>
      <c r="C107" s="334"/>
      <c r="D107" s="334"/>
      <c r="E107" s="354"/>
      <c r="F107" s="372"/>
      <c r="G107" s="241" t="s">
        <v>353</v>
      </c>
      <c r="H107" s="26">
        <f>H81</f>
        <v>495</v>
      </c>
      <c r="I107" s="26">
        <f>I81</f>
        <v>495</v>
      </c>
      <c r="J107" s="26">
        <f>J81</f>
        <v>0</v>
      </c>
      <c r="K107" s="26">
        <f>K81</f>
        <v>0</v>
      </c>
      <c r="L107" s="490"/>
    </row>
    <row r="108" spans="1:12" ht="59.25" customHeight="1" x14ac:dyDescent="0.3">
      <c r="A108" s="334"/>
      <c r="B108" s="334"/>
      <c r="C108" s="334"/>
      <c r="D108" s="334"/>
      <c r="E108" s="352" t="s">
        <v>133</v>
      </c>
      <c r="F108" s="370"/>
      <c r="G108" s="252" t="s">
        <v>68</v>
      </c>
      <c r="H108" s="26">
        <f>I108+J108+K108</f>
        <v>900</v>
      </c>
      <c r="I108" s="26">
        <f>I109</f>
        <v>0</v>
      </c>
      <c r="J108" s="26">
        <f>J109</f>
        <v>900</v>
      </c>
      <c r="K108" s="26">
        <f>K109</f>
        <v>0</v>
      </c>
      <c r="L108" s="490"/>
    </row>
    <row r="109" spans="1:12" ht="59.25" customHeight="1" x14ac:dyDescent="0.3">
      <c r="A109" s="334"/>
      <c r="B109" s="334"/>
      <c r="C109" s="334"/>
      <c r="D109" s="334"/>
      <c r="E109" s="354"/>
      <c r="F109" s="372"/>
      <c r="G109" s="241" t="s">
        <v>151</v>
      </c>
      <c r="H109" s="26">
        <f>H57+H64</f>
        <v>900</v>
      </c>
      <c r="I109" s="26">
        <f>I57+I64</f>
        <v>0</v>
      </c>
      <c r="J109" s="26">
        <f>J57+J64</f>
        <v>900</v>
      </c>
      <c r="K109" s="26">
        <f>K57+K64</f>
        <v>0</v>
      </c>
      <c r="L109" s="490"/>
    </row>
    <row r="110" spans="1:12" ht="153.75" customHeight="1" x14ac:dyDescent="0.3">
      <c r="A110" s="335" t="s">
        <v>93</v>
      </c>
      <c r="B110" s="356" t="s">
        <v>416</v>
      </c>
      <c r="C110" s="222" t="s">
        <v>253</v>
      </c>
      <c r="D110" s="55" t="s">
        <v>27</v>
      </c>
      <c r="E110" s="236" t="s">
        <v>55</v>
      </c>
      <c r="F110" s="361" t="s">
        <v>131</v>
      </c>
      <c r="G110" s="241" t="s">
        <v>149</v>
      </c>
      <c r="H110" s="26">
        <f>I110</f>
        <v>5058.3</v>
      </c>
      <c r="I110" s="26">
        <v>5058.3</v>
      </c>
      <c r="J110" s="26"/>
      <c r="K110" s="26"/>
      <c r="L110" s="175" t="s">
        <v>209</v>
      </c>
    </row>
    <row r="111" spans="1:12" ht="193.5" customHeight="1" x14ac:dyDescent="0.3">
      <c r="A111" s="336"/>
      <c r="B111" s="357"/>
      <c r="C111" s="302" t="s">
        <v>465</v>
      </c>
      <c r="D111" s="55" t="s">
        <v>27</v>
      </c>
      <c r="E111" s="236" t="s">
        <v>55</v>
      </c>
      <c r="F111" s="363"/>
      <c r="G111" s="288" t="s">
        <v>149</v>
      </c>
      <c r="H111" s="26">
        <f>J111+K111</f>
        <v>11184.8</v>
      </c>
      <c r="I111" s="26"/>
      <c r="J111" s="26">
        <v>5512</v>
      </c>
      <c r="K111" s="26">
        <v>5672.8</v>
      </c>
      <c r="L111" s="161" t="s">
        <v>467</v>
      </c>
    </row>
    <row r="112" spans="1:12" s="49" customFormat="1" ht="82.5" hidden="1" customHeight="1" x14ac:dyDescent="0.2">
      <c r="A112" s="54" t="s">
        <v>93</v>
      </c>
      <c r="B112" s="357"/>
      <c r="C112" s="304"/>
      <c r="D112" s="55"/>
      <c r="E112" s="236"/>
      <c r="F112" s="294" t="s">
        <v>131</v>
      </c>
      <c r="G112" s="298"/>
      <c r="H112" s="26">
        <f>I112+J112+K112</f>
        <v>0</v>
      </c>
      <c r="I112" s="28"/>
      <c r="J112" s="28"/>
      <c r="K112" s="28"/>
      <c r="L112" s="217"/>
    </row>
    <row r="113" spans="1:12" s="49" customFormat="1" ht="175.5" customHeight="1" x14ac:dyDescent="0.2">
      <c r="A113" s="174"/>
      <c r="B113" s="357"/>
      <c r="C113" s="222" t="s">
        <v>466</v>
      </c>
      <c r="D113" s="55" t="s">
        <v>27</v>
      </c>
      <c r="E113" s="236" t="s">
        <v>55</v>
      </c>
      <c r="F113" s="294"/>
      <c r="G113" s="241" t="s">
        <v>149</v>
      </c>
      <c r="H113" s="26">
        <f>I113</f>
        <v>67.3</v>
      </c>
      <c r="I113" s="28">
        <v>67.3</v>
      </c>
      <c r="J113" s="28"/>
      <c r="K113" s="28"/>
      <c r="L113" s="253" t="s">
        <v>368</v>
      </c>
    </row>
    <row r="114" spans="1:12" s="49" customFormat="1" ht="69" hidden="1" customHeight="1" x14ac:dyDescent="0.2">
      <c r="A114" s="173"/>
      <c r="B114" s="358"/>
      <c r="C114" s="231"/>
      <c r="D114" s="55"/>
      <c r="E114" s="236"/>
      <c r="F114" s="295"/>
      <c r="G114" s="226"/>
      <c r="H114" s="26">
        <f>I114+J114+K114</f>
        <v>0</v>
      </c>
      <c r="I114" s="28"/>
      <c r="J114" s="28">
        <v>0</v>
      </c>
      <c r="K114" s="28">
        <v>0</v>
      </c>
      <c r="L114" s="253"/>
    </row>
    <row r="115" spans="1:12" s="49" customFormat="1" ht="54" customHeight="1" x14ac:dyDescent="0.2">
      <c r="A115" s="334"/>
      <c r="B115" s="334"/>
      <c r="C115" s="334"/>
      <c r="D115" s="334"/>
      <c r="E115" s="315" t="s">
        <v>263</v>
      </c>
      <c r="F115" s="317"/>
      <c r="G115" s="241"/>
      <c r="H115" s="26">
        <f>I115+J115+K115</f>
        <v>16310.400000000001</v>
      </c>
      <c r="I115" s="26">
        <f>I110+I111+I113</f>
        <v>5125.6000000000004</v>
      </c>
      <c r="J115" s="26">
        <f>J110+J111+J113</f>
        <v>5512</v>
      </c>
      <c r="K115" s="26">
        <f>K110+K111+K113</f>
        <v>5672.8</v>
      </c>
      <c r="L115" s="361"/>
    </row>
    <row r="116" spans="1:12" s="49" customFormat="1" ht="51" customHeight="1" x14ac:dyDescent="0.2">
      <c r="A116" s="334"/>
      <c r="B116" s="335"/>
      <c r="C116" s="335"/>
      <c r="D116" s="335"/>
      <c r="E116" s="316"/>
      <c r="F116" s="317"/>
      <c r="G116" s="241" t="s">
        <v>149</v>
      </c>
      <c r="H116" s="26">
        <f>H110+H111+H113</f>
        <v>16310.399999999998</v>
      </c>
      <c r="I116" s="26">
        <f>I110+I111+I113</f>
        <v>5125.6000000000004</v>
      </c>
      <c r="J116" s="26">
        <f>J110+J111+J113</f>
        <v>5512</v>
      </c>
      <c r="K116" s="26">
        <f>K110+K111+K113</f>
        <v>5672.8</v>
      </c>
      <c r="L116" s="363"/>
    </row>
    <row r="117" spans="1:12" s="49" customFormat="1" ht="186" customHeight="1" x14ac:dyDescent="0.2">
      <c r="A117" s="335" t="s">
        <v>94</v>
      </c>
      <c r="B117" s="356" t="s">
        <v>107</v>
      </c>
      <c r="C117" s="166" t="s">
        <v>399</v>
      </c>
      <c r="D117" s="30" t="s">
        <v>28</v>
      </c>
      <c r="E117" s="229" t="s">
        <v>54</v>
      </c>
      <c r="F117" s="337" t="s">
        <v>131</v>
      </c>
      <c r="G117" s="241" t="s">
        <v>149</v>
      </c>
      <c r="H117" s="26">
        <f>I117</f>
        <v>11493.1</v>
      </c>
      <c r="I117" s="26">
        <v>11493.1</v>
      </c>
      <c r="J117" s="26"/>
      <c r="K117" s="26"/>
      <c r="L117" s="231" t="s">
        <v>209</v>
      </c>
    </row>
    <row r="118" spans="1:12" s="49" customFormat="1" ht="186" customHeight="1" x14ac:dyDescent="0.2">
      <c r="A118" s="336"/>
      <c r="B118" s="357"/>
      <c r="C118" s="236" t="s">
        <v>469</v>
      </c>
      <c r="D118" s="55" t="s">
        <v>28</v>
      </c>
      <c r="E118" s="236" t="s">
        <v>54</v>
      </c>
      <c r="F118" s="338"/>
      <c r="G118" s="241" t="s">
        <v>149</v>
      </c>
      <c r="H118" s="26">
        <f>J118+K118</f>
        <v>20140.2</v>
      </c>
      <c r="I118" s="26"/>
      <c r="J118" s="26">
        <v>11836.1</v>
      </c>
      <c r="K118" s="26">
        <v>8304.1</v>
      </c>
      <c r="L118" s="253" t="s">
        <v>441</v>
      </c>
    </row>
    <row r="119" spans="1:12" s="49" customFormat="1" ht="177" customHeight="1" x14ac:dyDescent="0.2">
      <c r="A119" s="336"/>
      <c r="B119" s="357"/>
      <c r="C119" s="222" t="s">
        <v>470</v>
      </c>
      <c r="D119" s="30" t="s">
        <v>28</v>
      </c>
      <c r="E119" s="229" t="s">
        <v>54</v>
      </c>
      <c r="F119" s="314" t="s">
        <v>131</v>
      </c>
      <c r="G119" s="241" t="s">
        <v>149</v>
      </c>
      <c r="H119" s="26">
        <f>I119</f>
        <v>895.6</v>
      </c>
      <c r="I119" s="28">
        <v>895.6</v>
      </c>
      <c r="J119" s="28"/>
      <c r="K119" s="28"/>
      <c r="L119" s="231" t="s">
        <v>209</v>
      </c>
    </row>
    <row r="120" spans="1:12" s="49" customFormat="1" ht="194.25" x14ac:dyDescent="0.2">
      <c r="A120" s="339"/>
      <c r="B120" s="358"/>
      <c r="C120" s="222" t="s">
        <v>440</v>
      </c>
      <c r="D120" s="55" t="s">
        <v>28</v>
      </c>
      <c r="E120" s="236" t="s">
        <v>54</v>
      </c>
      <c r="F120" s="314"/>
      <c r="G120" s="241" t="s">
        <v>149</v>
      </c>
      <c r="H120" s="26">
        <f>J120+K120</f>
        <v>2015.1</v>
      </c>
      <c r="I120" s="28"/>
      <c r="J120" s="28">
        <v>1010.7</v>
      </c>
      <c r="K120" s="28">
        <v>1004.4</v>
      </c>
      <c r="L120" s="253" t="s">
        <v>467</v>
      </c>
    </row>
    <row r="121" spans="1:12" s="49" customFormat="1" ht="75" customHeight="1" x14ac:dyDescent="0.2">
      <c r="A121" s="407"/>
      <c r="B121" s="407"/>
      <c r="C121" s="407"/>
      <c r="D121" s="407"/>
      <c r="E121" s="315" t="s">
        <v>264</v>
      </c>
      <c r="F121" s="314"/>
      <c r="G121" s="241"/>
      <c r="H121" s="26">
        <f>I121+J121+K121</f>
        <v>34544</v>
      </c>
      <c r="I121" s="26">
        <f>I117+I118+I119+I120</f>
        <v>12388.7</v>
      </c>
      <c r="J121" s="26">
        <f>J117+J118+J119+J120</f>
        <v>12846.800000000001</v>
      </c>
      <c r="K121" s="26">
        <f>K117+K118+K119+K120</f>
        <v>9308.5</v>
      </c>
      <c r="L121" s="337"/>
    </row>
    <row r="122" spans="1:12" s="49" customFormat="1" ht="75" customHeight="1" x14ac:dyDescent="0.2">
      <c r="A122" s="407"/>
      <c r="B122" s="407"/>
      <c r="C122" s="407"/>
      <c r="D122" s="407"/>
      <c r="E122" s="316"/>
      <c r="F122" s="314"/>
      <c r="G122" s="241" t="s">
        <v>149</v>
      </c>
      <c r="H122" s="26">
        <f>H117+H119+H120+H118</f>
        <v>34544</v>
      </c>
      <c r="I122" s="26">
        <f>I117+I119+I120</f>
        <v>12388.7</v>
      </c>
      <c r="J122" s="26">
        <f>J117+J119+J120+J118</f>
        <v>12846.800000000001</v>
      </c>
      <c r="K122" s="26">
        <f>K117+K119+K120+K118</f>
        <v>9308.5</v>
      </c>
      <c r="L122" s="344"/>
    </row>
    <row r="123" spans="1:12" ht="75" customHeight="1" x14ac:dyDescent="0.3">
      <c r="A123" s="290" t="s">
        <v>46</v>
      </c>
      <c r="B123" s="291"/>
      <c r="C123" s="291"/>
      <c r="D123" s="291"/>
      <c r="E123" s="291"/>
      <c r="F123" s="291"/>
      <c r="G123" s="292"/>
      <c r="H123" s="27">
        <f>H32+H93+H115+H121</f>
        <v>256152.99999999997</v>
      </c>
      <c r="I123" s="27">
        <f>SUM(I124:I125)</f>
        <v>80227.899999999994</v>
      </c>
      <c r="J123" s="27">
        <f>SUM(J124:J125)</f>
        <v>98825.1</v>
      </c>
      <c r="K123" s="27">
        <f>SUM(K124:K125)</f>
        <v>77100.000000000015</v>
      </c>
      <c r="L123" s="364"/>
    </row>
    <row r="124" spans="1:12" s="49" customFormat="1" ht="75" customHeight="1" x14ac:dyDescent="0.2">
      <c r="A124" s="379" t="s">
        <v>160</v>
      </c>
      <c r="B124" s="379"/>
      <c r="C124" s="379"/>
      <c r="D124" s="379"/>
      <c r="E124" s="379"/>
      <c r="F124" s="380"/>
      <c r="G124" s="66" t="s">
        <v>149</v>
      </c>
      <c r="H124" s="27">
        <f>H32+H94+H116+H122</f>
        <v>255657.99999999997</v>
      </c>
      <c r="I124" s="56">
        <f>I32+I94+I116+I122</f>
        <v>79732.899999999994</v>
      </c>
      <c r="J124" s="27">
        <f>J32+J94+J116+J122</f>
        <v>98825.1</v>
      </c>
      <c r="K124" s="27">
        <f>K32+K94+K116+K122</f>
        <v>77100.000000000015</v>
      </c>
      <c r="L124" s="365"/>
    </row>
    <row r="125" spans="1:12" s="49" customFormat="1" ht="75" customHeight="1" x14ac:dyDescent="0.2">
      <c r="A125" s="381"/>
      <c r="B125" s="381"/>
      <c r="C125" s="381"/>
      <c r="D125" s="381"/>
      <c r="E125" s="381"/>
      <c r="F125" s="382"/>
      <c r="G125" s="241" t="s">
        <v>353</v>
      </c>
      <c r="H125" s="56">
        <f>H107</f>
        <v>495</v>
      </c>
      <c r="I125" s="56">
        <f>I107</f>
        <v>495</v>
      </c>
      <c r="J125" s="56">
        <f>J107</f>
        <v>0</v>
      </c>
      <c r="K125" s="56">
        <f>K107</f>
        <v>0</v>
      </c>
      <c r="L125" s="365"/>
    </row>
    <row r="126" spans="1:12" s="49" customFormat="1" ht="75" customHeight="1" x14ac:dyDescent="0.2">
      <c r="A126" s="384" t="s">
        <v>159</v>
      </c>
      <c r="B126" s="385"/>
      <c r="C126" s="385"/>
      <c r="D126" s="386"/>
      <c r="E126" s="287" t="s">
        <v>58</v>
      </c>
      <c r="F126" s="393"/>
      <c r="G126" s="252" t="s">
        <v>67</v>
      </c>
      <c r="H126" s="27">
        <f>SUM(H127:H127)</f>
        <v>34272.600000000006</v>
      </c>
      <c r="I126" s="27">
        <f>SUM(I127:I127)</f>
        <v>9703.7000000000007</v>
      </c>
      <c r="J126" s="27">
        <f>SUM(J127:J127)</f>
        <v>15023.000000000002</v>
      </c>
      <c r="K126" s="27">
        <f>SUM(K127:K127)</f>
        <v>9545.9</v>
      </c>
      <c r="L126" s="365"/>
    </row>
    <row r="127" spans="1:12" ht="75" customHeight="1" x14ac:dyDescent="0.3">
      <c r="A127" s="387"/>
      <c r="B127" s="388"/>
      <c r="C127" s="388"/>
      <c r="D127" s="389"/>
      <c r="E127" s="287"/>
      <c r="F127" s="394"/>
      <c r="G127" s="241" t="s">
        <v>149</v>
      </c>
      <c r="H127" s="37">
        <f>H98+H114</f>
        <v>34272.600000000006</v>
      </c>
      <c r="I127" s="37">
        <f>I98+I114</f>
        <v>9703.7000000000007</v>
      </c>
      <c r="J127" s="37">
        <f>J98+J114</f>
        <v>15023.000000000002</v>
      </c>
      <c r="K127" s="37">
        <f>K98+K114</f>
        <v>9545.9</v>
      </c>
      <c r="L127" s="365"/>
    </row>
    <row r="128" spans="1:12" ht="75" customHeight="1" x14ac:dyDescent="0.3">
      <c r="A128" s="387"/>
      <c r="B128" s="388"/>
      <c r="C128" s="388"/>
      <c r="D128" s="389"/>
      <c r="E128" s="302" t="s">
        <v>52</v>
      </c>
      <c r="F128" s="394"/>
      <c r="G128" s="252" t="s">
        <v>67</v>
      </c>
      <c r="H128" s="27">
        <f>SUM(H129:H129)</f>
        <v>39521.599999999999</v>
      </c>
      <c r="I128" s="27">
        <f>SUM(I129:I129)</f>
        <v>15862.1</v>
      </c>
      <c r="J128" s="27">
        <f>SUM(J129:J129)</f>
        <v>12557.3</v>
      </c>
      <c r="K128" s="27">
        <f>SUM(K129:K129)</f>
        <v>11102.199999999999</v>
      </c>
      <c r="L128" s="365"/>
    </row>
    <row r="129" spans="1:12" ht="75" customHeight="1" x14ac:dyDescent="0.3">
      <c r="A129" s="387"/>
      <c r="B129" s="388"/>
      <c r="C129" s="388"/>
      <c r="D129" s="389"/>
      <c r="E129" s="303"/>
      <c r="F129" s="394"/>
      <c r="G129" s="241" t="s">
        <v>149</v>
      </c>
      <c r="H129" s="37">
        <f>H100</f>
        <v>39521.599999999999</v>
      </c>
      <c r="I129" s="37">
        <f>I100</f>
        <v>15862.1</v>
      </c>
      <c r="J129" s="37">
        <f>J100</f>
        <v>12557.3</v>
      </c>
      <c r="K129" s="37">
        <f>K100</f>
        <v>11102.199999999999</v>
      </c>
      <c r="L129" s="365"/>
    </row>
    <row r="130" spans="1:12" ht="75" customHeight="1" x14ac:dyDescent="0.3">
      <c r="A130" s="387"/>
      <c r="B130" s="388"/>
      <c r="C130" s="388"/>
      <c r="D130" s="389"/>
      <c r="E130" s="302" t="s">
        <v>53</v>
      </c>
      <c r="F130" s="394"/>
      <c r="G130" s="252" t="s">
        <v>67</v>
      </c>
      <c r="H130" s="27">
        <f>SUM(H131:H131)</f>
        <v>40193.899999999994</v>
      </c>
      <c r="I130" s="27">
        <f>SUM(I131:I131)</f>
        <v>12355</v>
      </c>
      <c r="J130" s="27">
        <f>SUM(J131:J131)</f>
        <v>13328.7</v>
      </c>
      <c r="K130" s="27">
        <f>SUM(K131:K131)</f>
        <v>14510.2</v>
      </c>
      <c r="L130" s="365"/>
    </row>
    <row r="131" spans="1:12" ht="75" customHeight="1" x14ac:dyDescent="0.3">
      <c r="A131" s="387"/>
      <c r="B131" s="388"/>
      <c r="C131" s="388"/>
      <c r="D131" s="389"/>
      <c r="E131" s="303"/>
      <c r="F131" s="394"/>
      <c r="G131" s="241" t="s">
        <v>149</v>
      </c>
      <c r="H131" s="37">
        <f>H102</f>
        <v>40193.899999999994</v>
      </c>
      <c r="I131" s="37">
        <f>I102</f>
        <v>12355</v>
      </c>
      <c r="J131" s="37">
        <f>J102</f>
        <v>13328.7</v>
      </c>
      <c r="K131" s="37">
        <f>K102</f>
        <v>14510.2</v>
      </c>
      <c r="L131" s="365"/>
    </row>
    <row r="132" spans="1:12" ht="75" customHeight="1" x14ac:dyDescent="0.3">
      <c r="A132" s="387"/>
      <c r="B132" s="388"/>
      <c r="C132" s="388"/>
      <c r="D132" s="389"/>
      <c r="E132" s="302" t="s">
        <v>51</v>
      </c>
      <c r="F132" s="394"/>
      <c r="G132" s="252" t="s">
        <v>67</v>
      </c>
      <c r="H132" s="27">
        <f>SUM(H133:H133)</f>
        <v>51562.100000000006</v>
      </c>
      <c r="I132" s="27">
        <f>SUM(I133:I133)</f>
        <v>12581.599999999999</v>
      </c>
      <c r="J132" s="27">
        <f>SUM(J133:J133)</f>
        <v>25481.800000000003</v>
      </c>
      <c r="K132" s="27">
        <f>SUM(K133:K133)</f>
        <v>13498.699999999999</v>
      </c>
      <c r="L132" s="365"/>
    </row>
    <row r="133" spans="1:12" ht="75" customHeight="1" x14ac:dyDescent="0.3">
      <c r="A133" s="387"/>
      <c r="B133" s="388"/>
      <c r="C133" s="388"/>
      <c r="D133" s="389"/>
      <c r="E133" s="303"/>
      <c r="F133" s="394"/>
      <c r="G133" s="241" t="s">
        <v>149</v>
      </c>
      <c r="H133" s="37">
        <f>H104</f>
        <v>51562.100000000006</v>
      </c>
      <c r="I133" s="37">
        <f>I104</f>
        <v>12581.599999999999</v>
      </c>
      <c r="J133" s="37">
        <f>J104</f>
        <v>25481.800000000003</v>
      </c>
      <c r="K133" s="37">
        <f>K104</f>
        <v>13498.699999999999</v>
      </c>
      <c r="L133" s="365"/>
    </row>
    <row r="134" spans="1:12" ht="75" customHeight="1" x14ac:dyDescent="0.3">
      <c r="A134" s="387"/>
      <c r="B134" s="388"/>
      <c r="C134" s="388"/>
      <c r="D134" s="389"/>
      <c r="E134" s="302" t="s">
        <v>55</v>
      </c>
      <c r="F134" s="394"/>
      <c r="G134" s="252" t="s">
        <v>67</v>
      </c>
      <c r="H134" s="27">
        <f>SUM(H135:H135)</f>
        <v>16310.399999999998</v>
      </c>
      <c r="I134" s="27">
        <f>SUM(I135:I135)</f>
        <v>5125.6000000000004</v>
      </c>
      <c r="J134" s="27">
        <f>SUM(J135:J135)</f>
        <v>5512</v>
      </c>
      <c r="K134" s="27">
        <f>SUM(K135:K135)</f>
        <v>5672.8</v>
      </c>
      <c r="L134" s="365"/>
    </row>
    <row r="135" spans="1:12" ht="75" customHeight="1" x14ac:dyDescent="0.3">
      <c r="A135" s="387"/>
      <c r="B135" s="388"/>
      <c r="C135" s="388"/>
      <c r="D135" s="389"/>
      <c r="E135" s="303"/>
      <c r="F135" s="394"/>
      <c r="G135" s="241" t="s">
        <v>149</v>
      </c>
      <c r="H135" s="37">
        <f>H116</f>
        <v>16310.399999999998</v>
      </c>
      <c r="I135" s="37">
        <f>I116</f>
        <v>5125.6000000000004</v>
      </c>
      <c r="J135" s="37">
        <f>J116</f>
        <v>5512</v>
      </c>
      <c r="K135" s="37">
        <f>K116</f>
        <v>5672.8</v>
      </c>
      <c r="L135" s="365"/>
    </row>
    <row r="136" spans="1:12" ht="75" customHeight="1" x14ac:dyDescent="0.3">
      <c r="A136" s="387"/>
      <c r="B136" s="388"/>
      <c r="C136" s="388"/>
      <c r="D136" s="389"/>
      <c r="E136" s="302" t="s">
        <v>54</v>
      </c>
      <c r="F136" s="394"/>
      <c r="G136" s="252" t="s">
        <v>67</v>
      </c>
      <c r="H136" s="27">
        <f>SUM(H137:H137)</f>
        <v>34544</v>
      </c>
      <c r="I136" s="27">
        <f>SUM(I137:I137)</f>
        <v>12388.7</v>
      </c>
      <c r="J136" s="27">
        <f>SUM(J137:J137)</f>
        <v>12846.800000000001</v>
      </c>
      <c r="K136" s="27">
        <f>SUM(K137:K137)</f>
        <v>9308.5</v>
      </c>
      <c r="L136" s="365"/>
    </row>
    <row r="137" spans="1:12" ht="75" customHeight="1" x14ac:dyDescent="0.3">
      <c r="A137" s="387"/>
      <c r="B137" s="388"/>
      <c r="C137" s="388"/>
      <c r="D137" s="389"/>
      <c r="E137" s="303"/>
      <c r="F137" s="394"/>
      <c r="G137" s="241" t="s">
        <v>149</v>
      </c>
      <c r="H137" s="37">
        <f>H122</f>
        <v>34544</v>
      </c>
      <c r="I137" s="37">
        <f>I122</f>
        <v>12388.7</v>
      </c>
      <c r="J137" s="37">
        <f>J122</f>
        <v>12846.800000000001</v>
      </c>
      <c r="K137" s="37">
        <f>K122</f>
        <v>9308.5</v>
      </c>
      <c r="L137" s="365"/>
    </row>
    <row r="138" spans="1:12" ht="75" customHeight="1" x14ac:dyDescent="0.3">
      <c r="A138" s="387"/>
      <c r="B138" s="388"/>
      <c r="C138" s="388"/>
      <c r="D138" s="389"/>
      <c r="E138" s="287" t="s">
        <v>56</v>
      </c>
      <c r="F138" s="394"/>
      <c r="G138" s="252" t="s">
        <v>67</v>
      </c>
      <c r="H138" s="27">
        <f>H139</f>
        <v>10084.9</v>
      </c>
      <c r="I138" s="27">
        <f>I139</f>
        <v>2834.8</v>
      </c>
      <c r="J138" s="27">
        <f>J139</f>
        <v>3456.7</v>
      </c>
      <c r="K138" s="27">
        <f>K139</f>
        <v>3793.3999999999996</v>
      </c>
      <c r="L138" s="365"/>
    </row>
    <row r="139" spans="1:12" ht="75" customHeight="1" x14ac:dyDescent="0.3">
      <c r="A139" s="387"/>
      <c r="B139" s="388"/>
      <c r="C139" s="388"/>
      <c r="D139" s="389"/>
      <c r="E139" s="287"/>
      <c r="F139" s="394"/>
      <c r="G139" s="241" t="s">
        <v>149</v>
      </c>
      <c r="H139" s="37">
        <f>H33</f>
        <v>10084.9</v>
      </c>
      <c r="I139" s="37">
        <f>I33</f>
        <v>2834.8</v>
      </c>
      <c r="J139" s="37">
        <f>J33</f>
        <v>3456.7</v>
      </c>
      <c r="K139" s="37">
        <f>K33</f>
        <v>3793.3999999999996</v>
      </c>
      <c r="L139" s="365"/>
    </row>
    <row r="140" spans="1:12" ht="75" customHeight="1" x14ac:dyDescent="0.3">
      <c r="A140" s="387"/>
      <c r="B140" s="388"/>
      <c r="C140" s="388"/>
      <c r="D140" s="389"/>
      <c r="E140" s="302" t="s">
        <v>57</v>
      </c>
      <c r="F140" s="394"/>
      <c r="G140" s="252" t="s">
        <v>67</v>
      </c>
      <c r="H140" s="27">
        <f>H141</f>
        <v>11856.199999999999</v>
      </c>
      <c r="I140" s="27">
        <f>I141</f>
        <v>3968.5</v>
      </c>
      <c r="J140" s="27">
        <f>J141</f>
        <v>3292.8</v>
      </c>
      <c r="K140" s="27">
        <f>K141</f>
        <v>4594.9000000000005</v>
      </c>
      <c r="L140" s="365"/>
    </row>
    <row r="141" spans="1:12" ht="63.75" customHeight="1" x14ac:dyDescent="0.3">
      <c r="A141" s="387"/>
      <c r="B141" s="388"/>
      <c r="C141" s="388"/>
      <c r="D141" s="389"/>
      <c r="E141" s="304"/>
      <c r="F141" s="394"/>
      <c r="G141" s="241" t="s">
        <v>149</v>
      </c>
      <c r="H141" s="37">
        <f>H34</f>
        <v>11856.199999999999</v>
      </c>
      <c r="I141" s="37">
        <f>I34</f>
        <v>3968.5</v>
      </c>
      <c r="J141" s="37">
        <f>J34</f>
        <v>3292.8</v>
      </c>
      <c r="K141" s="37">
        <f>K34</f>
        <v>4594.9000000000005</v>
      </c>
      <c r="L141" s="365"/>
    </row>
    <row r="142" spans="1:12" ht="66" customHeight="1" x14ac:dyDescent="0.3">
      <c r="A142" s="387"/>
      <c r="B142" s="388"/>
      <c r="C142" s="388"/>
      <c r="D142" s="389"/>
      <c r="E142" s="302" t="s">
        <v>138</v>
      </c>
      <c r="F142" s="394"/>
      <c r="G142" s="252" t="s">
        <v>67</v>
      </c>
      <c r="H142" s="27">
        <f>SUM(H143:H144)</f>
        <v>16907.3</v>
      </c>
      <c r="I142" s="27">
        <f>SUM(I143:I144)</f>
        <v>5407.9</v>
      </c>
      <c r="J142" s="27">
        <f>SUM(J143:J144)</f>
        <v>6426</v>
      </c>
      <c r="K142" s="27">
        <f>SUM(K143:K144)</f>
        <v>5073.3999999999996</v>
      </c>
      <c r="L142" s="365"/>
    </row>
    <row r="143" spans="1:12" ht="47.25" customHeight="1" x14ac:dyDescent="0.3">
      <c r="A143" s="387"/>
      <c r="B143" s="388"/>
      <c r="C143" s="388"/>
      <c r="D143" s="389"/>
      <c r="E143" s="303"/>
      <c r="F143" s="394"/>
      <c r="G143" s="241" t="s">
        <v>149</v>
      </c>
      <c r="H143" s="37">
        <f t="shared" ref="H143:K144" si="3">H106</f>
        <v>16412.3</v>
      </c>
      <c r="I143" s="37">
        <f t="shared" si="3"/>
        <v>4912.8999999999996</v>
      </c>
      <c r="J143" s="37">
        <f t="shared" si="3"/>
        <v>6426</v>
      </c>
      <c r="K143" s="37">
        <f t="shared" si="3"/>
        <v>5073.3999999999996</v>
      </c>
      <c r="L143" s="365"/>
    </row>
    <row r="144" spans="1:12" ht="47.25" customHeight="1" x14ac:dyDescent="0.3">
      <c r="A144" s="387"/>
      <c r="B144" s="388"/>
      <c r="C144" s="388"/>
      <c r="D144" s="389"/>
      <c r="E144" s="304"/>
      <c r="F144" s="394"/>
      <c r="G144" s="241" t="s">
        <v>353</v>
      </c>
      <c r="H144" s="37">
        <f t="shared" si="3"/>
        <v>495</v>
      </c>
      <c r="I144" s="37">
        <f t="shared" si="3"/>
        <v>495</v>
      </c>
      <c r="J144" s="37">
        <f t="shared" si="3"/>
        <v>0</v>
      </c>
      <c r="K144" s="37">
        <f t="shared" si="3"/>
        <v>0</v>
      </c>
      <c r="L144" s="365"/>
    </row>
    <row r="145" spans="1:12" ht="47.25" customHeight="1" x14ac:dyDescent="0.3">
      <c r="A145" s="387"/>
      <c r="B145" s="388"/>
      <c r="C145" s="388"/>
      <c r="D145" s="389"/>
      <c r="E145" s="302" t="s">
        <v>133</v>
      </c>
      <c r="F145" s="394"/>
      <c r="G145" s="252" t="s">
        <v>67</v>
      </c>
      <c r="H145" s="27">
        <f>H146</f>
        <v>900</v>
      </c>
      <c r="I145" s="27">
        <f>I146</f>
        <v>0</v>
      </c>
      <c r="J145" s="27">
        <f>J146</f>
        <v>900</v>
      </c>
      <c r="K145" s="27">
        <f>K146</f>
        <v>0</v>
      </c>
      <c r="L145" s="365"/>
    </row>
    <row r="146" spans="1:12" ht="47.25" customHeight="1" x14ac:dyDescent="0.3">
      <c r="A146" s="390"/>
      <c r="B146" s="391"/>
      <c r="C146" s="391"/>
      <c r="D146" s="392"/>
      <c r="E146" s="304"/>
      <c r="F146" s="395"/>
      <c r="G146" s="241" t="s">
        <v>149</v>
      </c>
      <c r="H146" s="37">
        <f>H109</f>
        <v>900</v>
      </c>
      <c r="I146" s="37">
        <f>I109</f>
        <v>0</v>
      </c>
      <c r="J146" s="37">
        <f>J109</f>
        <v>900</v>
      </c>
      <c r="K146" s="37">
        <f>K109</f>
        <v>0</v>
      </c>
      <c r="L146" s="366"/>
    </row>
    <row r="147" spans="1:12" ht="48" customHeight="1" x14ac:dyDescent="0.3">
      <c r="A147" s="290" t="s">
        <v>86</v>
      </c>
      <c r="B147" s="291"/>
      <c r="C147" s="291"/>
      <c r="D147" s="291"/>
      <c r="E147" s="291"/>
      <c r="F147" s="291"/>
      <c r="G147" s="291"/>
      <c r="H147" s="291"/>
      <c r="I147" s="291"/>
      <c r="J147" s="291"/>
      <c r="K147" s="291"/>
      <c r="L147" s="292"/>
    </row>
    <row r="148" spans="1:12" ht="48" customHeight="1" x14ac:dyDescent="0.3">
      <c r="A148" s="356" t="s">
        <v>91</v>
      </c>
      <c r="B148" s="356" t="s">
        <v>400</v>
      </c>
      <c r="C148" s="302" t="s">
        <v>401</v>
      </c>
      <c r="D148" s="290" t="s">
        <v>265</v>
      </c>
      <c r="E148" s="291"/>
      <c r="F148" s="291"/>
      <c r="G148" s="292"/>
      <c r="H148" s="250">
        <f>I148</f>
        <v>12542.2</v>
      </c>
      <c r="I148" s="250">
        <v>12542.2</v>
      </c>
      <c r="J148" s="250"/>
      <c r="K148" s="250"/>
      <c r="L148" s="302" t="s">
        <v>402</v>
      </c>
    </row>
    <row r="149" spans="1:12" ht="75.75" customHeight="1" x14ac:dyDescent="0.3">
      <c r="A149" s="357"/>
      <c r="B149" s="357"/>
      <c r="C149" s="303"/>
      <c r="D149" s="34" t="s">
        <v>30</v>
      </c>
      <c r="E149" s="57" t="s">
        <v>56</v>
      </c>
      <c r="F149" s="361" t="s">
        <v>131</v>
      </c>
      <c r="G149" s="359" t="s">
        <v>149</v>
      </c>
      <c r="H149" s="250">
        <f>I149</f>
        <v>5647</v>
      </c>
      <c r="I149" s="167">
        <v>5647</v>
      </c>
      <c r="J149" s="167"/>
      <c r="K149" s="167"/>
      <c r="L149" s="303"/>
    </row>
    <row r="150" spans="1:12" ht="80.25" customHeight="1" x14ac:dyDescent="0.3">
      <c r="A150" s="357"/>
      <c r="B150" s="357"/>
      <c r="C150" s="303"/>
      <c r="D150" s="34" t="s">
        <v>30</v>
      </c>
      <c r="E150" s="57" t="s">
        <v>57</v>
      </c>
      <c r="F150" s="362"/>
      <c r="G150" s="296"/>
      <c r="H150" s="250">
        <f>I150</f>
        <v>6815.2</v>
      </c>
      <c r="I150" s="167">
        <v>6815.2</v>
      </c>
      <c r="J150" s="167"/>
      <c r="K150" s="167"/>
      <c r="L150" s="303"/>
    </row>
    <row r="151" spans="1:12" ht="78" customHeight="1" x14ac:dyDescent="0.3">
      <c r="A151" s="357"/>
      <c r="B151" s="357"/>
      <c r="C151" s="304"/>
      <c r="D151" s="34" t="s">
        <v>30</v>
      </c>
      <c r="E151" s="57" t="s">
        <v>138</v>
      </c>
      <c r="F151" s="363"/>
      <c r="G151" s="297"/>
      <c r="H151" s="170">
        <f>I151</f>
        <v>80</v>
      </c>
      <c r="I151" s="171">
        <v>80</v>
      </c>
      <c r="J151" s="167"/>
      <c r="K151" s="167"/>
      <c r="L151" s="304"/>
    </row>
    <row r="152" spans="1:12" ht="56.25" customHeight="1" x14ac:dyDescent="0.3">
      <c r="A152" s="357"/>
      <c r="B152" s="357"/>
      <c r="C152" s="328" t="s">
        <v>442</v>
      </c>
      <c r="D152" s="290" t="s">
        <v>266</v>
      </c>
      <c r="E152" s="291"/>
      <c r="F152" s="291"/>
      <c r="G152" s="292"/>
      <c r="H152" s="27">
        <f>SUM(H153:H155)</f>
        <v>28239</v>
      </c>
      <c r="I152" s="27"/>
      <c r="J152" s="27">
        <f>SUM(J153:J155)</f>
        <v>13799.4</v>
      </c>
      <c r="K152" s="27">
        <f>SUM(K153:K155)</f>
        <v>14439.6</v>
      </c>
      <c r="L152" s="285" t="s">
        <v>364</v>
      </c>
    </row>
    <row r="153" spans="1:12" ht="76.5" customHeight="1" x14ac:dyDescent="0.3">
      <c r="A153" s="357"/>
      <c r="B153" s="357"/>
      <c r="C153" s="329"/>
      <c r="D153" s="34" t="s">
        <v>30</v>
      </c>
      <c r="E153" s="57" t="s">
        <v>56</v>
      </c>
      <c r="F153" s="331" t="s">
        <v>131</v>
      </c>
      <c r="G153" s="331" t="s">
        <v>149</v>
      </c>
      <c r="H153" s="26">
        <f>I153+J153+K153</f>
        <v>12751.9</v>
      </c>
      <c r="I153" s="28"/>
      <c r="J153" s="28">
        <v>6244.4</v>
      </c>
      <c r="K153" s="28">
        <v>6507.5</v>
      </c>
      <c r="L153" s="360"/>
    </row>
    <row r="154" spans="1:12" ht="69.75" customHeight="1" x14ac:dyDescent="0.3">
      <c r="A154" s="357"/>
      <c r="B154" s="357"/>
      <c r="C154" s="329"/>
      <c r="D154" s="34" t="s">
        <v>30</v>
      </c>
      <c r="E154" s="57" t="s">
        <v>57</v>
      </c>
      <c r="F154" s="332"/>
      <c r="G154" s="332"/>
      <c r="H154" s="26">
        <f>I154+J154+K154</f>
        <v>15273.1</v>
      </c>
      <c r="I154" s="28"/>
      <c r="J154" s="28">
        <v>7471</v>
      </c>
      <c r="K154" s="28">
        <v>7802.1</v>
      </c>
      <c r="L154" s="360"/>
    </row>
    <row r="155" spans="1:12" ht="64.5" customHeight="1" x14ac:dyDescent="0.3">
      <c r="A155" s="357"/>
      <c r="B155" s="357"/>
      <c r="C155" s="330"/>
      <c r="D155" s="34" t="s">
        <v>30</v>
      </c>
      <c r="E155" s="57" t="s">
        <v>138</v>
      </c>
      <c r="F155" s="333"/>
      <c r="G155" s="333"/>
      <c r="H155" s="26">
        <f>I155+J155+K155</f>
        <v>214</v>
      </c>
      <c r="I155" s="28"/>
      <c r="J155" s="28">
        <v>84</v>
      </c>
      <c r="K155" s="28">
        <v>130</v>
      </c>
      <c r="L155" s="286"/>
    </row>
    <row r="156" spans="1:12" ht="64.5" customHeight="1" x14ac:dyDescent="0.3">
      <c r="A156" s="357"/>
      <c r="B156" s="357"/>
      <c r="C156" s="302" t="s">
        <v>443</v>
      </c>
      <c r="D156" s="342" t="s">
        <v>267</v>
      </c>
      <c r="E156" s="342"/>
      <c r="F156" s="342"/>
      <c r="G156" s="342"/>
      <c r="H156" s="26">
        <f>I156</f>
        <v>2806.3</v>
      </c>
      <c r="I156" s="28">
        <v>2806.3</v>
      </c>
      <c r="J156" s="28"/>
      <c r="K156" s="28"/>
      <c r="L156" s="285" t="s">
        <v>403</v>
      </c>
    </row>
    <row r="157" spans="1:12" ht="64.5" customHeight="1" x14ac:dyDescent="0.3">
      <c r="A157" s="357"/>
      <c r="B157" s="357"/>
      <c r="C157" s="303"/>
      <c r="D157" s="34" t="s">
        <v>30</v>
      </c>
      <c r="E157" s="222" t="s">
        <v>56</v>
      </c>
      <c r="F157" s="331" t="s">
        <v>131</v>
      </c>
      <c r="G157" s="331" t="s">
        <v>149</v>
      </c>
      <c r="H157" s="26">
        <f>I157</f>
        <v>1680.2</v>
      </c>
      <c r="I157" s="28">
        <v>1680.2</v>
      </c>
      <c r="J157" s="28"/>
      <c r="K157" s="28"/>
      <c r="L157" s="360"/>
    </row>
    <row r="158" spans="1:12" ht="64.5" customHeight="1" x14ac:dyDescent="0.3">
      <c r="A158" s="357"/>
      <c r="B158" s="357"/>
      <c r="C158" s="303"/>
      <c r="D158" s="34" t="s">
        <v>30</v>
      </c>
      <c r="E158" s="258" t="s">
        <v>57</v>
      </c>
      <c r="F158" s="332"/>
      <c r="G158" s="332"/>
      <c r="H158" s="26">
        <f>I158</f>
        <v>1086.0999999999999</v>
      </c>
      <c r="I158" s="28">
        <v>1086.0999999999999</v>
      </c>
      <c r="J158" s="28"/>
      <c r="K158" s="28"/>
      <c r="L158" s="360"/>
    </row>
    <row r="159" spans="1:12" ht="64.5" customHeight="1" x14ac:dyDescent="0.3">
      <c r="A159" s="357"/>
      <c r="B159" s="357"/>
      <c r="C159" s="304"/>
      <c r="D159" s="34" t="s">
        <v>30</v>
      </c>
      <c r="E159" s="222" t="s">
        <v>138</v>
      </c>
      <c r="F159" s="333"/>
      <c r="G159" s="333"/>
      <c r="H159" s="26">
        <f>I159</f>
        <v>40</v>
      </c>
      <c r="I159" s="28">
        <v>40</v>
      </c>
      <c r="J159" s="28"/>
      <c r="K159" s="28"/>
      <c r="L159" s="286"/>
    </row>
    <row r="160" spans="1:12" s="49" customFormat="1" ht="75" customHeight="1" x14ac:dyDescent="0.2">
      <c r="A160" s="357"/>
      <c r="B160" s="357"/>
      <c r="C160" s="352" t="s">
        <v>556</v>
      </c>
      <c r="D160" s="342" t="s">
        <v>528</v>
      </c>
      <c r="E160" s="342"/>
      <c r="F160" s="342"/>
      <c r="G160" s="342"/>
      <c r="H160" s="26">
        <f>H161+H162+H163</f>
        <v>4158.5</v>
      </c>
      <c r="I160" s="26"/>
      <c r="J160" s="26">
        <f>J161+J162+J163</f>
        <v>2500</v>
      </c>
      <c r="K160" s="26">
        <f>K161+K162+K163</f>
        <v>1658.5</v>
      </c>
      <c r="L160" s="302" t="s">
        <v>560</v>
      </c>
    </row>
    <row r="161" spans="1:12" ht="75" customHeight="1" x14ac:dyDescent="0.3">
      <c r="A161" s="357"/>
      <c r="B161" s="357"/>
      <c r="C161" s="353"/>
      <c r="D161" s="34" t="s">
        <v>30</v>
      </c>
      <c r="E161" s="222" t="s">
        <v>56</v>
      </c>
      <c r="F161" s="288" t="s">
        <v>131</v>
      </c>
      <c r="G161" s="288" t="s">
        <v>149</v>
      </c>
      <c r="H161" s="26">
        <f>I161+J161+K161</f>
        <v>2321.1999999999998</v>
      </c>
      <c r="I161" s="28"/>
      <c r="J161" s="28">
        <f>835+560</f>
        <v>1395</v>
      </c>
      <c r="K161" s="28">
        <v>926.2</v>
      </c>
      <c r="L161" s="303"/>
    </row>
    <row r="162" spans="1:12" ht="87.75" customHeight="1" x14ac:dyDescent="0.3">
      <c r="A162" s="357"/>
      <c r="B162" s="357"/>
      <c r="C162" s="353"/>
      <c r="D162" s="34" t="s">
        <v>30</v>
      </c>
      <c r="E162" s="258" t="s">
        <v>57</v>
      </c>
      <c r="F162" s="289"/>
      <c r="G162" s="289"/>
      <c r="H162" s="26">
        <f>I162+J162+K162</f>
        <v>1703</v>
      </c>
      <c r="I162" s="28"/>
      <c r="J162" s="28">
        <f>625+390</f>
        <v>1015</v>
      </c>
      <c r="K162" s="28">
        <v>688</v>
      </c>
      <c r="L162" s="303"/>
    </row>
    <row r="163" spans="1:12" ht="87.75" customHeight="1" x14ac:dyDescent="0.3">
      <c r="A163" s="357"/>
      <c r="B163" s="357"/>
      <c r="C163" s="354"/>
      <c r="D163" s="34" t="s">
        <v>30</v>
      </c>
      <c r="E163" s="222" t="s">
        <v>138</v>
      </c>
      <c r="F163" s="298"/>
      <c r="G163" s="298"/>
      <c r="H163" s="26">
        <f>I163+J163+K163</f>
        <v>134.30000000000001</v>
      </c>
      <c r="I163" s="28"/>
      <c r="J163" s="28">
        <f>40+50</f>
        <v>90</v>
      </c>
      <c r="K163" s="28">
        <v>44.3</v>
      </c>
      <c r="L163" s="304"/>
    </row>
    <row r="164" spans="1:12" ht="87.75" customHeight="1" x14ac:dyDescent="0.3">
      <c r="A164" s="357"/>
      <c r="B164" s="357"/>
      <c r="C164" s="302" t="s">
        <v>445</v>
      </c>
      <c r="D164" s="342" t="s">
        <v>527</v>
      </c>
      <c r="E164" s="342"/>
      <c r="F164" s="342"/>
      <c r="G164" s="342"/>
      <c r="H164" s="26">
        <f>I164</f>
        <v>2061.6</v>
      </c>
      <c r="I164" s="28">
        <v>2061.6</v>
      </c>
      <c r="J164" s="28"/>
      <c r="K164" s="28"/>
      <c r="L164" s="302" t="s">
        <v>404</v>
      </c>
    </row>
    <row r="165" spans="1:12" ht="87.75" customHeight="1" x14ac:dyDescent="0.3">
      <c r="A165" s="357"/>
      <c r="B165" s="357"/>
      <c r="C165" s="303"/>
      <c r="D165" s="348" t="s">
        <v>30</v>
      </c>
      <c r="E165" s="222" t="s">
        <v>52</v>
      </c>
      <c r="F165" s="314" t="s">
        <v>131</v>
      </c>
      <c r="G165" s="341" t="s">
        <v>149</v>
      </c>
      <c r="H165" s="26">
        <f>I165</f>
        <v>611.6</v>
      </c>
      <c r="I165" s="28">
        <v>611.6</v>
      </c>
      <c r="J165" s="28"/>
      <c r="K165" s="28"/>
      <c r="L165" s="303"/>
    </row>
    <row r="166" spans="1:12" ht="87.75" customHeight="1" x14ac:dyDescent="0.3">
      <c r="A166" s="357"/>
      <c r="B166" s="357"/>
      <c r="C166" s="304"/>
      <c r="D166" s="348"/>
      <c r="E166" s="222" t="s">
        <v>54</v>
      </c>
      <c r="F166" s="314"/>
      <c r="G166" s="341"/>
      <c r="H166" s="26">
        <f>I166</f>
        <v>1450</v>
      </c>
      <c r="I166" s="28">
        <v>1450</v>
      </c>
      <c r="J166" s="28"/>
      <c r="K166" s="28"/>
      <c r="L166" s="304"/>
    </row>
    <row r="167" spans="1:12" ht="75" customHeight="1" x14ac:dyDescent="0.3">
      <c r="A167" s="357"/>
      <c r="B167" s="357"/>
      <c r="C167" s="491" t="s">
        <v>446</v>
      </c>
      <c r="D167" s="342" t="s">
        <v>526</v>
      </c>
      <c r="E167" s="342"/>
      <c r="F167" s="342"/>
      <c r="G167" s="342"/>
      <c r="H167" s="26">
        <f>H168+H169</f>
        <v>5132.1000000000004</v>
      </c>
      <c r="I167" s="26"/>
      <c r="J167" s="26">
        <f>J168+J169</f>
        <v>2196.6</v>
      </c>
      <c r="K167" s="26">
        <f>K168+K169</f>
        <v>2935.5</v>
      </c>
      <c r="L167" s="491" t="s">
        <v>418</v>
      </c>
    </row>
    <row r="168" spans="1:12" ht="52.5" customHeight="1" x14ac:dyDescent="0.3">
      <c r="A168" s="357"/>
      <c r="B168" s="357"/>
      <c r="C168" s="491"/>
      <c r="D168" s="348" t="s">
        <v>30</v>
      </c>
      <c r="E168" s="222" t="s">
        <v>52</v>
      </c>
      <c r="F168" s="314" t="s">
        <v>131</v>
      </c>
      <c r="G168" s="341" t="s">
        <v>149</v>
      </c>
      <c r="H168" s="26">
        <f>I168+J168+K168</f>
        <v>1507.8000000000002</v>
      </c>
      <c r="I168" s="28"/>
      <c r="J168" s="28">
        <f>814-163.4</f>
        <v>650.6</v>
      </c>
      <c r="K168" s="28">
        <v>857.2</v>
      </c>
      <c r="L168" s="491"/>
    </row>
    <row r="169" spans="1:12" ht="75" customHeight="1" x14ac:dyDescent="0.3">
      <c r="A169" s="357"/>
      <c r="B169" s="357"/>
      <c r="C169" s="491"/>
      <c r="D169" s="348"/>
      <c r="E169" s="222" t="s">
        <v>54</v>
      </c>
      <c r="F169" s="314"/>
      <c r="G169" s="341"/>
      <c r="H169" s="26">
        <f>I169+J169+K169</f>
        <v>3624.3</v>
      </c>
      <c r="I169" s="28"/>
      <c r="J169" s="28">
        <f>1976-430</f>
        <v>1546</v>
      </c>
      <c r="K169" s="28">
        <v>2078.3000000000002</v>
      </c>
      <c r="L169" s="491"/>
    </row>
    <row r="170" spans="1:12" ht="188.25" customHeight="1" x14ac:dyDescent="0.3">
      <c r="A170" s="357"/>
      <c r="B170" s="357"/>
      <c r="C170" s="245" t="s">
        <v>447</v>
      </c>
      <c r="D170" s="58" t="s">
        <v>26</v>
      </c>
      <c r="E170" s="222" t="s">
        <v>53</v>
      </c>
      <c r="F170" s="224" t="s">
        <v>131</v>
      </c>
      <c r="G170" s="223" t="s">
        <v>149</v>
      </c>
      <c r="H170" s="26">
        <f>I170</f>
        <v>364.8</v>
      </c>
      <c r="I170" s="28">
        <v>364.8</v>
      </c>
      <c r="J170" s="28"/>
      <c r="K170" s="28"/>
      <c r="L170" s="220" t="s">
        <v>405</v>
      </c>
    </row>
    <row r="171" spans="1:12" ht="243" customHeight="1" x14ac:dyDescent="0.3">
      <c r="A171" s="358"/>
      <c r="B171" s="358"/>
      <c r="C171" s="222" t="s">
        <v>448</v>
      </c>
      <c r="D171" s="58" t="s">
        <v>26</v>
      </c>
      <c r="E171" s="222" t="s">
        <v>53</v>
      </c>
      <c r="F171" s="224" t="s">
        <v>131</v>
      </c>
      <c r="G171" s="223" t="s">
        <v>149</v>
      </c>
      <c r="H171" s="26">
        <f>I171+J171+K171</f>
        <v>631.70000000000005</v>
      </c>
      <c r="I171" s="28"/>
      <c r="J171" s="28">
        <v>300</v>
      </c>
      <c r="K171" s="28">
        <v>331.7</v>
      </c>
      <c r="L171" s="175" t="s">
        <v>376</v>
      </c>
    </row>
    <row r="172" spans="1:12" ht="75" customHeight="1" x14ac:dyDescent="0.3">
      <c r="A172" s="349" t="s">
        <v>47</v>
      </c>
      <c r="B172" s="350"/>
      <c r="C172" s="350"/>
      <c r="D172" s="350"/>
      <c r="E172" s="350"/>
      <c r="F172" s="351"/>
      <c r="G172" s="252"/>
      <c r="H172" s="26">
        <f>H148+H152+H156+H160+H164+H167+H170+H171</f>
        <v>55936.2</v>
      </c>
      <c r="I172" s="26">
        <f>I148+I156+I164+I170</f>
        <v>17774.899999999998</v>
      </c>
      <c r="J172" s="26">
        <f>J152+J160+J167+J171</f>
        <v>18796</v>
      </c>
      <c r="K172" s="26">
        <f>K152+K160+K167+K171</f>
        <v>19365.3</v>
      </c>
      <c r="L172" s="337"/>
    </row>
    <row r="173" spans="1:12" s="49" customFormat="1" ht="75" customHeight="1" x14ac:dyDescent="0.2">
      <c r="A173" s="379" t="s">
        <v>160</v>
      </c>
      <c r="B173" s="379"/>
      <c r="C173" s="41"/>
      <c r="D173" s="59"/>
      <c r="E173" s="60"/>
      <c r="F173" s="61"/>
      <c r="G173" s="251" t="s">
        <v>149</v>
      </c>
      <c r="H173" s="27">
        <f>H149+H150+H151+H153+H154+H155+H157+H158+H159+H161+H162+H163+H165+H166+H168+H169+H170+H171</f>
        <v>55936.2</v>
      </c>
      <c r="I173" s="27">
        <f>I149+I150+I151+I157+I158+I159+I165+I166+I170</f>
        <v>17774.900000000001</v>
      </c>
      <c r="J173" s="27">
        <f>J153+J154+J155+J161+J162+J163+J168+J169+J171</f>
        <v>18796</v>
      </c>
      <c r="K173" s="27">
        <f>K153+K154+K155+K161+K162+K163+K168+K169+K171</f>
        <v>19365.3</v>
      </c>
      <c r="L173" s="344"/>
    </row>
    <row r="174" spans="1:12" ht="75" customHeight="1" x14ac:dyDescent="0.3">
      <c r="A174" s="322" t="s">
        <v>159</v>
      </c>
      <c r="B174" s="322"/>
      <c r="C174" s="322"/>
      <c r="D174" s="322"/>
      <c r="E174" s="287" t="s">
        <v>52</v>
      </c>
      <c r="F174" s="287"/>
      <c r="G174" s="410" t="s">
        <v>149</v>
      </c>
      <c r="H174" s="27">
        <f>H165+H168</f>
        <v>2119.4</v>
      </c>
      <c r="I174" s="27">
        <f>I165</f>
        <v>611.6</v>
      </c>
      <c r="J174" s="27">
        <f>J168</f>
        <v>650.6</v>
      </c>
      <c r="K174" s="27">
        <f>K168</f>
        <v>857.2</v>
      </c>
      <c r="L174" s="344"/>
    </row>
    <row r="175" spans="1:12" ht="75" customHeight="1" x14ac:dyDescent="0.3">
      <c r="A175" s="322"/>
      <c r="B175" s="322"/>
      <c r="C175" s="322"/>
      <c r="D175" s="322"/>
      <c r="E175" s="287" t="s">
        <v>53</v>
      </c>
      <c r="F175" s="287"/>
      <c r="G175" s="411"/>
      <c r="H175" s="27">
        <f>H170+H171</f>
        <v>996.5</v>
      </c>
      <c r="I175" s="27">
        <f>I170</f>
        <v>364.8</v>
      </c>
      <c r="J175" s="27">
        <f>J171</f>
        <v>300</v>
      </c>
      <c r="K175" s="27">
        <f>K171</f>
        <v>331.7</v>
      </c>
      <c r="L175" s="344"/>
    </row>
    <row r="176" spans="1:12" ht="75" customHeight="1" x14ac:dyDescent="0.3">
      <c r="A176" s="322"/>
      <c r="B176" s="322"/>
      <c r="C176" s="322"/>
      <c r="D176" s="322"/>
      <c r="E176" s="323" t="s">
        <v>54</v>
      </c>
      <c r="F176" s="324"/>
      <c r="G176" s="411"/>
      <c r="H176" s="27">
        <f>H166+H169</f>
        <v>5074.3</v>
      </c>
      <c r="I176" s="27">
        <f>I166</f>
        <v>1450</v>
      </c>
      <c r="J176" s="27">
        <f>J169</f>
        <v>1546</v>
      </c>
      <c r="K176" s="27">
        <f>K169</f>
        <v>2078.3000000000002</v>
      </c>
      <c r="L176" s="344"/>
    </row>
    <row r="177" spans="1:12" ht="75" customHeight="1" x14ac:dyDescent="0.3">
      <c r="A177" s="322"/>
      <c r="B177" s="322"/>
      <c r="C177" s="322"/>
      <c r="D177" s="322"/>
      <c r="E177" s="287" t="s">
        <v>56</v>
      </c>
      <c r="F177" s="287"/>
      <c r="G177" s="411"/>
      <c r="H177" s="27">
        <f>H149+H153+H157+H161</f>
        <v>22400.300000000003</v>
      </c>
      <c r="I177" s="27">
        <f>I149+I157</f>
        <v>7327.2</v>
      </c>
      <c r="J177" s="27">
        <f t="shared" ref="J177:K179" si="4">J153+J161</f>
        <v>7639.4</v>
      </c>
      <c r="K177" s="27">
        <f t="shared" si="4"/>
        <v>7433.7</v>
      </c>
      <c r="L177" s="344"/>
    </row>
    <row r="178" spans="1:12" ht="75" customHeight="1" x14ac:dyDescent="0.3">
      <c r="A178" s="322"/>
      <c r="B178" s="322"/>
      <c r="C178" s="322"/>
      <c r="D178" s="322"/>
      <c r="E178" s="287" t="s">
        <v>57</v>
      </c>
      <c r="F178" s="287"/>
      <c r="G178" s="411"/>
      <c r="H178" s="27">
        <f>H150+H154+H158+H162</f>
        <v>24877.399999999998</v>
      </c>
      <c r="I178" s="27">
        <f>I150+I158</f>
        <v>7901.2999999999993</v>
      </c>
      <c r="J178" s="27">
        <f t="shared" si="4"/>
        <v>8486</v>
      </c>
      <c r="K178" s="27">
        <f t="shared" si="4"/>
        <v>8490.1</v>
      </c>
      <c r="L178" s="344"/>
    </row>
    <row r="179" spans="1:12" ht="75" customHeight="1" x14ac:dyDescent="0.3">
      <c r="A179" s="322"/>
      <c r="B179" s="322"/>
      <c r="C179" s="322"/>
      <c r="D179" s="322"/>
      <c r="E179" s="323" t="s">
        <v>138</v>
      </c>
      <c r="F179" s="324"/>
      <c r="G179" s="412"/>
      <c r="H179" s="27">
        <f>H151+H155+H159+H163</f>
        <v>468.3</v>
      </c>
      <c r="I179" s="27">
        <f>I151+I159</f>
        <v>120</v>
      </c>
      <c r="J179" s="27">
        <f t="shared" si="4"/>
        <v>174</v>
      </c>
      <c r="K179" s="27">
        <f t="shared" si="4"/>
        <v>174.3</v>
      </c>
      <c r="L179" s="344"/>
    </row>
    <row r="180" spans="1:12" ht="75" customHeight="1" x14ac:dyDescent="0.3">
      <c r="A180" s="345" t="s">
        <v>129</v>
      </c>
      <c r="B180" s="346"/>
      <c r="C180" s="346"/>
      <c r="D180" s="346"/>
      <c r="E180" s="346"/>
      <c r="F180" s="346"/>
      <c r="G180" s="346"/>
      <c r="H180" s="346"/>
      <c r="I180" s="346"/>
      <c r="J180" s="346"/>
      <c r="K180" s="346"/>
      <c r="L180" s="347"/>
    </row>
    <row r="181" spans="1:12" ht="267" customHeight="1" x14ac:dyDescent="0.3">
      <c r="A181" s="334" t="s">
        <v>95</v>
      </c>
      <c r="B181" s="355" t="s">
        <v>87</v>
      </c>
      <c r="C181" s="222" t="s">
        <v>406</v>
      </c>
      <c r="D181" s="123">
        <v>712151</v>
      </c>
      <c r="E181" s="57" t="s">
        <v>133</v>
      </c>
      <c r="F181" s="241" t="s">
        <v>131</v>
      </c>
      <c r="G181" s="241" t="s">
        <v>137</v>
      </c>
      <c r="H181" s="103">
        <f>I181</f>
        <v>2933.1</v>
      </c>
      <c r="I181" s="103">
        <v>2933.1</v>
      </c>
      <c r="J181" s="103"/>
      <c r="K181" s="103"/>
      <c r="L181" s="222" t="s">
        <v>206</v>
      </c>
    </row>
    <row r="182" spans="1:12" ht="316.5" customHeight="1" x14ac:dyDescent="0.3">
      <c r="A182" s="334"/>
      <c r="B182" s="355"/>
      <c r="C182" s="168" t="s">
        <v>449</v>
      </c>
      <c r="D182" s="35" t="s">
        <v>29</v>
      </c>
      <c r="E182" s="248" t="s">
        <v>133</v>
      </c>
      <c r="F182" s="288" t="s">
        <v>131</v>
      </c>
      <c r="G182" s="241" t="s">
        <v>137</v>
      </c>
      <c r="H182" s="32">
        <f>I182+J182+K182</f>
        <v>7806.4</v>
      </c>
      <c r="I182" s="28"/>
      <c r="J182" s="28">
        <f>3507+6+200+100</f>
        <v>3813</v>
      </c>
      <c r="K182" s="28">
        <f>1566.4+2249.8+177.2</f>
        <v>3993.4</v>
      </c>
      <c r="L182" s="236" t="s">
        <v>206</v>
      </c>
    </row>
    <row r="183" spans="1:12" ht="167.25" customHeight="1" x14ac:dyDescent="0.3">
      <c r="A183" s="334"/>
      <c r="B183" s="355"/>
      <c r="C183" s="168" t="s">
        <v>450</v>
      </c>
      <c r="D183" s="35" t="s">
        <v>30</v>
      </c>
      <c r="E183" s="222" t="s">
        <v>133</v>
      </c>
      <c r="F183" s="289"/>
      <c r="G183" s="241" t="s">
        <v>137</v>
      </c>
      <c r="H183" s="32">
        <f>I183+J183+K183</f>
        <v>21.2</v>
      </c>
      <c r="I183" s="28">
        <v>21.2</v>
      </c>
      <c r="J183" s="28">
        <v>0</v>
      </c>
      <c r="K183" s="28">
        <v>0</v>
      </c>
      <c r="L183" s="236" t="s">
        <v>407</v>
      </c>
    </row>
    <row r="184" spans="1:12" ht="146.25" customHeight="1" x14ac:dyDescent="0.3">
      <c r="A184" s="334"/>
      <c r="B184" s="355"/>
      <c r="C184" s="168" t="s">
        <v>451</v>
      </c>
      <c r="D184" s="35" t="s">
        <v>30</v>
      </c>
      <c r="E184" s="222" t="s">
        <v>133</v>
      </c>
      <c r="F184" s="289"/>
      <c r="G184" s="223" t="s">
        <v>356</v>
      </c>
      <c r="H184" s="32">
        <f>I184+J184+K184</f>
        <v>18282.099999999999</v>
      </c>
      <c r="I184" s="28">
        <v>16537.099999999999</v>
      </c>
      <c r="J184" s="28">
        <v>1745</v>
      </c>
      <c r="K184" s="28">
        <v>0</v>
      </c>
      <c r="L184" s="236" t="s">
        <v>357</v>
      </c>
    </row>
    <row r="185" spans="1:12" ht="60" customHeight="1" x14ac:dyDescent="0.3">
      <c r="A185" s="321" t="s">
        <v>49</v>
      </c>
      <c r="B185" s="321"/>
      <c r="C185" s="321"/>
      <c r="D185" s="321"/>
      <c r="E185" s="321"/>
      <c r="F185" s="321"/>
      <c r="G185" s="108"/>
      <c r="H185" s="26">
        <f>H181+H182+H183+H184</f>
        <v>29042.799999999999</v>
      </c>
      <c r="I185" s="26">
        <f>I181+I183+I184</f>
        <v>19491.399999999998</v>
      </c>
      <c r="J185" s="26">
        <f>J182+J183+J184</f>
        <v>5558</v>
      </c>
      <c r="K185" s="26">
        <f>K182</f>
        <v>3993.4</v>
      </c>
      <c r="L185" s="343"/>
    </row>
    <row r="186" spans="1:12" ht="80.25" customHeight="1" x14ac:dyDescent="0.3">
      <c r="A186" s="308" t="s">
        <v>160</v>
      </c>
      <c r="B186" s="309"/>
      <c r="C186" s="309"/>
      <c r="D186" s="309"/>
      <c r="E186" s="309"/>
      <c r="F186" s="310"/>
      <c r="G186" s="22" t="s">
        <v>137</v>
      </c>
      <c r="H186" s="26">
        <f>H181+H182+H183</f>
        <v>10760.7</v>
      </c>
      <c r="I186" s="26">
        <f>I181+I183</f>
        <v>2954.2999999999997</v>
      </c>
      <c r="J186" s="26">
        <f>J182+J183</f>
        <v>3813</v>
      </c>
      <c r="K186" s="26">
        <f>K182+K183</f>
        <v>3993.4</v>
      </c>
      <c r="L186" s="343"/>
    </row>
    <row r="187" spans="1:12" ht="80.25" customHeight="1" x14ac:dyDescent="0.3">
      <c r="A187" s="311"/>
      <c r="B187" s="312"/>
      <c r="C187" s="312"/>
      <c r="D187" s="312"/>
      <c r="E187" s="312"/>
      <c r="F187" s="313"/>
      <c r="G187" s="223" t="s">
        <v>356</v>
      </c>
      <c r="H187" s="26">
        <f>H184</f>
        <v>18282.099999999999</v>
      </c>
      <c r="I187" s="26">
        <f>I184</f>
        <v>16537.099999999999</v>
      </c>
      <c r="J187" s="26">
        <f>J184</f>
        <v>1745</v>
      </c>
      <c r="K187" s="26">
        <f>K184</f>
        <v>0</v>
      </c>
      <c r="L187" s="343"/>
    </row>
    <row r="188" spans="1:12" ht="75" customHeight="1" x14ac:dyDescent="0.3">
      <c r="A188" s="290" t="s">
        <v>96</v>
      </c>
      <c r="B188" s="291"/>
      <c r="C188" s="291"/>
      <c r="D188" s="291"/>
      <c r="E188" s="291"/>
      <c r="F188" s="291"/>
      <c r="G188" s="291"/>
      <c r="H188" s="291"/>
      <c r="I188" s="291"/>
      <c r="J188" s="291"/>
      <c r="K188" s="291"/>
      <c r="L188" s="292"/>
    </row>
    <row r="189" spans="1:12" ht="75" customHeight="1" x14ac:dyDescent="0.3">
      <c r="A189" s="483" t="s">
        <v>97</v>
      </c>
      <c r="B189" s="486" t="s">
        <v>98</v>
      </c>
      <c r="C189" s="302" t="s">
        <v>408</v>
      </c>
      <c r="D189" s="290" t="s">
        <v>123</v>
      </c>
      <c r="E189" s="291"/>
      <c r="F189" s="291"/>
      <c r="G189" s="292"/>
      <c r="H189" s="169">
        <f>I189</f>
        <v>80593</v>
      </c>
      <c r="I189" s="169">
        <v>80593</v>
      </c>
      <c r="J189" s="240"/>
      <c r="K189" s="169"/>
      <c r="L189" s="302" t="s">
        <v>411</v>
      </c>
    </row>
    <row r="190" spans="1:12" ht="75" customHeight="1" x14ac:dyDescent="0.3">
      <c r="A190" s="484"/>
      <c r="B190" s="487"/>
      <c r="C190" s="303"/>
      <c r="D190" s="243" t="s">
        <v>30</v>
      </c>
      <c r="E190" s="222" t="s">
        <v>133</v>
      </c>
      <c r="F190" s="325" t="s">
        <v>132</v>
      </c>
      <c r="G190" s="325" t="s">
        <v>152</v>
      </c>
      <c r="H190" s="169">
        <f>I190</f>
        <v>30193</v>
      </c>
      <c r="I190" s="71">
        <v>30193</v>
      </c>
      <c r="J190" s="71"/>
      <c r="K190" s="71"/>
      <c r="L190" s="303"/>
    </row>
    <row r="191" spans="1:12" ht="113.25" customHeight="1" x14ac:dyDescent="0.3">
      <c r="A191" s="484"/>
      <c r="B191" s="487"/>
      <c r="C191" s="303"/>
      <c r="D191" s="243" t="s">
        <v>305</v>
      </c>
      <c r="E191" s="222" t="s">
        <v>306</v>
      </c>
      <c r="F191" s="326"/>
      <c r="G191" s="326"/>
      <c r="H191" s="169">
        <f>I191</f>
        <v>400</v>
      </c>
      <c r="I191" s="71">
        <v>400</v>
      </c>
      <c r="J191" s="71"/>
      <c r="K191" s="71"/>
      <c r="L191" s="303"/>
    </row>
    <row r="192" spans="1:12" ht="75" customHeight="1" x14ac:dyDescent="0.3">
      <c r="A192" s="484"/>
      <c r="B192" s="487"/>
      <c r="C192" s="303"/>
      <c r="D192" s="243" t="s">
        <v>26</v>
      </c>
      <c r="E192" s="222" t="s">
        <v>58</v>
      </c>
      <c r="F192" s="326"/>
      <c r="G192" s="326"/>
      <c r="H192" s="169">
        <f>I192</f>
        <v>18500</v>
      </c>
      <c r="I192" s="171">
        <v>18500</v>
      </c>
      <c r="J192" s="171"/>
      <c r="K192" s="171"/>
      <c r="L192" s="303"/>
    </row>
    <row r="193" spans="1:12" ht="75" customHeight="1" x14ac:dyDescent="0.3">
      <c r="A193" s="484"/>
      <c r="B193" s="487"/>
      <c r="C193" s="304"/>
      <c r="D193" s="34" t="s">
        <v>26</v>
      </c>
      <c r="E193" s="235" t="s">
        <v>138</v>
      </c>
      <c r="F193" s="327"/>
      <c r="G193" s="327"/>
      <c r="H193" s="169">
        <f>I193</f>
        <v>31500</v>
      </c>
      <c r="I193" s="171">
        <v>31500</v>
      </c>
      <c r="J193" s="171"/>
      <c r="K193" s="171"/>
      <c r="L193" s="304"/>
    </row>
    <row r="194" spans="1:12" ht="69" customHeight="1" x14ac:dyDescent="0.3">
      <c r="A194" s="484"/>
      <c r="B194" s="487"/>
      <c r="C194" s="299" t="s">
        <v>452</v>
      </c>
      <c r="D194" s="290" t="s">
        <v>124</v>
      </c>
      <c r="E194" s="291"/>
      <c r="F194" s="291"/>
      <c r="G194" s="292"/>
      <c r="H194" s="27">
        <f>H195+H198+H199+H200+H201+H202+H203+H204+H205+H197+H196</f>
        <v>232735.4</v>
      </c>
      <c r="I194" s="27"/>
      <c r="J194" s="27">
        <f>J195+J198+J199+J200+J201+J202+J203+J204+J205+J197+J196</f>
        <v>152735.40000000002</v>
      </c>
      <c r="K194" s="27">
        <f>K195+K198+K199+K200+K201+K202+K203+K204+K205+K197+K196</f>
        <v>80000</v>
      </c>
      <c r="L194" s="302" t="s">
        <v>365</v>
      </c>
    </row>
    <row r="195" spans="1:12" ht="75" customHeight="1" x14ac:dyDescent="0.3">
      <c r="A195" s="484"/>
      <c r="B195" s="487"/>
      <c r="C195" s="300"/>
      <c r="D195" s="243" t="s">
        <v>30</v>
      </c>
      <c r="E195" s="222" t="s">
        <v>133</v>
      </c>
      <c r="F195" s="314" t="s">
        <v>132</v>
      </c>
      <c r="G195" s="288" t="s">
        <v>152</v>
      </c>
      <c r="H195" s="32">
        <f t="shared" ref="H195:H205" si="5">I195+J195+K195</f>
        <v>176676.6</v>
      </c>
      <c r="I195" s="28"/>
      <c r="J195" s="28">
        <f>80000+176.6-5000+25000-3500</f>
        <v>96676.6</v>
      </c>
      <c r="K195" s="28">
        <v>80000</v>
      </c>
      <c r="L195" s="303"/>
    </row>
    <row r="196" spans="1:12" ht="97.5" hidden="1" customHeight="1" x14ac:dyDescent="0.3">
      <c r="A196" s="484"/>
      <c r="B196" s="487"/>
      <c r="C196" s="300"/>
      <c r="D196" s="243" t="s">
        <v>305</v>
      </c>
      <c r="E196" s="222" t="s">
        <v>306</v>
      </c>
      <c r="F196" s="314"/>
      <c r="G196" s="289"/>
      <c r="H196" s="32">
        <f t="shared" si="5"/>
        <v>0</v>
      </c>
      <c r="I196" s="28"/>
      <c r="J196" s="28">
        <v>0</v>
      </c>
      <c r="K196" s="28">
        <v>0</v>
      </c>
      <c r="L196" s="303"/>
    </row>
    <row r="197" spans="1:12" ht="92.25" hidden="1" customHeight="1" x14ac:dyDescent="0.3">
      <c r="A197" s="484"/>
      <c r="B197" s="487"/>
      <c r="C197" s="300"/>
      <c r="D197" s="35" t="s">
        <v>29</v>
      </c>
      <c r="E197" s="222" t="s">
        <v>133</v>
      </c>
      <c r="F197" s="314"/>
      <c r="G197" s="289"/>
      <c r="H197" s="32">
        <f t="shared" si="5"/>
        <v>0</v>
      </c>
      <c r="I197" s="28"/>
      <c r="J197" s="28"/>
      <c r="K197" s="28"/>
      <c r="L197" s="303"/>
    </row>
    <row r="198" spans="1:12" ht="92.25" hidden="1" customHeight="1" x14ac:dyDescent="0.3">
      <c r="A198" s="484"/>
      <c r="B198" s="487"/>
      <c r="C198" s="300"/>
      <c r="D198" s="243" t="s">
        <v>26</v>
      </c>
      <c r="E198" s="222" t="s">
        <v>58</v>
      </c>
      <c r="F198" s="314"/>
      <c r="G198" s="289"/>
      <c r="H198" s="26">
        <f t="shared" si="5"/>
        <v>0</v>
      </c>
      <c r="I198" s="28"/>
      <c r="J198" s="28">
        <v>0</v>
      </c>
      <c r="K198" s="28">
        <v>0</v>
      </c>
      <c r="L198" s="303"/>
    </row>
    <row r="199" spans="1:12" ht="92.25" hidden="1" customHeight="1" x14ac:dyDescent="0.3">
      <c r="A199" s="484"/>
      <c r="B199" s="487"/>
      <c r="C199" s="300"/>
      <c r="D199" s="62" t="s">
        <v>26</v>
      </c>
      <c r="E199" s="222" t="s">
        <v>52</v>
      </c>
      <c r="F199" s="314"/>
      <c r="G199" s="289"/>
      <c r="H199" s="26">
        <f t="shared" si="5"/>
        <v>0</v>
      </c>
      <c r="I199" s="28"/>
      <c r="J199" s="28"/>
      <c r="K199" s="28"/>
      <c r="L199" s="303"/>
    </row>
    <row r="200" spans="1:12" ht="92.25" hidden="1" customHeight="1" x14ac:dyDescent="0.3">
      <c r="A200" s="484"/>
      <c r="B200" s="487"/>
      <c r="C200" s="300"/>
      <c r="D200" s="62" t="s">
        <v>26</v>
      </c>
      <c r="E200" s="222" t="s">
        <v>53</v>
      </c>
      <c r="F200" s="314"/>
      <c r="G200" s="289"/>
      <c r="H200" s="26">
        <f t="shared" si="5"/>
        <v>0</v>
      </c>
      <c r="I200" s="28"/>
      <c r="J200" s="28"/>
      <c r="K200" s="28"/>
      <c r="L200" s="303"/>
    </row>
    <row r="201" spans="1:12" ht="92.25" customHeight="1" x14ac:dyDescent="0.3">
      <c r="A201" s="484"/>
      <c r="B201" s="487"/>
      <c r="C201" s="300"/>
      <c r="D201" s="62" t="s">
        <v>26</v>
      </c>
      <c r="E201" s="222" t="s">
        <v>51</v>
      </c>
      <c r="F201" s="314"/>
      <c r="G201" s="289"/>
      <c r="H201" s="26">
        <f t="shared" si="5"/>
        <v>3558.8</v>
      </c>
      <c r="I201" s="28"/>
      <c r="J201" s="28">
        <f>3500+58.8</f>
        <v>3558.8</v>
      </c>
      <c r="K201" s="28"/>
      <c r="L201" s="303"/>
    </row>
    <row r="202" spans="1:12" ht="92.25" customHeight="1" x14ac:dyDescent="0.3">
      <c r="A202" s="484"/>
      <c r="B202" s="487"/>
      <c r="C202" s="300"/>
      <c r="D202" s="34" t="s">
        <v>26</v>
      </c>
      <c r="E202" s="235" t="s">
        <v>138</v>
      </c>
      <c r="F202" s="314"/>
      <c r="G202" s="289"/>
      <c r="H202" s="26">
        <f t="shared" si="5"/>
        <v>52500</v>
      </c>
      <c r="I202" s="28"/>
      <c r="J202" s="28">
        <f>22500+5000+25000</f>
        <v>52500</v>
      </c>
      <c r="K202" s="28">
        <v>0</v>
      </c>
      <c r="L202" s="304"/>
    </row>
    <row r="203" spans="1:12" ht="92.25" hidden="1" customHeight="1" x14ac:dyDescent="0.3">
      <c r="A203" s="484"/>
      <c r="B203" s="487"/>
      <c r="C203" s="300"/>
      <c r="D203" s="62" t="s">
        <v>27</v>
      </c>
      <c r="E203" s="229" t="s">
        <v>55</v>
      </c>
      <c r="F203" s="314"/>
      <c r="G203" s="289"/>
      <c r="H203" s="26">
        <f t="shared" si="5"/>
        <v>0</v>
      </c>
      <c r="I203" s="28"/>
      <c r="J203" s="28"/>
      <c r="K203" s="28"/>
      <c r="L203" s="218"/>
    </row>
    <row r="204" spans="1:12" ht="92.25" hidden="1" customHeight="1" x14ac:dyDescent="0.3">
      <c r="A204" s="484"/>
      <c r="B204" s="487"/>
      <c r="C204" s="300"/>
      <c r="D204" s="243" t="s">
        <v>28</v>
      </c>
      <c r="E204" s="229" t="s">
        <v>54</v>
      </c>
      <c r="F204" s="314"/>
      <c r="G204" s="289"/>
      <c r="H204" s="26">
        <f t="shared" si="5"/>
        <v>0</v>
      </c>
      <c r="I204" s="33"/>
      <c r="J204" s="28"/>
      <c r="K204" s="28"/>
      <c r="L204" s="218"/>
    </row>
    <row r="205" spans="1:12" ht="55.5" hidden="1" customHeight="1" x14ac:dyDescent="0.3">
      <c r="A205" s="484"/>
      <c r="B205" s="487"/>
      <c r="C205" s="227"/>
      <c r="D205" s="35" t="s">
        <v>33</v>
      </c>
      <c r="E205" s="222" t="s">
        <v>56</v>
      </c>
      <c r="F205" s="314"/>
      <c r="G205" s="298"/>
      <c r="H205" s="26">
        <f t="shared" si="5"/>
        <v>0</v>
      </c>
      <c r="I205" s="33"/>
      <c r="J205" s="28"/>
      <c r="K205" s="28"/>
      <c r="L205" s="218"/>
    </row>
    <row r="206" spans="1:12" ht="55.5" customHeight="1" x14ac:dyDescent="0.3">
      <c r="A206" s="484"/>
      <c r="B206" s="487"/>
      <c r="C206" s="479" t="s">
        <v>453</v>
      </c>
      <c r="D206" s="290" t="s">
        <v>144</v>
      </c>
      <c r="E206" s="291"/>
      <c r="F206" s="291"/>
      <c r="G206" s="292"/>
      <c r="H206" s="26">
        <f>I206</f>
        <v>5300</v>
      </c>
      <c r="I206" s="33">
        <v>5300</v>
      </c>
      <c r="J206" s="28"/>
      <c r="K206" s="28"/>
      <c r="L206" s="296"/>
    </row>
    <row r="207" spans="1:12" ht="128.25" customHeight="1" x14ac:dyDescent="0.3">
      <c r="A207" s="484"/>
      <c r="B207" s="487"/>
      <c r="C207" s="479"/>
      <c r="D207" s="35" t="s">
        <v>29</v>
      </c>
      <c r="E207" s="222" t="s">
        <v>133</v>
      </c>
      <c r="F207" s="293" t="s">
        <v>132</v>
      </c>
      <c r="G207" s="288" t="s">
        <v>152</v>
      </c>
      <c r="H207" s="26">
        <f t="shared" ref="H207:H214" si="6">I207</f>
        <v>300</v>
      </c>
      <c r="I207" s="33">
        <v>300</v>
      </c>
      <c r="J207" s="28"/>
      <c r="K207" s="28"/>
      <c r="L207" s="296"/>
    </row>
    <row r="208" spans="1:12" ht="55.5" hidden="1" customHeight="1" x14ac:dyDescent="0.3">
      <c r="A208" s="484"/>
      <c r="B208" s="487"/>
      <c r="C208" s="479"/>
      <c r="D208" s="62" t="s">
        <v>26</v>
      </c>
      <c r="E208" s="222" t="s">
        <v>58</v>
      </c>
      <c r="F208" s="294"/>
      <c r="G208" s="289"/>
      <c r="H208" s="26">
        <f t="shared" si="6"/>
        <v>0</v>
      </c>
      <c r="I208" s="33">
        <v>0</v>
      </c>
      <c r="J208" s="28"/>
      <c r="K208" s="28"/>
      <c r="L208" s="296"/>
    </row>
    <row r="209" spans="1:12" ht="55.5" hidden="1" customHeight="1" x14ac:dyDescent="0.3">
      <c r="A209" s="484"/>
      <c r="B209" s="487"/>
      <c r="C209" s="479"/>
      <c r="D209" s="62" t="s">
        <v>26</v>
      </c>
      <c r="E209" s="222" t="s">
        <v>52</v>
      </c>
      <c r="F209" s="294"/>
      <c r="G209" s="289"/>
      <c r="H209" s="26">
        <f t="shared" si="6"/>
        <v>0</v>
      </c>
      <c r="I209" s="33">
        <v>0</v>
      </c>
      <c r="J209" s="28"/>
      <c r="K209" s="28"/>
      <c r="L209" s="296"/>
    </row>
    <row r="210" spans="1:12" ht="55.5" hidden="1" customHeight="1" x14ac:dyDescent="0.3">
      <c r="A210" s="484"/>
      <c r="B210" s="487"/>
      <c r="C210" s="479"/>
      <c r="D210" s="62" t="s">
        <v>26</v>
      </c>
      <c r="E210" s="222" t="s">
        <v>53</v>
      </c>
      <c r="F210" s="294"/>
      <c r="G210" s="289"/>
      <c r="H210" s="26">
        <f t="shared" si="6"/>
        <v>0</v>
      </c>
      <c r="I210" s="33">
        <v>0</v>
      </c>
      <c r="J210" s="28"/>
      <c r="K210" s="28"/>
      <c r="L210" s="296"/>
    </row>
    <row r="211" spans="1:12" ht="55.5" hidden="1" customHeight="1" x14ac:dyDescent="0.3">
      <c r="A211" s="484"/>
      <c r="B211" s="487"/>
      <c r="C211" s="479"/>
      <c r="D211" s="62" t="s">
        <v>26</v>
      </c>
      <c r="E211" s="222" t="s">
        <v>51</v>
      </c>
      <c r="F211" s="294"/>
      <c r="G211" s="289"/>
      <c r="H211" s="26">
        <f t="shared" si="6"/>
        <v>0</v>
      </c>
      <c r="I211" s="33">
        <v>0</v>
      </c>
      <c r="J211" s="28"/>
      <c r="K211" s="28"/>
      <c r="L211" s="296"/>
    </row>
    <row r="212" spans="1:12" ht="55.5" hidden="1" customHeight="1" x14ac:dyDescent="0.3">
      <c r="A212" s="484"/>
      <c r="B212" s="487"/>
      <c r="C212" s="479"/>
      <c r="D212" s="62" t="s">
        <v>26</v>
      </c>
      <c r="E212" s="235" t="s">
        <v>138</v>
      </c>
      <c r="F212" s="294"/>
      <c r="G212" s="289"/>
      <c r="H212" s="26">
        <f t="shared" si="6"/>
        <v>0</v>
      </c>
      <c r="I212" s="33">
        <v>0</v>
      </c>
      <c r="J212" s="28"/>
      <c r="K212" s="28"/>
      <c r="L212" s="296"/>
    </row>
    <row r="213" spans="1:12" ht="55.5" hidden="1" customHeight="1" x14ac:dyDescent="0.3">
      <c r="A213" s="484"/>
      <c r="B213" s="487"/>
      <c r="C213" s="479"/>
      <c r="D213" s="62" t="s">
        <v>27</v>
      </c>
      <c r="E213" s="229" t="s">
        <v>55</v>
      </c>
      <c r="F213" s="294"/>
      <c r="G213" s="289"/>
      <c r="H213" s="26">
        <f t="shared" si="6"/>
        <v>0</v>
      </c>
      <c r="I213" s="33">
        <v>0</v>
      </c>
      <c r="J213" s="28"/>
      <c r="K213" s="28"/>
      <c r="L213" s="296"/>
    </row>
    <row r="214" spans="1:12" ht="55.5" hidden="1" customHeight="1" x14ac:dyDescent="0.3">
      <c r="A214" s="484"/>
      <c r="B214" s="487"/>
      <c r="C214" s="479"/>
      <c r="D214" s="62" t="s">
        <v>28</v>
      </c>
      <c r="E214" s="229" t="s">
        <v>54</v>
      </c>
      <c r="F214" s="295"/>
      <c r="G214" s="298"/>
      <c r="H214" s="26">
        <f t="shared" si="6"/>
        <v>0</v>
      </c>
      <c r="I214" s="33">
        <v>0</v>
      </c>
      <c r="J214" s="28"/>
      <c r="K214" s="28"/>
      <c r="L214" s="296"/>
    </row>
    <row r="215" spans="1:12" ht="123.75" customHeight="1" x14ac:dyDescent="0.3">
      <c r="A215" s="484"/>
      <c r="B215" s="487"/>
      <c r="C215" s="479"/>
      <c r="D215" s="62" t="s">
        <v>358</v>
      </c>
      <c r="E215" s="222" t="s">
        <v>359</v>
      </c>
      <c r="F215" s="157" t="s">
        <v>359</v>
      </c>
      <c r="G215" s="241" t="s">
        <v>152</v>
      </c>
      <c r="H215" s="26">
        <f>I215</f>
        <v>5000</v>
      </c>
      <c r="I215" s="33">
        <v>5000</v>
      </c>
      <c r="J215" s="28"/>
      <c r="K215" s="28"/>
      <c r="L215" s="297"/>
    </row>
    <row r="216" spans="1:12" ht="75" customHeight="1" x14ac:dyDescent="0.3">
      <c r="A216" s="484"/>
      <c r="B216" s="487"/>
      <c r="C216" s="299" t="s">
        <v>529</v>
      </c>
      <c r="D216" s="290" t="s">
        <v>315</v>
      </c>
      <c r="E216" s="291"/>
      <c r="F216" s="291"/>
      <c r="G216" s="292"/>
      <c r="H216" s="26">
        <f>H217+H218+H219+H220+H221+H222+H223+H224+H228</f>
        <v>68847</v>
      </c>
      <c r="I216" s="26"/>
      <c r="J216" s="26">
        <f>J217+J218+J219+J220+J221+J222+J223+J224+J228</f>
        <v>40547</v>
      </c>
      <c r="K216" s="26">
        <f>K217+K218+K219+K220+K221+K222+K223+K224+K228</f>
        <v>28300</v>
      </c>
      <c r="L216" s="302" t="s">
        <v>366</v>
      </c>
    </row>
    <row r="217" spans="1:12" ht="75" customHeight="1" x14ac:dyDescent="0.3">
      <c r="A217" s="484"/>
      <c r="B217" s="487"/>
      <c r="C217" s="300"/>
      <c r="D217" s="35" t="s">
        <v>29</v>
      </c>
      <c r="E217" s="222" t="s">
        <v>133</v>
      </c>
      <c r="F217" s="293" t="s">
        <v>132</v>
      </c>
      <c r="G217" s="288" t="s">
        <v>152</v>
      </c>
      <c r="H217" s="26">
        <f t="shared" ref="H217:H228" si="7">I217+J217+K217</f>
        <v>300</v>
      </c>
      <c r="I217" s="28"/>
      <c r="J217" s="28">
        <v>0</v>
      </c>
      <c r="K217" s="28">
        <v>300</v>
      </c>
      <c r="L217" s="303"/>
    </row>
    <row r="218" spans="1:12" ht="75" customHeight="1" x14ac:dyDescent="0.3">
      <c r="A218" s="484"/>
      <c r="B218" s="487"/>
      <c r="C218" s="300"/>
      <c r="D218" s="62" t="s">
        <v>26</v>
      </c>
      <c r="E218" s="222" t="s">
        <v>58</v>
      </c>
      <c r="F218" s="294"/>
      <c r="G218" s="289"/>
      <c r="H218" s="26">
        <f t="shared" si="7"/>
        <v>7300</v>
      </c>
      <c r="I218" s="28"/>
      <c r="J218" s="28">
        <v>0</v>
      </c>
      <c r="K218" s="28">
        <v>7300</v>
      </c>
      <c r="L218" s="303"/>
    </row>
    <row r="219" spans="1:12" ht="75" customHeight="1" x14ac:dyDescent="0.3">
      <c r="A219" s="484"/>
      <c r="B219" s="487"/>
      <c r="C219" s="300"/>
      <c r="D219" s="62" t="s">
        <v>26</v>
      </c>
      <c r="E219" s="222" t="s">
        <v>52</v>
      </c>
      <c r="F219" s="294"/>
      <c r="G219" s="289"/>
      <c r="H219" s="26">
        <f t="shared" si="7"/>
        <v>2000</v>
      </c>
      <c r="I219" s="28"/>
      <c r="J219" s="28">
        <v>0</v>
      </c>
      <c r="K219" s="28">
        <v>2000</v>
      </c>
      <c r="L219" s="303"/>
    </row>
    <row r="220" spans="1:12" ht="75" customHeight="1" x14ac:dyDescent="0.3">
      <c r="A220" s="484"/>
      <c r="B220" s="487"/>
      <c r="C220" s="300"/>
      <c r="D220" s="62" t="s">
        <v>26</v>
      </c>
      <c r="E220" s="222" t="s">
        <v>53</v>
      </c>
      <c r="F220" s="294"/>
      <c r="G220" s="289"/>
      <c r="H220" s="26">
        <f t="shared" si="7"/>
        <v>2600</v>
      </c>
      <c r="I220" s="28"/>
      <c r="J220" s="28">
        <v>0</v>
      </c>
      <c r="K220" s="28">
        <v>2600</v>
      </c>
      <c r="L220" s="303"/>
    </row>
    <row r="221" spans="1:12" ht="75" customHeight="1" x14ac:dyDescent="0.3">
      <c r="A221" s="484"/>
      <c r="B221" s="487"/>
      <c r="C221" s="300"/>
      <c r="D221" s="62" t="s">
        <v>26</v>
      </c>
      <c r="E221" s="222" t="s">
        <v>51</v>
      </c>
      <c r="F221" s="294"/>
      <c r="G221" s="289"/>
      <c r="H221" s="26">
        <f t="shared" si="7"/>
        <v>36375</v>
      </c>
      <c r="I221" s="28"/>
      <c r="J221" s="28">
        <f>32000+375</f>
        <v>32375</v>
      </c>
      <c r="K221" s="28">
        <v>4000</v>
      </c>
      <c r="L221" s="303"/>
    </row>
    <row r="222" spans="1:12" ht="75" customHeight="1" x14ac:dyDescent="0.3">
      <c r="A222" s="484"/>
      <c r="B222" s="487"/>
      <c r="C222" s="300"/>
      <c r="D222" s="62" t="s">
        <v>26</v>
      </c>
      <c r="E222" s="235" t="s">
        <v>138</v>
      </c>
      <c r="F222" s="294"/>
      <c r="G222" s="289"/>
      <c r="H222" s="26">
        <f t="shared" si="7"/>
        <v>3000</v>
      </c>
      <c r="I222" s="33"/>
      <c r="J222" s="28">
        <v>0</v>
      </c>
      <c r="K222" s="28">
        <v>3000</v>
      </c>
      <c r="L222" s="303"/>
    </row>
    <row r="223" spans="1:12" ht="87.75" customHeight="1" x14ac:dyDescent="0.3">
      <c r="A223" s="484"/>
      <c r="B223" s="487"/>
      <c r="C223" s="300"/>
      <c r="D223" s="62" t="s">
        <v>27</v>
      </c>
      <c r="E223" s="229" t="s">
        <v>55</v>
      </c>
      <c r="F223" s="294"/>
      <c r="G223" s="289"/>
      <c r="H223" s="26">
        <f t="shared" si="7"/>
        <v>6600</v>
      </c>
      <c r="I223" s="28"/>
      <c r="J223" s="28">
        <v>0</v>
      </c>
      <c r="K223" s="28">
        <v>6600</v>
      </c>
      <c r="L223" s="303"/>
    </row>
    <row r="224" spans="1:12" ht="75" customHeight="1" x14ac:dyDescent="0.3">
      <c r="A224" s="484"/>
      <c r="B224" s="487"/>
      <c r="C224" s="300"/>
      <c r="D224" s="62" t="s">
        <v>28</v>
      </c>
      <c r="E224" s="229" t="s">
        <v>54</v>
      </c>
      <c r="F224" s="294"/>
      <c r="G224" s="289"/>
      <c r="H224" s="26">
        <f t="shared" si="7"/>
        <v>2500</v>
      </c>
      <c r="I224" s="33"/>
      <c r="J224" s="28">
        <v>0</v>
      </c>
      <c r="K224" s="28">
        <v>2500</v>
      </c>
      <c r="L224" s="303"/>
    </row>
    <row r="225" spans="1:12" ht="75" hidden="1" customHeight="1" x14ac:dyDescent="0.3">
      <c r="A225" s="484"/>
      <c r="B225" s="487"/>
      <c r="C225" s="300"/>
      <c r="D225" s="62" t="s">
        <v>33</v>
      </c>
      <c r="E225" s="222" t="s">
        <v>56</v>
      </c>
      <c r="F225" s="294"/>
      <c r="G225" s="289"/>
      <c r="H225" s="26">
        <f t="shared" si="7"/>
        <v>0</v>
      </c>
      <c r="I225" s="33"/>
      <c r="J225" s="28">
        <v>0</v>
      </c>
      <c r="K225" s="28">
        <v>0</v>
      </c>
      <c r="L225" s="237"/>
    </row>
    <row r="226" spans="1:12" ht="75" hidden="1" customHeight="1" x14ac:dyDescent="0.3">
      <c r="A226" s="484"/>
      <c r="B226" s="487"/>
      <c r="C226" s="300"/>
      <c r="D226" s="62" t="s">
        <v>33</v>
      </c>
      <c r="E226" s="222" t="s">
        <v>57</v>
      </c>
      <c r="F226" s="295"/>
      <c r="G226" s="298"/>
      <c r="H226" s="26">
        <f t="shared" si="7"/>
        <v>0</v>
      </c>
      <c r="I226" s="33"/>
      <c r="J226" s="28">
        <v>0</v>
      </c>
      <c r="K226" s="28">
        <v>0</v>
      </c>
      <c r="L226" s="237"/>
    </row>
    <row r="227" spans="1:12" ht="40.5" customHeight="1" x14ac:dyDescent="0.3">
      <c r="A227" s="484"/>
      <c r="B227" s="487"/>
      <c r="C227" s="300"/>
      <c r="D227" s="466" t="s">
        <v>68</v>
      </c>
      <c r="E227" s="467"/>
      <c r="F227" s="468"/>
      <c r="G227" s="226"/>
      <c r="H227" s="31">
        <f>H217+H218+H219+H220+H221+H222+H223+H224</f>
        <v>60675</v>
      </c>
      <c r="I227" s="31"/>
      <c r="J227" s="31">
        <f>J217+J218+J219+J220+J221+J222+J223+J224</f>
        <v>32375</v>
      </c>
      <c r="K227" s="31">
        <f>K217+K218+K219+K220+K221+K222+K223+K224</f>
        <v>28300</v>
      </c>
      <c r="L227" s="237"/>
    </row>
    <row r="228" spans="1:12" ht="154.5" customHeight="1" x14ac:dyDescent="0.3">
      <c r="A228" s="484"/>
      <c r="B228" s="487"/>
      <c r="C228" s="301"/>
      <c r="D228" s="62" t="s">
        <v>518</v>
      </c>
      <c r="E228" s="222" t="s">
        <v>61</v>
      </c>
      <c r="F228" s="157" t="s">
        <v>555</v>
      </c>
      <c r="G228" s="157" t="s">
        <v>152</v>
      </c>
      <c r="H228" s="31">
        <f t="shared" si="7"/>
        <v>8172</v>
      </c>
      <c r="I228" s="28"/>
      <c r="J228" s="29">
        <f>6972+1200</f>
        <v>8172</v>
      </c>
      <c r="K228" s="29">
        <v>0</v>
      </c>
      <c r="L228" s="253" t="s">
        <v>520</v>
      </c>
    </row>
    <row r="229" spans="1:12" ht="75" customHeight="1" x14ac:dyDescent="0.3">
      <c r="A229" s="484"/>
      <c r="B229" s="487"/>
      <c r="C229" s="299" t="s">
        <v>454</v>
      </c>
      <c r="D229" s="290" t="s">
        <v>322</v>
      </c>
      <c r="E229" s="291"/>
      <c r="F229" s="291"/>
      <c r="G229" s="292"/>
      <c r="H229" s="31">
        <f>SUM(H230:H232)</f>
        <v>16907.2</v>
      </c>
      <c r="I229" s="29">
        <f>SUM(I230:I232)</f>
        <v>16800</v>
      </c>
      <c r="J229" s="31">
        <f>SUM(J230:J232)</f>
        <v>107.2</v>
      </c>
      <c r="K229" s="31">
        <f>SUM(K230:K232)</f>
        <v>0</v>
      </c>
      <c r="L229" s="237"/>
    </row>
    <row r="230" spans="1:12" ht="294.75" customHeight="1" x14ac:dyDescent="0.3">
      <c r="A230" s="484"/>
      <c r="B230" s="487"/>
      <c r="C230" s="300"/>
      <c r="D230" s="30" t="s">
        <v>48</v>
      </c>
      <c r="E230" s="229" t="s">
        <v>51</v>
      </c>
      <c r="F230" s="293" t="s">
        <v>131</v>
      </c>
      <c r="G230" s="288" t="s">
        <v>152</v>
      </c>
      <c r="H230" s="31">
        <f>I230+J230+K230</f>
        <v>15807.2</v>
      </c>
      <c r="I230" s="29">
        <f>3100+12100+1600-1100</f>
        <v>15700</v>
      </c>
      <c r="J230" s="29">
        <v>107.2</v>
      </c>
      <c r="K230" s="29">
        <v>0</v>
      </c>
      <c r="L230" s="222" t="s">
        <v>207</v>
      </c>
    </row>
    <row r="231" spans="1:12" ht="92.25" hidden="1" customHeight="1" x14ac:dyDescent="0.3">
      <c r="A231" s="484"/>
      <c r="B231" s="487"/>
      <c r="C231" s="300"/>
      <c r="D231" s="30" t="s">
        <v>48</v>
      </c>
      <c r="E231" s="222" t="s">
        <v>58</v>
      </c>
      <c r="F231" s="294"/>
      <c r="G231" s="289"/>
      <c r="H231" s="26"/>
      <c r="I231" s="28"/>
      <c r="J231" s="28"/>
      <c r="K231" s="28"/>
      <c r="L231" s="222"/>
    </row>
    <row r="232" spans="1:12" ht="169.5" customHeight="1" x14ac:dyDescent="0.3">
      <c r="A232" s="484"/>
      <c r="B232" s="487"/>
      <c r="C232" s="301"/>
      <c r="D232" s="30" t="s">
        <v>48</v>
      </c>
      <c r="E232" s="229" t="s">
        <v>138</v>
      </c>
      <c r="F232" s="295"/>
      <c r="G232" s="298"/>
      <c r="H232" s="26">
        <f>I232+J232+K232</f>
        <v>1100</v>
      </c>
      <c r="I232" s="28">
        <v>1100</v>
      </c>
      <c r="J232" s="28">
        <v>0</v>
      </c>
      <c r="K232" s="28">
        <v>0</v>
      </c>
      <c r="L232" s="222" t="s">
        <v>312</v>
      </c>
    </row>
    <row r="233" spans="1:12" ht="49.5" customHeight="1" x14ac:dyDescent="0.3">
      <c r="A233" s="484"/>
      <c r="B233" s="487"/>
      <c r="C233" s="479" t="s">
        <v>455</v>
      </c>
      <c r="D233" s="290" t="s">
        <v>525</v>
      </c>
      <c r="E233" s="291"/>
      <c r="F233" s="291"/>
      <c r="G233" s="292"/>
      <c r="H233" s="26">
        <f>I233</f>
        <v>4498.92</v>
      </c>
      <c r="I233" s="28">
        <v>4498.92</v>
      </c>
      <c r="J233" s="28"/>
      <c r="K233" s="28"/>
      <c r="L233" s="229"/>
    </row>
    <row r="234" spans="1:12" ht="49.5" customHeight="1" x14ac:dyDescent="0.3">
      <c r="A234" s="484"/>
      <c r="B234" s="487"/>
      <c r="C234" s="479"/>
      <c r="D234" s="62" t="s">
        <v>26</v>
      </c>
      <c r="E234" s="231" t="s">
        <v>53</v>
      </c>
      <c r="F234" s="314" t="s">
        <v>131</v>
      </c>
      <c r="G234" s="341" t="s">
        <v>314</v>
      </c>
      <c r="H234" s="26">
        <f t="shared" ref="H234:H239" si="8">I234</f>
        <v>612.24</v>
      </c>
      <c r="I234" s="28">
        <v>612.24</v>
      </c>
      <c r="J234" s="28"/>
      <c r="K234" s="28"/>
      <c r="L234" s="302" t="s">
        <v>409</v>
      </c>
    </row>
    <row r="235" spans="1:12" ht="71.25" customHeight="1" x14ac:dyDescent="0.3">
      <c r="A235" s="484"/>
      <c r="B235" s="487"/>
      <c r="C235" s="479"/>
      <c r="D235" s="62" t="s">
        <v>26</v>
      </c>
      <c r="E235" s="222" t="s">
        <v>51</v>
      </c>
      <c r="F235" s="314"/>
      <c r="G235" s="341"/>
      <c r="H235" s="26">
        <f t="shared" si="8"/>
        <v>612.24</v>
      </c>
      <c r="I235" s="28">
        <v>612.24</v>
      </c>
      <c r="J235" s="28"/>
      <c r="K235" s="28"/>
      <c r="L235" s="303"/>
    </row>
    <row r="236" spans="1:12" ht="178.5" customHeight="1" x14ac:dyDescent="0.3">
      <c r="A236" s="484"/>
      <c r="B236" s="487"/>
      <c r="C236" s="479"/>
      <c r="D236" s="62" t="s">
        <v>26</v>
      </c>
      <c r="E236" s="235" t="s">
        <v>138</v>
      </c>
      <c r="F236" s="314"/>
      <c r="G236" s="341"/>
      <c r="H236" s="26">
        <f t="shared" si="8"/>
        <v>612.24</v>
      </c>
      <c r="I236" s="28">
        <v>612.24</v>
      </c>
      <c r="J236" s="28"/>
      <c r="K236" s="28"/>
      <c r="L236" s="303"/>
    </row>
    <row r="237" spans="1:12" ht="49.5" customHeight="1" x14ac:dyDescent="0.3">
      <c r="A237" s="484"/>
      <c r="B237" s="487"/>
      <c r="C237" s="479"/>
      <c r="D237" s="62" t="s">
        <v>26</v>
      </c>
      <c r="E237" s="231" t="s">
        <v>53</v>
      </c>
      <c r="F237" s="314" t="s">
        <v>131</v>
      </c>
      <c r="G237" s="341" t="s">
        <v>152</v>
      </c>
      <c r="H237" s="26">
        <f t="shared" si="8"/>
        <v>1929.6</v>
      </c>
      <c r="I237" s="28">
        <v>1929.6</v>
      </c>
      <c r="J237" s="28"/>
      <c r="K237" s="28"/>
      <c r="L237" s="303"/>
    </row>
    <row r="238" spans="1:12" ht="72.75" customHeight="1" x14ac:dyDescent="0.3">
      <c r="A238" s="484"/>
      <c r="B238" s="487"/>
      <c r="C238" s="479"/>
      <c r="D238" s="62" t="s">
        <v>26</v>
      </c>
      <c r="E238" s="222" t="s">
        <v>51</v>
      </c>
      <c r="F238" s="314"/>
      <c r="G238" s="341"/>
      <c r="H238" s="26">
        <f t="shared" si="8"/>
        <v>51.3</v>
      </c>
      <c r="I238" s="28">
        <v>51.3</v>
      </c>
      <c r="J238" s="28"/>
      <c r="K238" s="28"/>
      <c r="L238" s="303"/>
    </row>
    <row r="239" spans="1:12" ht="72.75" customHeight="1" x14ac:dyDescent="0.3">
      <c r="A239" s="484"/>
      <c r="B239" s="487"/>
      <c r="C239" s="479"/>
      <c r="D239" s="62" t="s">
        <v>26</v>
      </c>
      <c r="E239" s="235" t="s">
        <v>138</v>
      </c>
      <c r="F239" s="314"/>
      <c r="G239" s="341"/>
      <c r="H239" s="26">
        <f t="shared" si="8"/>
        <v>681.3</v>
      </c>
      <c r="I239" s="28">
        <v>681.3</v>
      </c>
      <c r="J239" s="28"/>
      <c r="K239" s="28"/>
      <c r="L239" s="304"/>
    </row>
    <row r="240" spans="1:12" ht="69.75" customHeight="1" x14ac:dyDescent="0.3">
      <c r="A240" s="484"/>
      <c r="B240" s="487"/>
      <c r="C240" s="299" t="s">
        <v>456</v>
      </c>
      <c r="D240" s="290" t="s">
        <v>524</v>
      </c>
      <c r="E240" s="291"/>
      <c r="F240" s="291"/>
      <c r="G240" s="292"/>
      <c r="H240" s="64">
        <f>SUM(H241:H246)</f>
        <v>1194.9000000000001</v>
      </c>
      <c r="I240" s="64"/>
      <c r="J240" s="64">
        <f>SUM(J241:J246)</f>
        <v>1194.9000000000001</v>
      </c>
      <c r="K240" s="64">
        <f>SUM(K241:K246)</f>
        <v>0</v>
      </c>
      <c r="L240" s="305" t="s">
        <v>377</v>
      </c>
    </row>
    <row r="241" spans="1:12" ht="87" hidden="1" customHeight="1" x14ac:dyDescent="0.3">
      <c r="A241" s="484"/>
      <c r="B241" s="487"/>
      <c r="C241" s="300"/>
      <c r="D241" s="62" t="s">
        <v>26</v>
      </c>
      <c r="E241" s="231" t="s">
        <v>53</v>
      </c>
      <c r="F241" s="293" t="s">
        <v>131</v>
      </c>
      <c r="G241" s="288" t="s">
        <v>314</v>
      </c>
      <c r="H241" s="63">
        <f t="shared" ref="H241:H256" si="9">I241+J241+K241</f>
        <v>0</v>
      </c>
      <c r="I241" s="64"/>
      <c r="J241" s="28">
        <v>0</v>
      </c>
      <c r="K241" s="28">
        <v>0</v>
      </c>
      <c r="L241" s="306"/>
    </row>
    <row r="242" spans="1:12" ht="99.75" hidden="1" customHeight="1" x14ac:dyDescent="0.3">
      <c r="A242" s="484"/>
      <c r="B242" s="487"/>
      <c r="C242" s="300"/>
      <c r="D242" s="62" t="s">
        <v>26</v>
      </c>
      <c r="E242" s="222" t="s">
        <v>51</v>
      </c>
      <c r="F242" s="294"/>
      <c r="G242" s="289"/>
      <c r="H242" s="63">
        <f t="shared" si="9"/>
        <v>0</v>
      </c>
      <c r="I242" s="64"/>
      <c r="J242" s="28">
        <v>0</v>
      </c>
      <c r="K242" s="28">
        <v>0</v>
      </c>
      <c r="L242" s="306"/>
    </row>
    <row r="243" spans="1:12" ht="99" hidden="1" customHeight="1" x14ac:dyDescent="0.3">
      <c r="A243" s="484"/>
      <c r="B243" s="487"/>
      <c r="C243" s="300"/>
      <c r="D243" s="62" t="s">
        <v>26</v>
      </c>
      <c r="E243" s="235" t="s">
        <v>138</v>
      </c>
      <c r="F243" s="295"/>
      <c r="G243" s="298"/>
      <c r="H243" s="63">
        <f t="shared" si="9"/>
        <v>0</v>
      </c>
      <c r="I243" s="64"/>
      <c r="J243" s="28">
        <v>0</v>
      </c>
      <c r="K243" s="28">
        <v>0</v>
      </c>
      <c r="L243" s="306"/>
    </row>
    <row r="244" spans="1:12" ht="99" hidden="1" customHeight="1" x14ac:dyDescent="0.3">
      <c r="A244" s="484"/>
      <c r="B244" s="487"/>
      <c r="C244" s="300"/>
      <c r="D244" s="62" t="s">
        <v>26</v>
      </c>
      <c r="E244" s="231" t="s">
        <v>53</v>
      </c>
      <c r="F244" s="293" t="s">
        <v>131</v>
      </c>
      <c r="G244" s="288" t="s">
        <v>152</v>
      </c>
      <c r="H244" s="63">
        <f t="shared" si="9"/>
        <v>0</v>
      </c>
      <c r="I244" s="28"/>
      <c r="J244" s="28">
        <v>0</v>
      </c>
      <c r="K244" s="28">
        <v>0</v>
      </c>
      <c r="L244" s="306"/>
    </row>
    <row r="245" spans="1:12" ht="99" hidden="1" customHeight="1" x14ac:dyDescent="0.3">
      <c r="A245" s="484"/>
      <c r="B245" s="487"/>
      <c r="C245" s="300"/>
      <c r="D245" s="62" t="s">
        <v>26</v>
      </c>
      <c r="E245" s="222" t="s">
        <v>51</v>
      </c>
      <c r="F245" s="294"/>
      <c r="G245" s="289"/>
      <c r="H245" s="63">
        <f t="shared" si="9"/>
        <v>0</v>
      </c>
      <c r="I245" s="64"/>
      <c r="J245" s="28">
        <v>0</v>
      </c>
      <c r="K245" s="28">
        <v>0</v>
      </c>
      <c r="L245" s="306"/>
    </row>
    <row r="246" spans="1:12" ht="156" customHeight="1" x14ac:dyDescent="0.3">
      <c r="A246" s="484"/>
      <c r="B246" s="487"/>
      <c r="C246" s="301"/>
      <c r="D246" s="62" t="s">
        <v>26</v>
      </c>
      <c r="E246" s="235" t="s">
        <v>138</v>
      </c>
      <c r="F246" s="295"/>
      <c r="G246" s="298"/>
      <c r="H246" s="63">
        <f t="shared" si="9"/>
        <v>1194.9000000000001</v>
      </c>
      <c r="I246" s="28"/>
      <c r="J246" s="28">
        <f>590.2+604.7</f>
        <v>1194.9000000000001</v>
      </c>
      <c r="K246" s="28">
        <v>0</v>
      </c>
      <c r="L246" s="307"/>
    </row>
    <row r="247" spans="1:12" ht="56.25" customHeight="1" x14ac:dyDescent="0.3">
      <c r="A247" s="484"/>
      <c r="B247" s="487"/>
      <c r="C247" s="299" t="s">
        <v>457</v>
      </c>
      <c r="D247" s="290" t="s">
        <v>523</v>
      </c>
      <c r="E247" s="291"/>
      <c r="F247" s="291"/>
      <c r="G247" s="292"/>
      <c r="H247" s="63">
        <f>I247</f>
        <v>360</v>
      </c>
      <c r="I247" s="28">
        <v>360</v>
      </c>
      <c r="J247" s="28"/>
      <c r="K247" s="28"/>
      <c r="L247" s="302" t="s">
        <v>410</v>
      </c>
    </row>
    <row r="248" spans="1:12" ht="70.5" hidden="1" customHeight="1" x14ac:dyDescent="0.3">
      <c r="A248" s="484"/>
      <c r="B248" s="487"/>
      <c r="C248" s="300"/>
      <c r="D248" s="62" t="s">
        <v>26</v>
      </c>
      <c r="E248" s="222" t="s">
        <v>58</v>
      </c>
      <c r="F248" s="293" t="s">
        <v>131</v>
      </c>
      <c r="G248" s="288" t="s">
        <v>152</v>
      </c>
      <c r="H248" s="63">
        <f>I248</f>
        <v>0</v>
      </c>
      <c r="I248" s="28">
        <v>0</v>
      </c>
      <c r="J248" s="28"/>
      <c r="K248" s="28"/>
      <c r="L248" s="303"/>
    </row>
    <row r="249" spans="1:12" ht="71.25" hidden="1" customHeight="1" x14ac:dyDescent="0.3">
      <c r="A249" s="484"/>
      <c r="B249" s="487"/>
      <c r="C249" s="300"/>
      <c r="D249" s="62" t="s">
        <v>26</v>
      </c>
      <c r="E249" s="222" t="s">
        <v>53</v>
      </c>
      <c r="F249" s="294"/>
      <c r="G249" s="289"/>
      <c r="H249" s="63">
        <f>I249</f>
        <v>0</v>
      </c>
      <c r="I249" s="28">
        <v>0</v>
      </c>
      <c r="J249" s="28"/>
      <c r="K249" s="28"/>
      <c r="L249" s="303"/>
    </row>
    <row r="250" spans="1:12" ht="66.75" customHeight="1" x14ac:dyDescent="0.3">
      <c r="A250" s="484"/>
      <c r="B250" s="487"/>
      <c r="C250" s="300"/>
      <c r="D250" s="62" t="s">
        <v>26</v>
      </c>
      <c r="E250" s="222" t="s">
        <v>51</v>
      </c>
      <c r="F250" s="294"/>
      <c r="G250" s="289"/>
      <c r="H250" s="63">
        <f>I250</f>
        <v>360</v>
      </c>
      <c r="I250" s="28">
        <v>360</v>
      </c>
      <c r="J250" s="28"/>
      <c r="K250" s="28"/>
      <c r="L250" s="303"/>
    </row>
    <row r="251" spans="1:12" ht="72.75" hidden="1" customHeight="1" x14ac:dyDescent="0.3">
      <c r="A251" s="484"/>
      <c r="B251" s="487"/>
      <c r="C251" s="301"/>
      <c r="D251" s="62" t="s">
        <v>26</v>
      </c>
      <c r="E251" s="235" t="s">
        <v>138</v>
      </c>
      <c r="F251" s="295"/>
      <c r="G251" s="298"/>
      <c r="H251" s="63">
        <f>I251</f>
        <v>0</v>
      </c>
      <c r="I251" s="28">
        <v>0</v>
      </c>
      <c r="J251" s="28"/>
      <c r="K251" s="28"/>
      <c r="L251" s="304"/>
    </row>
    <row r="252" spans="1:12" ht="71.25" customHeight="1" x14ac:dyDescent="0.3">
      <c r="A252" s="484"/>
      <c r="B252" s="487"/>
      <c r="C252" s="299" t="s">
        <v>521</v>
      </c>
      <c r="D252" s="290" t="s">
        <v>522</v>
      </c>
      <c r="E252" s="291"/>
      <c r="F252" s="291"/>
      <c r="G252" s="292"/>
      <c r="H252" s="63">
        <f>I252+J252+K252</f>
        <v>44945.600000000006</v>
      </c>
      <c r="I252" s="28"/>
      <c r="J252" s="26">
        <f>J253+J254+J255+J256+J257+J258+J259+J260+J261+J263</f>
        <v>44945.600000000006</v>
      </c>
      <c r="K252" s="28">
        <f>K253+K254+K255+K256+K257+K258+K259+K260+K261+K263</f>
        <v>0</v>
      </c>
      <c r="L252" s="302" t="s">
        <v>367</v>
      </c>
    </row>
    <row r="253" spans="1:12" ht="63.75" customHeight="1" x14ac:dyDescent="0.3">
      <c r="A253" s="484"/>
      <c r="B253" s="487"/>
      <c r="C253" s="300"/>
      <c r="D253" s="62" t="s">
        <v>26</v>
      </c>
      <c r="E253" s="222" t="s">
        <v>58</v>
      </c>
      <c r="F253" s="293" t="s">
        <v>131</v>
      </c>
      <c r="G253" s="288" t="s">
        <v>152</v>
      </c>
      <c r="H253" s="63">
        <f t="shared" si="9"/>
        <v>13334.6</v>
      </c>
      <c r="I253" s="28"/>
      <c r="J253" s="28">
        <v>13334.6</v>
      </c>
      <c r="K253" s="28">
        <v>0</v>
      </c>
      <c r="L253" s="303"/>
    </row>
    <row r="254" spans="1:12" ht="58.5" hidden="1" customHeight="1" x14ac:dyDescent="0.3">
      <c r="A254" s="484"/>
      <c r="B254" s="487"/>
      <c r="C254" s="300"/>
      <c r="D254" s="62" t="s">
        <v>26</v>
      </c>
      <c r="E254" s="222" t="s">
        <v>52</v>
      </c>
      <c r="F254" s="294"/>
      <c r="G254" s="289"/>
      <c r="H254" s="63">
        <f t="shared" si="9"/>
        <v>0</v>
      </c>
      <c r="I254" s="28"/>
      <c r="J254" s="28">
        <v>0</v>
      </c>
      <c r="K254" s="28">
        <v>0</v>
      </c>
      <c r="L254" s="303"/>
    </row>
    <row r="255" spans="1:12" ht="58.5" customHeight="1" x14ac:dyDescent="0.3">
      <c r="A255" s="484"/>
      <c r="B255" s="487"/>
      <c r="C255" s="300"/>
      <c r="D255" s="62" t="s">
        <v>26</v>
      </c>
      <c r="E255" s="222" t="s">
        <v>53</v>
      </c>
      <c r="F255" s="294"/>
      <c r="G255" s="289"/>
      <c r="H255" s="63">
        <f t="shared" si="9"/>
        <v>6394.6</v>
      </c>
      <c r="I255" s="28"/>
      <c r="J255" s="28">
        <v>6394.6</v>
      </c>
      <c r="K255" s="28">
        <v>0</v>
      </c>
      <c r="L255" s="303"/>
    </row>
    <row r="256" spans="1:12" ht="69" customHeight="1" x14ac:dyDescent="0.3">
      <c r="A256" s="484"/>
      <c r="B256" s="487"/>
      <c r="C256" s="300"/>
      <c r="D256" s="62" t="s">
        <v>26</v>
      </c>
      <c r="E256" s="222" t="s">
        <v>51</v>
      </c>
      <c r="F256" s="294"/>
      <c r="G256" s="289"/>
      <c r="H256" s="63">
        <f t="shared" si="9"/>
        <v>17696.400000000001</v>
      </c>
      <c r="I256" s="28"/>
      <c r="J256" s="28">
        <f>8342.2+9354.2</f>
        <v>17696.400000000001</v>
      </c>
      <c r="K256" s="28">
        <v>0</v>
      </c>
      <c r="L256" s="303"/>
    </row>
    <row r="257" spans="1:12" ht="66" customHeight="1" x14ac:dyDescent="0.3">
      <c r="A257" s="484"/>
      <c r="B257" s="487"/>
      <c r="C257" s="300"/>
      <c r="D257" s="62" t="s">
        <v>26</v>
      </c>
      <c r="E257" s="235" t="s">
        <v>138</v>
      </c>
      <c r="F257" s="294"/>
      <c r="G257" s="289"/>
      <c r="H257" s="63">
        <f>I257+J257+K257</f>
        <v>7120</v>
      </c>
      <c r="I257" s="28"/>
      <c r="J257" s="28">
        <v>7120</v>
      </c>
      <c r="K257" s="28">
        <v>0</v>
      </c>
      <c r="L257" s="303"/>
    </row>
    <row r="258" spans="1:12" ht="96.75" hidden="1" customHeight="1" x14ac:dyDescent="0.3">
      <c r="A258" s="484"/>
      <c r="B258" s="487"/>
      <c r="C258" s="300"/>
      <c r="D258" s="62" t="s">
        <v>27</v>
      </c>
      <c r="E258" s="229" t="s">
        <v>55</v>
      </c>
      <c r="F258" s="294"/>
      <c r="G258" s="289"/>
      <c r="H258" s="63">
        <f t="shared" ref="H258:H263" si="10">I258+J258+K258</f>
        <v>0</v>
      </c>
      <c r="I258" s="28"/>
      <c r="J258" s="28">
        <v>0</v>
      </c>
      <c r="K258" s="28">
        <v>0</v>
      </c>
      <c r="L258" s="303"/>
    </row>
    <row r="259" spans="1:12" ht="63.75" hidden="1" customHeight="1" x14ac:dyDescent="0.3">
      <c r="A259" s="484"/>
      <c r="B259" s="487"/>
      <c r="C259" s="300"/>
      <c r="D259" s="62" t="s">
        <v>28</v>
      </c>
      <c r="E259" s="229" t="s">
        <v>54</v>
      </c>
      <c r="F259" s="294"/>
      <c r="G259" s="289"/>
      <c r="H259" s="63">
        <f t="shared" si="10"/>
        <v>0</v>
      </c>
      <c r="I259" s="28"/>
      <c r="J259" s="28">
        <v>0</v>
      </c>
      <c r="K259" s="28">
        <v>0</v>
      </c>
      <c r="L259" s="303"/>
    </row>
    <row r="260" spans="1:12" ht="69" hidden="1" customHeight="1" x14ac:dyDescent="0.3">
      <c r="A260" s="484"/>
      <c r="B260" s="487"/>
      <c r="C260" s="300"/>
      <c r="D260" s="62" t="s">
        <v>33</v>
      </c>
      <c r="E260" s="222" t="s">
        <v>56</v>
      </c>
      <c r="F260" s="294"/>
      <c r="G260" s="289"/>
      <c r="H260" s="63">
        <f t="shared" si="10"/>
        <v>0</v>
      </c>
      <c r="I260" s="28"/>
      <c r="J260" s="28">
        <v>0</v>
      </c>
      <c r="K260" s="28">
        <v>0</v>
      </c>
      <c r="L260" s="303"/>
    </row>
    <row r="261" spans="1:12" ht="82.5" hidden="1" customHeight="1" x14ac:dyDescent="0.3">
      <c r="A261" s="485"/>
      <c r="B261" s="488"/>
      <c r="C261" s="301"/>
      <c r="D261" s="62" t="s">
        <v>33</v>
      </c>
      <c r="E261" s="222" t="s">
        <v>57</v>
      </c>
      <c r="F261" s="295"/>
      <c r="G261" s="289"/>
      <c r="H261" s="63">
        <f t="shared" si="10"/>
        <v>0</v>
      </c>
      <c r="I261" s="28"/>
      <c r="J261" s="28">
        <v>0</v>
      </c>
      <c r="K261" s="28">
        <v>0</v>
      </c>
      <c r="L261" s="304"/>
    </row>
    <row r="262" spans="1:12" ht="45.75" customHeight="1" x14ac:dyDescent="0.3">
      <c r="A262" s="259"/>
      <c r="B262" s="260"/>
      <c r="C262" s="228"/>
      <c r="D262" s="466" t="s">
        <v>68</v>
      </c>
      <c r="E262" s="467"/>
      <c r="F262" s="468"/>
      <c r="G262" s="289"/>
      <c r="H262" s="26">
        <f>H253+H255+H256+H257</f>
        <v>44545.600000000006</v>
      </c>
      <c r="I262" s="26"/>
      <c r="J262" s="26">
        <f>J253+J255+J256+J257</f>
        <v>44545.600000000006</v>
      </c>
      <c r="K262" s="26">
        <f>K253+K255+K256+K257</f>
        <v>0</v>
      </c>
      <c r="L262" s="231"/>
    </row>
    <row r="263" spans="1:12" ht="159.75" customHeight="1" x14ac:dyDescent="0.3">
      <c r="A263" s="259"/>
      <c r="B263" s="260"/>
      <c r="C263" s="228"/>
      <c r="D263" s="62" t="s">
        <v>518</v>
      </c>
      <c r="E263" s="222" t="s">
        <v>61</v>
      </c>
      <c r="F263" s="225" t="s">
        <v>555</v>
      </c>
      <c r="G263" s="298"/>
      <c r="H263" s="63">
        <f t="shared" si="10"/>
        <v>400</v>
      </c>
      <c r="I263" s="28"/>
      <c r="J263" s="28">
        <v>400</v>
      </c>
      <c r="K263" s="28"/>
      <c r="L263" s="222" t="s">
        <v>519</v>
      </c>
    </row>
    <row r="264" spans="1:12" ht="75" customHeight="1" x14ac:dyDescent="0.3">
      <c r="A264" s="489" t="s">
        <v>50</v>
      </c>
      <c r="B264" s="489"/>
      <c r="C264" s="489"/>
      <c r="D264" s="489"/>
      <c r="E264" s="489"/>
      <c r="F264" s="489"/>
      <c r="G264" s="489"/>
      <c r="H264" s="26">
        <f>H189+H194+H206+H216+H229+H233+H240+H247+H252</f>
        <v>455382.02</v>
      </c>
      <c r="I264" s="26">
        <f>I189+I206+I229+I233+I247</f>
        <v>107551.92</v>
      </c>
      <c r="J264" s="26">
        <f>J194+J216+J229+J240+J252</f>
        <v>239530.10000000003</v>
      </c>
      <c r="K264" s="26">
        <f>K194+K216+K229+K240+K252</f>
        <v>108300</v>
      </c>
      <c r="L264" s="343"/>
    </row>
    <row r="265" spans="1:12" ht="75" customHeight="1" x14ac:dyDescent="0.3">
      <c r="A265" s="461" t="s">
        <v>160</v>
      </c>
      <c r="B265" s="461"/>
      <c r="C265" s="461"/>
      <c r="D265" s="461"/>
      <c r="E265" s="461"/>
      <c r="F265" s="462"/>
      <c r="G265" s="252" t="s">
        <v>152</v>
      </c>
      <c r="H265" s="26">
        <f>H189+H194+H206+H216+H229+H237+H238+H239+H244+H245+H246+H247+H252</f>
        <v>453545.30000000005</v>
      </c>
      <c r="I265" s="26">
        <f>I189+I194+I206+I216+I229+I237+I238+I239+I244+I245+I246+I247+I252</f>
        <v>105715.20000000001</v>
      </c>
      <c r="J265" s="26">
        <f>J189+J194+J206+J216+J229+J237+J238+J239+J244+J245+J246+J247+J252</f>
        <v>239530.10000000003</v>
      </c>
      <c r="K265" s="26">
        <f>K189+K194+K206+K216+K229+K237+K238+K239+K244+K245+K246+K247+K252</f>
        <v>108300</v>
      </c>
      <c r="L265" s="343"/>
    </row>
    <row r="266" spans="1:12" ht="303" customHeight="1" x14ac:dyDescent="0.3">
      <c r="A266" s="104"/>
      <c r="B266" s="104"/>
      <c r="C266" s="104"/>
      <c r="D266" s="104"/>
      <c r="E266" s="104"/>
      <c r="F266" s="249"/>
      <c r="G266" s="252" t="s">
        <v>314</v>
      </c>
      <c r="H266" s="26">
        <f>H234+H235++H236</f>
        <v>1836.72</v>
      </c>
      <c r="I266" s="26">
        <f>I234+I235+I236</f>
        <v>1836.72</v>
      </c>
      <c r="J266" s="26">
        <v>0</v>
      </c>
      <c r="K266" s="26">
        <v>0</v>
      </c>
      <c r="L266" s="343"/>
    </row>
    <row r="267" spans="1:12" ht="75" customHeight="1" x14ac:dyDescent="0.3">
      <c r="A267" s="442" t="s">
        <v>159</v>
      </c>
      <c r="B267" s="443"/>
      <c r="C267" s="443"/>
      <c r="D267" s="480"/>
      <c r="E267" s="236" t="s">
        <v>58</v>
      </c>
      <c r="F267" s="410"/>
      <c r="G267" s="252" t="s">
        <v>152</v>
      </c>
      <c r="H267" s="27">
        <f>H192+H218+H248+H253</f>
        <v>39134.6</v>
      </c>
      <c r="I267" s="27">
        <f>I192+I218+I248+I253</f>
        <v>18500</v>
      </c>
      <c r="J267" s="27">
        <f>J192+J218+J248+J253</f>
        <v>13334.6</v>
      </c>
      <c r="K267" s="27">
        <f>K192+K218+K248+K253</f>
        <v>7300</v>
      </c>
      <c r="L267" s="343"/>
    </row>
    <row r="268" spans="1:12" ht="75" customHeight="1" x14ac:dyDescent="0.3">
      <c r="A268" s="444"/>
      <c r="B268" s="445"/>
      <c r="C268" s="445"/>
      <c r="D268" s="481"/>
      <c r="E268" s="222" t="s">
        <v>52</v>
      </c>
      <c r="F268" s="411"/>
      <c r="G268" s="254" t="s">
        <v>152</v>
      </c>
      <c r="H268" s="27">
        <f>H219</f>
        <v>2000</v>
      </c>
      <c r="I268" s="27">
        <f>I219</f>
        <v>0</v>
      </c>
      <c r="J268" s="27">
        <f>J219</f>
        <v>0</v>
      </c>
      <c r="K268" s="27">
        <f>K219</f>
        <v>2000</v>
      </c>
      <c r="L268" s="343"/>
    </row>
    <row r="269" spans="1:12" ht="75" customHeight="1" x14ac:dyDescent="0.3">
      <c r="A269" s="444"/>
      <c r="B269" s="445"/>
      <c r="C269" s="445"/>
      <c r="D269" s="481"/>
      <c r="E269" s="302" t="s">
        <v>53</v>
      </c>
      <c r="F269" s="411"/>
      <c r="G269" s="254" t="s">
        <v>152</v>
      </c>
      <c r="H269" s="27">
        <f>H220+H237+H255</f>
        <v>10924.2</v>
      </c>
      <c r="I269" s="27">
        <f>I237</f>
        <v>1929.6</v>
      </c>
      <c r="J269" s="27">
        <f>J255</f>
        <v>6394.6</v>
      </c>
      <c r="K269" s="27">
        <f>K220</f>
        <v>2600</v>
      </c>
      <c r="L269" s="343"/>
    </row>
    <row r="270" spans="1:12" ht="309.75" customHeight="1" x14ac:dyDescent="0.3">
      <c r="A270" s="444"/>
      <c r="B270" s="445"/>
      <c r="C270" s="445"/>
      <c r="D270" s="481"/>
      <c r="E270" s="304"/>
      <c r="F270" s="411"/>
      <c r="G270" s="252" t="s">
        <v>314</v>
      </c>
      <c r="H270" s="27">
        <f>H234</f>
        <v>612.24</v>
      </c>
      <c r="I270" s="27">
        <f>I234</f>
        <v>612.24</v>
      </c>
      <c r="J270" s="27">
        <f>J234</f>
        <v>0</v>
      </c>
      <c r="K270" s="27">
        <f>K234</f>
        <v>0</v>
      </c>
      <c r="L270" s="343"/>
    </row>
    <row r="271" spans="1:12" ht="75" customHeight="1" x14ac:dyDescent="0.3">
      <c r="A271" s="444"/>
      <c r="B271" s="445"/>
      <c r="C271" s="445"/>
      <c r="D271" s="481"/>
      <c r="E271" s="302" t="s">
        <v>51</v>
      </c>
      <c r="F271" s="411"/>
      <c r="G271" s="254" t="s">
        <v>152</v>
      </c>
      <c r="H271" s="27">
        <f>H221+H230+H238+H245+H250+H256+H201</f>
        <v>73848.7</v>
      </c>
      <c r="I271" s="27">
        <f>I221+I230+I238+I245+I250+I256</f>
        <v>16111.3</v>
      </c>
      <c r="J271" s="27">
        <f>J221+J230+J238+J245+J250+J256+J201</f>
        <v>53737.400000000009</v>
      </c>
      <c r="K271" s="27">
        <f>K221+K230+K238+K245+K250+K256</f>
        <v>4000</v>
      </c>
      <c r="L271" s="343"/>
    </row>
    <row r="272" spans="1:12" ht="319.5" customHeight="1" x14ac:dyDescent="0.3">
      <c r="A272" s="444"/>
      <c r="B272" s="445"/>
      <c r="C272" s="445"/>
      <c r="D272" s="481"/>
      <c r="E272" s="304"/>
      <c r="F272" s="411"/>
      <c r="G272" s="252" t="s">
        <v>314</v>
      </c>
      <c r="H272" s="27">
        <f>H235</f>
        <v>612.24</v>
      </c>
      <c r="I272" s="27">
        <f>I235</f>
        <v>612.24</v>
      </c>
      <c r="J272" s="27">
        <f>J235</f>
        <v>0</v>
      </c>
      <c r="K272" s="27">
        <f>K235</f>
        <v>0</v>
      </c>
      <c r="L272" s="343"/>
    </row>
    <row r="273" spans="1:12" ht="90.75" customHeight="1" x14ac:dyDescent="0.3">
      <c r="A273" s="444"/>
      <c r="B273" s="445"/>
      <c r="C273" s="445"/>
      <c r="D273" s="481"/>
      <c r="E273" s="302" t="s">
        <v>138</v>
      </c>
      <c r="F273" s="411"/>
      <c r="G273" s="254" t="s">
        <v>152</v>
      </c>
      <c r="H273" s="27">
        <f>H193+H202+H222+H232+H239+H246+H257</f>
        <v>97096.2</v>
      </c>
      <c r="I273" s="27">
        <f>I193+I202+I222+I232+I239+I246+I257</f>
        <v>33281.300000000003</v>
      </c>
      <c r="J273" s="27">
        <f>J193+J202+J222+J232+J239+J246+J257</f>
        <v>60814.9</v>
      </c>
      <c r="K273" s="27">
        <f>K193+K202+K222+K232+K239+K246+K257</f>
        <v>3000</v>
      </c>
      <c r="L273" s="343"/>
    </row>
    <row r="274" spans="1:12" ht="326.25" customHeight="1" x14ac:dyDescent="0.3">
      <c r="A274" s="444"/>
      <c r="B274" s="445"/>
      <c r="C274" s="445"/>
      <c r="D274" s="481"/>
      <c r="E274" s="304"/>
      <c r="F274" s="411"/>
      <c r="G274" s="252" t="s">
        <v>314</v>
      </c>
      <c r="H274" s="27">
        <f>H236+H243</f>
        <v>612.24</v>
      </c>
      <c r="I274" s="27">
        <f>I236+I243</f>
        <v>612.24</v>
      </c>
      <c r="J274" s="27">
        <f>J236+J243</f>
        <v>0</v>
      </c>
      <c r="K274" s="27">
        <f>K236+K243</f>
        <v>0</v>
      </c>
      <c r="L274" s="343"/>
    </row>
    <row r="275" spans="1:12" ht="112.5" customHeight="1" x14ac:dyDescent="0.3">
      <c r="A275" s="444"/>
      <c r="B275" s="445"/>
      <c r="C275" s="445"/>
      <c r="D275" s="481"/>
      <c r="E275" s="236" t="s">
        <v>55</v>
      </c>
      <c r="F275" s="411"/>
      <c r="G275" s="254" t="s">
        <v>152</v>
      </c>
      <c r="H275" s="27">
        <f t="shared" ref="H275:K276" si="11">H223</f>
        <v>6600</v>
      </c>
      <c r="I275" s="27">
        <f t="shared" si="11"/>
        <v>0</v>
      </c>
      <c r="J275" s="27">
        <f t="shared" si="11"/>
        <v>0</v>
      </c>
      <c r="K275" s="27">
        <f t="shared" si="11"/>
        <v>6600</v>
      </c>
      <c r="L275" s="343"/>
    </row>
    <row r="276" spans="1:12" ht="99.75" customHeight="1" x14ac:dyDescent="0.3">
      <c r="A276" s="444"/>
      <c r="B276" s="445"/>
      <c r="C276" s="445"/>
      <c r="D276" s="481"/>
      <c r="E276" s="222" t="s">
        <v>54</v>
      </c>
      <c r="F276" s="411"/>
      <c r="G276" s="254" t="s">
        <v>152</v>
      </c>
      <c r="H276" s="27">
        <f t="shared" si="11"/>
        <v>2500</v>
      </c>
      <c r="I276" s="27">
        <f t="shared" si="11"/>
        <v>0</v>
      </c>
      <c r="J276" s="27">
        <f t="shared" si="11"/>
        <v>0</v>
      </c>
      <c r="K276" s="27">
        <f t="shared" si="11"/>
        <v>2500</v>
      </c>
      <c r="L276" s="343"/>
    </row>
    <row r="277" spans="1:12" ht="99.75" hidden="1" customHeight="1" x14ac:dyDescent="0.3">
      <c r="A277" s="444"/>
      <c r="B277" s="445"/>
      <c r="C277" s="445"/>
      <c r="D277" s="481"/>
      <c r="E277" s="222" t="s">
        <v>56</v>
      </c>
      <c r="F277" s="411"/>
      <c r="G277" s="254" t="s">
        <v>152</v>
      </c>
      <c r="H277" s="27"/>
      <c r="I277" s="27"/>
      <c r="J277" s="27"/>
      <c r="K277" s="27"/>
      <c r="L277" s="343"/>
    </row>
    <row r="278" spans="1:12" ht="99.75" hidden="1" customHeight="1" x14ac:dyDescent="0.3">
      <c r="A278" s="444"/>
      <c r="B278" s="445"/>
      <c r="C278" s="445"/>
      <c r="D278" s="481"/>
      <c r="E278" s="222" t="s">
        <v>57</v>
      </c>
      <c r="F278" s="411"/>
      <c r="G278" s="254" t="s">
        <v>152</v>
      </c>
      <c r="H278" s="27"/>
      <c r="I278" s="27"/>
      <c r="J278" s="27"/>
      <c r="K278" s="27"/>
      <c r="L278" s="343"/>
    </row>
    <row r="279" spans="1:12" ht="75" customHeight="1" x14ac:dyDescent="0.3">
      <c r="A279" s="444"/>
      <c r="B279" s="445"/>
      <c r="C279" s="445"/>
      <c r="D279" s="481"/>
      <c r="E279" s="236" t="s">
        <v>133</v>
      </c>
      <c r="F279" s="411"/>
      <c r="G279" s="254" t="s">
        <v>152</v>
      </c>
      <c r="H279" s="27">
        <f>H195+H207+H217+H190</f>
        <v>207469.6</v>
      </c>
      <c r="I279" s="27">
        <f>I195+I207+I217+I190</f>
        <v>30493</v>
      </c>
      <c r="J279" s="27">
        <f>J195+J207+J217+J190</f>
        <v>96676.6</v>
      </c>
      <c r="K279" s="27">
        <f>K195+K207+K217+K190</f>
        <v>80300</v>
      </c>
      <c r="L279" s="343"/>
    </row>
    <row r="280" spans="1:12" ht="117.75" customHeight="1" x14ac:dyDescent="0.3">
      <c r="A280" s="444"/>
      <c r="B280" s="445"/>
      <c r="C280" s="445"/>
      <c r="D280" s="481"/>
      <c r="E280" s="236" t="s">
        <v>61</v>
      </c>
      <c r="F280" s="411"/>
      <c r="G280" s="254" t="s">
        <v>152</v>
      </c>
      <c r="H280" s="27">
        <f>H215+H228+H263</f>
        <v>13572</v>
      </c>
      <c r="I280" s="27">
        <f>I215+I228</f>
        <v>5000</v>
      </c>
      <c r="J280" s="27">
        <f>J215+J228+J263</f>
        <v>8572</v>
      </c>
      <c r="K280" s="27">
        <f>K215+K228</f>
        <v>0</v>
      </c>
      <c r="L280" s="343"/>
    </row>
    <row r="281" spans="1:12" ht="122.25" customHeight="1" x14ac:dyDescent="0.3">
      <c r="A281" s="446"/>
      <c r="B281" s="447"/>
      <c r="C281" s="447"/>
      <c r="D281" s="482"/>
      <c r="E281" s="222" t="s">
        <v>306</v>
      </c>
      <c r="F281" s="412"/>
      <c r="G281" s="254" t="s">
        <v>152</v>
      </c>
      <c r="H281" s="27">
        <f>H191</f>
        <v>400</v>
      </c>
      <c r="I281" s="27">
        <f>I191</f>
        <v>400</v>
      </c>
      <c r="J281" s="27">
        <f>J191</f>
        <v>0</v>
      </c>
      <c r="K281" s="27">
        <f>K191</f>
        <v>0</v>
      </c>
      <c r="L281" s="343"/>
    </row>
    <row r="282" spans="1:12" ht="75" customHeight="1" x14ac:dyDescent="0.3">
      <c r="A282" s="417" t="s">
        <v>69</v>
      </c>
      <c r="B282" s="418"/>
      <c r="C282" s="418"/>
      <c r="D282" s="418"/>
      <c r="E282" s="418"/>
      <c r="F282" s="419"/>
      <c r="G282" s="65"/>
      <c r="H282" s="26">
        <f>H123+H172+H185+H264</f>
        <v>796514.02</v>
      </c>
      <c r="I282" s="26">
        <f>I123+I172+I185+I264</f>
        <v>225046.12</v>
      </c>
      <c r="J282" s="26">
        <f>J123+J172+J185+J264</f>
        <v>362709.20000000007</v>
      </c>
      <c r="K282" s="26">
        <f>K123+K172+K185+K264</f>
        <v>208758.7</v>
      </c>
      <c r="L282" s="337"/>
    </row>
    <row r="283" spans="1:12" ht="75" customHeight="1" x14ac:dyDescent="0.3">
      <c r="A283" s="455" t="s">
        <v>160</v>
      </c>
      <c r="B283" s="455"/>
      <c r="C283" s="455"/>
      <c r="D283" s="455"/>
      <c r="E283" s="455"/>
      <c r="F283" s="456"/>
      <c r="G283" s="254" t="s">
        <v>150</v>
      </c>
      <c r="H283" s="26">
        <f>H124+H173+H186</f>
        <v>322354.89999999997</v>
      </c>
      <c r="I283" s="26">
        <f>I124+I173+I186</f>
        <v>100462.09999999999</v>
      </c>
      <c r="J283" s="26">
        <f>J124+J173+J186</f>
        <v>121434.1</v>
      </c>
      <c r="K283" s="26">
        <f>K124+K173+K186</f>
        <v>100458.70000000001</v>
      </c>
      <c r="L283" s="344"/>
    </row>
    <row r="284" spans="1:12" ht="75" customHeight="1" x14ac:dyDescent="0.3">
      <c r="A284" s="457"/>
      <c r="B284" s="457"/>
      <c r="C284" s="457"/>
      <c r="D284" s="457"/>
      <c r="E284" s="457"/>
      <c r="F284" s="458"/>
      <c r="G284" s="254" t="s">
        <v>140</v>
      </c>
      <c r="H284" s="26">
        <f t="shared" ref="H284:K285" si="12">H265</f>
        <v>453545.30000000005</v>
      </c>
      <c r="I284" s="26">
        <f t="shared" si="12"/>
        <v>105715.20000000001</v>
      </c>
      <c r="J284" s="26">
        <f t="shared" si="12"/>
        <v>239530.10000000003</v>
      </c>
      <c r="K284" s="26">
        <f t="shared" si="12"/>
        <v>108300</v>
      </c>
      <c r="L284" s="344"/>
    </row>
    <row r="285" spans="1:12" ht="315" customHeight="1" x14ac:dyDescent="0.3">
      <c r="A285" s="457"/>
      <c r="B285" s="457"/>
      <c r="C285" s="457"/>
      <c r="D285" s="457"/>
      <c r="E285" s="457"/>
      <c r="F285" s="458"/>
      <c r="G285" s="252" t="s">
        <v>314</v>
      </c>
      <c r="H285" s="26">
        <f t="shared" si="12"/>
        <v>1836.72</v>
      </c>
      <c r="I285" s="26">
        <f t="shared" si="12"/>
        <v>1836.72</v>
      </c>
      <c r="J285" s="26">
        <f t="shared" si="12"/>
        <v>0</v>
      </c>
      <c r="K285" s="26">
        <f t="shared" si="12"/>
        <v>0</v>
      </c>
      <c r="L285" s="344"/>
    </row>
    <row r="286" spans="1:12" ht="77.25" customHeight="1" x14ac:dyDescent="0.3">
      <c r="A286" s="457"/>
      <c r="B286" s="457"/>
      <c r="C286" s="457"/>
      <c r="D286" s="457"/>
      <c r="E286" s="457"/>
      <c r="F286" s="458"/>
      <c r="G286" s="241" t="s">
        <v>353</v>
      </c>
      <c r="H286" s="26">
        <f>H125</f>
        <v>495</v>
      </c>
      <c r="I286" s="26">
        <f>I125</f>
        <v>495</v>
      </c>
      <c r="J286" s="26">
        <f>J125</f>
        <v>0</v>
      </c>
      <c r="K286" s="26">
        <f>K125</f>
        <v>0</v>
      </c>
      <c r="L286" s="344"/>
    </row>
    <row r="287" spans="1:12" ht="77.25" customHeight="1" x14ac:dyDescent="0.3">
      <c r="A287" s="459"/>
      <c r="B287" s="459"/>
      <c r="C287" s="459"/>
      <c r="D287" s="459"/>
      <c r="E287" s="459"/>
      <c r="F287" s="460"/>
      <c r="G287" s="223" t="s">
        <v>356</v>
      </c>
      <c r="H287" s="26">
        <f>H187</f>
        <v>18282.099999999999</v>
      </c>
      <c r="I287" s="26">
        <f>I187</f>
        <v>16537.099999999999</v>
      </c>
      <c r="J287" s="26">
        <f>J187</f>
        <v>1745</v>
      </c>
      <c r="K287" s="26">
        <f>K187</f>
        <v>0</v>
      </c>
      <c r="L287" s="338"/>
    </row>
    <row r="288" spans="1:12" ht="75" customHeight="1" x14ac:dyDescent="0.3">
      <c r="A288" s="473" t="s">
        <v>66</v>
      </c>
      <c r="B288" s="473"/>
      <c r="C288" s="473"/>
      <c r="D288" s="474"/>
      <c r="E288" s="315" t="s">
        <v>58</v>
      </c>
      <c r="F288" s="463"/>
      <c r="G288" s="254" t="s">
        <v>64</v>
      </c>
      <c r="H288" s="26">
        <f>SUM(H289:H290)</f>
        <v>73407.200000000012</v>
      </c>
      <c r="I288" s="26">
        <f>SUM(I289:I290)</f>
        <v>28203.7</v>
      </c>
      <c r="J288" s="26">
        <f>SUM(J289:J290)</f>
        <v>28357.600000000002</v>
      </c>
      <c r="K288" s="26">
        <f>SUM(K289:K290)</f>
        <v>16845.900000000001</v>
      </c>
      <c r="L288" s="163"/>
    </row>
    <row r="289" spans="1:12" ht="75" customHeight="1" x14ac:dyDescent="0.3">
      <c r="A289" s="475"/>
      <c r="B289" s="475"/>
      <c r="C289" s="475"/>
      <c r="D289" s="476"/>
      <c r="E289" s="316"/>
      <c r="F289" s="464"/>
      <c r="G289" s="241" t="s">
        <v>149</v>
      </c>
      <c r="H289" s="28">
        <f>H127</f>
        <v>34272.600000000006</v>
      </c>
      <c r="I289" s="28">
        <f>I127</f>
        <v>9703.7000000000007</v>
      </c>
      <c r="J289" s="28">
        <f>J127</f>
        <v>15023.000000000002</v>
      </c>
      <c r="K289" s="28">
        <f>K127</f>
        <v>9545.9</v>
      </c>
      <c r="L289" s="162"/>
    </row>
    <row r="290" spans="1:12" ht="85.5" customHeight="1" x14ac:dyDescent="0.3">
      <c r="A290" s="475"/>
      <c r="B290" s="475"/>
      <c r="C290" s="475"/>
      <c r="D290" s="476"/>
      <c r="E290" s="416"/>
      <c r="F290" s="464"/>
      <c r="G290" s="241" t="s">
        <v>152</v>
      </c>
      <c r="H290" s="28">
        <f>H267</f>
        <v>39134.6</v>
      </c>
      <c r="I290" s="28">
        <f>I267</f>
        <v>18500</v>
      </c>
      <c r="J290" s="28">
        <f>J267</f>
        <v>13334.6</v>
      </c>
      <c r="K290" s="28">
        <f>K267</f>
        <v>7300</v>
      </c>
      <c r="L290" s="162"/>
    </row>
    <row r="291" spans="1:12" ht="75" customHeight="1" x14ac:dyDescent="0.3">
      <c r="A291" s="475"/>
      <c r="B291" s="475"/>
      <c r="C291" s="475"/>
      <c r="D291" s="476"/>
      <c r="E291" s="315" t="s">
        <v>52</v>
      </c>
      <c r="F291" s="464"/>
      <c r="G291" s="254" t="s">
        <v>64</v>
      </c>
      <c r="H291" s="26">
        <f>SUM(H292:H293)</f>
        <v>43641</v>
      </c>
      <c r="I291" s="26">
        <f>SUM(I292:I293)</f>
        <v>16473.7</v>
      </c>
      <c r="J291" s="26">
        <f>SUM(J292:J293)</f>
        <v>13207.9</v>
      </c>
      <c r="K291" s="26">
        <f>SUM(K292:K293)</f>
        <v>13959.4</v>
      </c>
      <c r="L291" s="162"/>
    </row>
    <row r="292" spans="1:12" ht="75" customHeight="1" x14ac:dyDescent="0.3">
      <c r="A292" s="475"/>
      <c r="B292" s="475"/>
      <c r="C292" s="475"/>
      <c r="D292" s="476"/>
      <c r="E292" s="316"/>
      <c r="F292" s="464"/>
      <c r="G292" s="241" t="s">
        <v>149</v>
      </c>
      <c r="H292" s="28">
        <f>H129+H174</f>
        <v>41641</v>
      </c>
      <c r="I292" s="28">
        <f>I129+I174</f>
        <v>16473.7</v>
      </c>
      <c r="J292" s="28">
        <f>J129+J174</f>
        <v>13207.9</v>
      </c>
      <c r="K292" s="28">
        <f>K129+K174</f>
        <v>11959.4</v>
      </c>
      <c r="L292" s="242"/>
    </row>
    <row r="293" spans="1:12" ht="75" customHeight="1" x14ac:dyDescent="0.3">
      <c r="A293" s="475"/>
      <c r="B293" s="475"/>
      <c r="C293" s="475"/>
      <c r="D293" s="476"/>
      <c r="E293" s="416"/>
      <c r="F293" s="464"/>
      <c r="G293" s="241" t="s">
        <v>152</v>
      </c>
      <c r="H293" s="28">
        <f>H268</f>
        <v>2000</v>
      </c>
      <c r="I293" s="28">
        <f>I268</f>
        <v>0</v>
      </c>
      <c r="J293" s="28">
        <f>J268</f>
        <v>0</v>
      </c>
      <c r="K293" s="28">
        <f>K268</f>
        <v>2000</v>
      </c>
      <c r="L293" s="242"/>
    </row>
    <row r="294" spans="1:12" ht="75" customHeight="1" x14ac:dyDescent="0.3">
      <c r="A294" s="475"/>
      <c r="B294" s="475"/>
      <c r="C294" s="475"/>
      <c r="D294" s="476"/>
      <c r="E294" s="315" t="s">
        <v>53</v>
      </c>
      <c r="F294" s="464"/>
      <c r="G294" s="254" t="s">
        <v>64</v>
      </c>
      <c r="H294" s="26">
        <f>SUM(H295:H297)</f>
        <v>52726.839999999989</v>
      </c>
      <c r="I294" s="26">
        <f>SUM(I295:I297)</f>
        <v>15261.64</v>
      </c>
      <c r="J294" s="26">
        <f>SUM(J295:J297)</f>
        <v>20023.300000000003</v>
      </c>
      <c r="K294" s="26">
        <f>SUM(K295:K297)</f>
        <v>17441.900000000001</v>
      </c>
      <c r="L294" s="242"/>
    </row>
    <row r="295" spans="1:12" ht="75" customHeight="1" x14ac:dyDescent="0.3">
      <c r="A295" s="475"/>
      <c r="B295" s="475"/>
      <c r="C295" s="475"/>
      <c r="D295" s="476"/>
      <c r="E295" s="316"/>
      <c r="F295" s="464"/>
      <c r="G295" s="241" t="s">
        <v>149</v>
      </c>
      <c r="H295" s="28">
        <f>H131+H175</f>
        <v>41190.399999999994</v>
      </c>
      <c r="I295" s="28">
        <f>I131+I175</f>
        <v>12719.8</v>
      </c>
      <c r="J295" s="28">
        <f>J131+J175</f>
        <v>13628.7</v>
      </c>
      <c r="K295" s="28">
        <f>K131+K175</f>
        <v>14841.900000000001</v>
      </c>
      <c r="L295" s="242"/>
    </row>
    <row r="296" spans="1:12" ht="75" customHeight="1" x14ac:dyDescent="0.3">
      <c r="A296" s="475"/>
      <c r="B296" s="475"/>
      <c r="C296" s="475"/>
      <c r="D296" s="476"/>
      <c r="E296" s="316"/>
      <c r="F296" s="464"/>
      <c r="G296" s="241" t="s">
        <v>152</v>
      </c>
      <c r="H296" s="28">
        <f t="shared" ref="H296:K297" si="13">H269</f>
        <v>10924.2</v>
      </c>
      <c r="I296" s="28">
        <f t="shared" si="13"/>
        <v>1929.6</v>
      </c>
      <c r="J296" s="28">
        <f t="shared" si="13"/>
        <v>6394.6</v>
      </c>
      <c r="K296" s="28">
        <f t="shared" si="13"/>
        <v>2600</v>
      </c>
      <c r="L296" s="242"/>
    </row>
    <row r="297" spans="1:12" ht="327.75" customHeight="1" x14ac:dyDescent="0.3">
      <c r="A297" s="475"/>
      <c r="B297" s="475"/>
      <c r="C297" s="475"/>
      <c r="D297" s="476"/>
      <c r="E297" s="416"/>
      <c r="F297" s="464"/>
      <c r="G297" s="252" t="s">
        <v>314</v>
      </c>
      <c r="H297" s="28">
        <f t="shared" si="13"/>
        <v>612.24</v>
      </c>
      <c r="I297" s="28">
        <f t="shared" si="13"/>
        <v>612.24</v>
      </c>
      <c r="J297" s="28">
        <f t="shared" si="13"/>
        <v>0</v>
      </c>
      <c r="K297" s="28">
        <f t="shared" si="13"/>
        <v>0</v>
      </c>
      <c r="L297" s="242"/>
    </row>
    <row r="298" spans="1:12" ht="42" customHeight="1" x14ac:dyDescent="0.3">
      <c r="A298" s="475"/>
      <c r="B298" s="475"/>
      <c r="C298" s="475"/>
      <c r="D298" s="476"/>
      <c r="E298" s="315" t="s">
        <v>51</v>
      </c>
      <c r="F298" s="464"/>
      <c r="G298" s="254" t="s">
        <v>64</v>
      </c>
      <c r="H298" s="26">
        <f>SUM(H299:H301)</f>
        <v>126023.04000000001</v>
      </c>
      <c r="I298" s="26">
        <f>SUM(I299:I301)</f>
        <v>29305.14</v>
      </c>
      <c r="J298" s="26">
        <f>SUM(J299:J301)</f>
        <v>79219.200000000012</v>
      </c>
      <c r="K298" s="26">
        <f>SUM(K299:K301)</f>
        <v>17498.699999999997</v>
      </c>
      <c r="L298" s="242"/>
    </row>
    <row r="299" spans="1:12" ht="55.5" customHeight="1" x14ac:dyDescent="0.3">
      <c r="A299" s="475"/>
      <c r="B299" s="475"/>
      <c r="C299" s="475"/>
      <c r="D299" s="476"/>
      <c r="E299" s="316"/>
      <c r="F299" s="464"/>
      <c r="G299" s="66" t="s">
        <v>149</v>
      </c>
      <c r="H299" s="28">
        <f>H133</f>
        <v>51562.100000000006</v>
      </c>
      <c r="I299" s="28">
        <f>I133</f>
        <v>12581.599999999999</v>
      </c>
      <c r="J299" s="28">
        <f>J133</f>
        <v>25481.800000000003</v>
      </c>
      <c r="K299" s="28">
        <f>K133</f>
        <v>13498.699999999999</v>
      </c>
      <c r="L299" s="242"/>
    </row>
    <row r="300" spans="1:12" ht="58.5" customHeight="1" x14ac:dyDescent="0.3">
      <c r="A300" s="475"/>
      <c r="B300" s="475"/>
      <c r="C300" s="475"/>
      <c r="D300" s="476"/>
      <c r="E300" s="316"/>
      <c r="F300" s="464"/>
      <c r="G300" s="241" t="s">
        <v>152</v>
      </c>
      <c r="H300" s="28">
        <f t="shared" ref="H300:K301" si="14">H271</f>
        <v>73848.7</v>
      </c>
      <c r="I300" s="28">
        <f t="shared" si="14"/>
        <v>16111.3</v>
      </c>
      <c r="J300" s="28">
        <f t="shared" si="14"/>
        <v>53737.400000000009</v>
      </c>
      <c r="K300" s="28">
        <f t="shared" si="14"/>
        <v>4000</v>
      </c>
      <c r="L300" s="242"/>
    </row>
    <row r="301" spans="1:12" ht="303.75" customHeight="1" x14ac:dyDescent="0.3">
      <c r="A301" s="475"/>
      <c r="B301" s="475"/>
      <c r="C301" s="475"/>
      <c r="D301" s="476"/>
      <c r="E301" s="416"/>
      <c r="F301" s="464"/>
      <c r="G301" s="252" t="s">
        <v>314</v>
      </c>
      <c r="H301" s="28">
        <f t="shared" si="14"/>
        <v>612.24</v>
      </c>
      <c r="I301" s="28">
        <f t="shared" si="14"/>
        <v>612.24</v>
      </c>
      <c r="J301" s="28">
        <f t="shared" si="14"/>
        <v>0</v>
      </c>
      <c r="K301" s="28">
        <f t="shared" si="14"/>
        <v>0</v>
      </c>
      <c r="L301" s="242"/>
    </row>
    <row r="302" spans="1:12" ht="42" customHeight="1" x14ac:dyDescent="0.3">
      <c r="A302" s="475"/>
      <c r="B302" s="475"/>
      <c r="C302" s="475"/>
      <c r="D302" s="476"/>
      <c r="E302" s="315" t="s">
        <v>138</v>
      </c>
      <c r="F302" s="464"/>
      <c r="G302" s="254" t="s">
        <v>64</v>
      </c>
      <c r="H302" s="28">
        <f>SUM(H303:H306)</f>
        <v>115084.04</v>
      </c>
      <c r="I302" s="28">
        <f>SUM(I303:I306)</f>
        <v>39421.440000000002</v>
      </c>
      <c r="J302" s="28">
        <f>SUM(J303:J306)</f>
        <v>67414.899999999994</v>
      </c>
      <c r="K302" s="28">
        <f>SUM(K303:K306)</f>
        <v>8247.7000000000007</v>
      </c>
      <c r="L302" s="242"/>
    </row>
    <row r="303" spans="1:12" ht="56.25" customHeight="1" x14ac:dyDescent="0.3">
      <c r="A303" s="475"/>
      <c r="B303" s="475"/>
      <c r="C303" s="475"/>
      <c r="D303" s="476"/>
      <c r="E303" s="316"/>
      <c r="F303" s="464"/>
      <c r="G303" s="66" t="s">
        <v>149</v>
      </c>
      <c r="H303" s="28">
        <f>H143+H179</f>
        <v>16880.599999999999</v>
      </c>
      <c r="I303" s="28">
        <f>I143+I179</f>
        <v>5032.8999999999996</v>
      </c>
      <c r="J303" s="28">
        <f>J143+J179</f>
        <v>6600</v>
      </c>
      <c r="K303" s="28">
        <f>K143+K179</f>
        <v>5247.7</v>
      </c>
      <c r="L303" s="242"/>
    </row>
    <row r="304" spans="1:12" ht="75" customHeight="1" x14ac:dyDescent="0.3">
      <c r="A304" s="475"/>
      <c r="B304" s="475"/>
      <c r="C304" s="475"/>
      <c r="D304" s="476"/>
      <c r="E304" s="316"/>
      <c r="F304" s="464"/>
      <c r="G304" s="241" t="s">
        <v>152</v>
      </c>
      <c r="H304" s="28">
        <f t="shared" ref="H304:K305" si="15">H273</f>
        <v>97096.2</v>
      </c>
      <c r="I304" s="28">
        <f t="shared" si="15"/>
        <v>33281.300000000003</v>
      </c>
      <c r="J304" s="28">
        <f t="shared" si="15"/>
        <v>60814.9</v>
      </c>
      <c r="K304" s="28">
        <f t="shared" si="15"/>
        <v>3000</v>
      </c>
      <c r="L304" s="242"/>
    </row>
    <row r="305" spans="1:12" ht="310.5" customHeight="1" x14ac:dyDescent="0.3">
      <c r="A305" s="475"/>
      <c r="B305" s="475"/>
      <c r="C305" s="475"/>
      <c r="D305" s="476"/>
      <c r="E305" s="316"/>
      <c r="F305" s="464"/>
      <c r="G305" s="252" t="s">
        <v>314</v>
      </c>
      <c r="H305" s="28">
        <f t="shared" si="15"/>
        <v>612.24</v>
      </c>
      <c r="I305" s="28">
        <f t="shared" si="15"/>
        <v>612.24</v>
      </c>
      <c r="J305" s="28">
        <f t="shared" si="15"/>
        <v>0</v>
      </c>
      <c r="K305" s="28">
        <f t="shared" si="15"/>
        <v>0</v>
      </c>
      <c r="L305" s="242"/>
    </row>
    <row r="306" spans="1:12" ht="110.25" customHeight="1" x14ac:dyDescent="0.3">
      <c r="A306" s="475"/>
      <c r="B306" s="475"/>
      <c r="C306" s="475"/>
      <c r="D306" s="476"/>
      <c r="E306" s="416"/>
      <c r="F306" s="464"/>
      <c r="G306" s="241" t="s">
        <v>353</v>
      </c>
      <c r="H306" s="28">
        <f>H144</f>
        <v>495</v>
      </c>
      <c r="I306" s="28">
        <f>I144</f>
        <v>495</v>
      </c>
      <c r="J306" s="28">
        <f>J144</f>
        <v>0</v>
      </c>
      <c r="K306" s="28">
        <f>K144</f>
        <v>0</v>
      </c>
      <c r="L306" s="242"/>
    </row>
    <row r="307" spans="1:12" ht="58.5" customHeight="1" x14ac:dyDescent="0.3">
      <c r="A307" s="475"/>
      <c r="B307" s="475"/>
      <c r="C307" s="475"/>
      <c r="D307" s="476"/>
      <c r="E307" s="315" t="s">
        <v>55</v>
      </c>
      <c r="F307" s="464"/>
      <c r="G307" s="254" t="s">
        <v>64</v>
      </c>
      <c r="H307" s="26">
        <f>SUM(H308:H309)</f>
        <v>22910.399999999998</v>
      </c>
      <c r="I307" s="26">
        <f>SUM(I308:I309)</f>
        <v>5125.6000000000004</v>
      </c>
      <c r="J307" s="26">
        <f>SUM(J308:J309)</f>
        <v>5512</v>
      </c>
      <c r="K307" s="26">
        <f>SUM(K308:K309)</f>
        <v>12272.8</v>
      </c>
      <c r="L307" s="242"/>
    </row>
    <row r="308" spans="1:12" ht="75" customHeight="1" x14ac:dyDescent="0.3">
      <c r="A308" s="475"/>
      <c r="B308" s="475"/>
      <c r="C308" s="475"/>
      <c r="D308" s="476"/>
      <c r="E308" s="316"/>
      <c r="F308" s="464"/>
      <c r="G308" s="66" t="s">
        <v>149</v>
      </c>
      <c r="H308" s="28">
        <f>H135</f>
        <v>16310.399999999998</v>
      </c>
      <c r="I308" s="28">
        <f>I135</f>
        <v>5125.6000000000004</v>
      </c>
      <c r="J308" s="28">
        <f>J135</f>
        <v>5512</v>
      </c>
      <c r="K308" s="28">
        <f>K135</f>
        <v>5672.8</v>
      </c>
      <c r="L308" s="242"/>
    </row>
    <row r="309" spans="1:12" ht="63" customHeight="1" x14ac:dyDescent="0.3">
      <c r="A309" s="475"/>
      <c r="B309" s="475"/>
      <c r="C309" s="475"/>
      <c r="D309" s="476"/>
      <c r="E309" s="416"/>
      <c r="F309" s="464"/>
      <c r="G309" s="241" t="s">
        <v>152</v>
      </c>
      <c r="H309" s="28">
        <f>H275</f>
        <v>6600</v>
      </c>
      <c r="I309" s="28">
        <f>I275</f>
        <v>0</v>
      </c>
      <c r="J309" s="28">
        <f>J275</f>
        <v>0</v>
      </c>
      <c r="K309" s="28">
        <f>K275</f>
        <v>6600</v>
      </c>
      <c r="L309" s="242"/>
    </row>
    <row r="310" spans="1:12" ht="64.5" customHeight="1" x14ac:dyDescent="0.3">
      <c r="A310" s="475"/>
      <c r="B310" s="475"/>
      <c r="C310" s="475"/>
      <c r="D310" s="476"/>
      <c r="E310" s="315" t="s">
        <v>54</v>
      </c>
      <c r="F310" s="464"/>
      <c r="G310" s="254" t="s">
        <v>64</v>
      </c>
      <c r="H310" s="26">
        <f>SUM(H311:H312)</f>
        <v>42118.3</v>
      </c>
      <c r="I310" s="26">
        <f>SUM(I311:I312)</f>
        <v>13838.7</v>
      </c>
      <c r="J310" s="26">
        <f>SUM(J311:J312)</f>
        <v>2556.6999999999998</v>
      </c>
      <c r="K310" s="26">
        <f>SUM(K311:K312)</f>
        <v>13886.8</v>
      </c>
      <c r="L310" s="242"/>
    </row>
    <row r="311" spans="1:12" ht="75" customHeight="1" x14ac:dyDescent="0.3">
      <c r="A311" s="475"/>
      <c r="B311" s="475"/>
      <c r="C311" s="475"/>
      <c r="D311" s="476"/>
      <c r="E311" s="316"/>
      <c r="F311" s="464"/>
      <c r="G311" s="66" t="s">
        <v>149</v>
      </c>
      <c r="H311" s="28">
        <f>H137+H176</f>
        <v>39618.300000000003</v>
      </c>
      <c r="I311" s="28">
        <f>I137+I176</f>
        <v>13838.7</v>
      </c>
      <c r="J311" s="28">
        <f>J119+J120+J169</f>
        <v>2556.6999999999998</v>
      </c>
      <c r="K311" s="28">
        <f>K137+K176</f>
        <v>11386.8</v>
      </c>
      <c r="L311" s="242"/>
    </row>
    <row r="312" spans="1:12" ht="75" customHeight="1" x14ac:dyDescent="0.3">
      <c r="A312" s="475"/>
      <c r="B312" s="475"/>
      <c r="C312" s="475"/>
      <c r="D312" s="476"/>
      <c r="E312" s="416"/>
      <c r="F312" s="464"/>
      <c r="G312" s="241" t="s">
        <v>152</v>
      </c>
      <c r="H312" s="28">
        <f>H276</f>
        <v>2500</v>
      </c>
      <c r="I312" s="28">
        <f>I276</f>
        <v>0</v>
      </c>
      <c r="J312" s="28">
        <f>J276</f>
        <v>0</v>
      </c>
      <c r="K312" s="28">
        <f>K276</f>
        <v>2500</v>
      </c>
      <c r="L312" s="242"/>
    </row>
    <row r="313" spans="1:12" ht="75" customHeight="1" x14ac:dyDescent="0.3">
      <c r="A313" s="475"/>
      <c r="B313" s="475"/>
      <c r="C313" s="475"/>
      <c r="D313" s="476"/>
      <c r="E313" s="315" t="s">
        <v>56</v>
      </c>
      <c r="F313" s="464"/>
      <c r="G313" s="254" t="s">
        <v>64</v>
      </c>
      <c r="H313" s="26">
        <f>SUM(H314:H315)</f>
        <v>32485.200000000004</v>
      </c>
      <c r="I313" s="26">
        <f>SUM(I314:I315)</f>
        <v>10162</v>
      </c>
      <c r="J313" s="26">
        <f>SUM(J314:J315)</f>
        <v>11096.099999999999</v>
      </c>
      <c r="K313" s="26">
        <f>SUM(K314:K315)</f>
        <v>11227.099999999999</v>
      </c>
      <c r="L313" s="242"/>
    </row>
    <row r="314" spans="1:12" ht="75" customHeight="1" x14ac:dyDescent="0.3">
      <c r="A314" s="475"/>
      <c r="B314" s="475"/>
      <c r="C314" s="475"/>
      <c r="D314" s="476"/>
      <c r="E314" s="316"/>
      <c r="F314" s="464"/>
      <c r="G314" s="66" t="s">
        <v>149</v>
      </c>
      <c r="H314" s="28">
        <f>H139+H177</f>
        <v>32485.200000000004</v>
      </c>
      <c r="I314" s="28">
        <f>I139+I177</f>
        <v>10162</v>
      </c>
      <c r="J314" s="28">
        <f>J139+J177</f>
        <v>11096.099999999999</v>
      </c>
      <c r="K314" s="28">
        <f>K139+K177</f>
        <v>11227.099999999999</v>
      </c>
      <c r="L314" s="242"/>
    </row>
    <row r="315" spans="1:12" ht="75" customHeight="1" x14ac:dyDescent="0.3">
      <c r="A315" s="475"/>
      <c r="B315" s="475"/>
      <c r="C315" s="475"/>
      <c r="D315" s="476"/>
      <c r="E315" s="416"/>
      <c r="F315" s="464"/>
      <c r="G315" s="241" t="s">
        <v>152</v>
      </c>
      <c r="H315" s="28">
        <f>H277</f>
        <v>0</v>
      </c>
      <c r="I315" s="28">
        <f>I277</f>
        <v>0</v>
      </c>
      <c r="J315" s="28">
        <f>J277</f>
        <v>0</v>
      </c>
      <c r="K315" s="28">
        <f>K277</f>
        <v>0</v>
      </c>
      <c r="L315" s="242"/>
    </row>
    <row r="316" spans="1:12" ht="75" customHeight="1" x14ac:dyDescent="0.3">
      <c r="A316" s="475"/>
      <c r="B316" s="475"/>
      <c r="C316" s="475"/>
      <c r="D316" s="476"/>
      <c r="E316" s="315" t="s">
        <v>57</v>
      </c>
      <c r="F316" s="464"/>
      <c r="G316" s="254" t="s">
        <v>64</v>
      </c>
      <c r="H316" s="26">
        <f>H317+H318</f>
        <v>36733.599999999999</v>
      </c>
      <c r="I316" s="26">
        <f>I317+I318</f>
        <v>11869.8</v>
      </c>
      <c r="J316" s="26">
        <f>J317+J318</f>
        <v>11778.8</v>
      </c>
      <c r="K316" s="26">
        <f>K317+K318</f>
        <v>13085</v>
      </c>
      <c r="L316" s="242"/>
    </row>
    <row r="317" spans="1:12" ht="75" customHeight="1" x14ac:dyDescent="0.3">
      <c r="A317" s="475"/>
      <c r="B317" s="475"/>
      <c r="C317" s="475"/>
      <c r="D317" s="476"/>
      <c r="E317" s="316"/>
      <c r="F317" s="464"/>
      <c r="G317" s="66" t="s">
        <v>149</v>
      </c>
      <c r="H317" s="28">
        <f>H141+H178</f>
        <v>36733.599999999999</v>
      </c>
      <c r="I317" s="28">
        <f>I141+I178</f>
        <v>11869.8</v>
      </c>
      <c r="J317" s="28">
        <f>J141+J178</f>
        <v>11778.8</v>
      </c>
      <c r="K317" s="28">
        <f>K141+K178</f>
        <v>13085</v>
      </c>
      <c r="L317" s="242"/>
    </row>
    <row r="318" spans="1:12" ht="75" customHeight="1" x14ac:dyDescent="0.3">
      <c r="A318" s="475"/>
      <c r="B318" s="475"/>
      <c r="C318" s="475"/>
      <c r="D318" s="476"/>
      <c r="E318" s="416"/>
      <c r="F318" s="464"/>
      <c r="G318" s="241" t="s">
        <v>152</v>
      </c>
      <c r="H318" s="28">
        <f>I318+J318+K318</f>
        <v>0</v>
      </c>
      <c r="I318" s="28">
        <f>I278</f>
        <v>0</v>
      </c>
      <c r="J318" s="28">
        <f>J278</f>
        <v>0</v>
      </c>
      <c r="K318" s="28">
        <f>K278</f>
        <v>0</v>
      </c>
      <c r="L318" s="242"/>
    </row>
    <row r="319" spans="1:12" ht="75" customHeight="1" x14ac:dyDescent="0.3">
      <c r="A319" s="475"/>
      <c r="B319" s="475"/>
      <c r="C319" s="475"/>
      <c r="D319" s="476"/>
      <c r="E319" s="315" t="s">
        <v>133</v>
      </c>
      <c r="F319" s="464"/>
      <c r="G319" s="254" t="s">
        <v>64</v>
      </c>
      <c r="H319" s="26">
        <f>H320+H321+H322</f>
        <v>237412.40000000002</v>
      </c>
      <c r="I319" s="26">
        <f>I320+I321+I322</f>
        <v>49984.4</v>
      </c>
      <c r="J319" s="26">
        <f>J320+J321+J322</f>
        <v>103134.6</v>
      </c>
      <c r="K319" s="26">
        <f>K320+K321+K322</f>
        <v>84293.4</v>
      </c>
      <c r="L319" s="242"/>
    </row>
    <row r="320" spans="1:12" ht="75" customHeight="1" x14ac:dyDescent="0.3">
      <c r="A320" s="475"/>
      <c r="B320" s="475"/>
      <c r="C320" s="475"/>
      <c r="D320" s="476"/>
      <c r="E320" s="316"/>
      <c r="F320" s="464"/>
      <c r="G320" s="66" t="s">
        <v>149</v>
      </c>
      <c r="H320" s="28">
        <f>H146+H186</f>
        <v>11660.7</v>
      </c>
      <c r="I320" s="28">
        <f>I146+I186</f>
        <v>2954.2999999999997</v>
      </c>
      <c r="J320" s="28">
        <f>J146+J186</f>
        <v>4713</v>
      </c>
      <c r="K320" s="28">
        <f>K146+K186</f>
        <v>3993.4</v>
      </c>
      <c r="L320" s="242"/>
    </row>
    <row r="321" spans="1:12" ht="67.5" customHeight="1" x14ac:dyDescent="0.3">
      <c r="A321" s="475"/>
      <c r="B321" s="475"/>
      <c r="C321" s="475"/>
      <c r="D321" s="476"/>
      <c r="E321" s="316"/>
      <c r="F321" s="464"/>
      <c r="G321" s="241" t="s">
        <v>152</v>
      </c>
      <c r="H321" s="28">
        <f>H279</f>
        <v>207469.6</v>
      </c>
      <c r="I321" s="28">
        <f>I279</f>
        <v>30493</v>
      </c>
      <c r="J321" s="28">
        <f>J279</f>
        <v>96676.6</v>
      </c>
      <c r="K321" s="28">
        <f>K279</f>
        <v>80300</v>
      </c>
      <c r="L321" s="239"/>
    </row>
    <row r="322" spans="1:12" ht="72" customHeight="1" x14ac:dyDescent="0.3">
      <c r="A322" s="475"/>
      <c r="B322" s="475"/>
      <c r="C322" s="475"/>
      <c r="D322" s="476"/>
      <c r="E322" s="416"/>
      <c r="F322" s="464"/>
      <c r="G322" s="223" t="s">
        <v>356</v>
      </c>
      <c r="H322" s="28">
        <f>H187</f>
        <v>18282.099999999999</v>
      </c>
      <c r="I322" s="28">
        <f>I187</f>
        <v>16537.099999999999</v>
      </c>
      <c r="J322" s="28">
        <f>J187</f>
        <v>1745</v>
      </c>
      <c r="K322" s="28">
        <f>K187</f>
        <v>0</v>
      </c>
      <c r="L322" s="164"/>
    </row>
    <row r="323" spans="1:12" ht="120" customHeight="1" x14ac:dyDescent="0.3">
      <c r="A323" s="475"/>
      <c r="B323" s="475"/>
      <c r="C323" s="475"/>
      <c r="D323" s="476"/>
      <c r="E323" s="255" t="s">
        <v>61</v>
      </c>
      <c r="F323" s="464"/>
      <c r="G323" s="241" t="s">
        <v>152</v>
      </c>
      <c r="H323" s="28">
        <f t="shared" ref="H323:K324" si="16">H280</f>
        <v>13572</v>
      </c>
      <c r="I323" s="28">
        <f t="shared" si="16"/>
        <v>5000</v>
      </c>
      <c r="J323" s="28">
        <f t="shared" si="16"/>
        <v>8572</v>
      </c>
      <c r="K323" s="28">
        <f t="shared" si="16"/>
        <v>0</v>
      </c>
      <c r="L323" s="164"/>
    </row>
    <row r="324" spans="1:12" ht="112.5" customHeight="1" x14ac:dyDescent="0.3">
      <c r="A324" s="477"/>
      <c r="B324" s="477"/>
      <c r="C324" s="477"/>
      <c r="D324" s="478"/>
      <c r="E324" s="234" t="s">
        <v>306</v>
      </c>
      <c r="F324" s="465"/>
      <c r="G324" s="254" t="s">
        <v>152</v>
      </c>
      <c r="H324" s="28">
        <f t="shared" si="16"/>
        <v>400</v>
      </c>
      <c r="I324" s="28">
        <f t="shared" si="16"/>
        <v>400</v>
      </c>
      <c r="J324" s="28">
        <f t="shared" si="16"/>
        <v>0</v>
      </c>
      <c r="K324" s="28">
        <f t="shared" si="16"/>
        <v>0</v>
      </c>
      <c r="L324" s="164"/>
    </row>
    <row r="325" spans="1:12" ht="75" customHeight="1" x14ac:dyDescent="0.3">
      <c r="A325" s="434" t="s">
        <v>99</v>
      </c>
      <c r="B325" s="434"/>
      <c r="C325" s="434"/>
      <c r="D325" s="434"/>
      <c r="E325" s="434"/>
      <c r="F325" s="434"/>
      <c r="G325" s="434"/>
      <c r="H325" s="434"/>
      <c r="I325" s="434"/>
      <c r="J325" s="434"/>
      <c r="K325" s="434"/>
      <c r="L325" s="435"/>
    </row>
    <row r="326" spans="1:12" ht="88.5" customHeight="1" x14ac:dyDescent="0.3">
      <c r="A326" s="233" t="s">
        <v>100</v>
      </c>
      <c r="B326" s="413" t="s">
        <v>378</v>
      </c>
      <c r="C326" s="414"/>
      <c r="D326" s="414"/>
      <c r="E326" s="414"/>
      <c r="F326" s="415"/>
      <c r="G326" s="51" t="s">
        <v>60</v>
      </c>
      <c r="H326" s="26">
        <f>SUM(H327:H331)</f>
        <v>1960.2</v>
      </c>
      <c r="I326" s="26">
        <f>SUM(I327:I331)</f>
        <v>653.4</v>
      </c>
      <c r="J326" s="26">
        <f>SUM(J327:J331)</f>
        <v>653.4</v>
      </c>
      <c r="K326" s="26">
        <f>SUM(K327:K331)</f>
        <v>653.4</v>
      </c>
      <c r="L326" s="287" t="s">
        <v>390</v>
      </c>
    </row>
    <row r="327" spans="1:12" ht="92.25" hidden="1" customHeight="1" x14ac:dyDescent="0.3">
      <c r="A327" s="470" t="s">
        <v>101</v>
      </c>
      <c r="B327" s="455"/>
      <c r="C327" s="455"/>
      <c r="D327" s="456"/>
      <c r="E327" s="222" t="s">
        <v>58</v>
      </c>
      <c r="F327" s="393"/>
      <c r="G327" s="288" t="s">
        <v>149</v>
      </c>
      <c r="H327" s="26">
        <f>I327+J327+K327</f>
        <v>0</v>
      </c>
      <c r="I327" s="28"/>
      <c r="J327" s="28"/>
      <c r="K327" s="28"/>
      <c r="L327" s="287"/>
    </row>
    <row r="328" spans="1:12" ht="82.5" customHeight="1" x14ac:dyDescent="0.3">
      <c r="A328" s="471"/>
      <c r="B328" s="457"/>
      <c r="C328" s="457"/>
      <c r="D328" s="458"/>
      <c r="E328" s="222" t="s">
        <v>52</v>
      </c>
      <c r="F328" s="394"/>
      <c r="G328" s="289"/>
      <c r="H328" s="26">
        <f>I328+J328+K328</f>
        <v>490.20000000000005</v>
      </c>
      <c r="I328" s="28">
        <v>163.4</v>
      </c>
      <c r="J328" s="28">
        <v>163.4</v>
      </c>
      <c r="K328" s="28">
        <v>163.4</v>
      </c>
      <c r="L328" s="287"/>
    </row>
    <row r="329" spans="1:12" ht="92.25" hidden="1" customHeight="1" x14ac:dyDescent="0.3">
      <c r="A329" s="471"/>
      <c r="B329" s="457"/>
      <c r="C329" s="457"/>
      <c r="D329" s="458"/>
      <c r="E329" s="222" t="s">
        <v>53</v>
      </c>
      <c r="F329" s="394"/>
      <c r="G329" s="289"/>
      <c r="H329" s="26">
        <f>I329+J329+K329</f>
        <v>0</v>
      </c>
      <c r="I329" s="28"/>
      <c r="J329" s="28"/>
      <c r="K329" s="28"/>
      <c r="L329" s="287"/>
    </row>
    <row r="330" spans="1:12" ht="92.25" hidden="1" customHeight="1" x14ac:dyDescent="0.3">
      <c r="A330" s="471"/>
      <c r="B330" s="457"/>
      <c r="C330" s="457"/>
      <c r="D330" s="458"/>
      <c r="E330" s="222" t="s">
        <v>55</v>
      </c>
      <c r="F330" s="394"/>
      <c r="G330" s="289"/>
      <c r="H330" s="26">
        <f>I330+J330+K330</f>
        <v>0</v>
      </c>
      <c r="I330" s="28"/>
      <c r="J330" s="28"/>
      <c r="K330" s="28"/>
      <c r="L330" s="287"/>
    </row>
    <row r="331" spans="1:12" ht="92.25" customHeight="1" x14ac:dyDescent="0.3">
      <c r="A331" s="472"/>
      <c r="B331" s="459"/>
      <c r="C331" s="459"/>
      <c r="D331" s="460"/>
      <c r="E331" s="229" t="s">
        <v>54</v>
      </c>
      <c r="F331" s="395"/>
      <c r="G331" s="298"/>
      <c r="H331" s="26">
        <f>I331+J331+K331</f>
        <v>1470</v>
      </c>
      <c r="I331" s="28">
        <v>490</v>
      </c>
      <c r="J331" s="28">
        <v>490</v>
      </c>
      <c r="K331" s="28">
        <v>490</v>
      </c>
      <c r="L331" s="287"/>
    </row>
    <row r="332" spans="1:12" ht="90" customHeight="1" x14ac:dyDescent="0.3">
      <c r="A332" s="67" t="s">
        <v>110</v>
      </c>
      <c r="B332" s="413" t="s">
        <v>379</v>
      </c>
      <c r="C332" s="414"/>
      <c r="D332" s="414"/>
      <c r="E332" s="414"/>
      <c r="F332" s="415"/>
      <c r="G332" s="247" t="s">
        <v>60</v>
      </c>
      <c r="H332" s="26">
        <f>SUM(H333:H346)</f>
        <v>47919.199999999997</v>
      </c>
      <c r="I332" s="26">
        <f>SUM(I333:I346)</f>
        <v>165</v>
      </c>
      <c r="J332" s="26">
        <f>SUM(J333:J346)</f>
        <v>15754.199999999999</v>
      </c>
      <c r="K332" s="26">
        <f>SUM(K333:K346)</f>
        <v>32000</v>
      </c>
      <c r="L332" s="305" t="s">
        <v>389</v>
      </c>
    </row>
    <row r="333" spans="1:12" ht="92.25" hidden="1" customHeight="1" x14ac:dyDescent="0.3">
      <c r="A333" s="384" t="s">
        <v>101</v>
      </c>
      <c r="B333" s="385"/>
      <c r="C333" s="385"/>
      <c r="D333" s="386"/>
      <c r="E333" s="302" t="s">
        <v>58</v>
      </c>
      <c r="F333" s="356"/>
      <c r="G333" s="241" t="s">
        <v>149</v>
      </c>
      <c r="H333" s="26">
        <f t="shared" ref="H333:H346" si="17">I333+J333+K333</f>
        <v>0</v>
      </c>
      <c r="I333" s="26"/>
      <c r="J333" s="26"/>
      <c r="K333" s="26"/>
      <c r="L333" s="306"/>
    </row>
    <row r="334" spans="1:12" ht="75" customHeight="1" x14ac:dyDescent="0.3">
      <c r="A334" s="387"/>
      <c r="B334" s="388"/>
      <c r="C334" s="388"/>
      <c r="D334" s="389"/>
      <c r="E334" s="303"/>
      <c r="F334" s="357"/>
      <c r="G334" s="241" t="s">
        <v>152</v>
      </c>
      <c r="H334" s="28">
        <f t="shared" si="17"/>
        <v>4000</v>
      </c>
      <c r="I334" s="28">
        <v>0</v>
      </c>
      <c r="J334" s="28">
        <v>0</v>
      </c>
      <c r="K334" s="28">
        <v>4000</v>
      </c>
      <c r="L334" s="306"/>
    </row>
    <row r="335" spans="1:12" ht="75" customHeight="1" x14ac:dyDescent="0.3">
      <c r="A335" s="387"/>
      <c r="B335" s="388"/>
      <c r="C335" s="388"/>
      <c r="D335" s="389"/>
      <c r="E335" s="304"/>
      <c r="F335" s="357"/>
      <c r="G335" s="241" t="s">
        <v>149</v>
      </c>
      <c r="H335" s="28">
        <f t="shared" si="17"/>
        <v>142.80000000000001</v>
      </c>
      <c r="I335" s="28">
        <v>0</v>
      </c>
      <c r="J335" s="28">
        <v>142.80000000000001</v>
      </c>
      <c r="K335" s="28">
        <v>0</v>
      </c>
      <c r="L335" s="306"/>
    </row>
    <row r="336" spans="1:12" ht="82.5" customHeight="1" x14ac:dyDescent="0.3">
      <c r="A336" s="387"/>
      <c r="B336" s="388"/>
      <c r="C336" s="388"/>
      <c r="D336" s="389"/>
      <c r="E336" s="302" t="s">
        <v>247</v>
      </c>
      <c r="F336" s="357"/>
      <c r="G336" s="241" t="s">
        <v>149</v>
      </c>
      <c r="H336" s="28">
        <f t="shared" si="17"/>
        <v>62</v>
      </c>
      <c r="I336" s="28">
        <v>54.1</v>
      </c>
      <c r="J336" s="28">
        <v>7.9</v>
      </c>
      <c r="K336" s="28">
        <v>0</v>
      </c>
      <c r="L336" s="306"/>
    </row>
    <row r="337" spans="1:12" ht="80.25" customHeight="1" x14ac:dyDescent="0.3">
      <c r="A337" s="387"/>
      <c r="B337" s="388"/>
      <c r="C337" s="388"/>
      <c r="D337" s="389"/>
      <c r="E337" s="304"/>
      <c r="F337" s="357"/>
      <c r="G337" s="241" t="s">
        <v>152</v>
      </c>
      <c r="H337" s="28">
        <f t="shared" si="17"/>
        <v>17000</v>
      </c>
      <c r="I337" s="28">
        <v>0</v>
      </c>
      <c r="J337" s="28">
        <v>0</v>
      </c>
      <c r="K337" s="28">
        <v>17000</v>
      </c>
      <c r="L337" s="306"/>
    </row>
    <row r="338" spans="1:12" ht="95.25" customHeight="1" x14ac:dyDescent="0.3">
      <c r="A338" s="387"/>
      <c r="B338" s="388"/>
      <c r="C338" s="388"/>
      <c r="D338" s="389"/>
      <c r="E338" s="302" t="s">
        <v>248</v>
      </c>
      <c r="F338" s="357"/>
      <c r="G338" s="241" t="s">
        <v>152</v>
      </c>
      <c r="H338" s="28">
        <f t="shared" si="17"/>
        <v>6000</v>
      </c>
      <c r="I338" s="28">
        <v>0</v>
      </c>
      <c r="J338" s="28">
        <v>0</v>
      </c>
      <c r="K338" s="28">
        <v>6000</v>
      </c>
      <c r="L338" s="306"/>
    </row>
    <row r="339" spans="1:12" ht="95.25" customHeight="1" x14ac:dyDescent="0.3">
      <c r="A339" s="387"/>
      <c r="B339" s="388"/>
      <c r="C339" s="388"/>
      <c r="D339" s="389"/>
      <c r="E339" s="304"/>
      <c r="F339" s="357"/>
      <c r="G339" s="241" t="s">
        <v>149</v>
      </c>
      <c r="H339" s="28">
        <f>I339+J339+K339</f>
        <v>142.80000000000001</v>
      </c>
      <c r="I339" s="28">
        <v>0</v>
      </c>
      <c r="J339" s="28">
        <v>142.80000000000001</v>
      </c>
      <c r="K339" s="28">
        <v>0</v>
      </c>
      <c r="L339" s="306"/>
    </row>
    <row r="340" spans="1:12" ht="82.5" customHeight="1" x14ac:dyDescent="0.3">
      <c r="A340" s="387"/>
      <c r="B340" s="388"/>
      <c r="C340" s="388"/>
      <c r="D340" s="389"/>
      <c r="E340" s="302" t="s">
        <v>55</v>
      </c>
      <c r="F340" s="357"/>
      <c r="G340" s="241" t="s">
        <v>149</v>
      </c>
      <c r="H340" s="28">
        <f t="shared" si="17"/>
        <v>72</v>
      </c>
      <c r="I340" s="28">
        <v>64.099999999999994</v>
      </c>
      <c r="J340" s="28">
        <v>7.9</v>
      </c>
      <c r="K340" s="28">
        <v>0</v>
      </c>
      <c r="L340" s="306"/>
    </row>
    <row r="341" spans="1:12" ht="84.75" customHeight="1" x14ac:dyDescent="0.3">
      <c r="A341" s="387"/>
      <c r="B341" s="388"/>
      <c r="C341" s="388"/>
      <c r="D341" s="389"/>
      <c r="E341" s="304"/>
      <c r="F341" s="357"/>
      <c r="G341" s="241" t="s">
        <v>152</v>
      </c>
      <c r="H341" s="28">
        <f t="shared" si="17"/>
        <v>10824.8</v>
      </c>
      <c r="I341" s="28">
        <v>0</v>
      </c>
      <c r="J341" s="28">
        <v>10824.8</v>
      </c>
      <c r="K341" s="28">
        <v>0</v>
      </c>
      <c r="L341" s="306"/>
    </row>
    <row r="342" spans="1:12" ht="89.25" hidden="1" customHeight="1" x14ac:dyDescent="0.3">
      <c r="A342" s="387"/>
      <c r="B342" s="388"/>
      <c r="C342" s="388"/>
      <c r="D342" s="389"/>
      <c r="E342" s="235" t="s">
        <v>138</v>
      </c>
      <c r="F342" s="357"/>
      <c r="G342" s="241" t="s">
        <v>152</v>
      </c>
      <c r="H342" s="28">
        <f t="shared" si="17"/>
        <v>0</v>
      </c>
      <c r="I342" s="28"/>
      <c r="J342" s="28">
        <v>0</v>
      </c>
      <c r="K342" s="28">
        <v>0</v>
      </c>
      <c r="L342" s="306"/>
    </row>
    <row r="343" spans="1:12" ht="92.25" customHeight="1" x14ac:dyDescent="0.3">
      <c r="A343" s="387"/>
      <c r="B343" s="388"/>
      <c r="C343" s="388"/>
      <c r="D343" s="389"/>
      <c r="E343" s="302" t="s">
        <v>51</v>
      </c>
      <c r="F343" s="357"/>
      <c r="G343" s="241" t="s">
        <v>149</v>
      </c>
      <c r="H343" s="28">
        <f t="shared" si="17"/>
        <v>54.8</v>
      </c>
      <c r="I343" s="28">
        <v>46.8</v>
      </c>
      <c r="J343" s="28">
        <v>8</v>
      </c>
      <c r="K343" s="28">
        <v>0</v>
      </c>
      <c r="L343" s="306"/>
    </row>
    <row r="344" spans="1:12" ht="108" customHeight="1" x14ac:dyDescent="0.3">
      <c r="A344" s="387"/>
      <c r="B344" s="388"/>
      <c r="C344" s="388"/>
      <c r="D344" s="389"/>
      <c r="E344" s="303"/>
      <c r="F344" s="357"/>
      <c r="G344" s="241" t="s">
        <v>140</v>
      </c>
      <c r="H344" s="26">
        <f t="shared" si="17"/>
        <v>5420</v>
      </c>
      <c r="I344" s="28">
        <v>0</v>
      </c>
      <c r="J344" s="28">
        <v>420</v>
      </c>
      <c r="K344" s="33">
        <v>5000</v>
      </c>
      <c r="L344" s="306"/>
    </row>
    <row r="345" spans="1:12" ht="92.25" hidden="1" customHeight="1" x14ac:dyDescent="0.3">
      <c r="A345" s="387"/>
      <c r="B345" s="388"/>
      <c r="C345" s="388"/>
      <c r="D345" s="389"/>
      <c r="E345" s="303"/>
      <c r="F345" s="357"/>
      <c r="G345" s="223" t="s">
        <v>127</v>
      </c>
      <c r="H345" s="31">
        <f t="shared" si="17"/>
        <v>0</v>
      </c>
      <c r="I345" s="29">
        <v>0</v>
      </c>
      <c r="J345" s="29">
        <v>0</v>
      </c>
      <c r="K345" s="31">
        <v>0</v>
      </c>
      <c r="L345" s="306"/>
    </row>
    <row r="346" spans="1:12" ht="92.25" customHeight="1" x14ac:dyDescent="0.3">
      <c r="A346" s="390"/>
      <c r="B346" s="391"/>
      <c r="C346" s="391"/>
      <c r="D346" s="392"/>
      <c r="E346" s="304"/>
      <c r="F346" s="358"/>
      <c r="G346" s="241" t="s">
        <v>59</v>
      </c>
      <c r="H346" s="26">
        <f t="shared" si="17"/>
        <v>4200</v>
      </c>
      <c r="I346" s="28">
        <v>0</v>
      </c>
      <c r="J346" s="28">
        <v>4200</v>
      </c>
      <c r="K346" s="28">
        <v>0</v>
      </c>
      <c r="L346" s="307"/>
    </row>
    <row r="347" spans="1:12" ht="97.5" hidden="1" customHeight="1" x14ac:dyDescent="0.3">
      <c r="A347" s="67" t="s">
        <v>111</v>
      </c>
      <c r="B347" s="322" t="s">
        <v>135</v>
      </c>
      <c r="C347" s="322"/>
      <c r="D347" s="322"/>
      <c r="E347" s="322"/>
      <c r="F347" s="322"/>
      <c r="G347" s="251" t="s">
        <v>60</v>
      </c>
      <c r="H347" s="26">
        <f>H352+H353+H351+H350+H349+H348</f>
        <v>0</v>
      </c>
      <c r="I347" s="26">
        <f>I352+I353+I351+I350+I349+I348</f>
        <v>0</v>
      </c>
      <c r="J347" s="26">
        <f>J352+J353+J351+J350+J349+J348</f>
        <v>0</v>
      </c>
      <c r="K347" s="26">
        <f>K352+K353+K351+K350+K349+K348</f>
        <v>0</v>
      </c>
      <c r="L347" s="236"/>
    </row>
    <row r="348" spans="1:12" ht="92.25" hidden="1" customHeight="1" x14ac:dyDescent="0.3">
      <c r="A348" s="373" t="s">
        <v>101</v>
      </c>
      <c r="B348" s="433"/>
      <c r="C348" s="433"/>
      <c r="D348" s="374"/>
      <c r="E348" s="222" t="s">
        <v>58</v>
      </c>
      <c r="F348" s="234"/>
      <c r="G348" s="288" t="s">
        <v>70</v>
      </c>
      <c r="H348" s="28">
        <f t="shared" ref="H348:H353" si="18">I348+J348+K348</f>
        <v>0</v>
      </c>
      <c r="I348" s="103"/>
      <c r="J348" s="26">
        <v>0</v>
      </c>
      <c r="K348" s="26">
        <v>0</v>
      </c>
      <c r="L348" s="237"/>
    </row>
    <row r="349" spans="1:12" ht="294" hidden="1" customHeight="1" x14ac:dyDescent="0.3">
      <c r="A349" s="68"/>
      <c r="B349" s="68"/>
      <c r="C349" s="68"/>
      <c r="D349" s="68"/>
      <c r="E349" s="222" t="s">
        <v>51</v>
      </c>
      <c r="F349" s="251"/>
      <c r="G349" s="289"/>
      <c r="H349" s="28">
        <f t="shared" si="18"/>
        <v>0</v>
      </c>
      <c r="I349" s="103"/>
      <c r="J349" s="28">
        <v>0</v>
      </c>
      <c r="K349" s="28">
        <v>0</v>
      </c>
      <c r="L349" s="253" t="s">
        <v>208</v>
      </c>
    </row>
    <row r="350" spans="1:12" ht="167.1" hidden="1" customHeight="1" x14ac:dyDescent="0.3">
      <c r="A350" s="69"/>
      <c r="B350" s="69"/>
      <c r="C350" s="69"/>
      <c r="D350" s="69"/>
      <c r="E350" s="229" t="s">
        <v>138</v>
      </c>
      <c r="F350" s="246"/>
      <c r="G350" s="298"/>
      <c r="H350" s="28">
        <f t="shared" si="18"/>
        <v>0</v>
      </c>
      <c r="I350" s="103"/>
      <c r="J350" s="26">
        <v>0</v>
      </c>
      <c r="K350" s="28">
        <v>0</v>
      </c>
      <c r="L350" s="253" t="s">
        <v>250</v>
      </c>
    </row>
    <row r="351" spans="1:12" ht="92.25" hidden="1" customHeight="1" x14ac:dyDescent="0.3">
      <c r="A351" s="69"/>
      <c r="B351" s="69"/>
      <c r="C351" s="69"/>
      <c r="D351" s="69"/>
      <c r="E351" s="222" t="s">
        <v>58</v>
      </c>
      <c r="F351" s="246"/>
      <c r="G351" s="341"/>
      <c r="H351" s="28">
        <f t="shared" si="18"/>
        <v>0</v>
      </c>
      <c r="I351" s="28"/>
      <c r="J351" s="26"/>
      <c r="K351" s="28"/>
      <c r="L351" s="237"/>
    </row>
    <row r="352" spans="1:12" ht="147.75" hidden="1" customHeight="1" x14ac:dyDescent="0.3">
      <c r="A352" s="69"/>
      <c r="B352" s="69"/>
      <c r="C352" s="69"/>
      <c r="D352" s="69"/>
      <c r="E352" s="222" t="s">
        <v>51</v>
      </c>
      <c r="F352" s="246"/>
      <c r="G352" s="341"/>
      <c r="H352" s="28">
        <f t="shared" si="18"/>
        <v>0</v>
      </c>
      <c r="I352" s="28"/>
      <c r="J352" s="26"/>
      <c r="K352" s="28"/>
      <c r="L352" s="237"/>
    </row>
    <row r="353" spans="1:12" ht="128.25" hidden="1" customHeight="1" x14ac:dyDescent="0.3">
      <c r="A353" s="69"/>
      <c r="B353" s="69"/>
      <c r="C353" s="69"/>
      <c r="D353" s="69"/>
      <c r="E353" s="229" t="s">
        <v>138</v>
      </c>
      <c r="F353" s="246"/>
      <c r="G353" s="341"/>
      <c r="H353" s="28">
        <f t="shared" si="18"/>
        <v>0</v>
      </c>
      <c r="I353" s="28"/>
      <c r="J353" s="26"/>
      <c r="K353" s="28"/>
      <c r="L353" s="238"/>
    </row>
    <row r="354" spans="1:12" ht="158.25" hidden="1" customHeight="1" x14ac:dyDescent="0.3">
      <c r="A354" s="233" t="s">
        <v>112</v>
      </c>
      <c r="B354" s="322" t="s">
        <v>134</v>
      </c>
      <c r="C354" s="322"/>
      <c r="D354" s="322"/>
      <c r="E354" s="322"/>
      <c r="F354" s="322"/>
      <c r="G354" s="251" t="s">
        <v>60</v>
      </c>
      <c r="H354" s="26">
        <f>H355</f>
        <v>0</v>
      </c>
      <c r="I354" s="26">
        <f>I355</f>
        <v>0</v>
      </c>
      <c r="J354" s="26">
        <f>J355</f>
        <v>0</v>
      </c>
      <c r="K354" s="26">
        <f>K355</f>
        <v>0</v>
      </c>
      <c r="L354" s="302"/>
    </row>
    <row r="355" spans="1:12" ht="126.75" hidden="1" customHeight="1" x14ac:dyDescent="0.3">
      <c r="A355" s="448" t="s">
        <v>101</v>
      </c>
      <c r="B355" s="449"/>
      <c r="C355" s="449"/>
      <c r="D355" s="450"/>
      <c r="E355" s="222"/>
      <c r="F355" s="251"/>
      <c r="G355" s="241" t="s">
        <v>130</v>
      </c>
      <c r="H355" s="26">
        <f>I355+J355+K355</f>
        <v>0</v>
      </c>
      <c r="I355" s="28"/>
      <c r="J355" s="28"/>
      <c r="K355" s="28"/>
      <c r="L355" s="304"/>
    </row>
    <row r="356" spans="1:12" ht="100.5" hidden="1" customHeight="1" x14ac:dyDescent="0.3">
      <c r="A356" s="233" t="s">
        <v>113</v>
      </c>
      <c r="B356" s="322" t="s">
        <v>102</v>
      </c>
      <c r="C356" s="322"/>
      <c r="D356" s="322"/>
      <c r="E356" s="322"/>
      <c r="F356" s="322"/>
      <c r="G356" s="251" t="s">
        <v>60</v>
      </c>
      <c r="H356" s="26">
        <f>H357</f>
        <v>0</v>
      </c>
      <c r="I356" s="26">
        <f>I357</f>
        <v>0</v>
      </c>
      <c r="J356" s="26">
        <f>J357</f>
        <v>0</v>
      </c>
      <c r="K356" s="26">
        <f>K357</f>
        <v>0</v>
      </c>
      <c r="L356" s="302" t="s">
        <v>45</v>
      </c>
    </row>
    <row r="357" spans="1:12" ht="68.25" hidden="1" customHeight="1" x14ac:dyDescent="0.3">
      <c r="A357" s="469"/>
      <c r="B357" s="469"/>
      <c r="C357" s="469"/>
      <c r="D357" s="469"/>
      <c r="E357" s="222" t="s">
        <v>61</v>
      </c>
      <c r="F357" s="252"/>
      <c r="G357" s="288" t="s">
        <v>140</v>
      </c>
      <c r="H357" s="26">
        <f>H358+H359+H360+H362+H361</f>
        <v>0</v>
      </c>
      <c r="I357" s="26"/>
      <c r="J357" s="26"/>
      <c r="K357" s="26"/>
      <c r="L357" s="303"/>
    </row>
    <row r="358" spans="1:12" ht="60" hidden="1" customHeight="1" x14ac:dyDescent="0.3">
      <c r="A358" s="429" t="s">
        <v>101</v>
      </c>
      <c r="B358" s="430"/>
      <c r="C358" s="430"/>
      <c r="D358" s="430"/>
      <c r="E358" s="222" t="s">
        <v>52</v>
      </c>
      <c r="F358" s="252"/>
      <c r="G358" s="289"/>
      <c r="H358" s="26">
        <f>I358+J358+K358</f>
        <v>0</v>
      </c>
      <c r="I358" s="103"/>
      <c r="J358" s="28"/>
      <c r="K358" s="28"/>
      <c r="L358" s="303"/>
    </row>
    <row r="359" spans="1:12" ht="87.75" hidden="1" customHeight="1" x14ac:dyDescent="0.3">
      <c r="A359" s="431"/>
      <c r="B359" s="432"/>
      <c r="C359" s="432"/>
      <c r="D359" s="432"/>
      <c r="E359" s="222" t="s">
        <v>53</v>
      </c>
      <c r="F359" s="252"/>
      <c r="G359" s="289"/>
      <c r="H359" s="26">
        <f>I359+J359+K359</f>
        <v>0</v>
      </c>
      <c r="I359" s="28"/>
      <c r="J359" s="28"/>
      <c r="K359" s="28"/>
      <c r="L359" s="303"/>
    </row>
    <row r="360" spans="1:12" ht="102.75" hidden="1" customHeight="1" x14ac:dyDescent="0.3">
      <c r="A360" s="431"/>
      <c r="B360" s="432"/>
      <c r="C360" s="432"/>
      <c r="D360" s="432"/>
      <c r="E360" s="229" t="s">
        <v>55</v>
      </c>
      <c r="F360" s="252"/>
      <c r="G360" s="289"/>
      <c r="H360" s="26">
        <f>I360+J360+K360</f>
        <v>0</v>
      </c>
      <c r="I360" s="103"/>
      <c r="J360" s="28"/>
      <c r="K360" s="28"/>
      <c r="L360" s="303"/>
    </row>
    <row r="361" spans="1:12" ht="77.25" hidden="1" customHeight="1" x14ac:dyDescent="0.3">
      <c r="A361" s="256"/>
      <c r="B361" s="257"/>
      <c r="C361" s="257"/>
      <c r="D361" s="257"/>
      <c r="E361" s="222" t="s">
        <v>138</v>
      </c>
      <c r="F361" s="70"/>
      <c r="G361" s="289"/>
      <c r="H361" s="26">
        <f>I361+J361+K361</f>
        <v>0</v>
      </c>
      <c r="I361" s="103"/>
      <c r="J361" s="28"/>
      <c r="K361" s="28"/>
      <c r="L361" s="230"/>
    </row>
    <row r="362" spans="1:12" ht="70.5" hidden="1" customHeight="1" x14ac:dyDescent="0.3">
      <c r="A362" s="256"/>
      <c r="B362" s="257"/>
      <c r="C362" s="257"/>
      <c r="D362" s="257"/>
      <c r="E362" s="222" t="s">
        <v>51</v>
      </c>
      <c r="F362" s="70"/>
      <c r="G362" s="298"/>
      <c r="H362" s="26">
        <f>I362+J362+K362</f>
        <v>0</v>
      </c>
      <c r="I362" s="71"/>
      <c r="J362" s="71"/>
      <c r="K362" s="71"/>
      <c r="L362" s="230"/>
    </row>
    <row r="363" spans="1:12" ht="93.75" customHeight="1" x14ac:dyDescent="0.3">
      <c r="A363" s="72" t="s">
        <v>111</v>
      </c>
      <c r="B363" s="106" t="s">
        <v>103</v>
      </c>
      <c r="C363" s="76"/>
      <c r="D363" s="76"/>
      <c r="E363" s="76"/>
      <c r="F363" s="73"/>
      <c r="G363" s="246" t="s">
        <v>60</v>
      </c>
      <c r="H363" s="74">
        <f>SUM(H364:H374)</f>
        <v>3437372</v>
      </c>
      <c r="I363" s="74">
        <f>SUM(I364:I374)</f>
        <v>1199286.8</v>
      </c>
      <c r="J363" s="74">
        <f>SUM(J364:J374)</f>
        <v>1220840.2000000002</v>
      </c>
      <c r="K363" s="74">
        <f>SUM(K364:K374)</f>
        <v>1017245</v>
      </c>
      <c r="L363" s="305" t="s">
        <v>141</v>
      </c>
    </row>
    <row r="364" spans="1:12" ht="75" customHeight="1" x14ac:dyDescent="0.3">
      <c r="A364" s="420" t="s">
        <v>101</v>
      </c>
      <c r="B364" s="421"/>
      <c r="C364" s="421"/>
      <c r="D364" s="422"/>
      <c r="E364" s="222" t="s">
        <v>58</v>
      </c>
      <c r="F364" s="454"/>
      <c r="G364" s="288" t="s">
        <v>62</v>
      </c>
      <c r="H364" s="107">
        <f>I364+J364+K364</f>
        <v>1005381.9</v>
      </c>
      <c r="I364" s="28">
        <v>290904.7</v>
      </c>
      <c r="J364" s="28">
        <v>310577.2</v>
      </c>
      <c r="K364" s="28">
        <v>403900</v>
      </c>
      <c r="L364" s="306"/>
    </row>
    <row r="365" spans="1:12" ht="75" customHeight="1" x14ac:dyDescent="0.3">
      <c r="A365" s="423"/>
      <c r="B365" s="424"/>
      <c r="C365" s="424"/>
      <c r="D365" s="425"/>
      <c r="E365" s="222" t="s">
        <v>52</v>
      </c>
      <c r="F365" s="394"/>
      <c r="G365" s="289"/>
      <c r="H365" s="26">
        <f t="shared" ref="H365:H374" si="19">I365+J365+K365</f>
        <v>269409.8</v>
      </c>
      <c r="I365" s="28">
        <v>98845.8</v>
      </c>
      <c r="J365" s="28">
        <v>98564</v>
      </c>
      <c r="K365" s="28">
        <v>72000</v>
      </c>
      <c r="L365" s="306"/>
    </row>
    <row r="366" spans="1:12" ht="75" customHeight="1" x14ac:dyDescent="0.3">
      <c r="A366" s="423"/>
      <c r="B366" s="424"/>
      <c r="C366" s="424"/>
      <c r="D366" s="425"/>
      <c r="E366" s="222" t="s">
        <v>53</v>
      </c>
      <c r="F366" s="394"/>
      <c r="G366" s="289"/>
      <c r="H366" s="26">
        <f t="shared" si="19"/>
        <v>710895.6</v>
      </c>
      <c r="I366" s="28">
        <v>280810.3</v>
      </c>
      <c r="J366" s="28">
        <v>276377.2</v>
      </c>
      <c r="K366" s="28">
        <v>153708.1</v>
      </c>
      <c r="L366" s="306"/>
    </row>
    <row r="367" spans="1:12" ht="75" customHeight="1" x14ac:dyDescent="0.3">
      <c r="A367" s="423"/>
      <c r="B367" s="424"/>
      <c r="C367" s="424"/>
      <c r="D367" s="425"/>
      <c r="E367" s="222" t="s">
        <v>51</v>
      </c>
      <c r="F367" s="394"/>
      <c r="G367" s="289"/>
      <c r="H367" s="26">
        <f t="shared" si="19"/>
        <v>145519.5</v>
      </c>
      <c r="I367" s="28">
        <v>67676.7</v>
      </c>
      <c r="J367" s="28">
        <v>77727.3</v>
      </c>
      <c r="K367" s="28">
        <v>115.5</v>
      </c>
      <c r="L367" s="306"/>
    </row>
    <row r="368" spans="1:12" ht="93.75" customHeight="1" x14ac:dyDescent="0.3">
      <c r="A368" s="423"/>
      <c r="B368" s="424"/>
      <c r="C368" s="424"/>
      <c r="D368" s="425"/>
      <c r="E368" s="229" t="s">
        <v>55</v>
      </c>
      <c r="F368" s="394"/>
      <c r="G368" s="289"/>
      <c r="H368" s="26">
        <f t="shared" si="19"/>
        <v>287281.09999999998</v>
      </c>
      <c r="I368" s="28">
        <v>103368.3</v>
      </c>
      <c r="J368" s="28">
        <v>101912.8</v>
      </c>
      <c r="K368" s="28">
        <v>82000</v>
      </c>
      <c r="L368" s="306"/>
    </row>
    <row r="369" spans="1:12" ht="75" customHeight="1" x14ac:dyDescent="0.3">
      <c r="A369" s="423"/>
      <c r="B369" s="424"/>
      <c r="C369" s="424"/>
      <c r="D369" s="425"/>
      <c r="E369" s="229" t="s">
        <v>54</v>
      </c>
      <c r="F369" s="394"/>
      <c r="G369" s="289"/>
      <c r="H369" s="26">
        <f t="shared" si="19"/>
        <v>951.80000000000007</v>
      </c>
      <c r="I369" s="28">
        <v>303.10000000000002</v>
      </c>
      <c r="J369" s="28">
        <v>303.10000000000002</v>
      </c>
      <c r="K369" s="28">
        <v>345.6</v>
      </c>
      <c r="L369" s="306"/>
    </row>
    <row r="370" spans="1:12" ht="75" customHeight="1" x14ac:dyDescent="0.3">
      <c r="A370" s="423"/>
      <c r="B370" s="424"/>
      <c r="C370" s="424"/>
      <c r="D370" s="425"/>
      <c r="E370" s="222" t="s">
        <v>138</v>
      </c>
      <c r="F370" s="394"/>
      <c r="G370" s="289"/>
      <c r="H370" s="26">
        <f t="shared" si="19"/>
        <v>500191.7</v>
      </c>
      <c r="I370" s="28">
        <v>163191.70000000001</v>
      </c>
      <c r="J370" s="28">
        <v>178000</v>
      </c>
      <c r="K370" s="28">
        <v>159000</v>
      </c>
      <c r="L370" s="306"/>
    </row>
    <row r="371" spans="1:12" ht="75" customHeight="1" x14ac:dyDescent="0.3">
      <c r="A371" s="423"/>
      <c r="B371" s="424"/>
      <c r="C371" s="424"/>
      <c r="D371" s="425"/>
      <c r="E371" s="222" t="s">
        <v>56</v>
      </c>
      <c r="F371" s="394"/>
      <c r="G371" s="289"/>
      <c r="H371" s="26">
        <f t="shared" si="19"/>
        <v>253622.90000000002</v>
      </c>
      <c r="I371" s="28">
        <v>92957.5</v>
      </c>
      <c r="J371" s="28">
        <v>86013.6</v>
      </c>
      <c r="K371" s="28">
        <v>74651.8</v>
      </c>
      <c r="L371" s="306"/>
    </row>
    <row r="372" spans="1:12" ht="75" customHeight="1" x14ac:dyDescent="0.3">
      <c r="A372" s="423"/>
      <c r="B372" s="424"/>
      <c r="C372" s="424"/>
      <c r="D372" s="425"/>
      <c r="E372" s="222" t="s">
        <v>57</v>
      </c>
      <c r="F372" s="395"/>
      <c r="G372" s="298"/>
      <c r="H372" s="26">
        <f t="shared" si="19"/>
        <v>264117.7</v>
      </c>
      <c r="I372" s="28">
        <v>101228.7</v>
      </c>
      <c r="J372" s="28">
        <v>91365</v>
      </c>
      <c r="K372" s="28">
        <v>71524</v>
      </c>
      <c r="L372" s="306"/>
    </row>
    <row r="373" spans="1:12" ht="92.25" hidden="1" customHeight="1" x14ac:dyDescent="0.3">
      <c r="A373" s="423"/>
      <c r="B373" s="424"/>
      <c r="C373" s="424"/>
      <c r="D373" s="425"/>
      <c r="E373" s="222" t="s">
        <v>120</v>
      </c>
      <c r="F373" s="251"/>
      <c r="G373" s="105"/>
      <c r="H373" s="26">
        <f t="shared" si="19"/>
        <v>0</v>
      </c>
      <c r="I373" s="28"/>
      <c r="J373" s="28"/>
      <c r="K373" s="28"/>
      <c r="L373" s="306"/>
    </row>
    <row r="374" spans="1:12" ht="104.25" hidden="1" customHeight="1" x14ac:dyDescent="0.3">
      <c r="A374" s="426"/>
      <c r="B374" s="427"/>
      <c r="C374" s="427"/>
      <c r="D374" s="428"/>
      <c r="E374" s="222" t="s">
        <v>121</v>
      </c>
      <c r="F374" s="251"/>
      <c r="G374" s="105"/>
      <c r="H374" s="26">
        <f t="shared" si="19"/>
        <v>0</v>
      </c>
      <c r="I374" s="28"/>
      <c r="J374" s="28"/>
      <c r="K374" s="28"/>
      <c r="L374" s="307"/>
    </row>
    <row r="375" spans="1:12" ht="75" customHeight="1" x14ac:dyDescent="0.3">
      <c r="A375" s="72" t="s">
        <v>112</v>
      </c>
      <c r="B375" s="75" t="s">
        <v>104</v>
      </c>
      <c r="C375" s="76"/>
      <c r="D375" s="73"/>
      <c r="E375" s="76"/>
      <c r="F375" s="73"/>
      <c r="G375" s="251" t="s">
        <v>60</v>
      </c>
      <c r="H375" s="74">
        <f>SUM(H376:H384)</f>
        <v>172113.58058749998</v>
      </c>
      <c r="I375" s="74">
        <f>SUM(I376:I384)</f>
        <v>57886</v>
      </c>
      <c r="J375" s="74">
        <f>SUM(J376:J384)</f>
        <v>61681.5</v>
      </c>
      <c r="K375" s="74">
        <f>SUM(K376:K384)</f>
        <v>52546.080587499993</v>
      </c>
      <c r="L375" s="436" t="s">
        <v>71</v>
      </c>
    </row>
    <row r="376" spans="1:12" ht="75" customHeight="1" x14ac:dyDescent="0.3">
      <c r="A376" s="442" t="s">
        <v>101</v>
      </c>
      <c r="B376" s="443"/>
      <c r="C376" s="443"/>
      <c r="D376" s="443"/>
      <c r="E376" s="222" t="s">
        <v>58</v>
      </c>
      <c r="F376" s="451"/>
      <c r="G376" s="288" t="s">
        <v>65</v>
      </c>
      <c r="H376" s="26">
        <f t="shared" ref="H376:H384" si="20">I376+J376+K376</f>
        <v>21641.9</v>
      </c>
      <c r="I376" s="28">
        <v>3345</v>
      </c>
      <c r="J376" s="28">
        <v>6296.9</v>
      </c>
      <c r="K376" s="28">
        <v>12000</v>
      </c>
      <c r="L376" s="436"/>
    </row>
    <row r="377" spans="1:12" ht="75" customHeight="1" x14ac:dyDescent="0.3">
      <c r="A377" s="444"/>
      <c r="B377" s="445"/>
      <c r="C377" s="445"/>
      <c r="D377" s="445"/>
      <c r="E377" s="222" t="s">
        <v>52</v>
      </c>
      <c r="F377" s="452"/>
      <c r="G377" s="289"/>
      <c r="H377" s="26">
        <f t="shared" si="20"/>
        <v>39230.9</v>
      </c>
      <c r="I377" s="28">
        <v>13524.5</v>
      </c>
      <c r="J377" s="28">
        <v>14006.4</v>
      </c>
      <c r="K377" s="28">
        <v>11700</v>
      </c>
      <c r="L377" s="436"/>
    </row>
    <row r="378" spans="1:12" ht="75" customHeight="1" x14ac:dyDescent="0.3">
      <c r="A378" s="444"/>
      <c r="B378" s="445"/>
      <c r="C378" s="445"/>
      <c r="D378" s="445"/>
      <c r="E378" s="222" t="s">
        <v>53</v>
      </c>
      <c r="F378" s="452"/>
      <c r="G378" s="289"/>
      <c r="H378" s="26">
        <f t="shared" si="20"/>
        <v>11273.080587499999</v>
      </c>
      <c r="I378" s="28">
        <v>4685.3</v>
      </c>
      <c r="J378" s="28">
        <v>4939</v>
      </c>
      <c r="K378" s="28">
        <v>1648.7805874999995</v>
      </c>
      <c r="L378" s="436"/>
    </row>
    <row r="379" spans="1:12" ht="75" customHeight="1" x14ac:dyDescent="0.3">
      <c r="A379" s="444"/>
      <c r="B379" s="445"/>
      <c r="C379" s="445"/>
      <c r="D379" s="445"/>
      <c r="E379" s="222" t="s">
        <v>51</v>
      </c>
      <c r="F379" s="452"/>
      <c r="G379" s="289"/>
      <c r="H379" s="26">
        <f t="shared" si="20"/>
        <v>8303.1999999999989</v>
      </c>
      <c r="I379" s="28">
        <v>3197.5</v>
      </c>
      <c r="J379" s="28">
        <v>3446.9</v>
      </c>
      <c r="K379" s="28">
        <v>1658.8</v>
      </c>
      <c r="L379" s="436"/>
    </row>
    <row r="380" spans="1:12" ht="75" customHeight="1" x14ac:dyDescent="0.3">
      <c r="A380" s="444"/>
      <c r="B380" s="445"/>
      <c r="C380" s="445"/>
      <c r="D380" s="445"/>
      <c r="E380" s="222" t="s">
        <v>138</v>
      </c>
      <c r="F380" s="452"/>
      <c r="G380" s="289"/>
      <c r="H380" s="26">
        <f>I380+J380+K380</f>
        <v>14064</v>
      </c>
      <c r="I380" s="28">
        <v>4084</v>
      </c>
      <c r="J380" s="28">
        <v>4800</v>
      </c>
      <c r="K380" s="28">
        <v>5180</v>
      </c>
      <c r="L380" s="436"/>
    </row>
    <row r="381" spans="1:12" ht="86.25" customHeight="1" x14ac:dyDescent="0.3">
      <c r="A381" s="444"/>
      <c r="B381" s="445"/>
      <c r="C381" s="445"/>
      <c r="D381" s="445"/>
      <c r="E381" s="222" t="s">
        <v>55</v>
      </c>
      <c r="F381" s="452"/>
      <c r="G381" s="289"/>
      <c r="H381" s="26">
        <f t="shared" si="20"/>
        <v>30623.5</v>
      </c>
      <c r="I381" s="28">
        <v>12066.9</v>
      </c>
      <c r="J381" s="28">
        <v>9556.6</v>
      </c>
      <c r="K381" s="28">
        <v>9000</v>
      </c>
      <c r="L381" s="436"/>
    </row>
    <row r="382" spans="1:12" ht="77.25" customHeight="1" x14ac:dyDescent="0.3">
      <c r="A382" s="444"/>
      <c r="B382" s="445"/>
      <c r="C382" s="445"/>
      <c r="D382" s="445"/>
      <c r="E382" s="222" t="s">
        <v>54</v>
      </c>
      <c r="F382" s="452"/>
      <c r="G382" s="289"/>
      <c r="H382" s="26">
        <f t="shared" si="20"/>
        <v>41053.199999999997</v>
      </c>
      <c r="I382" s="28">
        <v>14040.5</v>
      </c>
      <c r="J382" s="28">
        <v>16112.7</v>
      </c>
      <c r="K382" s="28">
        <v>10900</v>
      </c>
      <c r="L382" s="436"/>
    </row>
    <row r="383" spans="1:12" ht="77.25" customHeight="1" x14ac:dyDescent="0.3">
      <c r="A383" s="444"/>
      <c r="B383" s="445"/>
      <c r="C383" s="445"/>
      <c r="D383" s="445"/>
      <c r="E383" s="222" t="s">
        <v>249</v>
      </c>
      <c r="F383" s="452"/>
      <c r="G383" s="289"/>
      <c r="H383" s="26">
        <f t="shared" si="20"/>
        <v>2262.9</v>
      </c>
      <c r="I383" s="28">
        <v>914.5</v>
      </c>
      <c r="J383" s="28">
        <v>1109.5</v>
      </c>
      <c r="K383" s="28">
        <v>238.9</v>
      </c>
      <c r="L383" s="436"/>
    </row>
    <row r="384" spans="1:12" ht="77.25" customHeight="1" x14ac:dyDescent="0.3">
      <c r="A384" s="446"/>
      <c r="B384" s="447"/>
      <c r="C384" s="447"/>
      <c r="D384" s="447"/>
      <c r="E384" s="222" t="s">
        <v>57</v>
      </c>
      <c r="F384" s="453"/>
      <c r="G384" s="298"/>
      <c r="H384" s="26">
        <f t="shared" si="20"/>
        <v>3660.9</v>
      </c>
      <c r="I384" s="28">
        <v>2027.8</v>
      </c>
      <c r="J384" s="28">
        <v>1413.5</v>
      </c>
      <c r="K384" s="28">
        <v>219.6</v>
      </c>
      <c r="L384" s="436"/>
    </row>
    <row r="385" spans="1:12" ht="50.25" customHeight="1" x14ac:dyDescent="0.3">
      <c r="A385" s="413" t="s">
        <v>63</v>
      </c>
      <c r="B385" s="414"/>
      <c r="C385" s="414"/>
      <c r="D385" s="414"/>
      <c r="E385" s="414"/>
      <c r="F385" s="415"/>
      <c r="G385" s="65"/>
      <c r="H385" s="26">
        <f>H282+H326+H332+H347+H354+H356+H363+H375</f>
        <v>4455879.0005874997</v>
      </c>
      <c r="I385" s="26">
        <f>I282+I326+I332+I347+I354+I356+I363+I375</f>
        <v>1483037.32</v>
      </c>
      <c r="J385" s="26">
        <f>J282+J326+J332+J347+J354+J356+J363+J375</f>
        <v>1661638.5000000002</v>
      </c>
      <c r="K385" s="26">
        <f>K282+K326+K332+K347+K354+K356+K363+K375</f>
        <v>1311203.1805875001</v>
      </c>
      <c r="L385" s="343"/>
    </row>
    <row r="386" spans="1:12" ht="75" customHeight="1" x14ac:dyDescent="0.3">
      <c r="A386" s="437" t="s">
        <v>158</v>
      </c>
      <c r="B386" s="379"/>
      <c r="C386" s="379"/>
      <c r="D386" s="379"/>
      <c r="E386" s="379"/>
      <c r="F386" s="380"/>
      <c r="G386" s="241" t="s">
        <v>149</v>
      </c>
      <c r="H386" s="28">
        <f>H283+H326+H343+H336+H340+H351+H353+H352+H335+H339</f>
        <v>324789.49999999994</v>
      </c>
      <c r="I386" s="28">
        <f>I283+I326+I343+I336+I340+I351+I353+I352+I335+I339</f>
        <v>101280.5</v>
      </c>
      <c r="J386" s="28">
        <f>J283+J326+J343+J336+J340+J351+J353+J352+J335+J339</f>
        <v>122396.9</v>
      </c>
      <c r="K386" s="28">
        <f>K283+K326+K343+K336+K340+K351+K353+K352+K335+K339</f>
        <v>101112.1</v>
      </c>
      <c r="L386" s="343"/>
    </row>
    <row r="387" spans="1:12" ht="75" customHeight="1" x14ac:dyDescent="0.3">
      <c r="A387" s="438"/>
      <c r="B387" s="439"/>
      <c r="C387" s="439"/>
      <c r="D387" s="439"/>
      <c r="E387" s="439"/>
      <c r="F387" s="440"/>
      <c r="G387" s="241" t="s">
        <v>152</v>
      </c>
      <c r="H387" s="28">
        <f>H284+H334+H341+H337+H338+H344+H342</f>
        <v>496790.10000000003</v>
      </c>
      <c r="I387" s="28">
        <f>I284+I334+I341+I337+I338+I344+I342</f>
        <v>105715.20000000001</v>
      </c>
      <c r="J387" s="28">
        <f>J284+J334+J341+J337+J338+J344+J342</f>
        <v>250774.90000000002</v>
      </c>
      <c r="K387" s="28">
        <f>K284+K334+K341+K337+K338+K344+K342</f>
        <v>140300</v>
      </c>
      <c r="L387" s="343"/>
    </row>
    <row r="388" spans="1:12" ht="75" hidden="1" customHeight="1" x14ac:dyDescent="0.3">
      <c r="A388" s="438"/>
      <c r="B388" s="439"/>
      <c r="C388" s="439"/>
      <c r="D388" s="439"/>
      <c r="E388" s="439"/>
      <c r="F388" s="440"/>
      <c r="G388" s="241" t="s">
        <v>70</v>
      </c>
      <c r="H388" s="28">
        <f>H348+H349+H350</f>
        <v>0</v>
      </c>
      <c r="I388" s="28">
        <f>I348+I349+I350</f>
        <v>0</v>
      </c>
      <c r="J388" s="28">
        <f>J348+J349+J350</f>
        <v>0</v>
      </c>
      <c r="K388" s="28">
        <f>K348+K349+K350</f>
        <v>0</v>
      </c>
      <c r="L388" s="343"/>
    </row>
    <row r="389" spans="1:12" ht="75" customHeight="1" x14ac:dyDescent="0.3">
      <c r="A389" s="438"/>
      <c r="B389" s="439"/>
      <c r="C389" s="439"/>
      <c r="D389" s="439"/>
      <c r="E389" s="439"/>
      <c r="F389" s="440"/>
      <c r="G389" s="241" t="s">
        <v>62</v>
      </c>
      <c r="H389" s="28">
        <f>H363</f>
        <v>3437372</v>
      </c>
      <c r="I389" s="28">
        <f>I363</f>
        <v>1199286.8</v>
      </c>
      <c r="J389" s="28">
        <f>J363</f>
        <v>1220840.2000000002</v>
      </c>
      <c r="K389" s="28">
        <f>K363</f>
        <v>1017245</v>
      </c>
      <c r="L389" s="343"/>
    </row>
    <row r="390" spans="1:12" ht="75" customHeight="1" x14ac:dyDescent="0.3">
      <c r="A390" s="438"/>
      <c r="B390" s="439"/>
      <c r="C390" s="439"/>
      <c r="D390" s="439"/>
      <c r="E390" s="439"/>
      <c r="F390" s="440"/>
      <c r="G390" s="241" t="s">
        <v>65</v>
      </c>
      <c r="H390" s="28">
        <f>H375</f>
        <v>172113.58058749998</v>
      </c>
      <c r="I390" s="28">
        <f>I375</f>
        <v>57886</v>
      </c>
      <c r="J390" s="28">
        <f>J375</f>
        <v>61681.5</v>
      </c>
      <c r="K390" s="28">
        <f>K375</f>
        <v>52546.080587499993</v>
      </c>
      <c r="L390" s="343"/>
    </row>
    <row r="391" spans="1:12" ht="327.75" customHeight="1" x14ac:dyDescent="0.3">
      <c r="A391" s="438"/>
      <c r="B391" s="439"/>
      <c r="C391" s="439"/>
      <c r="D391" s="439"/>
      <c r="E391" s="439"/>
      <c r="F391" s="440"/>
      <c r="G391" s="252" t="s">
        <v>314</v>
      </c>
      <c r="H391" s="28">
        <f>H285</f>
        <v>1836.72</v>
      </c>
      <c r="I391" s="28">
        <f>I285</f>
        <v>1836.72</v>
      </c>
      <c r="J391" s="28">
        <f>J285</f>
        <v>0</v>
      </c>
      <c r="K391" s="28">
        <f>K285</f>
        <v>0</v>
      </c>
      <c r="L391" s="343"/>
    </row>
    <row r="392" spans="1:12" ht="82.5" customHeight="1" x14ac:dyDescent="0.3">
      <c r="A392" s="438"/>
      <c r="B392" s="439"/>
      <c r="C392" s="439"/>
      <c r="D392" s="439"/>
      <c r="E392" s="439"/>
      <c r="F392" s="440"/>
      <c r="G392" s="241" t="s">
        <v>59</v>
      </c>
      <c r="H392" s="28">
        <f>H346</f>
        <v>4200</v>
      </c>
      <c r="I392" s="28">
        <f>I346</f>
        <v>0</v>
      </c>
      <c r="J392" s="28">
        <f>J346</f>
        <v>4200</v>
      </c>
      <c r="K392" s="28">
        <f>K346</f>
        <v>0</v>
      </c>
      <c r="L392" s="343"/>
    </row>
    <row r="393" spans="1:12" ht="65.25" customHeight="1" x14ac:dyDescent="0.3">
      <c r="A393" s="438"/>
      <c r="B393" s="439"/>
      <c r="C393" s="439"/>
      <c r="D393" s="439"/>
      <c r="E393" s="439"/>
      <c r="F393" s="440"/>
      <c r="G393" s="241" t="s">
        <v>353</v>
      </c>
      <c r="H393" s="28">
        <f>H306</f>
        <v>495</v>
      </c>
      <c r="I393" s="28">
        <f>I306</f>
        <v>495</v>
      </c>
      <c r="J393" s="28">
        <f>J306</f>
        <v>0</v>
      </c>
      <c r="K393" s="28">
        <f>K306</f>
        <v>0</v>
      </c>
      <c r="L393" s="343"/>
    </row>
    <row r="394" spans="1:12" ht="52.5" customHeight="1" x14ac:dyDescent="0.3">
      <c r="A394" s="441"/>
      <c r="B394" s="381"/>
      <c r="C394" s="381"/>
      <c r="D394" s="381"/>
      <c r="E394" s="381"/>
      <c r="F394" s="382"/>
      <c r="G394" s="241" t="s">
        <v>356</v>
      </c>
      <c r="H394" s="28">
        <f>H322</f>
        <v>18282.099999999999</v>
      </c>
      <c r="I394" s="28">
        <f>I322</f>
        <v>16537.099999999999</v>
      </c>
      <c r="J394" s="28">
        <f>J322</f>
        <v>1745</v>
      </c>
      <c r="K394" s="28">
        <f>K322</f>
        <v>0</v>
      </c>
      <c r="L394" s="343"/>
    </row>
    <row r="395" spans="1:12" ht="48" customHeight="1" x14ac:dyDescent="0.3">
      <c r="A395" s="384" t="s">
        <v>159</v>
      </c>
      <c r="B395" s="385"/>
      <c r="C395" s="385"/>
      <c r="D395" s="386"/>
      <c r="E395" s="315" t="s">
        <v>58</v>
      </c>
      <c r="F395" s="410"/>
      <c r="G395" s="252" t="s">
        <v>64</v>
      </c>
      <c r="H395" s="26">
        <f>SUM(H396:H400)</f>
        <v>1104573.7999999998</v>
      </c>
      <c r="I395" s="26">
        <f>SUM(I396:I400)</f>
        <v>322453.40000000002</v>
      </c>
      <c r="J395" s="26">
        <f>SUM(J396:J400)</f>
        <v>345374.50000000006</v>
      </c>
      <c r="K395" s="26">
        <f>SUM(K396:K400)</f>
        <v>436745.9</v>
      </c>
      <c r="L395" s="343"/>
    </row>
    <row r="396" spans="1:12" ht="52.5" customHeight="1" x14ac:dyDescent="0.3">
      <c r="A396" s="387"/>
      <c r="B396" s="388"/>
      <c r="C396" s="388"/>
      <c r="D396" s="389"/>
      <c r="E396" s="316"/>
      <c r="F396" s="411"/>
      <c r="G396" s="241" t="s">
        <v>149</v>
      </c>
      <c r="H396" s="28">
        <f>H289+H351+H335</f>
        <v>34415.400000000009</v>
      </c>
      <c r="I396" s="28">
        <f>I289+I351+I335</f>
        <v>9703.7000000000007</v>
      </c>
      <c r="J396" s="28">
        <f>J289+J351+J335</f>
        <v>15165.800000000001</v>
      </c>
      <c r="K396" s="28">
        <f>K289+K351+K335</f>
        <v>9545.9</v>
      </c>
      <c r="L396" s="343"/>
    </row>
    <row r="397" spans="1:12" ht="46.5" customHeight="1" x14ac:dyDescent="0.3">
      <c r="A397" s="387"/>
      <c r="B397" s="388"/>
      <c r="C397" s="388"/>
      <c r="D397" s="389"/>
      <c r="E397" s="316"/>
      <c r="F397" s="411"/>
      <c r="G397" s="241" t="s">
        <v>152</v>
      </c>
      <c r="H397" s="28">
        <f>H290+H334</f>
        <v>43134.6</v>
      </c>
      <c r="I397" s="28">
        <f>I290+I334</f>
        <v>18500</v>
      </c>
      <c r="J397" s="28">
        <f>J290+J334</f>
        <v>13334.6</v>
      </c>
      <c r="K397" s="28">
        <f>K290+K334</f>
        <v>11300</v>
      </c>
      <c r="L397" s="343"/>
    </row>
    <row r="398" spans="1:12" ht="75" hidden="1" customHeight="1" x14ac:dyDescent="0.3">
      <c r="A398" s="387"/>
      <c r="B398" s="388"/>
      <c r="C398" s="388"/>
      <c r="D398" s="389"/>
      <c r="E398" s="316"/>
      <c r="F398" s="411"/>
      <c r="G398" s="241" t="s">
        <v>70</v>
      </c>
      <c r="H398" s="28">
        <f>H348</f>
        <v>0</v>
      </c>
      <c r="I398" s="28">
        <f>I348</f>
        <v>0</v>
      </c>
      <c r="J398" s="28">
        <f>J348</f>
        <v>0</v>
      </c>
      <c r="K398" s="28">
        <f>K348</f>
        <v>0</v>
      </c>
      <c r="L398" s="343"/>
    </row>
    <row r="399" spans="1:12" ht="75" customHeight="1" x14ac:dyDescent="0.3">
      <c r="A399" s="387"/>
      <c r="B399" s="388"/>
      <c r="C399" s="388"/>
      <c r="D399" s="389"/>
      <c r="E399" s="316"/>
      <c r="F399" s="411"/>
      <c r="G399" s="241" t="s">
        <v>62</v>
      </c>
      <c r="H399" s="28">
        <f>H364</f>
        <v>1005381.9</v>
      </c>
      <c r="I399" s="28">
        <f>I364</f>
        <v>290904.7</v>
      </c>
      <c r="J399" s="28">
        <f>J364</f>
        <v>310577.2</v>
      </c>
      <c r="K399" s="28">
        <f>K364</f>
        <v>403900</v>
      </c>
      <c r="L399" s="343"/>
    </row>
    <row r="400" spans="1:12" ht="75" customHeight="1" x14ac:dyDescent="0.3">
      <c r="A400" s="387"/>
      <c r="B400" s="388"/>
      <c r="C400" s="388"/>
      <c r="D400" s="389"/>
      <c r="E400" s="416"/>
      <c r="F400" s="411"/>
      <c r="G400" s="241" t="s">
        <v>65</v>
      </c>
      <c r="H400" s="28">
        <f>H376</f>
        <v>21641.9</v>
      </c>
      <c r="I400" s="28">
        <f>I376</f>
        <v>3345</v>
      </c>
      <c r="J400" s="28">
        <f>J376</f>
        <v>6296.9</v>
      </c>
      <c r="K400" s="28">
        <f>K376</f>
        <v>12000</v>
      </c>
      <c r="L400" s="343"/>
    </row>
    <row r="401" spans="1:12" ht="75" customHeight="1" x14ac:dyDescent="0.3">
      <c r="A401" s="387"/>
      <c r="B401" s="388"/>
      <c r="C401" s="388"/>
      <c r="D401" s="389"/>
      <c r="E401" s="315" t="s">
        <v>52</v>
      </c>
      <c r="F401" s="411"/>
      <c r="G401" s="252" t="s">
        <v>64</v>
      </c>
      <c r="H401" s="26">
        <f>SUM(H402:H405)</f>
        <v>369833.9</v>
      </c>
      <c r="I401" s="26">
        <f>SUM(I402:I405)</f>
        <v>129061.5</v>
      </c>
      <c r="J401" s="26">
        <f>SUM(J402:J405)</f>
        <v>125949.59999999999</v>
      </c>
      <c r="K401" s="26">
        <f>SUM(K402:K405)</f>
        <v>114822.8</v>
      </c>
      <c r="L401" s="343"/>
    </row>
    <row r="402" spans="1:12" ht="75" customHeight="1" x14ac:dyDescent="0.3">
      <c r="A402" s="387"/>
      <c r="B402" s="388"/>
      <c r="C402" s="388"/>
      <c r="D402" s="389"/>
      <c r="E402" s="316"/>
      <c r="F402" s="411"/>
      <c r="G402" s="241" t="s">
        <v>149</v>
      </c>
      <c r="H402" s="28">
        <f>H292+H328+H336</f>
        <v>42193.2</v>
      </c>
      <c r="I402" s="28">
        <f>I292+I328+I336</f>
        <v>16691.2</v>
      </c>
      <c r="J402" s="28">
        <f>J292+J328+J336</f>
        <v>13379.199999999999</v>
      </c>
      <c r="K402" s="28">
        <f>K292+K328+K336</f>
        <v>12122.8</v>
      </c>
      <c r="L402" s="343"/>
    </row>
    <row r="403" spans="1:12" ht="75" customHeight="1" x14ac:dyDescent="0.3">
      <c r="A403" s="387"/>
      <c r="B403" s="388"/>
      <c r="C403" s="388"/>
      <c r="D403" s="389"/>
      <c r="E403" s="316"/>
      <c r="F403" s="411"/>
      <c r="G403" s="241" t="s">
        <v>152</v>
      </c>
      <c r="H403" s="28">
        <f>H293+H337</f>
        <v>19000</v>
      </c>
      <c r="I403" s="28">
        <f>I293+I337</f>
        <v>0</v>
      </c>
      <c r="J403" s="28">
        <f>J293+J337</f>
        <v>0</v>
      </c>
      <c r="K403" s="28">
        <f>K293+K337</f>
        <v>19000</v>
      </c>
      <c r="L403" s="343"/>
    </row>
    <row r="404" spans="1:12" ht="75" customHeight="1" x14ac:dyDescent="0.3">
      <c r="A404" s="387"/>
      <c r="B404" s="388"/>
      <c r="C404" s="388"/>
      <c r="D404" s="389"/>
      <c r="E404" s="316"/>
      <c r="F404" s="411"/>
      <c r="G404" s="241" t="s">
        <v>62</v>
      </c>
      <c r="H404" s="28">
        <f>H365</f>
        <v>269409.8</v>
      </c>
      <c r="I404" s="28">
        <f>I365</f>
        <v>98845.8</v>
      </c>
      <c r="J404" s="28">
        <f>J365</f>
        <v>98564</v>
      </c>
      <c r="K404" s="28">
        <f>K365</f>
        <v>72000</v>
      </c>
      <c r="L404" s="343"/>
    </row>
    <row r="405" spans="1:12" ht="75" customHeight="1" x14ac:dyDescent="0.3">
      <c r="A405" s="387"/>
      <c r="B405" s="388"/>
      <c r="C405" s="388"/>
      <c r="D405" s="389"/>
      <c r="E405" s="416"/>
      <c r="F405" s="411"/>
      <c r="G405" s="241" t="s">
        <v>65</v>
      </c>
      <c r="H405" s="28">
        <f>H377</f>
        <v>39230.9</v>
      </c>
      <c r="I405" s="28">
        <f>I377</f>
        <v>13524.5</v>
      </c>
      <c r="J405" s="28">
        <f>J377</f>
        <v>14006.4</v>
      </c>
      <c r="K405" s="28">
        <f>K377</f>
        <v>11700</v>
      </c>
      <c r="L405" s="343"/>
    </row>
    <row r="406" spans="1:12" ht="75" customHeight="1" x14ac:dyDescent="0.3">
      <c r="A406" s="387"/>
      <c r="B406" s="388"/>
      <c r="C406" s="388"/>
      <c r="D406" s="389"/>
      <c r="E406" s="315" t="s">
        <v>53</v>
      </c>
      <c r="F406" s="411"/>
      <c r="G406" s="252" t="s">
        <v>64</v>
      </c>
      <c r="H406" s="26">
        <f>SUM(H407:H411)</f>
        <v>781038.3205875</v>
      </c>
      <c r="I406" s="26">
        <f>SUM(I407:I411)</f>
        <v>300757.24</v>
      </c>
      <c r="J406" s="26">
        <f>SUM(J407:J411)</f>
        <v>301482.3</v>
      </c>
      <c r="K406" s="26">
        <f>SUM(K407:K411)</f>
        <v>178798.78058749999</v>
      </c>
      <c r="L406" s="343"/>
    </row>
    <row r="407" spans="1:12" ht="75" customHeight="1" x14ac:dyDescent="0.3">
      <c r="A407" s="387"/>
      <c r="B407" s="388"/>
      <c r="C407" s="388"/>
      <c r="D407" s="389"/>
      <c r="E407" s="316"/>
      <c r="F407" s="411"/>
      <c r="G407" s="241" t="s">
        <v>149</v>
      </c>
      <c r="H407" s="28">
        <f>H295+H339</f>
        <v>41333.199999999997</v>
      </c>
      <c r="I407" s="28">
        <f>I295+I339</f>
        <v>12719.8</v>
      </c>
      <c r="J407" s="28">
        <f>J295+J339</f>
        <v>13771.5</v>
      </c>
      <c r="K407" s="28">
        <f>K295+K339</f>
        <v>14841.900000000001</v>
      </c>
      <c r="L407" s="343"/>
    </row>
    <row r="408" spans="1:12" ht="75" customHeight="1" x14ac:dyDescent="0.3">
      <c r="A408" s="387"/>
      <c r="B408" s="388"/>
      <c r="C408" s="388"/>
      <c r="D408" s="389"/>
      <c r="E408" s="316"/>
      <c r="F408" s="411"/>
      <c r="G408" s="241" t="s">
        <v>152</v>
      </c>
      <c r="H408" s="28">
        <f>H296+H338</f>
        <v>16924.2</v>
      </c>
      <c r="I408" s="28">
        <f>I296+I338</f>
        <v>1929.6</v>
      </c>
      <c r="J408" s="28">
        <f>J296+J338</f>
        <v>6394.6</v>
      </c>
      <c r="K408" s="28">
        <f>K296+K338</f>
        <v>8600</v>
      </c>
      <c r="L408" s="343"/>
    </row>
    <row r="409" spans="1:12" ht="75" customHeight="1" x14ac:dyDescent="0.3">
      <c r="A409" s="387"/>
      <c r="B409" s="388"/>
      <c r="C409" s="388"/>
      <c r="D409" s="389"/>
      <c r="E409" s="316"/>
      <c r="F409" s="411"/>
      <c r="G409" s="241" t="s">
        <v>62</v>
      </c>
      <c r="H409" s="28">
        <f>H366</f>
        <v>710895.6</v>
      </c>
      <c r="I409" s="28">
        <f>I366</f>
        <v>280810.3</v>
      </c>
      <c r="J409" s="28">
        <f>J366</f>
        <v>276377.2</v>
      </c>
      <c r="K409" s="28">
        <f>K366</f>
        <v>153708.1</v>
      </c>
      <c r="L409" s="343"/>
    </row>
    <row r="410" spans="1:12" ht="75" customHeight="1" x14ac:dyDescent="0.3">
      <c r="A410" s="387"/>
      <c r="B410" s="388"/>
      <c r="C410" s="388"/>
      <c r="D410" s="389"/>
      <c r="E410" s="316"/>
      <c r="F410" s="411"/>
      <c r="G410" s="241" t="s">
        <v>65</v>
      </c>
      <c r="H410" s="28">
        <f>H378</f>
        <v>11273.080587499999</v>
      </c>
      <c r="I410" s="28">
        <f>I378</f>
        <v>4685.3</v>
      </c>
      <c r="J410" s="28">
        <f>J378</f>
        <v>4939</v>
      </c>
      <c r="K410" s="28">
        <f>K378</f>
        <v>1648.7805874999995</v>
      </c>
      <c r="L410" s="343"/>
    </row>
    <row r="411" spans="1:12" ht="302.25" customHeight="1" x14ac:dyDescent="0.3">
      <c r="A411" s="387"/>
      <c r="B411" s="388"/>
      <c r="C411" s="388"/>
      <c r="D411" s="389"/>
      <c r="E411" s="416"/>
      <c r="F411" s="411"/>
      <c r="G411" s="252" t="s">
        <v>314</v>
      </c>
      <c r="H411" s="28">
        <f>H297</f>
        <v>612.24</v>
      </c>
      <c r="I411" s="28">
        <f>I297</f>
        <v>612.24</v>
      </c>
      <c r="J411" s="28">
        <f>J297</f>
        <v>0</v>
      </c>
      <c r="K411" s="28">
        <f>K297</f>
        <v>0</v>
      </c>
      <c r="L411" s="343"/>
    </row>
    <row r="412" spans="1:12" ht="75" customHeight="1" x14ac:dyDescent="0.3">
      <c r="A412" s="387"/>
      <c r="B412" s="388"/>
      <c r="C412" s="388"/>
      <c r="D412" s="389"/>
      <c r="E412" s="315" t="s">
        <v>51</v>
      </c>
      <c r="F412" s="411"/>
      <c r="G412" s="252" t="s">
        <v>64</v>
      </c>
      <c r="H412" s="26">
        <f>SUM(H413:H419)</f>
        <v>289520.53999999998</v>
      </c>
      <c r="I412" s="26">
        <f>SUM(I413:I419)</f>
        <v>100226.14</v>
      </c>
      <c r="J412" s="26">
        <f>SUM(J413:J419)</f>
        <v>165021.4</v>
      </c>
      <c r="K412" s="26">
        <f>SUM(K413:K419)</f>
        <v>24272.999999999996</v>
      </c>
      <c r="L412" s="343"/>
    </row>
    <row r="413" spans="1:12" ht="75" customHeight="1" x14ac:dyDescent="0.3">
      <c r="A413" s="387"/>
      <c r="B413" s="388"/>
      <c r="C413" s="388"/>
      <c r="D413" s="389"/>
      <c r="E413" s="316"/>
      <c r="F413" s="411"/>
      <c r="G413" s="66" t="s">
        <v>149</v>
      </c>
      <c r="H413" s="28">
        <f>H299+H343+H352</f>
        <v>51616.900000000009</v>
      </c>
      <c r="I413" s="28">
        <f>I299+I343+I352</f>
        <v>12628.399999999998</v>
      </c>
      <c r="J413" s="28">
        <f>J299+J343+J352</f>
        <v>25489.800000000003</v>
      </c>
      <c r="K413" s="28">
        <f>K299+K343+K352</f>
        <v>13498.699999999999</v>
      </c>
      <c r="L413" s="343"/>
    </row>
    <row r="414" spans="1:12" ht="75" customHeight="1" x14ac:dyDescent="0.3">
      <c r="A414" s="387"/>
      <c r="B414" s="388"/>
      <c r="C414" s="388"/>
      <c r="D414" s="389"/>
      <c r="E414" s="316"/>
      <c r="F414" s="411"/>
      <c r="G414" s="241" t="s">
        <v>152</v>
      </c>
      <c r="H414" s="28">
        <f>H300+H344</f>
        <v>79268.7</v>
      </c>
      <c r="I414" s="28">
        <f>I300+I344</f>
        <v>16111.3</v>
      </c>
      <c r="J414" s="28">
        <f>J300+J344</f>
        <v>54157.400000000009</v>
      </c>
      <c r="K414" s="28">
        <f>K300+K344</f>
        <v>9000</v>
      </c>
      <c r="L414" s="343"/>
    </row>
    <row r="415" spans="1:12" ht="75" customHeight="1" x14ac:dyDescent="0.3">
      <c r="A415" s="387"/>
      <c r="B415" s="388"/>
      <c r="C415" s="388"/>
      <c r="D415" s="389"/>
      <c r="E415" s="316"/>
      <c r="F415" s="411"/>
      <c r="G415" s="241" t="s">
        <v>70</v>
      </c>
      <c r="H415" s="28">
        <f>H349</f>
        <v>0</v>
      </c>
      <c r="I415" s="28">
        <f>I349</f>
        <v>0</v>
      </c>
      <c r="J415" s="28">
        <f>J349</f>
        <v>0</v>
      </c>
      <c r="K415" s="28">
        <f>K349</f>
        <v>0</v>
      </c>
      <c r="L415" s="343"/>
    </row>
    <row r="416" spans="1:12" ht="75" customHeight="1" x14ac:dyDescent="0.3">
      <c r="A416" s="387"/>
      <c r="B416" s="388"/>
      <c r="C416" s="388"/>
      <c r="D416" s="389"/>
      <c r="E416" s="316"/>
      <c r="F416" s="411"/>
      <c r="G416" s="241" t="s">
        <v>62</v>
      </c>
      <c r="H416" s="28">
        <f>H367</f>
        <v>145519.5</v>
      </c>
      <c r="I416" s="28">
        <f>I367</f>
        <v>67676.7</v>
      </c>
      <c r="J416" s="28">
        <f>J367</f>
        <v>77727.3</v>
      </c>
      <c r="K416" s="28">
        <f>K367</f>
        <v>115.5</v>
      </c>
      <c r="L416" s="343"/>
    </row>
    <row r="417" spans="1:12" ht="75" customHeight="1" x14ac:dyDescent="0.3">
      <c r="A417" s="387"/>
      <c r="B417" s="388"/>
      <c r="C417" s="388"/>
      <c r="D417" s="389"/>
      <c r="E417" s="316"/>
      <c r="F417" s="411"/>
      <c r="G417" s="241" t="s">
        <v>65</v>
      </c>
      <c r="H417" s="28">
        <f>H379</f>
        <v>8303.1999999999989</v>
      </c>
      <c r="I417" s="28">
        <f>I379</f>
        <v>3197.5</v>
      </c>
      <c r="J417" s="28">
        <f>J379</f>
        <v>3446.9</v>
      </c>
      <c r="K417" s="28">
        <f>K379</f>
        <v>1658.8</v>
      </c>
      <c r="L417" s="343"/>
    </row>
    <row r="418" spans="1:12" ht="75" customHeight="1" x14ac:dyDescent="0.3">
      <c r="A418" s="387"/>
      <c r="B418" s="388"/>
      <c r="C418" s="388"/>
      <c r="D418" s="389"/>
      <c r="E418" s="316"/>
      <c r="F418" s="411"/>
      <c r="G418" s="241" t="s">
        <v>59</v>
      </c>
      <c r="H418" s="28">
        <f>H392</f>
        <v>4200</v>
      </c>
      <c r="I418" s="28">
        <f>I392</f>
        <v>0</v>
      </c>
      <c r="J418" s="28">
        <f>J392</f>
        <v>4200</v>
      </c>
      <c r="K418" s="28">
        <f>K392</f>
        <v>0</v>
      </c>
      <c r="L418" s="343"/>
    </row>
    <row r="419" spans="1:12" ht="317.25" customHeight="1" x14ac:dyDescent="0.3">
      <c r="A419" s="387"/>
      <c r="B419" s="388"/>
      <c r="C419" s="388"/>
      <c r="D419" s="389"/>
      <c r="E419" s="416"/>
      <c r="F419" s="411"/>
      <c r="G419" s="252" t="s">
        <v>314</v>
      </c>
      <c r="H419" s="28">
        <f>H301</f>
        <v>612.24</v>
      </c>
      <c r="I419" s="28">
        <f>I301</f>
        <v>612.24</v>
      </c>
      <c r="J419" s="28">
        <f>J301</f>
        <v>0</v>
      </c>
      <c r="K419" s="28">
        <f>K301</f>
        <v>0</v>
      </c>
      <c r="L419" s="343"/>
    </row>
    <row r="420" spans="1:12" ht="75" customHeight="1" x14ac:dyDescent="0.3">
      <c r="A420" s="387"/>
      <c r="B420" s="388"/>
      <c r="C420" s="388"/>
      <c r="D420" s="389"/>
      <c r="E420" s="315" t="s">
        <v>138</v>
      </c>
      <c r="F420" s="411"/>
      <c r="G420" s="252" t="s">
        <v>64</v>
      </c>
      <c r="H420" s="26">
        <f>SUM(H421:H427)</f>
        <v>629339.74</v>
      </c>
      <c r="I420" s="26">
        <f>SUM(I421:I427)</f>
        <v>206697.14</v>
      </c>
      <c r="J420" s="26">
        <f>SUM(J421:J427)</f>
        <v>250214.9</v>
      </c>
      <c r="K420" s="26">
        <f>SUM(K421:K427)</f>
        <v>172427.7</v>
      </c>
      <c r="L420" s="343"/>
    </row>
    <row r="421" spans="1:12" ht="75" customHeight="1" x14ac:dyDescent="0.3">
      <c r="A421" s="387"/>
      <c r="B421" s="388"/>
      <c r="C421" s="388"/>
      <c r="D421" s="389"/>
      <c r="E421" s="316"/>
      <c r="F421" s="411"/>
      <c r="G421" s="66" t="s">
        <v>149</v>
      </c>
      <c r="H421" s="28">
        <f>H303+H353</f>
        <v>16880.599999999999</v>
      </c>
      <c r="I421" s="28">
        <f>I303+I353</f>
        <v>5032.8999999999996</v>
      </c>
      <c r="J421" s="28">
        <f>J303+J353</f>
        <v>6600</v>
      </c>
      <c r="K421" s="28">
        <f>K303+K353</f>
        <v>5247.7</v>
      </c>
      <c r="L421" s="343"/>
    </row>
    <row r="422" spans="1:12" ht="75" customHeight="1" x14ac:dyDescent="0.3">
      <c r="A422" s="387"/>
      <c r="B422" s="388"/>
      <c r="C422" s="388"/>
      <c r="D422" s="389"/>
      <c r="E422" s="316"/>
      <c r="F422" s="411"/>
      <c r="G422" s="241" t="s">
        <v>152</v>
      </c>
      <c r="H422" s="28">
        <f>H304+H342</f>
        <v>97096.2</v>
      </c>
      <c r="I422" s="28">
        <f>I304+I342</f>
        <v>33281.300000000003</v>
      </c>
      <c r="J422" s="28">
        <f>J304+J342</f>
        <v>60814.9</v>
      </c>
      <c r="K422" s="28">
        <f>K304+K342</f>
        <v>3000</v>
      </c>
      <c r="L422" s="343"/>
    </row>
    <row r="423" spans="1:12" ht="75" customHeight="1" x14ac:dyDescent="0.3">
      <c r="A423" s="387"/>
      <c r="B423" s="388"/>
      <c r="C423" s="388"/>
      <c r="D423" s="389"/>
      <c r="E423" s="316"/>
      <c r="F423" s="411"/>
      <c r="G423" s="241" t="s">
        <v>62</v>
      </c>
      <c r="H423" s="28">
        <f>H370</f>
        <v>500191.7</v>
      </c>
      <c r="I423" s="28">
        <f>I370</f>
        <v>163191.70000000001</v>
      </c>
      <c r="J423" s="28">
        <f>J370</f>
        <v>178000</v>
      </c>
      <c r="K423" s="28">
        <f>K370</f>
        <v>159000</v>
      </c>
      <c r="L423" s="343"/>
    </row>
    <row r="424" spans="1:12" ht="75" customHeight="1" x14ac:dyDescent="0.3">
      <c r="A424" s="387"/>
      <c r="B424" s="388"/>
      <c r="C424" s="388"/>
      <c r="D424" s="389"/>
      <c r="E424" s="316"/>
      <c r="F424" s="411"/>
      <c r="G424" s="241" t="s">
        <v>65</v>
      </c>
      <c r="H424" s="28">
        <f>H380</f>
        <v>14064</v>
      </c>
      <c r="I424" s="28">
        <f>I380</f>
        <v>4084</v>
      </c>
      <c r="J424" s="28">
        <f>J380</f>
        <v>4800</v>
      </c>
      <c r="K424" s="28">
        <f>K380</f>
        <v>5180</v>
      </c>
      <c r="L424" s="343"/>
    </row>
    <row r="425" spans="1:12" ht="75" hidden="1" customHeight="1" x14ac:dyDescent="0.3">
      <c r="A425" s="387"/>
      <c r="B425" s="388"/>
      <c r="C425" s="388"/>
      <c r="D425" s="389"/>
      <c r="E425" s="316"/>
      <c r="F425" s="411"/>
      <c r="G425" s="241" t="s">
        <v>70</v>
      </c>
      <c r="H425" s="28">
        <f>H350</f>
        <v>0</v>
      </c>
      <c r="I425" s="28">
        <f>I350</f>
        <v>0</v>
      </c>
      <c r="J425" s="28">
        <f>J350</f>
        <v>0</v>
      </c>
      <c r="K425" s="28">
        <f>K350</f>
        <v>0</v>
      </c>
      <c r="L425" s="343"/>
    </row>
    <row r="426" spans="1:12" ht="297.75" customHeight="1" x14ac:dyDescent="0.3">
      <c r="A426" s="387"/>
      <c r="B426" s="388"/>
      <c r="C426" s="388"/>
      <c r="D426" s="389"/>
      <c r="E426" s="316"/>
      <c r="F426" s="411"/>
      <c r="G426" s="252" t="s">
        <v>314</v>
      </c>
      <c r="H426" s="28">
        <f t="shared" ref="H426:K427" si="21">H305</f>
        <v>612.24</v>
      </c>
      <c r="I426" s="28">
        <f t="shared" si="21"/>
        <v>612.24</v>
      </c>
      <c r="J426" s="28">
        <f t="shared" si="21"/>
        <v>0</v>
      </c>
      <c r="K426" s="28">
        <f t="shared" si="21"/>
        <v>0</v>
      </c>
      <c r="L426" s="343"/>
    </row>
    <row r="427" spans="1:12" ht="87.75" customHeight="1" x14ac:dyDescent="0.3">
      <c r="A427" s="387"/>
      <c r="B427" s="388"/>
      <c r="C427" s="388"/>
      <c r="D427" s="389"/>
      <c r="E427" s="416"/>
      <c r="F427" s="411"/>
      <c r="G427" s="241" t="s">
        <v>353</v>
      </c>
      <c r="H427" s="28">
        <f t="shared" si="21"/>
        <v>495</v>
      </c>
      <c r="I427" s="28">
        <f t="shared" si="21"/>
        <v>495</v>
      </c>
      <c r="J427" s="28">
        <f t="shared" si="21"/>
        <v>0</v>
      </c>
      <c r="K427" s="28">
        <f t="shared" si="21"/>
        <v>0</v>
      </c>
      <c r="L427" s="343"/>
    </row>
    <row r="428" spans="1:12" ht="75" customHeight="1" x14ac:dyDescent="0.3">
      <c r="A428" s="387"/>
      <c r="B428" s="388"/>
      <c r="C428" s="388"/>
      <c r="D428" s="389"/>
      <c r="E428" s="315" t="s">
        <v>55</v>
      </c>
      <c r="F428" s="411"/>
      <c r="G428" s="252" t="s">
        <v>64</v>
      </c>
      <c r="H428" s="26">
        <f>SUM(H429:H432)</f>
        <v>351711.8</v>
      </c>
      <c r="I428" s="26">
        <f>SUM(I429:I432)</f>
        <v>120624.9</v>
      </c>
      <c r="J428" s="26">
        <f>SUM(J429:J432)</f>
        <v>127814.1</v>
      </c>
      <c r="K428" s="26">
        <f>SUM(K429:K432)</f>
        <v>103272.8</v>
      </c>
      <c r="L428" s="343"/>
    </row>
    <row r="429" spans="1:12" ht="75" customHeight="1" x14ac:dyDescent="0.3">
      <c r="A429" s="387"/>
      <c r="B429" s="388"/>
      <c r="C429" s="388"/>
      <c r="D429" s="389"/>
      <c r="E429" s="316"/>
      <c r="F429" s="411"/>
      <c r="G429" s="66" t="s">
        <v>149</v>
      </c>
      <c r="H429" s="28">
        <f t="shared" ref="H429:K430" si="22">H308+H340</f>
        <v>16382.399999999998</v>
      </c>
      <c r="I429" s="28">
        <f t="shared" si="22"/>
        <v>5189.7000000000007</v>
      </c>
      <c r="J429" s="28">
        <f t="shared" si="22"/>
        <v>5519.9</v>
      </c>
      <c r="K429" s="28">
        <f t="shared" si="22"/>
        <v>5672.8</v>
      </c>
      <c r="L429" s="343"/>
    </row>
    <row r="430" spans="1:12" ht="75" customHeight="1" x14ac:dyDescent="0.3">
      <c r="A430" s="387"/>
      <c r="B430" s="388"/>
      <c r="C430" s="388"/>
      <c r="D430" s="389"/>
      <c r="E430" s="316"/>
      <c r="F430" s="411"/>
      <c r="G430" s="241" t="s">
        <v>152</v>
      </c>
      <c r="H430" s="28">
        <f t="shared" si="22"/>
        <v>17424.8</v>
      </c>
      <c r="I430" s="28">
        <f t="shared" si="22"/>
        <v>0</v>
      </c>
      <c r="J430" s="28">
        <f t="shared" si="22"/>
        <v>10824.8</v>
      </c>
      <c r="K430" s="28">
        <f t="shared" si="22"/>
        <v>6600</v>
      </c>
      <c r="L430" s="343"/>
    </row>
    <row r="431" spans="1:12" ht="75" customHeight="1" x14ac:dyDescent="0.3">
      <c r="A431" s="387"/>
      <c r="B431" s="388"/>
      <c r="C431" s="388"/>
      <c r="D431" s="389"/>
      <c r="E431" s="316"/>
      <c r="F431" s="411"/>
      <c r="G431" s="241" t="s">
        <v>62</v>
      </c>
      <c r="H431" s="28">
        <f>H368</f>
        <v>287281.09999999998</v>
      </c>
      <c r="I431" s="28">
        <f>I368</f>
        <v>103368.3</v>
      </c>
      <c r="J431" s="28">
        <f>J368</f>
        <v>101912.8</v>
      </c>
      <c r="K431" s="28">
        <f>K368</f>
        <v>82000</v>
      </c>
      <c r="L431" s="343"/>
    </row>
    <row r="432" spans="1:12" ht="75" customHeight="1" x14ac:dyDescent="0.3">
      <c r="A432" s="387"/>
      <c r="B432" s="388"/>
      <c r="C432" s="388"/>
      <c r="D432" s="389"/>
      <c r="E432" s="416"/>
      <c r="F432" s="411"/>
      <c r="G432" s="241" t="s">
        <v>65</v>
      </c>
      <c r="H432" s="28">
        <f>H381</f>
        <v>30623.5</v>
      </c>
      <c r="I432" s="28">
        <f>I381</f>
        <v>12066.9</v>
      </c>
      <c r="J432" s="28">
        <f>J381</f>
        <v>9556.6</v>
      </c>
      <c r="K432" s="28">
        <f>K381</f>
        <v>9000</v>
      </c>
      <c r="L432" s="343"/>
    </row>
    <row r="433" spans="1:12" ht="75" customHeight="1" x14ac:dyDescent="0.3">
      <c r="A433" s="387"/>
      <c r="B433" s="388"/>
      <c r="C433" s="388"/>
      <c r="D433" s="389"/>
      <c r="E433" s="315" t="s">
        <v>54</v>
      </c>
      <c r="F433" s="411"/>
      <c r="G433" s="252" t="s">
        <v>64</v>
      </c>
      <c r="H433" s="26">
        <f>SUM(H434:H437)</f>
        <v>85593.3</v>
      </c>
      <c r="I433" s="26">
        <f>SUM(I434:I437)</f>
        <v>28672.300000000003</v>
      </c>
      <c r="J433" s="26">
        <f>SUM(J434:J437)</f>
        <v>19462.5</v>
      </c>
      <c r="K433" s="26">
        <f>SUM(K434:K437)</f>
        <v>25622.400000000001</v>
      </c>
      <c r="L433" s="343"/>
    </row>
    <row r="434" spans="1:12" ht="75" customHeight="1" x14ac:dyDescent="0.3">
      <c r="A434" s="387"/>
      <c r="B434" s="388"/>
      <c r="C434" s="388"/>
      <c r="D434" s="389"/>
      <c r="E434" s="316"/>
      <c r="F434" s="411"/>
      <c r="G434" s="66" t="s">
        <v>149</v>
      </c>
      <c r="H434" s="28">
        <f>H311+H331</f>
        <v>41088.300000000003</v>
      </c>
      <c r="I434" s="28">
        <f>I311+I331</f>
        <v>14328.7</v>
      </c>
      <c r="J434" s="28">
        <f>J311+J331</f>
        <v>3046.7</v>
      </c>
      <c r="K434" s="28">
        <f>K311+K331</f>
        <v>11876.8</v>
      </c>
      <c r="L434" s="343"/>
    </row>
    <row r="435" spans="1:12" ht="75" customHeight="1" x14ac:dyDescent="0.3">
      <c r="A435" s="387"/>
      <c r="B435" s="388"/>
      <c r="C435" s="388"/>
      <c r="D435" s="389"/>
      <c r="E435" s="316"/>
      <c r="F435" s="411"/>
      <c r="G435" s="241" t="s">
        <v>152</v>
      </c>
      <c r="H435" s="28">
        <f>H312</f>
        <v>2500</v>
      </c>
      <c r="I435" s="28">
        <f>I312</f>
        <v>0</v>
      </c>
      <c r="J435" s="28">
        <f>J312</f>
        <v>0</v>
      </c>
      <c r="K435" s="28">
        <f>K312</f>
        <v>2500</v>
      </c>
      <c r="L435" s="343"/>
    </row>
    <row r="436" spans="1:12" ht="75" customHeight="1" x14ac:dyDescent="0.3">
      <c r="A436" s="387"/>
      <c r="B436" s="388"/>
      <c r="C436" s="388"/>
      <c r="D436" s="389"/>
      <c r="E436" s="316"/>
      <c r="F436" s="411"/>
      <c r="G436" s="241" t="s">
        <v>62</v>
      </c>
      <c r="H436" s="28">
        <f>H369</f>
        <v>951.80000000000007</v>
      </c>
      <c r="I436" s="28">
        <f>I369</f>
        <v>303.10000000000002</v>
      </c>
      <c r="J436" s="28">
        <f>J369</f>
        <v>303.10000000000002</v>
      </c>
      <c r="K436" s="28">
        <f>K369</f>
        <v>345.6</v>
      </c>
      <c r="L436" s="343"/>
    </row>
    <row r="437" spans="1:12" ht="75" customHeight="1" x14ac:dyDescent="0.3">
      <c r="A437" s="387"/>
      <c r="B437" s="388"/>
      <c r="C437" s="388"/>
      <c r="D437" s="389"/>
      <c r="E437" s="416"/>
      <c r="F437" s="411"/>
      <c r="G437" s="241" t="s">
        <v>65</v>
      </c>
      <c r="H437" s="28">
        <f>H382</f>
        <v>41053.199999999997</v>
      </c>
      <c r="I437" s="28">
        <f>I382</f>
        <v>14040.5</v>
      </c>
      <c r="J437" s="28">
        <f>J382</f>
        <v>16112.7</v>
      </c>
      <c r="K437" s="28">
        <f>K382</f>
        <v>10900</v>
      </c>
      <c r="L437" s="343"/>
    </row>
    <row r="438" spans="1:12" ht="75" customHeight="1" x14ac:dyDescent="0.3">
      <c r="A438" s="387"/>
      <c r="B438" s="388"/>
      <c r="C438" s="388"/>
      <c r="D438" s="389"/>
      <c r="E438" s="315" t="s">
        <v>56</v>
      </c>
      <c r="F438" s="411"/>
      <c r="G438" s="252" t="s">
        <v>64</v>
      </c>
      <c r="H438" s="26">
        <f>SUM(H439:H442)</f>
        <v>288371.00000000006</v>
      </c>
      <c r="I438" s="26">
        <f>SUM(I439:I442)</f>
        <v>104034</v>
      </c>
      <c r="J438" s="26">
        <f>SUM(J439:J442)</f>
        <v>98219.200000000012</v>
      </c>
      <c r="K438" s="26">
        <f>SUM(K439:K442)</f>
        <v>86117.799999999988</v>
      </c>
      <c r="L438" s="343"/>
    </row>
    <row r="439" spans="1:12" ht="75" customHeight="1" x14ac:dyDescent="0.3">
      <c r="A439" s="387"/>
      <c r="B439" s="388"/>
      <c r="C439" s="388"/>
      <c r="D439" s="389"/>
      <c r="E439" s="316"/>
      <c r="F439" s="411"/>
      <c r="G439" s="66" t="s">
        <v>149</v>
      </c>
      <c r="H439" s="28">
        <f t="shared" ref="H439:K440" si="23">H314</f>
        <v>32485.200000000004</v>
      </c>
      <c r="I439" s="28">
        <f t="shared" si="23"/>
        <v>10162</v>
      </c>
      <c r="J439" s="28">
        <f t="shared" si="23"/>
        <v>11096.099999999999</v>
      </c>
      <c r="K439" s="28">
        <f t="shared" si="23"/>
        <v>11227.099999999999</v>
      </c>
      <c r="L439" s="343"/>
    </row>
    <row r="440" spans="1:12" ht="75" customHeight="1" x14ac:dyDescent="0.3">
      <c r="A440" s="387"/>
      <c r="B440" s="388"/>
      <c r="C440" s="388"/>
      <c r="D440" s="389"/>
      <c r="E440" s="316"/>
      <c r="F440" s="411"/>
      <c r="G440" s="241" t="s">
        <v>152</v>
      </c>
      <c r="H440" s="28">
        <f t="shared" si="23"/>
        <v>0</v>
      </c>
      <c r="I440" s="28">
        <f t="shared" si="23"/>
        <v>0</v>
      </c>
      <c r="J440" s="28">
        <f t="shared" si="23"/>
        <v>0</v>
      </c>
      <c r="K440" s="28">
        <f t="shared" si="23"/>
        <v>0</v>
      </c>
      <c r="L440" s="343"/>
    </row>
    <row r="441" spans="1:12" ht="75" customHeight="1" x14ac:dyDescent="0.3">
      <c r="A441" s="387"/>
      <c r="B441" s="388"/>
      <c r="C441" s="388"/>
      <c r="D441" s="389"/>
      <c r="E441" s="316"/>
      <c r="F441" s="411"/>
      <c r="G441" s="241" t="s">
        <v>62</v>
      </c>
      <c r="H441" s="28">
        <f>H371</f>
        <v>253622.90000000002</v>
      </c>
      <c r="I441" s="28">
        <f>I371</f>
        <v>92957.5</v>
      </c>
      <c r="J441" s="28">
        <f>J371</f>
        <v>86013.6</v>
      </c>
      <c r="K441" s="28">
        <f>K371</f>
        <v>74651.8</v>
      </c>
      <c r="L441" s="343"/>
    </row>
    <row r="442" spans="1:12" ht="75" customHeight="1" x14ac:dyDescent="0.3">
      <c r="A442" s="387"/>
      <c r="B442" s="388"/>
      <c r="C442" s="388"/>
      <c r="D442" s="389"/>
      <c r="E442" s="416"/>
      <c r="F442" s="411"/>
      <c r="G442" s="241" t="s">
        <v>65</v>
      </c>
      <c r="H442" s="28">
        <f>H383</f>
        <v>2262.9</v>
      </c>
      <c r="I442" s="28">
        <f>I383</f>
        <v>914.5</v>
      </c>
      <c r="J442" s="28">
        <f>J383</f>
        <v>1109.5</v>
      </c>
      <c r="K442" s="28">
        <f>K383</f>
        <v>238.9</v>
      </c>
      <c r="L442" s="343"/>
    </row>
    <row r="443" spans="1:12" ht="75" customHeight="1" x14ac:dyDescent="0.3">
      <c r="A443" s="387"/>
      <c r="B443" s="388"/>
      <c r="C443" s="388"/>
      <c r="D443" s="389"/>
      <c r="E443" s="315" t="s">
        <v>57</v>
      </c>
      <c r="F443" s="411"/>
      <c r="G443" s="252" t="s">
        <v>64</v>
      </c>
      <c r="H443" s="26">
        <f>SUM(H444:H447)</f>
        <v>304512.2</v>
      </c>
      <c r="I443" s="26">
        <f>SUM(I444:I447)</f>
        <v>115126.3</v>
      </c>
      <c r="J443" s="26">
        <f>SUM(J444:J447)</f>
        <v>104557.3</v>
      </c>
      <c r="K443" s="26">
        <f>SUM(K444:K447)</f>
        <v>84828.6</v>
      </c>
      <c r="L443" s="343"/>
    </row>
    <row r="444" spans="1:12" ht="75" customHeight="1" x14ac:dyDescent="0.3">
      <c r="A444" s="387"/>
      <c r="B444" s="388"/>
      <c r="C444" s="388"/>
      <c r="D444" s="389"/>
      <c r="E444" s="316"/>
      <c r="F444" s="411"/>
      <c r="G444" s="66" t="s">
        <v>149</v>
      </c>
      <c r="H444" s="28">
        <f t="shared" ref="H444:K445" si="24">H317</f>
        <v>36733.599999999999</v>
      </c>
      <c r="I444" s="28">
        <f t="shared" si="24"/>
        <v>11869.8</v>
      </c>
      <c r="J444" s="28">
        <f t="shared" si="24"/>
        <v>11778.8</v>
      </c>
      <c r="K444" s="28">
        <f t="shared" si="24"/>
        <v>13085</v>
      </c>
      <c r="L444" s="343"/>
    </row>
    <row r="445" spans="1:12" ht="75" customHeight="1" x14ac:dyDescent="0.3">
      <c r="A445" s="387"/>
      <c r="B445" s="388"/>
      <c r="C445" s="388"/>
      <c r="D445" s="389"/>
      <c r="E445" s="316"/>
      <c r="F445" s="411"/>
      <c r="G445" s="241" t="s">
        <v>152</v>
      </c>
      <c r="H445" s="28">
        <f t="shared" si="24"/>
        <v>0</v>
      </c>
      <c r="I445" s="28">
        <f t="shared" si="24"/>
        <v>0</v>
      </c>
      <c r="J445" s="28">
        <f t="shared" si="24"/>
        <v>0</v>
      </c>
      <c r="K445" s="28">
        <f t="shared" si="24"/>
        <v>0</v>
      </c>
      <c r="L445" s="343"/>
    </row>
    <row r="446" spans="1:12" ht="75" customHeight="1" x14ac:dyDescent="0.3">
      <c r="A446" s="387"/>
      <c r="B446" s="388"/>
      <c r="C446" s="388"/>
      <c r="D446" s="389"/>
      <c r="E446" s="316"/>
      <c r="F446" s="411"/>
      <c r="G446" s="241" t="s">
        <v>62</v>
      </c>
      <c r="H446" s="28">
        <f>H374+H372</f>
        <v>264117.7</v>
      </c>
      <c r="I446" s="28">
        <f>I374+I372</f>
        <v>101228.7</v>
      </c>
      <c r="J446" s="28">
        <f>J374+J372</f>
        <v>91365</v>
      </c>
      <c r="K446" s="28">
        <f>K374+K372</f>
        <v>71524</v>
      </c>
      <c r="L446" s="343"/>
    </row>
    <row r="447" spans="1:12" ht="75" customHeight="1" x14ac:dyDescent="0.3">
      <c r="A447" s="387"/>
      <c r="B447" s="388"/>
      <c r="C447" s="388"/>
      <c r="D447" s="389"/>
      <c r="E447" s="416"/>
      <c r="F447" s="411"/>
      <c r="G447" s="241" t="s">
        <v>65</v>
      </c>
      <c r="H447" s="28">
        <f>H384</f>
        <v>3660.9</v>
      </c>
      <c r="I447" s="28">
        <f>I384</f>
        <v>2027.8</v>
      </c>
      <c r="J447" s="28">
        <f>J384</f>
        <v>1413.5</v>
      </c>
      <c r="K447" s="28">
        <f>K384</f>
        <v>219.6</v>
      </c>
      <c r="L447" s="343"/>
    </row>
    <row r="448" spans="1:12" ht="75" customHeight="1" x14ac:dyDescent="0.3">
      <c r="A448" s="387"/>
      <c r="B448" s="388"/>
      <c r="C448" s="388"/>
      <c r="D448" s="389"/>
      <c r="E448" s="315" t="s">
        <v>133</v>
      </c>
      <c r="F448" s="411"/>
      <c r="G448" s="252" t="s">
        <v>64</v>
      </c>
      <c r="H448" s="26">
        <f>SUM(H449:H451)</f>
        <v>237412.40000000002</v>
      </c>
      <c r="I448" s="26">
        <f>SUM(I449:I451)</f>
        <v>49984.4</v>
      </c>
      <c r="J448" s="26">
        <f>SUM(J449:J451)</f>
        <v>103134.6</v>
      </c>
      <c r="K448" s="26">
        <f>SUM(K449:K451)</f>
        <v>84293.4</v>
      </c>
      <c r="L448" s="343"/>
    </row>
    <row r="449" spans="1:12" ht="75" customHeight="1" x14ac:dyDescent="0.3">
      <c r="A449" s="387"/>
      <c r="B449" s="388"/>
      <c r="C449" s="388"/>
      <c r="D449" s="389"/>
      <c r="E449" s="316"/>
      <c r="F449" s="411"/>
      <c r="G449" s="66" t="s">
        <v>149</v>
      </c>
      <c r="H449" s="28">
        <f t="shared" ref="H449:K450" si="25">H320</f>
        <v>11660.7</v>
      </c>
      <c r="I449" s="28">
        <f t="shared" si="25"/>
        <v>2954.2999999999997</v>
      </c>
      <c r="J449" s="28">
        <f t="shared" si="25"/>
        <v>4713</v>
      </c>
      <c r="K449" s="28">
        <f t="shared" si="25"/>
        <v>3993.4</v>
      </c>
      <c r="L449" s="343"/>
    </row>
    <row r="450" spans="1:12" ht="75" customHeight="1" x14ac:dyDescent="0.3">
      <c r="A450" s="387"/>
      <c r="B450" s="388"/>
      <c r="C450" s="388"/>
      <c r="D450" s="389"/>
      <c r="E450" s="316"/>
      <c r="F450" s="411"/>
      <c r="G450" s="241" t="s">
        <v>152</v>
      </c>
      <c r="H450" s="28">
        <f t="shared" si="25"/>
        <v>207469.6</v>
      </c>
      <c r="I450" s="28">
        <f t="shared" si="25"/>
        <v>30493</v>
      </c>
      <c r="J450" s="28">
        <f t="shared" si="25"/>
        <v>96676.6</v>
      </c>
      <c r="K450" s="28">
        <f t="shared" si="25"/>
        <v>80300</v>
      </c>
      <c r="L450" s="343"/>
    </row>
    <row r="451" spans="1:12" ht="75" customHeight="1" x14ac:dyDescent="0.3">
      <c r="A451" s="387"/>
      <c r="B451" s="388"/>
      <c r="C451" s="388"/>
      <c r="D451" s="389"/>
      <c r="E451" s="416"/>
      <c r="F451" s="411"/>
      <c r="G451" s="223" t="s">
        <v>356</v>
      </c>
      <c r="H451" s="28">
        <f t="shared" ref="H451:K453" si="26">H322</f>
        <v>18282.099999999999</v>
      </c>
      <c r="I451" s="28">
        <f t="shared" si="26"/>
        <v>16537.099999999999</v>
      </c>
      <c r="J451" s="28">
        <f t="shared" si="26"/>
        <v>1745</v>
      </c>
      <c r="K451" s="28">
        <f t="shared" si="26"/>
        <v>0</v>
      </c>
      <c r="L451" s="343"/>
    </row>
    <row r="452" spans="1:12" ht="122.25" customHeight="1" x14ac:dyDescent="0.3">
      <c r="A452" s="387"/>
      <c r="B452" s="388"/>
      <c r="C452" s="388"/>
      <c r="D452" s="389"/>
      <c r="E452" s="255" t="s">
        <v>61</v>
      </c>
      <c r="F452" s="411"/>
      <c r="G452" s="241" t="s">
        <v>152</v>
      </c>
      <c r="H452" s="28">
        <f t="shared" si="26"/>
        <v>13572</v>
      </c>
      <c r="I452" s="28">
        <f t="shared" si="26"/>
        <v>5000</v>
      </c>
      <c r="J452" s="28">
        <f t="shared" si="26"/>
        <v>8572</v>
      </c>
      <c r="K452" s="28">
        <f t="shared" si="26"/>
        <v>0</v>
      </c>
      <c r="L452" s="343"/>
    </row>
    <row r="453" spans="1:12" ht="116.25" customHeight="1" x14ac:dyDescent="0.3">
      <c r="A453" s="390"/>
      <c r="B453" s="391"/>
      <c r="C453" s="391"/>
      <c r="D453" s="392"/>
      <c r="E453" s="234" t="s">
        <v>306</v>
      </c>
      <c r="F453" s="412"/>
      <c r="G453" s="252" t="s">
        <v>152</v>
      </c>
      <c r="H453" s="28">
        <f t="shared" si="26"/>
        <v>400</v>
      </c>
      <c r="I453" s="28">
        <f t="shared" si="26"/>
        <v>400</v>
      </c>
      <c r="J453" s="28">
        <f t="shared" si="26"/>
        <v>0</v>
      </c>
      <c r="K453" s="28">
        <f t="shared" si="26"/>
        <v>0</v>
      </c>
      <c r="L453" s="343"/>
    </row>
    <row r="454" spans="1:12" s="78" customFormat="1" ht="75" customHeight="1" x14ac:dyDescent="0.65">
      <c r="A454" s="77"/>
      <c r="B454" s="78" t="s">
        <v>136</v>
      </c>
      <c r="C454" s="79"/>
      <c r="D454" s="80"/>
      <c r="E454" s="80"/>
      <c r="F454" s="77"/>
      <c r="G454" s="81"/>
      <c r="H454" s="46"/>
      <c r="I454" s="82" t="s">
        <v>304</v>
      </c>
      <c r="J454" s="46"/>
      <c r="K454" s="46"/>
      <c r="L454" s="165"/>
    </row>
    <row r="455" spans="1:12" s="78" customFormat="1" ht="75" customHeight="1" x14ac:dyDescent="0.65">
      <c r="A455" s="77"/>
      <c r="C455" s="79"/>
      <c r="D455" s="80"/>
      <c r="E455" s="80"/>
      <c r="F455" s="77"/>
      <c r="G455" s="81"/>
      <c r="H455" s="46"/>
      <c r="I455" s="82"/>
      <c r="J455" s="46"/>
      <c r="K455" s="46"/>
      <c r="L455" s="165"/>
    </row>
    <row r="456" spans="1:12" ht="75" customHeight="1" x14ac:dyDescent="0.85">
      <c r="A456" s="83" t="s">
        <v>25</v>
      </c>
      <c r="B456" s="84"/>
      <c r="K456" s="85"/>
    </row>
    <row r="458" spans="1:12" s="86" customFormat="1" ht="75" customHeight="1" x14ac:dyDescent="0.5">
      <c r="C458" s="87"/>
      <c r="D458" s="88"/>
      <c r="F458" s="89"/>
      <c r="G458" s="89"/>
      <c r="H458" s="90"/>
      <c r="I458" s="82"/>
      <c r="J458" s="90"/>
      <c r="K458" s="46"/>
      <c r="L458" s="219"/>
    </row>
    <row r="459" spans="1:12" ht="75" customHeight="1" x14ac:dyDescent="0.4">
      <c r="A459" s="91"/>
      <c r="B459" s="91"/>
      <c r="C459" s="92"/>
      <c r="D459" s="93"/>
      <c r="E459" s="94"/>
      <c r="F459" s="95"/>
      <c r="G459" s="96"/>
      <c r="H459" s="90"/>
      <c r="I459" s="82"/>
      <c r="J459" s="90"/>
      <c r="K459" s="85"/>
    </row>
    <row r="460" spans="1:12" ht="75" customHeight="1" x14ac:dyDescent="0.4">
      <c r="A460" s="91"/>
      <c r="B460" s="91"/>
      <c r="C460" s="92"/>
      <c r="D460" s="93"/>
      <c r="E460" s="94"/>
      <c r="F460" s="95"/>
      <c r="G460" s="96"/>
      <c r="H460" s="90"/>
      <c r="I460" s="82"/>
      <c r="J460" s="90"/>
    </row>
    <row r="461" spans="1:12" ht="75" customHeight="1" x14ac:dyDescent="0.4">
      <c r="A461" s="91"/>
      <c r="B461" s="91"/>
      <c r="C461" s="92"/>
      <c r="D461" s="93"/>
      <c r="E461" s="94"/>
      <c r="F461" s="95"/>
      <c r="G461" s="96"/>
      <c r="H461" s="90"/>
      <c r="I461" s="82"/>
      <c r="J461" s="90"/>
    </row>
    <row r="462" spans="1:12" ht="75" customHeight="1" x14ac:dyDescent="0.4">
      <c r="A462" s="97"/>
      <c r="B462" s="91"/>
      <c r="D462" s="93"/>
      <c r="E462" s="94"/>
      <c r="F462" s="95"/>
      <c r="G462" s="96"/>
      <c r="H462" s="90"/>
      <c r="I462" s="90"/>
      <c r="J462" s="90"/>
    </row>
  </sheetData>
  <autoFilter ref="A7:L454">
    <filterColumn colId="7" showButton="0"/>
    <filterColumn colId="8" showButton="0"/>
    <filterColumn colId="9" showButton="0"/>
  </autoFilter>
  <mergeCells count="320">
    <mergeCell ref="L52:L56"/>
    <mergeCell ref="C66:C67"/>
    <mergeCell ref="F66:F67"/>
    <mergeCell ref="G66:G67"/>
    <mergeCell ref="L66:L67"/>
    <mergeCell ref="D78:G78"/>
    <mergeCell ref="G79:G80"/>
    <mergeCell ref="C78:C81"/>
    <mergeCell ref="C68:C69"/>
    <mergeCell ref="L68:L69"/>
    <mergeCell ref="L58:L63"/>
    <mergeCell ref="D71:G71"/>
    <mergeCell ref="C58:C64"/>
    <mergeCell ref="F59:F64"/>
    <mergeCell ref="G59:G64"/>
    <mergeCell ref="D65:G65"/>
    <mergeCell ref="D58:G58"/>
    <mergeCell ref="L79:L80"/>
    <mergeCell ref="C206:C215"/>
    <mergeCell ref="F195:F205"/>
    <mergeCell ref="C21:C23"/>
    <mergeCell ref="D21:G21"/>
    <mergeCell ref="F22:F23"/>
    <mergeCell ref="G22:G23"/>
    <mergeCell ref="C52:C57"/>
    <mergeCell ref="D52:G52"/>
    <mergeCell ref="F53:F57"/>
    <mergeCell ref="G53:G57"/>
    <mergeCell ref="C86:C88"/>
    <mergeCell ref="D86:G86"/>
    <mergeCell ref="F87:F88"/>
    <mergeCell ref="G87:G88"/>
    <mergeCell ref="D24:G24"/>
    <mergeCell ref="F25:F27"/>
    <mergeCell ref="C24:C27"/>
    <mergeCell ref="D29:G29"/>
    <mergeCell ref="D160:G160"/>
    <mergeCell ref="G174:G179"/>
    <mergeCell ref="A123:G123"/>
    <mergeCell ref="E128:E129"/>
    <mergeCell ref="E126:E127"/>
    <mergeCell ref="E136:E137"/>
    <mergeCell ref="L93:L109"/>
    <mergeCell ref="E99:F100"/>
    <mergeCell ref="E103:F104"/>
    <mergeCell ref="E108:F109"/>
    <mergeCell ref="E97:F98"/>
    <mergeCell ref="L189:L193"/>
    <mergeCell ref="F112:F114"/>
    <mergeCell ref="E101:F102"/>
    <mergeCell ref="B110:B114"/>
    <mergeCell ref="B117:B120"/>
    <mergeCell ref="E96:F96"/>
    <mergeCell ref="A115:D116"/>
    <mergeCell ref="C111:C112"/>
    <mergeCell ref="F110:F111"/>
    <mergeCell ref="G111:G112"/>
    <mergeCell ref="F119:F120"/>
    <mergeCell ref="L121:L122"/>
    <mergeCell ref="E121:E122"/>
    <mergeCell ref="A121:D122"/>
    <mergeCell ref="L167:L169"/>
    <mergeCell ref="C167:C169"/>
    <mergeCell ref="A147:L147"/>
    <mergeCell ref="E142:E144"/>
    <mergeCell ref="E134:E135"/>
    <mergeCell ref="L264:L281"/>
    <mergeCell ref="L282:L287"/>
    <mergeCell ref="C233:C239"/>
    <mergeCell ref="D233:G233"/>
    <mergeCell ref="F234:F236"/>
    <mergeCell ref="F237:F239"/>
    <mergeCell ref="G234:G236"/>
    <mergeCell ref="G237:G239"/>
    <mergeCell ref="C247:C251"/>
    <mergeCell ref="A267:D281"/>
    <mergeCell ref="G241:G243"/>
    <mergeCell ref="F253:F261"/>
    <mergeCell ref="D247:G247"/>
    <mergeCell ref="D252:G252"/>
    <mergeCell ref="F248:F251"/>
    <mergeCell ref="D240:G240"/>
    <mergeCell ref="G248:G251"/>
    <mergeCell ref="L247:L251"/>
    <mergeCell ref="A189:A261"/>
    <mergeCell ref="B189:B261"/>
    <mergeCell ref="D189:G189"/>
    <mergeCell ref="L252:L261"/>
    <mergeCell ref="C252:C261"/>
    <mergeCell ref="A264:G264"/>
    <mergeCell ref="L234:L239"/>
    <mergeCell ref="B347:F347"/>
    <mergeCell ref="G357:G362"/>
    <mergeCell ref="A357:D357"/>
    <mergeCell ref="A333:D346"/>
    <mergeCell ref="E343:E346"/>
    <mergeCell ref="L354:L355"/>
    <mergeCell ref="E333:E335"/>
    <mergeCell ref="G351:G353"/>
    <mergeCell ref="B326:F326"/>
    <mergeCell ref="L332:L346"/>
    <mergeCell ref="E340:E341"/>
    <mergeCell ref="E336:E337"/>
    <mergeCell ref="A327:D331"/>
    <mergeCell ref="F333:F346"/>
    <mergeCell ref="G348:G350"/>
    <mergeCell ref="G327:G331"/>
    <mergeCell ref="F327:F331"/>
    <mergeCell ref="B332:F332"/>
    <mergeCell ref="L326:L331"/>
    <mergeCell ref="E338:E339"/>
    <mergeCell ref="A288:D324"/>
    <mergeCell ref="E288:E290"/>
    <mergeCell ref="E291:E293"/>
    <mergeCell ref="E316:E318"/>
    <mergeCell ref="E313:E315"/>
    <mergeCell ref="E319:E322"/>
    <mergeCell ref="F267:F281"/>
    <mergeCell ref="A283:F287"/>
    <mergeCell ref="F217:F226"/>
    <mergeCell ref="G217:G226"/>
    <mergeCell ref="A173:B173"/>
    <mergeCell ref="E302:E306"/>
    <mergeCell ref="G244:G246"/>
    <mergeCell ref="D194:G194"/>
    <mergeCell ref="A265:F265"/>
    <mergeCell ref="E271:E272"/>
    <mergeCell ref="E273:E274"/>
    <mergeCell ref="E294:E297"/>
    <mergeCell ref="E298:E301"/>
    <mergeCell ref="F288:F324"/>
    <mergeCell ref="D262:F262"/>
    <mergeCell ref="G253:G263"/>
    <mergeCell ref="D227:F227"/>
    <mergeCell ref="D206:G206"/>
    <mergeCell ref="G207:G214"/>
    <mergeCell ref="C189:C193"/>
    <mergeCell ref="E269:E270"/>
    <mergeCell ref="L385:L453"/>
    <mergeCell ref="L375:L384"/>
    <mergeCell ref="E443:E447"/>
    <mergeCell ref="A386:F394"/>
    <mergeCell ref="A395:D453"/>
    <mergeCell ref="L363:L374"/>
    <mergeCell ref="A376:D384"/>
    <mergeCell ref="A355:D355"/>
    <mergeCell ref="B354:F354"/>
    <mergeCell ref="F376:F384"/>
    <mergeCell ref="F364:F372"/>
    <mergeCell ref="G364:G372"/>
    <mergeCell ref="G376:G384"/>
    <mergeCell ref="L36:L40"/>
    <mergeCell ref="L32:L34"/>
    <mergeCell ref="L21:L23"/>
    <mergeCell ref="G25:G27"/>
    <mergeCell ref="F395:F453"/>
    <mergeCell ref="A385:F385"/>
    <mergeCell ref="E448:E451"/>
    <mergeCell ref="E420:E427"/>
    <mergeCell ref="A282:F282"/>
    <mergeCell ref="E310:E312"/>
    <mergeCell ref="E438:E442"/>
    <mergeCell ref="E395:E400"/>
    <mergeCell ref="E401:E405"/>
    <mergeCell ref="E428:E432"/>
    <mergeCell ref="E433:E437"/>
    <mergeCell ref="E406:E411"/>
    <mergeCell ref="E412:E419"/>
    <mergeCell ref="E307:E309"/>
    <mergeCell ref="A364:D374"/>
    <mergeCell ref="A358:D360"/>
    <mergeCell ref="A348:D348"/>
    <mergeCell ref="B356:F356"/>
    <mergeCell ref="A325:L325"/>
    <mergeCell ref="L356:L360"/>
    <mergeCell ref="A11:L11"/>
    <mergeCell ref="F13:F14"/>
    <mergeCell ref="G13:G14"/>
    <mergeCell ref="F19:F20"/>
    <mergeCell ref="G19:G20"/>
    <mergeCell ref="L12:L17"/>
    <mergeCell ref="G43:G47"/>
    <mergeCell ref="F43:F47"/>
    <mergeCell ref="L42:L47"/>
    <mergeCell ref="A12:A31"/>
    <mergeCell ref="F33:F35"/>
    <mergeCell ref="G33:G35"/>
    <mergeCell ref="A32:D35"/>
    <mergeCell ref="L18:L20"/>
    <mergeCell ref="B12:B31"/>
    <mergeCell ref="C12:C14"/>
    <mergeCell ref="C15:C17"/>
    <mergeCell ref="C18:C20"/>
    <mergeCell ref="F16:F17"/>
    <mergeCell ref="L24:L27"/>
    <mergeCell ref="F30:F31"/>
    <mergeCell ref="G30:G31"/>
    <mergeCell ref="C29:C31"/>
    <mergeCell ref="L29:L31"/>
    <mergeCell ref="A5:L5"/>
    <mergeCell ref="A7:A9"/>
    <mergeCell ref="B7:B9"/>
    <mergeCell ref="C7:C9"/>
    <mergeCell ref="D7:D9"/>
    <mergeCell ref="E7:E9"/>
    <mergeCell ref="F7:F9"/>
    <mergeCell ref="G7:G9"/>
    <mergeCell ref="H7:K7"/>
    <mergeCell ref="L7:L9"/>
    <mergeCell ref="H8:H9"/>
    <mergeCell ref="I8:K8"/>
    <mergeCell ref="L86:L88"/>
    <mergeCell ref="L89:L91"/>
    <mergeCell ref="L123:L146"/>
    <mergeCell ref="L115:L116"/>
    <mergeCell ref="D12:G12"/>
    <mergeCell ref="D15:G15"/>
    <mergeCell ref="D18:G18"/>
    <mergeCell ref="G16:G17"/>
    <mergeCell ref="E32:G32"/>
    <mergeCell ref="D36:G36"/>
    <mergeCell ref="E105:F107"/>
    <mergeCell ref="A93:D109"/>
    <mergeCell ref="E93:F95"/>
    <mergeCell ref="C36:C41"/>
    <mergeCell ref="F37:F41"/>
    <mergeCell ref="G37:G41"/>
    <mergeCell ref="A124:F125"/>
    <mergeCell ref="F90:F91"/>
    <mergeCell ref="G83:G84"/>
    <mergeCell ref="C82:C85"/>
    <mergeCell ref="D82:G82"/>
    <mergeCell ref="A126:D146"/>
    <mergeCell ref="E145:E146"/>
    <mergeCell ref="F126:F146"/>
    <mergeCell ref="E130:E131"/>
    <mergeCell ref="E132:E133"/>
    <mergeCell ref="E138:E139"/>
    <mergeCell ref="E140:E141"/>
    <mergeCell ref="L152:L155"/>
    <mergeCell ref="G153:G155"/>
    <mergeCell ref="C148:C151"/>
    <mergeCell ref="G168:G169"/>
    <mergeCell ref="G165:G166"/>
    <mergeCell ref="D165:D166"/>
    <mergeCell ref="L164:L166"/>
    <mergeCell ref="D148:G148"/>
    <mergeCell ref="F149:F151"/>
    <mergeCell ref="L185:L187"/>
    <mergeCell ref="L172:L179"/>
    <mergeCell ref="A180:L180"/>
    <mergeCell ref="E178:F178"/>
    <mergeCell ref="D168:D169"/>
    <mergeCell ref="G161:G163"/>
    <mergeCell ref="A172:F172"/>
    <mergeCell ref="C160:C163"/>
    <mergeCell ref="F161:F163"/>
    <mergeCell ref="F168:F169"/>
    <mergeCell ref="E175:F175"/>
    <mergeCell ref="E176:F176"/>
    <mergeCell ref="B181:B184"/>
    <mergeCell ref="A181:A184"/>
    <mergeCell ref="D167:G167"/>
    <mergeCell ref="B148:B171"/>
    <mergeCell ref="A148:A171"/>
    <mergeCell ref="G149:G151"/>
    <mergeCell ref="L148:L151"/>
    <mergeCell ref="C156:C159"/>
    <mergeCell ref="D156:G156"/>
    <mergeCell ref="F157:F159"/>
    <mergeCell ref="G157:G159"/>
    <mergeCell ref="L156:L159"/>
    <mergeCell ref="C89:C91"/>
    <mergeCell ref="C194:C204"/>
    <mergeCell ref="A185:F185"/>
    <mergeCell ref="E174:F174"/>
    <mergeCell ref="A174:D179"/>
    <mergeCell ref="E179:F179"/>
    <mergeCell ref="F190:F193"/>
    <mergeCell ref="G190:G193"/>
    <mergeCell ref="D152:G152"/>
    <mergeCell ref="C152:C155"/>
    <mergeCell ref="F153:F155"/>
    <mergeCell ref="D89:G89"/>
    <mergeCell ref="A42:A92"/>
    <mergeCell ref="D42:G42"/>
    <mergeCell ref="C42:C47"/>
    <mergeCell ref="A110:A111"/>
    <mergeCell ref="F117:F118"/>
    <mergeCell ref="A117:A120"/>
    <mergeCell ref="B36:B92"/>
    <mergeCell ref="F68:F70"/>
    <mergeCell ref="G90:G91"/>
    <mergeCell ref="C164:C166"/>
    <mergeCell ref="F165:F166"/>
    <mergeCell ref="D164:G164"/>
    <mergeCell ref="L83:L84"/>
    <mergeCell ref="E177:F177"/>
    <mergeCell ref="F182:F184"/>
    <mergeCell ref="A188:L188"/>
    <mergeCell ref="F207:F214"/>
    <mergeCell ref="L206:L215"/>
    <mergeCell ref="F241:F243"/>
    <mergeCell ref="F230:F232"/>
    <mergeCell ref="G230:G232"/>
    <mergeCell ref="C216:C228"/>
    <mergeCell ref="L194:L202"/>
    <mergeCell ref="C229:C232"/>
    <mergeCell ref="C240:C246"/>
    <mergeCell ref="L240:L246"/>
    <mergeCell ref="G195:G205"/>
    <mergeCell ref="L216:L224"/>
    <mergeCell ref="D216:G216"/>
    <mergeCell ref="A186:F187"/>
    <mergeCell ref="D229:G229"/>
    <mergeCell ref="F121:F122"/>
    <mergeCell ref="E115:E116"/>
    <mergeCell ref="F115:F116"/>
    <mergeCell ref="F244:F246"/>
    <mergeCell ref="L160:L163"/>
  </mergeCells>
  <pageMargins left="0.78740157480314965" right="0.78740157480314965" top="1.1023622047244095" bottom="0.39370078740157483" header="0.31496062992125984" footer="0.31496062992125984"/>
  <pageSetup paperSize="9" scale="29" fitToHeight="25" orientation="landscape" r:id="rId1"/>
  <rowBreaks count="21" manualBreakCount="21">
    <brk id="31" max="11" man="1"/>
    <brk id="50" max="11" man="1"/>
    <brk id="67" max="11" man="1"/>
    <brk id="78" max="11" man="1"/>
    <brk id="92" max="11" man="1"/>
    <brk id="111" max="11" man="1"/>
    <brk id="123" max="11" man="1"/>
    <brk id="142" max="11" man="1"/>
    <brk id="163" max="11" man="1"/>
    <brk id="178" max="11" man="1"/>
    <brk id="188" max="11" man="1"/>
    <brk id="220" max="11" man="1"/>
    <brk id="237" max="11" man="1"/>
    <brk id="265" max="11" man="1"/>
    <brk id="273" max="11" man="1"/>
    <brk id="285" max="11" man="1"/>
    <brk id="300" max="11" man="1"/>
    <brk id="313" max="11" man="1"/>
    <brk id="334" max="11" man="1"/>
    <brk id="369" max="11" man="1"/>
    <brk id="45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7"/>
  <sheetViews>
    <sheetView view="pageBreakPreview" zoomScale="40" zoomScaleNormal="40" zoomScaleSheetLayoutView="40" workbookViewId="0">
      <pane ySplit="10" topLeftCell="A11" activePane="bottomLeft" state="frozen"/>
      <selection pane="bottomLeft" sqref="A1:XFD1048576"/>
    </sheetView>
  </sheetViews>
  <sheetFormatPr defaultColWidth="9.140625" defaultRowHeight="28.5" customHeight="1" x14ac:dyDescent="0.3"/>
  <cols>
    <col min="1" max="1" width="86.28515625" style="111" customWidth="1"/>
    <col min="2" max="2" width="27" style="111" customWidth="1"/>
    <col min="3" max="3" width="24.85546875" style="111" customWidth="1"/>
    <col min="4" max="4" width="25.5703125" style="111" customWidth="1"/>
    <col min="5" max="5" width="25.42578125" style="111" customWidth="1"/>
    <col min="6" max="6" width="25.5703125" style="111" customWidth="1"/>
    <col min="7" max="7" width="24.7109375" style="111" customWidth="1"/>
    <col min="8" max="8" width="25.5703125" style="111" customWidth="1"/>
    <col min="9" max="9" width="24.42578125" style="111" customWidth="1"/>
    <col min="10" max="10" width="25.42578125" style="111" customWidth="1"/>
    <col min="11" max="11" width="25.85546875" style="111" customWidth="1"/>
    <col min="12" max="16384" width="9.140625" style="111"/>
  </cols>
  <sheetData>
    <row r="1" spans="1:11" ht="56.25" customHeight="1" x14ac:dyDescent="0.4">
      <c r="H1" s="112" t="s">
        <v>564</v>
      </c>
    </row>
    <row r="2" spans="1:11" ht="138.75" customHeight="1" x14ac:dyDescent="0.4">
      <c r="H2" s="501" t="s">
        <v>355</v>
      </c>
      <c r="I2" s="501"/>
      <c r="J2" s="501"/>
      <c r="K2" s="501"/>
    </row>
    <row r="3" spans="1:11" ht="57" customHeight="1" x14ac:dyDescent="0.4">
      <c r="A3" s="113"/>
      <c r="H3" s="503" t="s">
        <v>511</v>
      </c>
      <c r="I3" s="503"/>
      <c r="J3" s="503"/>
      <c r="K3" s="503"/>
    </row>
    <row r="4" spans="1:11" ht="63.75" customHeight="1" x14ac:dyDescent="0.4">
      <c r="H4" s="112"/>
      <c r="I4" s="112"/>
      <c r="J4" s="112"/>
      <c r="K4" s="114"/>
    </row>
    <row r="5" spans="1:11" ht="87.75" customHeight="1" x14ac:dyDescent="0.3">
      <c r="A5" s="504" t="s">
        <v>171</v>
      </c>
      <c r="B5" s="504"/>
      <c r="C5" s="504"/>
      <c r="D5" s="504"/>
      <c r="E5" s="504"/>
      <c r="F5" s="504"/>
      <c r="G5" s="504"/>
      <c r="H5" s="504"/>
      <c r="I5" s="504"/>
      <c r="J5" s="504"/>
      <c r="K5" s="504"/>
    </row>
    <row r="6" spans="1:11" ht="21" hidden="1" customHeight="1" x14ac:dyDescent="0.3">
      <c r="A6" s="115"/>
    </row>
    <row r="7" spans="1:11" ht="28.5" customHeight="1" x14ac:dyDescent="0.3">
      <c r="A7" s="505" t="s">
        <v>72</v>
      </c>
      <c r="B7" s="505" t="s">
        <v>64</v>
      </c>
      <c r="C7" s="505" t="s">
        <v>155</v>
      </c>
      <c r="D7" s="505"/>
      <c r="E7" s="505"/>
      <c r="F7" s="505" t="s">
        <v>156</v>
      </c>
      <c r="G7" s="505"/>
      <c r="H7" s="505"/>
      <c r="I7" s="505" t="s">
        <v>157</v>
      </c>
      <c r="J7" s="505"/>
      <c r="K7" s="505"/>
    </row>
    <row r="8" spans="1:11" ht="28.5" customHeight="1" x14ac:dyDescent="0.3">
      <c r="A8" s="505"/>
      <c r="B8" s="505"/>
      <c r="C8" s="505"/>
      <c r="D8" s="505"/>
      <c r="E8" s="505"/>
      <c r="F8" s="505"/>
      <c r="G8" s="505"/>
      <c r="H8" s="505"/>
      <c r="I8" s="505"/>
      <c r="J8" s="505"/>
      <c r="K8" s="505"/>
    </row>
    <row r="9" spans="1:11" ht="28.5" customHeight="1" x14ac:dyDescent="0.3">
      <c r="A9" s="505"/>
      <c r="B9" s="505"/>
      <c r="C9" s="506" t="s">
        <v>68</v>
      </c>
      <c r="D9" s="506" t="s">
        <v>73</v>
      </c>
      <c r="E9" s="506"/>
      <c r="F9" s="506" t="s">
        <v>68</v>
      </c>
      <c r="G9" s="506" t="s">
        <v>73</v>
      </c>
      <c r="H9" s="506"/>
      <c r="I9" s="506" t="s">
        <v>68</v>
      </c>
      <c r="J9" s="506" t="s">
        <v>73</v>
      </c>
      <c r="K9" s="506"/>
    </row>
    <row r="10" spans="1:11" ht="48" customHeight="1" x14ac:dyDescent="0.3">
      <c r="A10" s="505"/>
      <c r="B10" s="505"/>
      <c r="C10" s="506"/>
      <c r="D10" s="267" t="s">
        <v>74</v>
      </c>
      <c r="E10" s="267" t="s">
        <v>75</v>
      </c>
      <c r="F10" s="506"/>
      <c r="G10" s="267" t="s">
        <v>74</v>
      </c>
      <c r="H10" s="267" t="s">
        <v>75</v>
      </c>
      <c r="I10" s="506"/>
      <c r="J10" s="267" t="s">
        <v>74</v>
      </c>
      <c r="K10" s="267" t="s">
        <v>75</v>
      </c>
    </row>
    <row r="11" spans="1:11" ht="32.25" customHeight="1" x14ac:dyDescent="0.3">
      <c r="A11" s="266">
        <v>1</v>
      </c>
      <c r="B11" s="116">
        <v>2</v>
      </c>
      <c r="C11" s="267">
        <v>3</v>
      </c>
      <c r="D11" s="267">
        <v>4</v>
      </c>
      <c r="E11" s="267">
        <v>5</v>
      </c>
      <c r="F11" s="267">
        <v>6</v>
      </c>
      <c r="G11" s="267">
        <v>7</v>
      </c>
      <c r="H11" s="267">
        <v>8</v>
      </c>
      <c r="I11" s="267">
        <v>9</v>
      </c>
      <c r="J11" s="267">
        <v>10</v>
      </c>
      <c r="K11" s="267">
        <v>11</v>
      </c>
    </row>
    <row r="12" spans="1:11" ht="68.25" customHeight="1" x14ac:dyDescent="0.3">
      <c r="A12" s="117" t="s">
        <v>210</v>
      </c>
      <c r="B12" s="118">
        <f>B15+B310+B407+B456</f>
        <v>796514020</v>
      </c>
      <c r="C12" s="118">
        <f>C15+C310+C407+C456</f>
        <v>225046120</v>
      </c>
      <c r="D12" s="118">
        <f>D15+D310+D407</f>
        <v>100957100</v>
      </c>
      <c r="E12" s="118">
        <f>E456+E454</f>
        <v>124089020</v>
      </c>
      <c r="F12" s="118">
        <f t="shared" ref="F12:K12" si="0">F15+F310+F407+F456</f>
        <v>362709200</v>
      </c>
      <c r="G12" s="118">
        <f t="shared" si="0"/>
        <v>121434100</v>
      </c>
      <c r="H12" s="118">
        <f>H15+H310+H407+H456</f>
        <v>241275100.00000003</v>
      </c>
      <c r="I12" s="118">
        <f t="shared" si="0"/>
        <v>208758700</v>
      </c>
      <c r="J12" s="118">
        <f t="shared" si="0"/>
        <v>100458700</v>
      </c>
      <c r="K12" s="118">
        <f t="shared" si="0"/>
        <v>108300000</v>
      </c>
    </row>
    <row r="13" spans="1:11" ht="64.5" customHeight="1" x14ac:dyDescent="0.3">
      <c r="A13" s="502" t="s">
        <v>179</v>
      </c>
      <c r="B13" s="492"/>
      <c r="C13" s="492"/>
      <c r="D13" s="492"/>
      <c r="E13" s="492"/>
      <c r="F13" s="492"/>
      <c r="G13" s="492"/>
      <c r="H13" s="492"/>
      <c r="I13" s="492"/>
      <c r="J13" s="492"/>
      <c r="K13" s="492"/>
    </row>
    <row r="14" spans="1:11" ht="39.75" customHeight="1" x14ac:dyDescent="0.3">
      <c r="A14" s="496" t="s">
        <v>105</v>
      </c>
      <c r="B14" s="496"/>
      <c r="C14" s="496"/>
      <c r="D14" s="496"/>
      <c r="E14" s="496"/>
      <c r="F14" s="496"/>
      <c r="G14" s="496"/>
      <c r="H14" s="496"/>
      <c r="I14" s="496"/>
      <c r="J14" s="496"/>
      <c r="K14" s="496"/>
    </row>
    <row r="15" spans="1:11" ht="42" customHeight="1" x14ac:dyDescent="0.3">
      <c r="A15" s="265" t="s">
        <v>211</v>
      </c>
      <c r="B15" s="119">
        <f>C15+F15+I15</f>
        <v>256153000</v>
      </c>
      <c r="C15" s="119">
        <f>C24+C34+C43+C60+C70+C79+C86+C95+C109+C125+C141+C170+C186+C195+C204+C212+C220+C235+C245+C255+C263+C277+C291+C301+C153</f>
        <v>80227900</v>
      </c>
      <c r="D15" s="119">
        <f>D24+D34+D43+D60+D70+D79+D86+D95+D109+D125+D141+D170+D186+D195+D204+D212+D220+D235+D245+D255+D263+D277+D291+D301+D153</f>
        <v>80227900</v>
      </c>
      <c r="E15" s="119">
        <f>E24+E34+E43+E60+E70+E79+E86+E95+E125+E141+E170+E235+E263+E291</f>
        <v>0</v>
      </c>
      <c r="F15" s="119">
        <f>F24+F43+F60+F70+F86+F95+F125+F141+F170+F195+F212+F220+F245+F277+F301</f>
        <v>98825100</v>
      </c>
      <c r="G15" s="119">
        <f>G24+G43+G60+G70+G86+G95+G125+G141+G170+G195+G212+G220+G245+G277+G301</f>
        <v>98825100</v>
      </c>
      <c r="H15" s="119">
        <f>H24+H34+H43+H60+H70+H79+H86+H95+H125+H141+H170+H235+H263+H291</f>
        <v>0</v>
      </c>
      <c r="I15" s="119">
        <f>J15</f>
        <v>77100000</v>
      </c>
      <c r="J15" s="119">
        <f>J24+J43+J60+J70+J86+J95+J125+J141+J170+J195+J212+J220+J245+J277+J301+J34</f>
        <v>77100000</v>
      </c>
      <c r="K15" s="119">
        <f>K24+K34+K43+K60+K70+K79+K86+K95+K125+K141+K170+K235+K263+K291</f>
        <v>0</v>
      </c>
    </row>
    <row r="16" spans="1:11" ht="21" hidden="1" customHeight="1" x14ac:dyDescent="0.3">
      <c r="A16" s="120" t="s">
        <v>76</v>
      </c>
      <c r="B16" s="507" t="s">
        <v>114</v>
      </c>
      <c r="C16" s="507"/>
      <c r="D16" s="507"/>
      <c r="E16" s="507"/>
      <c r="F16" s="507"/>
      <c r="G16" s="507"/>
      <c r="H16" s="507"/>
      <c r="I16" s="507"/>
      <c r="J16" s="507"/>
      <c r="K16" s="507"/>
    </row>
    <row r="17" spans="1:11" ht="21" hidden="1" customHeight="1" x14ac:dyDescent="0.3">
      <c r="A17" s="264" t="s">
        <v>82</v>
      </c>
      <c r="B17" s="493" t="s">
        <v>83</v>
      </c>
      <c r="C17" s="494"/>
      <c r="D17" s="494"/>
      <c r="E17" s="494"/>
      <c r="F17" s="494"/>
      <c r="G17" s="494"/>
      <c r="H17" s="494"/>
      <c r="I17" s="494"/>
      <c r="J17" s="494"/>
      <c r="K17" s="495"/>
    </row>
    <row r="18" spans="1:11" ht="21" hidden="1" customHeight="1" x14ac:dyDescent="0.3">
      <c r="A18" s="261" t="s">
        <v>77</v>
      </c>
      <c r="B18" s="261">
        <f>C18+F18+I18</f>
        <v>0</v>
      </c>
      <c r="C18" s="261">
        <f>D18+E18</f>
        <v>0</v>
      </c>
      <c r="D18" s="261">
        <f>Дод.3!I12*1000</f>
        <v>0</v>
      </c>
      <c r="E18" s="261">
        <v>0</v>
      </c>
      <c r="F18" s="261">
        <f>G18+H18</f>
        <v>0</v>
      </c>
      <c r="G18" s="261">
        <f>Дод.3!J12*1000</f>
        <v>0</v>
      </c>
      <c r="H18" s="261">
        <v>0</v>
      </c>
      <c r="I18" s="261">
        <f>J18+K18</f>
        <v>0</v>
      </c>
      <c r="J18" s="261">
        <f>Дод.3!K12*1000</f>
        <v>0</v>
      </c>
      <c r="K18" s="261">
        <v>0</v>
      </c>
    </row>
    <row r="19" spans="1:11" ht="21" hidden="1" customHeight="1" x14ac:dyDescent="0.3">
      <c r="A19" s="261" t="s">
        <v>125</v>
      </c>
      <c r="B19" s="261"/>
      <c r="C19" s="120">
        <v>2</v>
      </c>
      <c r="D19" s="120">
        <v>2</v>
      </c>
      <c r="E19" s="261"/>
      <c r="F19" s="120"/>
      <c r="G19" s="120">
        <v>2</v>
      </c>
      <c r="H19" s="120">
        <v>2</v>
      </c>
      <c r="I19" s="120"/>
      <c r="J19" s="261">
        <v>2</v>
      </c>
      <c r="K19" s="261">
        <v>2</v>
      </c>
    </row>
    <row r="20" spans="1:11" ht="21" hidden="1" customHeight="1" x14ac:dyDescent="0.3">
      <c r="A20" s="261" t="s">
        <v>126</v>
      </c>
      <c r="B20" s="120"/>
      <c r="C20" s="120">
        <f>C18/C19</f>
        <v>0</v>
      </c>
      <c r="D20" s="120">
        <f>D18/D19</f>
        <v>0</v>
      </c>
      <c r="E20" s="120"/>
      <c r="F20" s="120"/>
      <c r="G20" s="120">
        <f>G18/G19</f>
        <v>0</v>
      </c>
      <c r="H20" s="120"/>
      <c r="I20" s="120"/>
      <c r="J20" s="120"/>
      <c r="K20" s="261"/>
    </row>
    <row r="21" spans="1:11" ht="28.5" customHeight="1" x14ac:dyDescent="0.3">
      <c r="A21" s="493" t="s">
        <v>181</v>
      </c>
      <c r="B21" s="494"/>
      <c r="C21" s="494"/>
      <c r="D21" s="494"/>
      <c r="E21" s="494"/>
      <c r="F21" s="494"/>
      <c r="G21" s="494"/>
      <c r="H21" s="494"/>
      <c r="I21" s="494"/>
      <c r="J21" s="494"/>
      <c r="K21" s="495"/>
    </row>
    <row r="22" spans="1:11" ht="28.5" customHeight="1" x14ac:dyDescent="0.3">
      <c r="A22" s="493" t="s">
        <v>197</v>
      </c>
      <c r="B22" s="494"/>
      <c r="C22" s="494"/>
      <c r="D22" s="494"/>
      <c r="E22" s="494"/>
      <c r="F22" s="494"/>
      <c r="G22" s="494"/>
      <c r="H22" s="494"/>
      <c r="I22" s="494"/>
      <c r="J22" s="494"/>
      <c r="K22" s="495"/>
    </row>
    <row r="23" spans="1:11" ht="28.5" customHeight="1" x14ac:dyDescent="0.3">
      <c r="A23" s="261" t="s">
        <v>161</v>
      </c>
      <c r="B23" s="261"/>
      <c r="C23" s="261"/>
      <c r="D23" s="261"/>
      <c r="E23" s="261"/>
      <c r="F23" s="261"/>
      <c r="G23" s="261"/>
      <c r="H23" s="261"/>
      <c r="I23" s="261"/>
      <c r="J23" s="261"/>
      <c r="K23" s="261"/>
    </row>
    <row r="24" spans="1:11" ht="28.5" customHeight="1" x14ac:dyDescent="0.3">
      <c r="A24" s="120" t="s">
        <v>212</v>
      </c>
      <c r="B24" s="119">
        <f>C24+F24+I24</f>
        <v>16965900</v>
      </c>
      <c r="C24" s="119">
        <f>D24+E24</f>
        <v>5307100</v>
      </c>
      <c r="D24" s="119">
        <f>Дод.3!I15*1000</f>
        <v>5307100</v>
      </c>
      <c r="E24" s="119"/>
      <c r="F24" s="119">
        <f>G24+H24</f>
        <v>5707000</v>
      </c>
      <c r="G24" s="119">
        <f>Дод.3!J15*1000</f>
        <v>5707000</v>
      </c>
      <c r="H24" s="119"/>
      <c r="I24" s="119">
        <f>J24+K24</f>
        <v>5951799.9999999991</v>
      </c>
      <c r="J24" s="119">
        <f>Дод.3!K15*1000</f>
        <v>5951799.9999999991</v>
      </c>
      <c r="K24" s="119"/>
    </row>
    <row r="25" spans="1:11" ht="28.5" customHeight="1" x14ac:dyDescent="0.3">
      <c r="A25" s="261" t="s">
        <v>116</v>
      </c>
      <c r="B25" s="119"/>
      <c r="C25" s="121"/>
      <c r="D25" s="121"/>
      <c r="E25" s="119"/>
      <c r="F25" s="121"/>
      <c r="G25" s="121"/>
      <c r="H25" s="121"/>
      <c r="I25" s="121"/>
      <c r="J25" s="121"/>
      <c r="K25" s="119"/>
    </row>
    <row r="26" spans="1:11" ht="28.5" customHeight="1" x14ac:dyDescent="0.3">
      <c r="A26" s="120" t="s">
        <v>167</v>
      </c>
      <c r="B26" s="119"/>
      <c r="C26" s="121">
        <v>2</v>
      </c>
      <c r="D26" s="121">
        <v>2</v>
      </c>
      <c r="E26" s="119"/>
      <c r="F26" s="121">
        <v>2</v>
      </c>
      <c r="G26" s="121">
        <v>2</v>
      </c>
      <c r="H26" s="121"/>
      <c r="I26" s="121">
        <v>2</v>
      </c>
      <c r="J26" s="121">
        <v>2</v>
      </c>
      <c r="K26" s="119"/>
    </row>
    <row r="27" spans="1:11" ht="28.5" customHeight="1" x14ac:dyDescent="0.3">
      <c r="A27" s="261" t="s">
        <v>115</v>
      </c>
      <c r="B27" s="121"/>
      <c r="C27" s="121"/>
      <c r="D27" s="121"/>
      <c r="E27" s="121"/>
      <c r="F27" s="121"/>
      <c r="G27" s="121"/>
      <c r="H27" s="121"/>
      <c r="I27" s="121"/>
      <c r="J27" s="121"/>
      <c r="K27" s="119"/>
    </row>
    <row r="28" spans="1:11" ht="28.5" customHeight="1" x14ac:dyDescent="0.3">
      <c r="A28" s="120" t="s">
        <v>213</v>
      </c>
      <c r="B28" s="121"/>
      <c r="C28" s="121">
        <f>C24/C26</f>
        <v>2653550</v>
      </c>
      <c r="D28" s="121">
        <f>D24/D26</f>
        <v>2653550</v>
      </c>
      <c r="E28" s="121"/>
      <c r="F28" s="121">
        <f>F24/F26</f>
        <v>2853500</v>
      </c>
      <c r="G28" s="121">
        <f>G24/G26</f>
        <v>2853500</v>
      </c>
      <c r="H28" s="121"/>
      <c r="I28" s="121">
        <f>I24/I26</f>
        <v>2975899.9999999995</v>
      </c>
      <c r="J28" s="121">
        <f>J24/J26</f>
        <v>2975899.9999999995</v>
      </c>
      <c r="K28" s="121"/>
    </row>
    <row r="29" spans="1:11" ht="28.5" customHeight="1" x14ac:dyDescent="0.3">
      <c r="A29" s="261" t="s">
        <v>81</v>
      </c>
      <c r="B29" s="121"/>
      <c r="C29" s="121"/>
      <c r="D29" s="121"/>
      <c r="E29" s="121"/>
      <c r="F29" s="121"/>
      <c r="G29" s="121"/>
      <c r="H29" s="121"/>
      <c r="I29" s="121"/>
      <c r="J29" s="121"/>
      <c r="K29" s="119"/>
    </row>
    <row r="30" spans="1:11" ht="28.5" customHeight="1" x14ac:dyDescent="0.3">
      <c r="A30" s="120" t="s">
        <v>182</v>
      </c>
      <c r="B30" s="121"/>
      <c r="C30" s="121">
        <v>100</v>
      </c>
      <c r="D30" s="121">
        <v>100</v>
      </c>
      <c r="E30" s="121"/>
      <c r="F30" s="121">
        <v>100</v>
      </c>
      <c r="G30" s="121">
        <v>100</v>
      </c>
      <c r="H30" s="121"/>
      <c r="I30" s="121">
        <v>100</v>
      </c>
      <c r="J30" s="121">
        <v>100</v>
      </c>
      <c r="K30" s="119"/>
    </row>
    <row r="31" spans="1:11" ht="79.5" customHeight="1" x14ac:dyDescent="0.3">
      <c r="A31" s="120" t="s">
        <v>214</v>
      </c>
      <c r="B31" s="121"/>
      <c r="C31" s="121">
        <f>D31</f>
        <v>141.16388453772558</v>
      </c>
      <c r="D31" s="121">
        <f>D24/3759531*100</f>
        <v>141.16388453772558</v>
      </c>
      <c r="E31" s="121"/>
      <c r="F31" s="121">
        <f>G31</f>
        <v>107.53518870946468</v>
      </c>
      <c r="G31" s="121">
        <f>G24/D24*100</f>
        <v>107.53518870946468</v>
      </c>
      <c r="H31" s="121"/>
      <c r="I31" s="121">
        <f>J31</f>
        <v>104.28946907306815</v>
      </c>
      <c r="J31" s="121">
        <f>J24/G24*100</f>
        <v>104.28946907306815</v>
      </c>
      <c r="K31" s="119"/>
    </row>
    <row r="32" spans="1:11" ht="28.5" customHeight="1" x14ac:dyDescent="0.3">
      <c r="A32" s="493" t="s">
        <v>180</v>
      </c>
      <c r="B32" s="494"/>
      <c r="C32" s="494"/>
      <c r="D32" s="494"/>
      <c r="E32" s="494"/>
      <c r="F32" s="494"/>
      <c r="G32" s="494"/>
      <c r="H32" s="494"/>
      <c r="I32" s="494"/>
      <c r="J32" s="494"/>
      <c r="K32" s="495"/>
    </row>
    <row r="33" spans="1:11" ht="28.5" customHeight="1" x14ac:dyDescent="0.3">
      <c r="A33" s="261" t="s">
        <v>161</v>
      </c>
      <c r="B33" s="261"/>
      <c r="C33" s="261"/>
      <c r="D33" s="261"/>
      <c r="E33" s="261"/>
      <c r="F33" s="261"/>
      <c r="G33" s="261"/>
      <c r="H33" s="261"/>
      <c r="I33" s="261"/>
      <c r="J33" s="261"/>
      <c r="K33" s="261"/>
    </row>
    <row r="34" spans="1:11" ht="36" customHeight="1" x14ac:dyDescent="0.3">
      <c r="A34" s="120" t="s">
        <v>162</v>
      </c>
      <c r="B34" s="119">
        <f>C34+F34+I34</f>
        <v>1908600</v>
      </c>
      <c r="C34" s="119">
        <f>D34+E34</f>
        <v>535600</v>
      </c>
      <c r="D34" s="119">
        <f>Дод.3!I18*1000</f>
        <v>535600</v>
      </c>
      <c r="E34" s="119"/>
      <c r="F34" s="119">
        <f>G34+H34</f>
        <v>0</v>
      </c>
      <c r="G34" s="119">
        <f>Дод.3!J18*1000</f>
        <v>0</v>
      </c>
      <c r="H34" s="119"/>
      <c r="I34" s="119">
        <f>J34+K34</f>
        <v>1373000</v>
      </c>
      <c r="J34" s="119">
        <f>Дод.3!K18*1000</f>
        <v>1373000</v>
      </c>
      <c r="K34" s="119"/>
    </row>
    <row r="35" spans="1:11" ht="28.5" customHeight="1" x14ac:dyDescent="0.3">
      <c r="A35" s="261" t="s">
        <v>116</v>
      </c>
      <c r="B35" s="119"/>
      <c r="C35" s="121"/>
      <c r="D35" s="119"/>
      <c r="E35" s="119"/>
      <c r="F35" s="121"/>
      <c r="G35" s="121"/>
      <c r="H35" s="121"/>
      <c r="I35" s="121"/>
      <c r="J35" s="119"/>
      <c r="K35" s="119"/>
    </row>
    <row r="36" spans="1:11" ht="51" customHeight="1" x14ac:dyDescent="0.3">
      <c r="A36" s="120" t="s">
        <v>215</v>
      </c>
      <c r="B36" s="119"/>
      <c r="C36" s="121">
        <f>D36</f>
        <v>14883</v>
      </c>
      <c r="D36" s="121">
        <f>6294+8589</f>
        <v>14883</v>
      </c>
      <c r="E36" s="119"/>
      <c r="F36" s="121">
        <v>0</v>
      </c>
      <c r="G36" s="121">
        <v>0</v>
      </c>
      <c r="H36" s="121"/>
      <c r="I36" s="121">
        <v>31041</v>
      </c>
      <c r="J36" s="121">
        <f>6294+8589</f>
        <v>14883</v>
      </c>
      <c r="K36" s="119"/>
    </row>
    <row r="37" spans="1:11" ht="28.5" customHeight="1" x14ac:dyDescent="0.3">
      <c r="A37" s="261" t="s">
        <v>115</v>
      </c>
      <c r="B37" s="119"/>
      <c r="C37" s="121"/>
      <c r="D37" s="121"/>
      <c r="E37" s="121"/>
      <c r="F37" s="121"/>
      <c r="G37" s="121"/>
      <c r="H37" s="121"/>
      <c r="I37" s="121"/>
      <c r="J37" s="121"/>
      <c r="K37" s="119"/>
    </row>
    <row r="38" spans="1:11" ht="28.5" customHeight="1" x14ac:dyDescent="0.3">
      <c r="A38" s="120" t="s">
        <v>175</v>
      </c>
      <c r="B38" s="119"/>
      <c r="C38" s="121">
        <f>D38</f>
        <v>35.987368138144191</v>
      </c>
      <c r="D38" s="121">
        <f>D34/D36</f>
        <v>35.987368138144191</v>
      </c>
      <c r="E38" s="121"/>
      <c r="F38" s="121" t="e">
        <f>G38</f>
        <v>#DIV/0!</v>
      </c>
      <c r="G38" s="121" t="e">
        <f>G34/G36</f>
        <v>#DIV/0!</v>
      </c>
      <c r="H38" s="121"/>
      <c r="I38" s="121">
        <f>J38</f>
        <v>92.252906000134388</v>
      </c>
      <c r="J38" s="121">
        <f>J34/J36</f>
        <v>92.252906000134388</v>
      </c>
      <c r="K38" s="119"/>
    </row>
    <row r="39" spans="1:11" ht="28.5" customHeight="1" x14ac:dyDescent="0.3">
      <c r="A39" s="261" t="s">
        <v>81</v>
      </c>
      <c r="B39" s="119"/>
      <c r="C39" s="121"/>
      <c r="D39" s="121"/>
      <c r="E39" s="121"/>
      <c r="F39" s="121"/>
      <c r="G39" s="121"/>
      <c r="H39" s="121"/>
      <c r="I39" s="121"/>
      <c r="J39" s="121"/>
      <c r="K39" s="119"/>
    </row>
    <row r="40" spans="1:11" ht="72.75" customHeight="1" x14ac:dyDescent="0.3">
      <c r="A40" s="120" t="s">
        <v>216</v>
      </c>
      <c r="B40" s="121"/>
      <c r="C40" s="121">
        <f>D40</f>
        <v>45.817917406274731</v>
      </c>
      <c r="D40" s="121">
        <f>D34/1168975*100</f>
        <v>45.817917406274731</v>
      </c>
      <c r="E40" s="121"/>
      <c r="F40" s="121">
        <f>G40</f>
        <v>0</v>
      </c>
      <c r="G40" s="121">
        <f>G34/D34*100</f>
        <v>0</v>
      </c>
      <c r="H40" s="121"/>
      <c r="I40" s="121">
        <f>J40</f>
        <v>256.34802091112772</v>
      </c>
      <c r="J40" s="121">
        <f>J34/D34*100</f>
        <v>256.34802091112772</v>
      </c>
      <c r="K40" s="119"/>
    </row>
    <row r="41" spans="1:11" ht="53.25" customHeight="1" x14ac:dyDescent="0.3">
      <c r="A41" s="493" t="s">
        <v>533</v>
      </c>
      <c r="B41" s="494"/>
      <c r="C41" s="494"/>
      <c r="D41" s="494"/>
      <c r="E41" s="494"/>
      <c r="F41" s="494"/>
      <c r="G41" s="494"/>
      <c r="H41" s="494"/>
      <c r="I41" s="494"/>
      <c r="J41" s="494"/>
      <c r="K41" s="495"/>
    </row>
    <row r="42" spans="1:11" ht="28.5" customHeight="1" x14ac:dyDescent="0.3">
      <c r="A42" s="261" t="s">
        <v>77</v>
      </c>
      <c r="B42" s="120"/>
      <c r="C42" s="120"/>
      <c r="D42" s="120"/>
      <c r="E42" s="120"/>
      <c r="F42" s="120"/>
      <c r="G42" s="268"/>
      <c r="H42" s="120"/>
      <c r="I42" s="120"/>
      <c r="J42" s="268"/>
      <c r="K42" s="261"/>
    </row>
    <row r="43" spans="1:11" ht="30.75" customHeight="1" x14ac:dyDescent="0.3">
      <c r="A43" s="120" t="s">
        <v>217</v>
      </c>
      <c r="B43" s="119">
        <f>C43+F43+I43</f>
        <v>3066600</v>
      </c>
      <c r="C43" s="119">
        <f>D43+E43</f>
        <v>960600</v>
      </c>
      <c r="D43" s="119">
        <f>D44+D45+D46</f>
        <v>960600</v>
      </c>
      <c r="E43" s="119"/>
      <c r="F43" s="119">
        <f>G43</f>
        <v>1042500</v>
      </c>
      <c r="G43" s="122">
        <f>G44+G45+G46</f>
        <v>1042500</v>
      </c>
      <c r="H43" s="119"/>
      <c r="I43" s="119">
        <f>J43</f>
        <v>1063500</v>
      </c>
      <c r="J43" s="122">
        <f>J44+J45+J46</f>
        <v>1063500</v>
      </c>
      <c r="K43" s="261"/>
    </row>
    <row r="44" spans="1:11" ht="74.25" customHeight="1" x14ac:dyDescent="0.3">
      <c r="A44" s="123" t="s">
        <v>380</v>
      </c>
      <c r="B44" s="121"/>
      <c r="C44" s="121">
        <f>D44</f>
        <v>700000</v>
      </c>
      <c r="D44" s="121">
        <f>Дод.3!I21*1000</f>
        <v>700000</v>
      </c>
      <c r="E44" s="121"/>
      <c r="F44" s="121">
        <f>G44</f>
        <v>700000</v>
      </c>
      <c r="G44" s="124">
        <f>Дод.3!J21*1000</f>
        <v>700000</v>
      </c>
      <c r="H44" s="121"/>
      <c r="I44" s="121">
        <f>J44</f>
        <v>774000</v>
      </c>
      <c r="J44" s="124">
        <f>Дод.3!K21*1000</f>
        <v>774000</v>
      </c>
      <c r="K44" s="261"/>
    </row>
    <row r="45" spans="1:11" ht="55.5" customHeight="1" x14ac:dyDescent="0.3">
      <c r="A45" s="125" t="s">
        <v>382</v>
      </c>
      <c r="B45" s="121"/>
      <c r="C45" s="121">
        <f>D45</f>
        <v>218100</v>
      </c>
      <c r="D45" s="121">
        <f>Дод.3!I24*1000</f>
        <v>218100</v>
      </c>
      <c r="E45" s="121"/>
      <c r="F45" s="121">
        <f>G45</f>
        <v>300000</v>
      </c>
      <c r="G45" s="124">
        <f>Дод.3!J24*1000</f>
        <v>300000</v>
      </c>
      <c r="H45" s="121"/>
      <c r="I45" s="121">
        <f>J45</f>
        <v>239300</v>
      </c>
      <c r="J45" s="124">
        <f>Дод.3!K24*1000</f>
        <v>239300</v>
      </c>
      <c r="K45" s="261"/>
    </row>
    <row r="46" spans="1:11" ht="60.75" customHeight="1" x14ac:dyDescent="0.3">
      <c r="A46" s="126" t="s">
        <v>303</v>
      </c>
      <c r="B46" s="121"/>
      <c r="C46" s="121">
        <f>D46</f>
        <v>42500</v>
      </c>
      <c r="D46" s="121">
        <f>Дод.3!I29*1000</f>
        <v>42500</v>
      </c>
      <c r="E46" s="121"/>
      <c r="F46" s="121">
        <f>G46</f>
        <v>42500</v>
      </c>
      <c r="G46" s="124">
        <f>Дод.3!J29*1000</f>
        <v>42500</v>
      </c>
      <c r="H46" s="121"/>
      <c r="I46" s="121">
        <f>J46</f>
        <v>50200</v>
      </c>
      <c r="J46" s="124">
        <f>Дод.3!K29*1000</f>
        <v>50200</v>
      </c>
      <c r="K46" s="261"/>
    </row>
    <row r="47" spans="1:11" ht="28.5" customHeight="1" x14ac:dyDescent="0.3">
      <c r="A47" s="261" t="s">
        <v>116</v>
      </c>
      <c r="B47" s="121"/>
      <c r="C47" s="121"/>
      <c r="D47" s="121"/>
      <c r="E47" s="121"/>
      <c r="F47" s="124"/>
      <c r="G47" s="124"/>
      <c r="H47" s="121"/>
      <c r="I47" s="124"/>
      <c r="J47" s="124"/>
      <c r="K47" s="261"/>
    </row>
    <row r="48" spans="1:11" ht="49.5" customHeight="1" x14ac:dyDescent="0.3">
      <c r="A48" s="123" t="s">
        <v>381</v>
      </c>
      <c r="B48" s="124"/>
      <c r="C48" s="124">
        <v>4</v>
      </c>
      <c r="D48" s="124">
        <v>4</v>
      </c>
      <c r="E48" s="121"/>
      <c r="F48" s="124">
        <f>G48</f>
        <v>5</v>
      </c>
      <c r="G48" s="124">
        <v>5</v>
      </c>
      <c r="H48" s="121"/>
      <c r="I48" s="124">
        <f>J48</f>
        <v>4</v>
      </c>
      <c r="J48" s="124">
        <v>4</v>
      </c>
      <c r="K48" s="261"/>
    </row>
    <row r="49" spans="1:11" ht="59.25" customHeight="1" x14ac:dyDescent="0.3">
      <c r="A49" s="123" t="s">
        <v>163</v>
      </c>
      <c r="B49" s="124"/>
      <c r="C49" s="124">
        <v>26</v>
      </c>
      <c r="D49" s="124">
        <v>26</v>
      </c>
      <c r="E49" s="121"/>
      <c r="F49" s="124">
        <f>G49</f>
        <v>22</v>
      </c>
      <c r="G49" s="124">
        <v>22</v>
      </c>
      <c r="H49" s="121"/>
      <c r="I49" s="124">
        <f>J49</f>
        <v>26</v>
      </c>
      <c r="J49" s="124">
        <v>26</v>
      </c>
      <c r="K49" s="261"/>
    </row>
    <row r="50" spans="1:11" ht="51.75" customHeight="1" x14ac:dyDescent="0.3">
      <c r="A50" s="127" t="s">
        <v>164</v>
      </c>
      <c r="B50" s="124"/>
      <c r="C50" s="124">
        <v>7</v>
      </c>
      <c r="D50" s="124">
        <v>7</v>
      </c>
      <c r="E50" s="121"/>
      <c r="F50" s="124">
        <f>G50</f>
        <v>7</v>
      </c>
      <c r="G50" s="124">
        <v>7</v>
      </c>
      <c r="H50" s="121"/>
      <c r="I50" s="124">
        <f>J50</f>
        <v>7</v>
      </c>
      <c r="J50" s="124">
        <v>7</v>
      </c>
      <c r="K50" s="261"/>
    </row>
    <row r="51" spans="1:11" ht="28.5" customHeight="1" x14ac:dyDescent="0.3">
      <c r="A51" s="261" t="s">
        <v>115</v>
      </c>
      <c r="B51" s="124"/>
      <c r="C51" s="124"/>
      <c r="D51" s="124"/>
      <c r="E51" s="121"/>
      <c r="F51" s="124"/>
      <c r="G51" s="124"/>
      <c r="H51" s="121"/>
      <c r="I51" s="124"/>
      <c r="J51" s="124"/>
      <c r="K51" s="261"/>
    </row>
    <row r="52" spans="1:11" ht="51" customHeight="1" x14ac:dyDescent="0.3">
      <c r="A52" s="128" t="s">
        <v>218</v>
      </c>
      <c r="B52" s="124"/>
      <c r="C52" s="124">
        <f>D52</f>
        <v>175000</v>
      </c>
      <c r="D52" s="124">
        <f>D44/D48</f>
        <v>175000</v>
      </c>
      <c r="E52" s="121"/>
      <c r="F52" s="124">
        <f>G52</f>
        <v>140000</v>
      </c>
      <c r="G52" s="124">
        <f>G44/G48</f>
        <v>140000</v>
      </c>
      <c r="H52" s="121"/>
      <c r="I52" s="124">
        <f>J52</f>
        <v>193500</v>
      </c>
      <c r="J52" s="124">
        <f>J44/J48</f>
        <v>193500</v>
      </c>
      <c r="K52" s="261"/>
    </row>
    <row r="53" spans="1:11" ht="53.25" customHeight="1" x14ac:dyDescent="0.3">
      <c r="A53" s="128" t="s">
        <v>220</v>
      </c>
      <c r="B53" s="124"/>
      <c r="C53" s="124">
        <f>D53</f>
        <v>8388.461538461539</v>
      </c>
      <c r="D53" s="124">
        <f>D45/D49</f>
        <v>8388.461538461539</v>
      </c>
      <c r="E53" s="121"/>
      <c r="F53" s="124">
        <f>G53</f>
        <v>13636.363636363636</v>
      </c>
      <c r="G53" s="124">
        <f>G45/G49</f>
        <v>13636.363636363636</v>
      </c>
      <c r="H53" s="121"/>
      <c r="I53" s="124">
        <f>J53</f>
        <v>9203.8461538461543</v>
      </c>
      <c r="J53" s="124">
        <f>J45/J49</f>
        <v>9203.8461538461543</v>
      </c>
      <c r="K53" s="261"/>
    </row>
    <row r="54" spans="1:11" ht="58.5" customHeight="1" x14ac:dyDescent="0.3">
      <c r="A54" s="128" t="s">
        <v>221</v>
      </c>
      <c r="B54" s="124"/>
      <c r="C54" s="124">
        <f>D54</f>
        <v>6071.4285714285716</v>
      </c>
      <c r="D54" s="124">
        <f>D46/D50</f>
        <v>6071.4285714285716</v>
      </c>
      <c r="E54" s="121"/>
      <c r="F54" s="124">
        <f>G54</f>
        <v>6071.4285714285716</v>
      </c>
      <c r="G54" s="124">
        <f>G46/G50</f>
        <v>6071.4285714285716</v>
      </c>
      <c r="H54" s="121"/>
      <c r="I54" s="124">
        <f>J54</f>
        <v>7171.4285714285716</v>
      </c>
      <c r="J54" s="124">
        <f>J46/J50</f>
        <v>7171.4285714285716</v>
      </c>
      <c r="K54" s="261"/>
    </row>
    <row r="55" spans="1:11" ht="28.5" customHeight="1" x14ac:dyDescent="0.3">
      <c r="A55" s="261" t="s">
        <v>81</v>
      </c>
      <c r="B55" s="124"/>
      <c r="C55" s="124"/>
      <c r="D55" s="124"/>
      <c r="E55" s="121"/>
      <c r="F55" s="124"/>
      <c r="G55" s="124"/>
      <c r="H55" s="121"/>
      <c r="I55" s="124"/>
      <c r="J55" s="124"/>
      <c r="K55" s="261"/>
    </row>
    <row r="56" spans="1:11" ht="142.5" customHeight="1" x14ac:dyDescent="0.3">
      <c r="A56" s="120" t="s">
        <v>219</v>
      </c>
      <c r="B56" s="121"/>
      <c r="C56" s="121">
        <f>D56</f>
        <v>138.41498559077809</v>
      </c>
      <c r="D56" s="121">
        <f>D43/694000*100</f>
        <v>138.41498559077809</v>
      </c>
      <c r="E56" s="121"/>
      <c r="F56" s="121">
        <f>G56</f>
        <v>108.52592129918801</v>
      </c>
      <c r="G56" s="121">
        <f>G43/D43*100</f>
        <v>108.52592129918801</v>
      </c>
      <c r="H56" s="121"/>
      <c r="I56" s="121">
        <f>J56</f>
        <v>102.01438848920863</v>
      </c>
      <c r="J56" s="121">
        <f>J43/G43*100</f>
        <v>102.01438848920863</v>
      </c>
      <c r="K56" s="261"/>
    </row>
    <row r="57" spans="1:11" ht="28.5" customHeight="1" x14ac:dyDescent="0.3">
      <c r="A57" s="493" t="s">
        <v>383</v>
      </c>
      <c r="B57" s="494"/>
      <c r="C57" s="494"/>
      <c r="D57" s="494"/>
      <c r="E57" s="494"/>
      <c r="F57" s="494"/>
      <c r="G57" s="494"/>
      <c r="H57" s="494"/>
      <c r="I57" s="494"/>
      <c r="J57" s="494"/>
      <c r="K57" s="495"/>
    </row>
    <row r="58" spans="1:11" ht="28.5" customHeight="1" x14ac:dyDescent="0.3">
      <c r="A58" s="493" t="s">
        <v>198</v>
      </c>
      <c r="B58" s="494"/>
      <c r="C58" s="494"/>
      <c r="D58" s="494"/>
      <c r="E58" s="494"/>
      <c r="F58" s="494"/>
      <c r="G58" s="494"/>
      <c r="H58" s="494"/>
      <c r="I58" s="494"/>
      <c r="J58" s="494"/>
      <c r="K58" s="495"/>
    </row>
    <row r="59" spans="1:11" ht="28.5" customHeight="1" x14ac:dyDescent="0.3">
      <c r="A59" s="261" t="s">
        <v>77</v>
      </c>
      <c r="B59" s="119"/>
      <c r="C59" s="119"/>
      <c r="D59" s="119"/>
      <c r="E59" s="119"/>
      <c r="F59" s="119"/>
      <c r="G59" s="119"/>
      <c r="H59" s="119"/>
      <c r="I59" s="119"/>
      <c r="J59" s="119"/>
      <c r="K59" s="261"/>
    </row>
    <row r="60" spans="1:11" ht="28.5" customHeight="1" x14ac:dyDescent="0.3">
      <c r="A60" s="120" t="s">
        <v>212</v>
      </c>
      <c r="B60" s="119">
        <f>C60+F60+I60</f>
        <v>136695700</v>
      </c>
      <c r="C60" s="119">
        <f>D60+E60</f>
        <v>42367700</v>
      </c>
      <c r="D60" s="119">
        <f>Дод.3!I42*1000</f>
        <v>42367700</v>
      </c>
      <c r="E60" s="119"/>
      <c r="F60" s="119">
        <f>G60+H60</f>
        <v>46813700.000000007</v>
      </c>
      <c r="G60" s="119">
        <f>Дод.3!J42*1000</f>
        <v>46813700.000000007</v>
      </c>
      <c r="H60" s="119"/>
      <c r="I60" s="119">
        <f>J60+K60</f>
        <v>47514300</v>
      </c>
      <c r="J60" s="119">
        <f>Дод.3!K42*1000</f>
        <v>47514300</v>
      </c>
      <c r="K60" s="261"/>
    </row>
    <row r="61" spans="1:11" ht="28.5" customHeight="1" x14ac:dyDescent="0.3">
      <c r="A61" s="261" t="s">
        <v>116</v>
      </c>
      <c r="B61" s="261"/>
      <c r="C61" s="120"/>
      <c r="D61" s="120"/>
      <c r="E61" s="261"/>
      <c r="F61" s="120"/>
      <c r="G61" s="120"/>
      <c r="H61" s="120"/>
      <c r="I61" s="120"/>
      <c r="J61" s="120"/>
      <c r="K61" s="261"/>
    </row>
    <row r="62" spans="1:11" ht="28.5" customHeight="1" x14ac:dyDescent="0.3">
      <c r="A62" s="120" t="s">
        <v>167</v>
      </c>
      <c r="B62" s="261"/>
      <c r="C62" s="121">
        <v>5</v>
      </c>
      <c r="D62" s="121">
        <v>5</v>
      </c>
      <c r="E62" s="119"/>
      <c r="F62" s="121">
        <v>5</v>
      </c>
      <c r="G62" s="121">
        <v>5</v>
      </c>
      <c r="H62" s="121"/>
      <c r="I62" s="121">
        <v>5</v>
      </c>
      <c r="J62" s="121">
        <v>5</v>
      </c>
      <c r="K62" s="261"/>
    </row>
    <row r="63" spans="1:11" ht="28.5" customHeight="1" x14ac:dyDescent="0.3">
      <c r="A63" s="261" t="s">
        <v>80</v>
      </c>
      <c r="B63" s="120"/>
      <c r="C63" s="121"/>
      <c r="D63" s="121"/>
      <c r="E63" s="121"/>
      <c r="F63" s="121"/>
      <c r="G63" s="121"/>
      <c r="H63" s="121"/>
      <c r="I63" s="121"/>
      <c r="J63" s="121"/>
      <c r="K63" s="261"/>
    </row>
    <row r="64" spans="1:11" ht="28.5" customHeight="1" x14ac:dyDescent="0.3">
      <c r="A64" s="120" t="s">
        <v>222</v>
      </c>
      <c r="B64" s="120"/>
      <c r="C64" s="121">
        <f>C60/C62</f>
        <v>8473540</v>
      </c>
      <c r="D64" s="121">
        <f>D60/D62</f>
        <v>8473540</v>
      </c>
      <c r="E64" s="121"/>
      <c r="F64" s="121">
        <f>F60/F62</f>
        <v>9362740.0000000019</v>
      </c>
      <c r="G64" s="121">
        <f>G60/G62</f>
        <v>9362740.0000000019</v>
      </c>
      <c r="H64" s="121"/>
      <c r="I64" s="121">
        <f>I60/I62</f>
        <v>9502860</v>
      </c>
      <c r="J64" s="121">
        <f>J60/J62</f>
        <v>9502860</v>
      </c>
      <c r="K64" s="261"/>
    </row>
    <row r="65" spans="1:11" ht="28.5" customHeight="1" x14ac:dyDescent="0.3">
      <c r="A65" s="261" t="s">
        <v>81</v>
      </c>
      <c r="B65" s="120"/>
      <c r="C65" s="121"/>
      <c r="D65" s="121"/>
      <c r="E65" s="121"/>
      <c r="F65" s="121"/>
      <c r="G65" s="121"/>
      <c r="H65" s="121"/>
      <c r="I65" s="121"/>
      <c r="J65" s="121"/>
      <c r="K65" s="261"/>
    </row>
    <row r="66" spans="1:11" ht="28.5" customHeight="1" x14ac:dyDescent="0.3">
      <c r="A66" s="120" t="s">
        <v>183</v>
      </c>
      <c r="B66" s="120"/>
      <c r="C66" s="121">
        <v>100</v>
      </c>
      <c r="D66" s="121">
        <v>100</v>
      </c>
      <c r="E66" s="121"/>
      <c r="F66" s="121">
        <v>100</v>
      </c>
      <c r="G66" s="121">
        <v>100</v>
      </c>
      <c r="H66" s="121"/>
      <c r="I66" s="121">
        <v>100</v>
      </c>
      <c r="J66" s="121">
        <v>100</v>
      </c>
      <c r="K66" s="261"/>
    </row>
    <row r="67" spans="1:11" ht="75.75" customHeight="1" x14ac:dyDescent="0.3">
      <c r="A67" s="120" t="s">
        <v>214</v>
      </c>
      <c r="B67" s="120"/>
      <c r="C67" s="121">
        <f>D67</f>
        <v>154.95753889052864</v>
      </c>
      <c r="D67" s="121">
        <f>D60/27341490*100</f>
        <v>154.95753889052864</v>
      </c>
      <c r="E67" s="121"/>
      <c r="F67" s="121">
        <f>G67</f>
        <v>110.49384318714495</v>
      </c>
      <c r="G67" s="121">
        <f>G60/D60*100</f>
        <v>110.49384318714495</v>
      </c>
      <c r="H67" s="121"/>
      <c r="I67" s="121">
        <f>J67</f>
        <v>101.49657044839438</v>
      </c>
      <c r="J67" s="121">
        <f>J60/G60*100</f>
        <v>101.49657044839438</v>
      </c>
      <c r="K67" s="261"/>
    </row>
    <row r="68" spans="1:11" ht="28.5" customHeight="1" x14ac:dyDescent="0.3">
      <c r="A68" s="498" t="s">
        <v>268</v>
      </c>
      <c r="B68" s="499"/>
      <c r="C68" s="499"/>
      <c r="D68" s="499"/>
      <c r="E68" s="499"/>
      <c r="F68" s="499"/>
      <c r="G68" s="499"/>
      <c r="H68" s="499"/>
      <c r="I68" s="499"/>
      <c r="J68" s="499"/>
      <c r="K68" s="500"/>
    </row>
    <row r="69" spans="1:11" ht="28.5" customHeight="1" x14ac:dyDescent="0.3">
      <c r="A69" s="261" t="s">
        <v>77</v>
      </c>
      <c r="B69" s="261"/>
      <c r="C69" s="261"/>
      <c r="D69" s="261"/>
      <c r="E69" s="261"/>
      <c r="F69" s="261"/>
      <c r="G69" s="261"/>
      <c r="H69" s="261"/>
      <c r="I69" s="261"/>
      <c r="J69" s="261"/>
      <c r="K69" s="261"/>
    </row>
    <row r="70" spans="1:11" ht="36" customHeight="1" x14ac:dyDescent="0.3">
      <c r="A70" s="120" t="s">
        <v>212</v>
      </c>
      <c r="B70" s="119">
        <f>C70+F70+I70</f>
        <v>989700</v>
      </c>
      <c r="C70" s="119">
        <f>D70+E70</f>
        <v>318700</v>
      </c>
      <c r="D70" s="119">
        <f>Дод.3!I48*1000</f>
        <v>318700</v>
      </c>
      <c r="E70" s="119"/>
      <c r="F70" s="119">
        <f>G70+H70</f>
        <v>318700</v>
      </c>
      <c r="G70" s="119">
        <f>Дод.3!J48*1000</f>
        <v>318700</v>
      </c>
      <c r="H70" s="119"/>
      <c r="I70" s="119">
        <f>J70+K70</f>
        <v>352300</v>
      </c>
      <c r="J70" s="119">
        <f>Дод.3!K48*1000</f>
        <v>352300</v>
      </c>
      <c r="K70" s="119"/>
    </row>
    <row r="71" spans="1:11" ht="28.5" customHeight="1" x14ac:dyDescent="0.3">
      <c r="A71" s="261" t="s">
        <v>116</v>
      </c>
      <c r="B71" s="119"/>
      <c r="C71" s="121"/>
      <c r="D71" s="119"/>
      <c r="E71" s="119"/>
      <c r="F71" s="121"/>
      <c r="G71" s="121"/>
      <c r="H71" s="121"/>
      <c r="I71" s="121"/>
      <c r="J71" s="119"/>
      <c r="K71" s="119"/>
    </row>
    <row r="72" spans="1:11" ht="48.75" customHeight="1" x14ac:dyDescent="0.3">
      <c r="A72" s="120" t="s">
        <v>274</v>
      </c>
      <c r="B72" s="119"/>
      <c r="C72" s="121">
        <v>170</v>
      </c>
      <c r="D72" s="121">
        <v>170</v>
      </c>
      <c r="E72" s="119"/>
      <c r="F72" s="121">
        <f>G72</f>
        <v>200</v>
      </c>
      <c r="G72" s="121">
        <v>200</v>
      </c>
      <c r="H72" s="121"/>
      <c r="I72" s="121">
        <f>J72</f>
        <v>170</v>
      </c>
      <c r="J72" s="121">
        <v>170</v>
      </c>
      <c r="K72" s="119"/>
    </row>
    <row r="73" spans="1:11" ht="28.5" customHeight="1" x14ac:dyDescent="0.3">
      <c r="A73" s="261" t="s">
        <v>115</v>
      </c>
      <c r="B73" s="121"/>
      <c r="C73" s="121"/>
      <c r="D73" s="121"/>
      <c r="E73" s="121"/>
      <c r="F73" s="121"/>
      <c r="G73" s="121"/>
      <c r="H73" s="121"/>
      <c r="I73" s="121"/>
      <c r="J73" s="121"/>
      <c r="K73" s="119"/>
    </row>
    <row r="74" spans="1:11" ht="32.25" customHeight="1" x14ac:dyDescent="0.3">
      <c r="A74" s="120" t="s">
        <v>223</v>
      </c>
      <c r="B74" s="121"/>
      <c r="C74" s="121">
        <f>C70/C72</f>
        <v>1874.7058823529412</v>
      </c>
      <c r="D74" s="121">
        <f>D70/D72</f>
        <v>1874.7058823529412</v>
      </c>
      <c r="E74" s="121"/>
      <c r="F74" s="121">
        <f>F70/F72</f>
        <v>1593.5</v>
      </c>
      <c r="G74" s="121">
        <f>G70/G72</f>
        <v>1593.5</v>
      </c>
      <c r="H74" s="121"/>
      <c r="I74" s="121">
        <f>I70/I72</f>
        <v>2072.3529411764707</v>
      </c>
      <c r="J74" s="121">
        <f>J70/J72</f>
        <v>2072.3529411764707</v>
      </c>
      <c r="K74" s="119"/>
    </row>
    <row r="75" spans="1:11" ht="28.5" customHeight="1" x14ac:dyDescent="0.3">
      <c r="A75" s="261" t="s">
        <v>81</v>
      </c>
      <c r="B75" s="121"/>
      <c r="C75" s="121"/>
      <c r="D75" s="121"/>
      <c r="E75" s="121"/>
      <c r="F75" s="121"/>
      <c r="G75" s="121"/>
      <c r="H75" s="121"/>
      <c r="I75" s="121"/>
      <c r="J75" s="121"/>
      <c r="K75" s="119"/>
    </row>
    <row r="76" spans="1:11" ht="66" customHeight="1" x14ac:dyDescent="0.3">
      <c r="A76" s="120" t="s">
        <v>184</v>
      </c>
      <c r="B76" s="121"/>
      <c r="C76" s="121">
        <f>D76</f>
        <v>106.23333333333333</v>
      </c>
      <c r="D76" s="121">
        <f>D70/300000*100</f>
        <v>106.23333333333333</v>
      </c>
      <c r="E76" s="121"/>
      <c r="F76" s="121">
        <f>G76</f>
        <v>100</v>
      </c>
      <c r="G76" s="121">
        <f>G70/D70*100</f>
        <v>100</v>
      </c>
      <c r="H76" s="121"/>
      <c r="I76" s="121">
        <f>J76</f>
        <v>110.54283024788202</v>
      </c>
      <c r="J76" s="121">
        <f>J70/G70*100</f>
        <v>110.54283024788202</v>
      </c>
      <c r="K76" s="119"/>
    </row>
    <row r="77" spans="1:11" ht="28.5" customHeight="1" x14ac:dyDescent="0.3">
      <c r="A77" s="493" t="s">
        <v>464</v>
      </c>
      <c r="B77" s="494"/>
      <c r="C77" s="494"/>
      <c r="D77" s="494"/>
      <c r="E77" s="494"/>
      <c r="F77" s="494"/>
      <c r="G77" s="494"/>
      <c r="H77" s="494"/>
      <c r="I77" s="494"/>
      <c r="J77" s="494"/>
      <c r="K77" s="495"/>
    </row>
    <row r="78" spans="1:11" ht="28.5" customHeight="1" x14ac:dyDescent="0.3">
      <c r="A78" s="261" t="s">
        <v>77</v>
      </c>
      <c r="B78" s="261"/>
      <c r="C78" s="261"/>
      <c r="D78" s="261"/>
      <c r="E78" s="261"/>
      <c r="F78" s="261"/>
      <c r="G78" s="261"/>
      <c r="H78" s="261"/>
      <c r="I78" s="261"/>
      <c r="J78" s="261"/>
      <c r="K78" s="261"/>
    </row>
    <row r="79" spans="1:11" ht="28.5" customHeight="1" x14ac:dyDescent="0.3">
      <c r="A79" s="120" t="s">
        <v>212</v>
      </c>
      <c r="B79" s="119">
        <f>C79+F79+I79</f>
        <v>201700</v>
      </c>
      <c r="C79" s="119">
        <f>D79+E79</f>
        <v>201700</v>
      </c>
      <c r="D79" s="119">
        <f>Дод.3!I49*1000</f>
        <v>201700</v>
      </c>
      <c r="E79" s="119"/>
      <c r="F79" s="119"/>
      <c r="G79" s="119"/>
      <c r="H79" s="119"/>
      <c r="I79" s="119"/>
      <c r="J79" s="119"/>
      <c r="K79" s="119"/>
    </row>
    <row r="80" spans="1:11" ht="28.5" customHeight="1" x14ac:dyDescent="0.3">
      <c r="A80" s="261" t="s">
        <v>79</v>
      </c>
      <c r="B80" s="121"/>
      <c r="C80" s="121"/>
      <c r="D80" s="121"/>
      <c r="E80" s="121"/>
      <c r="F80" s="121"/>
      <c r="G80" s="121"/>
      <c r="H80" s="121"/>
      <c r="I80" s="121"/>
      <c r="J80" s="121"/>
      <c r="K80" s="119"/>
    </row>
    <row r="81" spans="1:11" ht="28.5" customHeight="1" x14ac:dyDescent="0.3">
      <c r="A81" s="120" t="s">
        <v>199</v>
      </c>
      <c r="B81" s="121"/>
      <c r="C81" s="121">
        <f>D81</f>
        <v>3</v>
      </c>
      <c r="D81" s="121">
        <v>3</v>
      </c>
      <c r="E81" s="121"/>
      <c r="F81" s="121"/>
      <c r="G81" s="121"/>
      <c r="H81" s="121"/>
      <c r="I81" s="121"/>
      <c r="J81" s="121"/>
      <c r="K81" s="119"/>
    </row>
    <row r="82" spans="1:11" ht="28.5" customHeight="1" x14ac:dyDescent="0.3">
      <c r="A82" s="261" t="s">
        <v>80</v>
      </c>
      <c r="B82" s="121"/>
      <c r="C82" s="121"/>
      <c r="D82" s="121"/>
      <c r="E82" s="121"/>
      <c r="F82" s="121"/>
      <c r="G82" s="121"/>
      <c r="H82" s="121"/>
      <c r="I82" s="121"/>
      <c r="J82" s="121"/>
      <c r="K82" s="119"/>
    </row>
    <row r="83" spans="1:11" ht="28.5" customHeight="1" x14ac:dyDescent="0.3">
      <c r="A83" s="120" t="s">
        <v>224</v>
      </c>
      <c r="B83" s="121"/>
      <c r="C83" s="121">
        <f>C79/C81</f>
        <v>67233.333333333328</v>
      </c>
      <c r="D83" s="121">
        <f>D79/D81</f>
        <v>67233.333333333328</v>
      </c>
      <c r="E83" s="121"/>
      <c r="F83" s="121"/>
      <c r="G83" s="121"/>
      <c r="H83" s="121"/>
      <c r="I83" s="121"/>
      <c r="J83" s="121"/>
      <c r="K83" s="119"/>
    </row>
    <row r="84" spans="1:11" ht="28.5" customHeight="1" x14ac:dyDescent="0.3">
      <c r="A84" s="498" t="s">
        <v>269</v>
      </c>
      <c r="B84" s="499"/>
      <c r="C84" s="499"/>
      <c r="D84" s="499"/>
      <c r="E84" s="499"/>
      <c r="F84" s="499"/>
      <c r="G84" s="499"/>
      <c r="H84" s="499"/>
      <c r="I84" s="499"/>
      <c r="J84" s="499"/>
      <c r="K84" s="500"/>
    </row>
    <row r="85" spans="1:11" ht="28.5" customHeight="1" x14ac:dyDescent="0.3">
      <c r="A85" s="261" t="s">
        <v>77</v>
      </c>
      <c r="B85" s="261"/>
      <c r="C85" s="261"/>
      <c r="D85" s="261"/>
      <c r="E85" s="261"/>
      <c r="F85" s="261"/>
      <c r="G85" s="261"/>
      <c r="H85" s="261"/>
      <c r="I85" s="261"/>
      <c r="J85" s="261"/>
      <c r="K85" s="261"/>
    </row>
    <row r="86" spans="1:11" ht="28.5" customHeight="1" x14ac:dyDescent="0.3">
      <c r="A86" s="120" t="s">
        <v>212</v>
      </c>
      <c r="B86" s="119">
        <f>C86+F86+I86</f>
        <v>6596400</v>
      </c>
      <c r="C86" s="119">
        <f>D86+E86</f>
        <v>2124000</v>
      </c>
      <c r="D86" s="119">
        <f>Дод.3!I50*1000</f>
        <v>2124000</v>
      </c>
      <c r="E86" s="119"/>
      <c r="F86" s="119">
        <f>G86+H86</f>
        <v>2124000</v>
      </c>
      <c r="G86" s="119">
        <f>Дод.3!J50*1000</f>
        <v>2124000</v>
      </c>
      <c r="H86" s="119"/>
      <c r="I86" s="119">
        <f>J86+K86</f>
        <v>2348400</v>
      </c>
      <c r="J86" s="119">
        <f>Дод.3!K50*1000</f>
        <v>2348400</v>
      </c>
      <c r="K86" s="119"/>
    </row>
    <row r="87" spans="1:11" ht="28.5" customHeight="1" x14ac:dyDescent="0.3">
      <c r="A87" s="261" t="s">
        <v>79</v>
      </c>
      <c r="B87" s="121"/>
      <c r="C87" s="121"/>
      <c r="D87" s="121"/>
      <c r="E87" s="121"/>
      <c r="F87" s="121"/>
      <c r="G87" s="121"/>
      <c r="H87" s="121"/>
      <c r="I87" s="121"/>
      <c r="J87" s="121"/>
      <c r="K87" s="119"/>
    </row>
    <row r="88" spans="1:11" ht="89.25" customHeight="1" x14ac:dyDescent="0.3">
      <c r="A88" s="120" t="s">
        <v>275</v>
      </c>
      <c r="B88" s="121"/>
      <c r="C88" s="121">
        <f>D88</f>
        <v>6369</v>
      </c>
      <c r="D88" s="121">
        <v>6369</v>
      </c>
      <c r="E88" s="121"/>
      <c r="F88" s="121">
        <f>G88</f>
        <v>6375</v>
      </c>
      <c r="G88" s="121">
        <v>6375</v>
      </c>
      <c r="H88" s="121"/>
      <c r="I88" s="121">
        <f>J88</f>
        <v>6369</v>
      </c>
      <c r="J88" s="121">
        <v>6369</v>
      </c>
      <c r="K88" s="119"/>
    </row>
    <row r="89" spans="1:11" ht="28.5" customHeight="1" x14ac:dyDescent="0.3">
      <c r="A89" s="261" t="s">
        <v>80</v>
      </c>
      <c r="B89" s="121"/>
      <c r="C89" s="121"/>
      <c r="D89" s="121"/>
      <c r="E89" s="121"/>
      <c r="F89" s="121"/>
      <c r="G89" s="121"/>
      <c r="H89" s="121"/>
      <c r="I89" s="121"/>
      <c r="J89" s="121"/>
      <c r="K89" s="119"/>
    </row>
    <row r="90" spans="1:11" ht="60.75" customHeight="1" x14ac:dyDescent="0.3">
      <c r="A90" s="120" t="s">
        <v>225</v>
      </c>
      <c r="B90" s="121"/>
      <c r="C90" s="121">
        <f>C86/C88</f>
        <v>333.49034385303815</v>
      </c>
      <c r="D90" s="121">
        <f>D86/D88</f>
        <v>333.49034385303815</v>
      </c>
      <c r="E90" s="121"/>
      <c r="F90" s="121">
        <f>F86/F88</f>
        <v>333.1764705882353</v>
      </c>
      <c r="G90" s="121">
        <f>G86/G88</f>
        <v>333.1764705882353</v>
      </c>
      <c r="H90" s="121"/>
      <c r="I90" s="121">
        <f>I86/I88</f>
        <v>368.72350447479982</v>
      </c>
      <c r="J90" s="121">
        <f>J86/J88</f>
        <v>368.72350447479982</v>
      </c>
      <c r="K90" s="119"/>
    </row>
    <row r="91" spans="1:11" ht="28.5" customHeight="1" x14ac:dyDescent="0.3">
      <c r="A91" s="261" t="s">
        <v>81</v>
      </c>
      <c r="B91" s="121"/>
      <c r="C91" s="121"/>
      <c r="D91" s="121"/>
      <c r="E91" s="121"/>
      <c r="F91" s="121"/>
      <c r="G91" s="121"/>
      <c r="H91" s="121"/>
      <c r="I91" s="121"/>
      <c r="J91" s="121"/>
      <c r="K91" s="119"/>
    </row>
    <row r="92" spans="1:11" ht="36" customHeight="1" x14ac:dyDescent="0.3">
      <c r="A92" s="120" t="s">
        <v>165</v>
      </c>
      <c r="B92" s="121"/>
      <c r="C92" s="121">
        <v>100</v>
      </c>
      <c r="D92" s="121">
        <v>100</v>
      </c>
      <c r="E92" s="121"/>
      <c r="F92" s="121">
        <v>100</v>
      </c>
      <c r="G92" s="121">
        <v>100</v>
      </c>
      <c r="H92" s="121"/>
      <c r="I92" s="121">
        <v>100</v>
      </c>
      <c r="J92" s="121">
        <v>100</v>
      </c>
      <c r="K92" s="119"/>
    </row>
    <row r="93" spans="1:11" ht="28.5" customHeight="1" x14ac:dyDescent="0.3">
      <c r="A93" s="498" t="s">
        <v>352</v>
      </c>
      <c r="B93" s="499"/>
      <c r="C93" s="499"/>
      <c r="D93" s="499"/>
      <c r="E93" s="499"/>
      <c r="F93" s="499"/>
      <c r="G93" s="499"/>
      <c r="H93" s="499"/>
      <c r="I93" s="499"/>
      <c r="J93" s="499"/>
      <c r="K93" s="500"/>
    </row>
    <row r="94" spans="1:11" ht="28.5" customHeight="1" x14ac:dyDescent="0.3">
      <c r="A94" s="261" t="s">
        <v>77</v>
      </c>
      <c r="B94" s="261"/>
      <c r="C94" s="261"/>
      <c r="D94" s="261"/>
      <c r="E94" s="261"/>
      <c r="F94" s="261"/>
      <c r="G94" s="261"/>
      <c r="H94" s="261"/>
      <c r="I94" s="261"/>
      <c r="J94" s="261"/>
      <c r="K94" s="261"/>
    </row>
    <row r="95" spans="1:11" ht="28.5" customHeight="1" x14ac:dyDescent="0.3">
      <c r="A95" s="120" t="s">
        <v>212</v>
      </c>
      <c r="B95" s="119">
        <f>C95+F95+I95</f>
        <v>6331900</v>
      </c>
      <c r="C95" s="119">
        <f>D95+E95</f>
        <v>2188900</v>
      </c>
      <c r="D95" s="119">
        <f>Дод.3!I51*1000</f>
        <v>2188900</v>
      </c>
      <c r="E95" s="119"/>
      <c r="F95" s="119">
        <f>G95+H95</f>
        <v>2488900</v>
      </c>
      <c r="G95" s="119">
        <f>Дод.3!J51*1000</f>
        <v>2488900</v>
      </c>
      <c r="H95" s="119"/>
      <c r="I95" s="119">
        <f>J95+K95</f>
        <v>1654100</v>
      </c>
      <c r="J95" s="119">
        <f>Дод.3!K51*1000</f>
        <v>1654100</v>
      </c>
      <c r="K95" s="119"/>
    </row>
    <row r="96" spans="1:11" ht="28.5" customHeight="1" x14ac:dyDescent="0.3">
      <c r="A96" s="125" t="s">
        <v>172</v>
      </c>
      <c r="B96" s="121"/>
      <c r="C96" s="129">
        <f>D96</f>
        <v>8.25</v>
      </c>
      <c r="D96" s="129">
        <v>8.25</v>
      </c>
      <c r="E96" s="121"/>
      <c r="F96" s="129">
        <f>G96</f>
        <v>11.25</v>
      </c>
      <c r="G96" s="129">
        <v>11.25</v>
      </c>
      <c r="H96" s="121"/>
      <c r="I96" s="129">
        <f>J96</f>
        <v>8.25</v>
      </c>
      <c r="J96" s="129">
        <v>8.25</v>
      </c>
      <c r="K96" s="119"/>
    </row>
    <row r="97" spans="1:11" ht="28.5" customHeight="1" x14ac:dyDescent="0.3">
      <c r="A97" s="125" t="s">
        <v>200</v>
      </c>
      <c r="B97" s="121"/>
      <c r="C97" s="129">
        <f t="shared" ref="C97:C106" si="1">D97</f>
        <v>3</v>
      </c>
      <c r="D97" s="129">
        <v>3</v>
      </c>
      <c r="E97" s="121"/>
      <c r="F97" s="129">
        <f t="shared" ref="F97:F106" si="2">G97</f>
        <v>3</v>
      </c>
      <c r="G97" s="129">
        <v>3</v>
      </c>
      <c r="H97" s="121"/>
      <c r="I97" s="129">
        <f t="shared" ref="I97:I106" si="3">J97</f>
        <v>3</v>
      </c>
      <c r="J97" s="129">
        <v>3</v>
      </c>
      <c r="K97" s="119"/>
    </row>
    <row r="98" spans="1:11" ht="28.5" customHeight="1" x14ac:dyDescent="0.3">
      <c r="A98" s="261" t="s">
        <v>79</v>
      </c>
      <c r="B98" s="121"/>
      <c r="C98" s="129"/>
      <c r="D98" s="121"/>
      <c r="E98" s="121"/>
      <c r="F98" s="129"/>
      <c r="G98" s="121"/>
      <c r="H98" s="121"/>
      <c r="I98" s="129"/>
      <c r="J98" s="121"/>
      <c r="K98" s="119"/>
    </row>
    <row r="99" spans="1:11" ht="28.5" customHeight="1" x14ac:dyDescent="0.3">
      <c r="A99" s="127" t="s">
        <v>173</v>
      </c>
      <c r="B99" s="121"/>
      <c r="C99" s="121">
        <f>D99</f>
        <v>3148</v>
      </c>
      <c r="D99" s="121">
        <v>3148</v>
      </c>
      <c r="E99" s="121"/>
      <c r="F99" s="121">
        <f t="shared" si="2"/>
        <v>2099</v>
      </c>
      <c r="G99" s="121">
        <v>2099</v>
      </c>
      <c r="H99" s="121"/>
      <c r="I99" s="121">
        <f t="shared" si="3"/>
        <v>3148</v>
      </c>
      <c r="J99" s="121">
        <v>3148</v>
      </c>
      <c r="K99" s="119"/>
    </row>
    <row r="100" spans="1:11" ht="28.5" customHeight="1" x14ac:dyDescent="0.3">
      <c r="A100" s="127" t="s">
        <v>276</v>
      </c>
      <c r="B100" s="121"/>
      <c r="C100" s="121">
        <f t="shared" si="1"/>
        <v>285</v>
      </c>
      <c r="D100" s="121">
        <v>285</v>
      </c>
      <c r="E100" s="121"/>
      <c r="F100" s="121">
        <f t="shared" si="2"/>
        <v>190</v>
      </c>
      <c r="G100" s="121">
        <v>190</v>
      </c>
      <c r="H100" s="121"/>
      <c r="I100" s="121">
        <f t="shared" si="3"/>
        <v>285</v>
      </c>
      <c r="J100" s="121">
        <v>285</v>
      </c>
      <c r="K100" s="119"/>
    </row>
    <row r="101" spans="1:11" ht="28.5" customHeight="1" x14ac:dyDescent="0.3">
      <c r="A101" s="261" t="s">
        <v>80</v>
      </c>
      <c r="B101" s="121"/>
      <c r="C101" s="129"/>
      <c r="D101" s="121"/>
      <c r="E101" s="121"/>
      <c r="F101" s="129"/>
      <c r="G101" s="121"/>
      <c r="H101" s="121"/>
      <c r="I101" s="129">
        <f t="shared" si="3"/>
        <v>0</v>
      </c>
      <c r="J101" s="121"/>
      <c r="K101" s="119"/>
    </row>
    <row r="102" spans="1:11" ht="57" customHeight="1" x14ac:dyDescent="0.3">
      <c r="A102" s="125" t="s">
        <v>185</v>
      </c>
      <c r="B102" s="121"/>
      <c r="C102" s="121">
        <f t="shared" si="1"/>
        <v>1049</v>
      </c>
      <c r="D102" s="121">
        <v>1049</v>
      </c>
      <c r="E102" s="121"/>
      <c r="F102" s="121">
        <f t="shared" si="2"/>
        <v>700</v>
      </c>
      <c r="G102" s="121">
        <v>700</v>
      </c>
      <c r="H102" s="121"/>
      <c r="I102" s="121">
        <f t="shared" si="3"/>
        <v>1049</v>
      </c>
      <c r="J102" s="121">
        <v>1049</v>
      </c>
      <c r="K102" s="119"/>
    </row>
    <row r="103" spans="1:11" ht="53.25" customHeight="1" x14ac:dyDescent="0.3">
      <c r="A103" s="125" t="s">
        <v>277</v>
      </c>
      <c r="B103" s="121"/>
      <c r="C103" s="121">
        <f t="shared" si="1"/>
        <v>35</v>
      </c>
      <c r="D103" s="121">
        <v>35</v>
      </c>
      <c r="E103" s="121"/>
      <c r="F103" s="121">
        <f t="shared" si="2"/>
        <v>63</v>
      </c>
      <c r="G103" s="121">
        <v>63</v>
      </c>
      <c r="H103" s="121"/>
      <c r="I103" s="121">
        <f t="shared" si="3"/>
        <v>35</v>
      </c>
      <c r="J103" s="121">
        <v>35</v>
      </c>
      <c r="K103" s="119"/>
    </row>
    <row r="104" spans="1:11" ht="28.5" customHeight="1" x14ac:dyDescent="0.3">
      <c r="A104" s="261" t="s">
        <v>81</v>
      </c>
      <c r="B104" s="121"/>
      <c r="C104" s="129"/>
      <c r="D104" s="121"/>
      <c r="E104" s="121"/>
      <c r="F104" s="129"/>
      <c r="G104" s="121"/>
      <c r="H104" s="121"/>
      <c r="I104" s="129"/>
      <c r="J104" s="121"/>
      <c r="K104" s="119"/>
    </row>
    <row r="105" spans="1:11" ht="21" hidden="1" customHeight="1" x14ac:dyDescent="0.3">
      <c r="A105" s="125" t="s">
        <v>226</v>
      </c>
      <c r="B105" s="121"/>
      <c r="C105" s="22"/>
      <c r="D105" s="22"/>
      <c r="E105" s="121"/>
      <c r="F105" s="22"/>
      <c r="G105" s="22"/>
      <c r="H105" s="121"/>
      <c r="I105" s="22"/>
      <c r="J105" s="22"/>
      <c r="K105" s="119"/>
    </row>
    <row r="106" spans="1:11" ht="47.25" customHeight="1" x14ac:dyDescent="0.3">
      <c r="A106" s="125" t="s">
        <v>227</v>
      </c>
      <c r="B106" s="121"/>
      <c r="C106" s="121">
        <f t="shared" si="1"/>
        <v>10</v>
      </c>
      <c r="D106" s="121">
        <v>10</v>
      </c>
      <c r="E106" s="121"/>
      <c r="F106" s="121">
        <f t="shared" si="2"/>
        <v>10</v>
      </c>
      <c r="G106" s="121">
        <v>10</v>
      </c>
      <c r="H106" s="121"/>
      <c r="I106" s="121">
        <f t="shared" si="3"/>
        <v>12</v>
      </c>
      <c r="J106" s="121">
        <v>12</v>
      </c>
      <c r="K106" s="119"/>
    </row>
    <row r="107" spans="1:11" ht="47.25" customHeight="1" x14ac:dyDescent="0.3">
      <c r="A107" s="498" t="s">
        <v>536</v>
      </c>
      <c r="B107" s="499"/>
      <c r="C107" s="499"/>
      <c r="D107" s="499"/>
      <c r="E107" s="499"/>
      <c r="F107" s="499"/>
      <c r="G107" s="499"/>
      <c r="H107" s="499"/>
      <c r="I107" s="499"/>
      <c r="J107" s="499"/>
      <c r="K107" s="500"/>
    </row>
    <row r="108" spans="1:11" ht="47.25" customHeight="1" x14ac:dyDescent="0.3">
      <c r="A108" s="261" t="s">
        <v>77</v>
      </c>
      <c r="B108" s="121"/>
      <c r="C108" s="121"/>
      <c r="D108" s="121"/>
      <c r="E108" s="121"/>
      <c r="F108" s="121"/>
      <c r="G108" s="121"/>
      <c r="H108" s="121"/>
      <c r="I108" s="121"/>
      <c r="J108" s="121"/>
      <c r="K108" s="119"/>
    </row>
    <row r="109" spans="1:11" ht="47.25" customHeight="1" x14ac:dyDescent="0.3">
      <c r="A109" s="120" t="s">
        <v>212</v>
      </c>
      <c r="B109" s="119">
        <f>C109</f>
        <v>4107600.0000000005</v>
      </c>
      <c r="C109" s="121">
        <f>D109</f>
        <v>4107600.0000000005</v>
      </c>
      <c r="D109" s="121">
        <f>D111</f>
        <v>4107600.0000000005</v>
      </c>
      <c r="E109" s="121"/>
      <c r="F109" s="121"/>
      <c r="G109" s="121"/>
      <c r="H109" s="121"/>
      <c r="I109" s="121"/>
      <c r="J109" s="121"/>
      <c r="K109" s="119"/>
    </row>
    <row r="110" spans="1:11" ht="47.25" customHeight="1" x14ac:dyDescent="0.3">
      <c r="A110" s="120" t="s">
        <v>350</v>
      </c>
      <c r="B110" s="121"/>
      <c r="C110" s="121"/>
      <c r="D110" s="121"/>
      <c r="E110" s="121"/>
      <c r="F110" s="121"/>
      <c r="G110" s="121"/>
      <c r="H110" s="121"/>
      <c r="I110" s="121"/>
      <c r="J110" s="121"/>
      <c r="K110" s="119"/>
    </row>
    <row r="111" spans="1:11" ht="47.25" customHeight="1" x14ac:dyDescent="0.3">
      <c r="A111" s="120" t="s">
        <v>349</v>
      </c>
      <c r="B111" s="121"/>
      <c r="C111" s="121">
        <f>D111</f>
        <v>4107600.0000000005</v>
      </c>
      <c r="D111" s="121">
        <f>Дод.3!I52*1000</f>
        <v>4107600.0000000005</v>
      </c>
      <c r="E111" s="121"/>
      <c r="F111" s="121"/>
      <c r="G111" s="121"/>
      <c r="H111" s="121"/>
      <c r="I111" s="121"/>
      <c r="J111" s="121"/>
      <c r="K111" s="119"/>
    </row>
    <row r="112" spans="1:11" ht="47.25" customHeight="1" x14ac:dyDescent="0.3">
      <c r="A112" s="120" t="s">
        <v>348</v>
      </c>
      <c r="B112" s="121"/>
      <c r="C112" s="121"/>
      <c r="D112" s="121"/>
      <c r="E112" s="121"/>
      <c r="F112" s="121"/>
      <c r="G112" s="121"/>
      <c r="H112" s="121"/>
      <c r="I112" s="121"/>
      <c r="J112" s="121"/>
      <c r="K112" s="119"/>
    </row>
    <row r="113" spans="1:11" ht="47.25" customHeight="1" x14ac:dyDescent="0.3">
      <c r="A113" s="261" t="s">
        <v>79</v>
      </c>
      <c r="B113" s="121"/>
      <c r="C113" s="121"/>
      <c r="D113" s="121"/>
      <c r="E113" s="121"/>
      <c r="F113" s="121"/>
      <c r="G113" s="121"/>
      <c r="H113" s="121"/>
      <c r="I113" s="121"/>
      <c r="J113" s="121"/>
      <c r="K113" s="119"/>
    </row>
    <row r="114" spans="1:11" ht="47.25" customHeight="1" x14ac:dyDescent="0.3">
      <c r="A114" s="127" t="s">
        <v>278</v>
      </c>
      <c r="B114" s="121"/>
      <c r="C114" s="121">
        <f>D114</f>
        <v>750</v>
      </c>
      <c r="D114" s="121">
        <v>750</v>
      </c>
      <c r="E114" s="121"/>
      <c r="F114" s="121"/>
      <c r="G114" s="121"/>
      <c r="H114" s="121"/>
      <c r="I114" s="121"/>
      <c r="J114" s="121"/>
      <c r="K114" s="119"/>
    </row>
    <row r="115" spans="1:11" ht="47.25" customHeight="1" x14ac:dyDescent="0.3">
      <c r="A115" s="127" t="s">
        <v>230</v>
      </c>
      <c r="B115" s="121"/>
      <c r="C115" s="22">
        <f>D115</f>
        <v>16.5</v>
      </c>
      <c r="D115" s="22">
        <v>16.5</v>
      </c>
      <c r="E115" s="121"/>
      <c r="F115" s="121"/>
      <c r="G115" s="121"/>
      <c r="H115" s="121"/>
      <c r="I115" s="121"/>
      <c r="J115" s="121"/>
      <c r="K115" s="119"/>
    </row>
    <row r="116" spans="1:11" ht="47.25" customHeight="1" x14ac:dyDescent="0.3">
      <c r="A116" s="127" t="s">
        <v>345</v>
      </c>
      <c r="B116" s="121"/>
      <c r="C116" s="121"/>
      <c r="D116" s="121"/>
      <c r="E116" s="121"/>
      <c r="F116" s="121"/>
      <c r="G116" s="121"/>
      <c r="H116" s="121"/>
      <c r="I116" s="121"/>
      <c r="J116" s="121"/>
      <c r="K116" s="119"/>
    </row>
    <row r="117" spans="1:11" ht="47.25" customHeight="1" x14ac:dyDescent="0.3">
      <c r="A117" s="261" t="s">
        <v>80</v>
      </c>
      <c r="B117" s="121"/>
      <c r="C117" s="121"/>
      <c r="D117" s="121"/>
      <c r="E117" s="121"/>
      <c r="F117" s="121"/>
      <c r="G117" s="121"/>
      <c r="H117" s="121"/>
      <c r="I117" s="121"/>
      <c r="J117" s="121"/>
      <c r="K117" s="119"/>
    </row>
    <row r="118" spans="1:11" ht="47.25" customHeight="1" x14ac:dyDescent="0.3">
      <c r="A118" s="120" t="s">
        <v>228</v>
      </c>
      <c r="B118" s="121"/>
      <c r="C118" s="121">
        <f>D118</f>
        <v>5476.8</v>
      </c>
      <c r="D118" s="121">
        <f>D111/D114</f>
        <v>5476.8</v>
      </c>
      <c r="E118" s="121"/>
      <c r="F118" s="121"/>
      <c r="G118" s="121"/>
      <c r="H118" s="121"/>
      <c r="I118" s="121"/>
      <c r="J118" s="121"/>
      <c r="K118" s="119"/>
    </row>
    <row r="119" spans="1:11" ht="47.25" customHeight="1" x14ac:dyDescent="0.3">
      <c r="A119" s="120" t="s">
        <v>279</v>
      </c>
      <c r="B119" s="121"/>
      <c r="C119" s="121">
        <f>D119</f>
        <v>248945.45454545459</v>
      </c>
      <c r="D119" s="121">
        <f>D111/D115</f>
        <v>248945.45454545459</v>
      </c>
      <c r="E119" s="121"/>
      <c r="F119" s="121"/>
      <c r="G119" s="121"/>
      <c r="H119" s="121"/>
      <c r="I119" s="121"/>
      <c r="J119" s="121"/>
      <c r="K119" s="119"/>
    </row>
    <row r="120" spans="1:11" ht="47.25" customHeight="1" x14ac:dyDescent="0.3">
      <c r="A120" s="120" t="s">
        <v>223</v>
      </c>
      <c r="B120" s="121"/>
      <c r="C120" s="121"/>
      <c r="D120" s="121"/>
      <c r="E120" s="121"/>
      <c r="F120" s="121"/>
      <c r="G120" s="121"/>
      <c r="H120" s="121"/>
      <c r="I120" s="121"/>
      <c r="J120" s="121"/>
      <c r="K120" s="119"/>
    </row>
    <row r="121" spans="1:11" ht="47.25" customHeight="1" x14ac:dyDescent="0.3">
      <c r="A121" s="261" t="s">
        <v>81</v>
      </c>
      <c r="B121" s="121"/>
      <c r="C121" s="121"/>
      <c r="D121" s="121"/>
      <c r="E121" s="121"/>
      <c r="F121" s="121"/>
      <c r="G121" s="121"/>
      <c r="H121" s="121"/>
      <c r="I121" s="121"/>
      <c r="J121" s="121"/>
      <c r="K121" s="119"/>
    </row>
    <row r="122" spans="1:11" ht="47.25" customHeight="1" x14ac:dyDescent="0.3">
      <c r="A122" s="120" t="s">
        <v>229</v>
      </c>
      <c r="B122" s="121"/>
      <c r="C122" s="121">
        <f>D122</f>
        <v>100</v>
      </c>
      <c r="D122" s="121">
        <v>100</v>
      </c>
      <c r="E122" s="121"/>
      <c r="F122" s="121"/>
      <c r="G122" s="121"/>
      <c r="H122" s="121"/>
      <c r="I122" s="121"/>
      <c r="J122" s="121"/>
      <c r="K122" s="119"/>
    </row>
    <row r="123" spans="1:11" ht="36" customHeight="1" x14ac:dyDescent="0.3">
      <c r="A123" s="508" t="s">
        <v>458</v>
      </c>
      <c r="B123" s="508"/>
      <c r="C123" s="508"/>
      <c r="D123" s="508"/>
      <c r="E123" s="508"/>
      <c r="F123" s="508"/>
      <c r="G123" s="508"/>
      <c r="H123" s="508"/>
      <c r="I123" s="508"/>
      <c r="J123" s="508"/>
      <c r="K123" s="508"/>
    </row>
    <row r="124" spans="1:11" ht="28.5" customHeight="1" x14ac:dyDescent="0.3">
      <c r="A124" s="261" t="s">
        <v>77</v>
      </c>
      <c r="B124" s="261"/>
      <c r="C124" s="261"/>
      <c r="D124" s="261"/>
      <c r="E124" s="261"/>
      <c r="F124" s="261"/>
      <c r="G124" s="261"/>
      <c r="H124" s="261"/>
      <c r="I124" s="261"/>
      <c r="J124" s="261"/>
      <c r="K124" s="261"/>
    </row>
    <row r="125" spans="1:11" ht="28.5" customHeight="1" x14ac:dyDescent="0.3">
      <c r="A125" s="120" t="s">
        <v>212</v>
      </c>
      <c r="B125" s="119">
        <f>C125+F125+I125</f>
        <v>5305200</v>
      </c>
      <c r="C125" s="119"/>
      <c r="D125" s="119"/>
      <c r="E125" s="119"/>
      <c r="F125" s="119">
        <f>G125+H125</f>
        <v>5205200</v>
      </c>
      <c r="G125" s="119">
        <f>Дод.3!J58*1000</f>
        <v>5205200</v>
      </c>
      <c r="H125" s="119"/>
      <c r="I125" s="119">
        <f>J125+K125</f>
        <v>100000</v>
      </c>
      <c r="J125" s="119">
        <f>Дод.3!K58*1000</f>
        <v>100000</v>
      </c>
      <c r="K125" s="119"/>
    </row>
    <row r="126" spans="1:11" ht="28.5" customHeight="1" x14ac:dyDescent="0.3">
      <c r="A126" s="120" t="s">
        <v>350</v>
      </c>
      <c r="B126" s="119"/>
      <c r="C126" s="119"/>
      <c r="D126" s="119"/>
      <c r="E126" s="119"/>
      <c r="F126" s="119"/>
      <c r="G126" s="119"/>
      <c r="H126" s="119"/>
      <c r="I126" s="119"/>
      <c r="J126" s="119"/>
      <c r="K126" s="119"/>
    </row>
    <row r="127" spans="1:11" ht="28.5" customHeight="1" x14ac:dyDescent="0.3">
      <c r="A127" s="120" t="s">
        <v>349</v>
      </c>
      <c r="B127" s="119"/>
      <c r="C127" s="121"/>
      <c r="D127" s="121"/>
      <c r="E127" s="121"/>
      <c r="F127" s="121">
        <f>G127+H127</f>
        <v>4305200</v>
      </c>
      <c r="G127" s="121">
        <f>(Дод.3!J60+Дод.3!J61+Дод.3!J62+Дод.3!J63)*1000</f>
        <v>4305200</v>
      </c>
      <c r="H127" s="119"/>
      <c r="I127" s="119"/>
      <c r="J127" s="119"/>
      <c r="K127" s="119"/>
    </row>
    <row r="128" spans="1:11" ht="72" customHeight="1" x14ac:dyDescent="0.3">
      <c r="A128" s="120" t="s">
        <v>348</v>
      </c>
      <c r="B128" s="119"/>
      <c r="C128" s="121"/>
      <c r="D128" s="121"/>
      <c r="E128" s="121"/>
      <c r="F128" s="121">
        <f>G128+H128</f>
        <v>900000</v>
      </c>
      <c r="G128" s="121">
        <f>Дод.3!J64*1000</f>
        <v>900000</v>
      </c>
      <c r="H128" s="119"/>
      <c r="I128" s="119"/>
      <c r="J128" s="119"/>
      <c r="K128" s="119"/>
    </row>
    <row r="129" spans="1:11" ht="28.5" customHeight="1" x14ac:dyDescent="0.3">
      <c r="A129" s="261" t="s">
        <v>79</v>
      </c>
      <c r="B129" s="121"/>
      <c r="C129" s="121"/>
      <c r="D129" s="124"/>
      <c r="E129" s="121"/>
      <c r="F129" s="121"/>
      <c r="G129" s="121"/>
      <c r="H129" s="121"/>
      <c r="I129" s="121"/>
      <c r="J129" s="121"/>
      <c r="K129" s="119"/>
    </row>
    <row r="130" spans="1:11" ht="32.25" customHeight="1" x14ac:dyDescent="0.3">
      <c r="A130" s="127" t="s">
        <v>278</v>
      </c>
      <c r="B130" s="121"/>
      <c r="C130" s="121"/>
      <c r="D130" s="121"/>
      <c r="E130" s="121"/>
      <c r="F130" s="121">
        <f>G130</f>
        <v>950</v>
      </c>
      <c r="G130" s="121">
        <f>770+180</f>
        <v>950</v>
      </c>
      <c r="H130" s="121"/>
      <c r="I130" s="121">
        <f>J130</f>
        <v>750</v>
      </c>
      <c r="J130" s="121">
        <v>750</v>
      </c>
      <c r="K130" s="119"/>
    </row>
    <row r="131" spans="1:11" ht="57" customHeight="1" x14ac:dyDescent="0.3">
      <c r="A131" s="127" t="s">
        <v>230</v>
      </c>
      <c r="B131" s="121"/>
      <c r="C131" s="22"/>
      <c r="D131" s="22"/>
      <c r="E131" s="22"/>
      <c r="F131" s="22">
        <f>G131</f>
        <v>16.5</v>
      </c>
      <c r="G131" s="22">
        <v>16.5</v>
      </c>
      <c r="H131" s="22"/>
      <c r="I131" s="22">
        <f>J131</f>
        <v>16.5</v>
      </c>
      <c r="J131" s="22">
        <v>16.5</v>
      </c>
      <c r="K131" s="119"/>
    </row>
    <row r="132" spans="1:11" ht="57" customHeight="1" x14ac:dyDescent="0.3">
      <c r="A132" s="127" t="s">
        <v>345</v>
      </c>
      <c r="B132" s="121"/>
      <c r="C132" s="22"/>
      <c r="D132" s="22"/>
      <c r="E132" s="22"/>
      <c r="F132" s="22"/>
      <c r="G132" s="22">
        <v>3333</v>
      </c>
      <c r="H132" s="22"/>
      <c r="I132" s="22"/>
      <c r="J132" s="22"/>
      <c r="K132" s="119"/>
    </row>
    <row r="133" spans="1:11" ht="28.5" customHeight="1" x14ac:dyDescent="0.3">
      <c r="A133" s="261" t="s">
        <v>80</v>
      </c>
      <c r="B133" s="121"/>
      <c r="C133" s="121"/>
      <c r="D133" s="121"/>
      <c r="E133" s="121"/>
      <c r="F133" s="121"/>
      <c r="G133" s="121"/>
      <c r="H133" s="121"/>
      <c r="I133" s="121"/>
      <c r="J133" s="121"/>
      <c r="K133" s="119"/>
    </row>
    <row r="134" spans="1:11" ht="28.5" customHeight="1" x14ac:dyDescent="0.3">
      <c r="A134" s="120" t="s">
        <v>228</v>
      </c>
      <c r="B134" s="121"/>
      <c r="C134" s="121"/>
      <c r="D134" s="121"/>
      <c r="E134" s="121"/>
      <c r="F134" s="121">
        <f>G134</f>
        <v>5479.1578947368425</v>
      </c>
      <c r="G134" s="121">
        <f>G125/G130</f>
        <v>5479.1578947368425</v>
      </c>
      <c r="H134" s="121"/>
      <c r="I134" s="121">
        <f>J134</f>
        <v>133.33333333333334</v>
      </c>
      <c r="J134" s="121">
        <f>J125/J130</f>
        <v>133.33333333333334</v>
      </c>
      <c r="K134" s="119"/>
    </row>
    <row r="135" spans="1:11" ht="28.5" customHeight="1" x14ac:dyDescent="0.3">
      <c r="A135" s="120" t="s">
        <v>279</v>
      </c>
      <c r="B135" s="121"/>
      <c r="C135" s="121"/>
      <c r="D135" s="121"/>
      <c r="E135" s="121"/>
      <c r="F135" s="121">
        <f>G135</f>
        <v>315466.66666666669</v>
      </c>
      <c r="G135" s="121">
        <f>G125/G131</f>
        <v>315466.66666666669</v>
      </c>
      <c r="H135" s="121"/>
      <c r="I135" s="121">
        <f>J135</f>
        <v>6060.606060606061</v>
      </c>
      <c r="J135" s="121">
        <f>J125/J131</f>
        <v>6060.606060606061</v>
      </c>
      <c r="K135" s="119"/>
    </row>
    <row r="136" spans="1:11" ht="28.5" customHeight="1" x14ac:dyDescent="0.3">
      <c r="A136" s="120" t="s">
        <v>223</v>
      </c>
      <c r="B136" s="121"/>
      <c r="C136" s="121"/>
      <c r="D136" s="121"/>
      <c r="E136" s="121"/>
      <c r="F136" s="121">
        <f>G136</f>
        <v>270.02700270027003</v>
      </c>
      <c r="G136" s="121">
        <f>G128/G132</f>
        <v>270.02700270027003</v>
      </c>
      <c r="H136" s="121"/>
      <c r="I136" s="121"/>
      <c r="J136" s="121"/>
      <c r="K136" s="119"/>
    </row>
    <row r="137" spans="1:11" ht="28.5" customHeight="1" x14ac:dyDescent="0.3">
      <c r="A137" s="261" t="s">
        <v>81</v>
      </c>
      <c r="B137" s="121"/>
      <c r="C137" s="121"/>
      <c r="D137" s="121"/>
      <c r="E137" s="121"/>
      <c r="F137" s="121"/>
      <c r="G137" s="121"/>
      <c r="H137" s="121"/>
      <c r="I137" s="121"/>
      <c r="J137" s="121"/>
      <c r="K137" s="119"/>
    </row>
    <row r="138" spans="1:11" ht="28.5" customHeight="1" x14ac:dyDescent="0.3">
      <c r="A138" s="120" t="s">
        <v>229</v>
      </c>
      <c r="B138" s="121"/>
      <c r="C138" s="121"/>
      <c r="D138" s="121"/>
      <c r="E138" s="121"/>
      <c r="F138" s="121">
        <f>G138</f>
        <v>100</v>
      </c>
      <c r="G138" s="121">
        <v>100</v>
      </c>
      <c r="H138" s="121"/>
      <c r="I138" s="121">
        <f>J138</f>
        <v>100</v>
      </c>
      <c r="J138" s="121">
        <v>100</v>
      </c>
      <c r="K138" s="119"/>
    </row>
    <row r="139" spans="1:11" ht="28.5" customHeight="1" x14ac:dyDescent="0.3">
      <c r="A139" s="493" t="s">
        <v>459</v>
      </c>
      <c r="B139" s="494"/>
      <c r="C139" s="494"/>
      <c r="D139" s="494"/>
      <c r="E139" s="494"/>
      <c r="F139" s="494"/>
      <c r="G139" s="494"/>
      <c r="H139" s="494"/>
      <c r="I139" s="494"/>
      <c r="J139" s="494"/>
      <c r="K139" s="495"/>
    </row>
    <row r="140" spans="1:11" ht="28.5" customHeight="1" x14ac:dyDescent="0.3">
      <c r="A140" s="261" t="s">
        <v>77</v>
      </c>
      <c r="B140" s="261"/>
      <c r="C140" s="261"/>
      <c r="D140" s="261"/>
      <c r="E140" s="261"/>
      <c r="F140" s="261"/>
      <c r="G140" s="261"/>
      <c r="H140" s="261"/>
      <c r="I140" s="261"/>
      <c r="J140" s="261"/>
      <c r="K140" s="261"/>
    </row>
    <row r="141" spans="1:11" ht="28.5" customHeight="1" x14ac:dyDescent="0.3">
      <c r="A141" s="120" t="s">
        <v>162</v>
      </c>
      <c r="B141" s="119">
        <f>C141+F141+I141</f>
        <v>3400000</v>
      </c>
      <c r="C141" s="119">
        <f>D141+E141</f>
        <v>1200000</v>
      </c>
      <c r="D141" s="119">
        <f>Дод.3!I65*1000</f>
        <v>1200000</v>
      </c>
      <c r="E141" s="119"/>
      <c r="F141" s="119">
        <f>G141+H141</f>
        <v>2200000</v>
      </c>
      <c r="G141" s="119">
        <f>Дод.3!J65*1000</f>
        <v>2200000</v>
      </c>
      <c r="H141" s="119"/>
      <c r="I141" s="119"/>
      <c r="J141" s="119"/>
      <c r="K141" s="119"/>
    </row>
    <row r="142" spans="1:11" ht="28.5" customHeight="1" x14ac:dyDescent="0.3">
      <c r="A142" s="120" t="s">
        <v>491</v>
      </c>
      <c r="B142" s="119"/>
      <c r="C142" s="119"/>
      <c r="D142" s="119"/>
      <c r="E142" s="119"/>
      <c r="F142" s="119"/>
      <c r="G142" s="119"/>
      <c r="H142" s="119"/>
      <c r="I142" s="119"/>
      <c r="J142" s="119"/>
      <c r="K142" s="119"/>
    </row>
    <row r="143" spans="1:11" ht="51.75" customHeight="1" x14ac:dyDescent="0.3">
      <c r="A143" s="120" t="s">
        <v>280</v>
      </c>
      <c r="B143" s="121"/>
      <c r="C143" s="121">
        <f>D143</f>
        <v>1000000</v>
      </c>
      <c r="D143" s="121">
        <f>Дод.3!I66*1000</f>
        <v>1000000</v>
      </c>
      <c r="E143" s="121"/>
      <c r="F143" s="121">
        <f>G143+H143</f>
        <v>2000000</v>
      </c>
      <c r="G143" s="121">
        <f>(Дод.3!J68+Дод.3!J69)*1000</f>
        <v>2000000</v>
      </c>
      <c r="H143" s="121"/>
      <c r="I143" s="121"/>
      <c r="J143" s="121"/>
      <c r="K143" s="119"/>
    </row>
    <row r="144" spans="1:11" ht="33.75" customHeight="1" x14ac:dyDescent="0.3">
      <c r="A144" s="120" t="s">
        <v>281</v>
      </c>
      <c r="B144" s="121"/>
      <c r="C144" s="121">
        <f>D144</f>
        <v>200000</v>
      </c>
      <c r="D144" s="121">
        <f>Дод.3!I70*1000</f>
        <v>200000</v>
      </c>
      <c r="E144" s="121"/>
      <c r="F144" s="121">
        <f>G144</f>
        <v>200000</v>
      </c>
      <c r="G144" s="121">
        <f>Дод.3!J70*1000</f>
        <v>200000</v>
      </c>
      <c r="H144" s="121"/>
      <c r="I144" s="121"/>
      <c r="J144" s="121"/>
      <c r="K144" s="119"/>
    </row>
    <row r="145" spans="1:11" ht="28.5" customHeight="1" x14ac:dyDescent="0.3">
      <c r="A145" s="261" t="s">
        <v>79</v>
      </c>
      <c r="B145" s="121"/>
      <c r="C145" s="121"/>
      <c r="D145" s="121"/>
      <c r="E145" s="121"/>
      <c r="F145" s="121"/>
      <c r="G145" s="121"/>
      <c r="H145" s="121"/>
      <c r="I145" s="121"/>
      <c r="J145" s="121"/>
      <c r="K145" s="119"/>
    </row>
    <row r="146" spans="1:11" ht="60.75" customHeight="1" x14ac:dyDescent="0.3">
      <c r="A146" s="270" t="s">
        <v>282</v>
      </c>
      <c r="B146" s="121"/>
      <c r="C146" s="121">
        <f>D146</f>
        <v>20</v>
      </c>
      <c r="D146" s="121">
        <v>20</v>
      </c>
      <c r="E146" s="121"/>
      <c r="F146" s="121">
        <f>G146</f>
        <v>40</v>
      </c>
      <c r="G146" s="121">
        <f>20+20</f>
        <v>40</v>
      </c>
      <c r="H146" s="121"/>
      <c r="I146" s="121"/>
      <c r="J146" s="121"/>
      <c r="K146" s="119"/>
    </row>
    <row r="147" spans="1:11" ht="45.75" customHeight="1" x14ac:dyDescent="0.3">
      <c r="A147" s="270" t="s">
        <v>283</v>
      </c>
      <c r="B147" s="121"/>
      <c r="C147" s="121">
        <f>D147</f>
        <v>10</v>
      </c>
      <c r="D147" s="121">
        <v>10</v>
      </c>
      <c r="E147" s="121"/>
      <c r="F147" s="121">
        <f>G147</f>
        <v>20</v>
      </c>
      <c r="G147" s="121">
        <v>20</v>
      </c>
      <c r="H147" s="121"/>
      <c r="I147" s="121"/>
      <c r="J147" s="121"/>
      <c r="K147" s="119"/>
    </row>
    <row r="148" spans="1:11" ht="28.5" customHeight="1" x14ac:dyDescent="0.3">
      <c r="A148" s="261" t="s">
        <v>80</v>
      </c>
      <c r="B148" s="121"/>
      <c r="C148" s="121"/>
      <c r="D148" s="121"/>
      <c r="E148" s="121"/>
      <c r="F148" s="121"/>
      <c r="G148" s="121"/>
      <c r="H148" s="121"/>
      <c r="I148" s="121"/>
      <c r="J148" s="121"/>
      <c r="K148" s="119"/>
    </row>
    <row r="149" spans="1:11" ht="53.25" customHeight="1" x14ac:dyDescent="0.3">
      <c r="A149" s="123" t="s">
        <v>284</v>
      </c>
      <c r="B149" s="121"/>
      <c r="C149" s="121">
        <f>C143/C146</f>
        <v>50000</v>
      </c>
      <c r="D149" s="121">
        <f>D143/D146</f>
        <v>50000</v>
      </c>
      <c r="E149" s="121"/>
      <c r="F149" s="121">
        <f>G149</f>
        <v>50000</v>
      </c>
      <c r="G149" s="121">
        <f>G143/G146</f>
        <v>50000</v>
      </c>
      <c r="H149" s="121"/>
      <c r="I149" s="121"/>
      <c r="J149" s="121"/>
      <c r="K149" s="119"/>
    </row>
    <row r="150" spans="1:11" ht="57" customHeight="1" x14ac:dyDescent="0.3">
      <c r="A150" s="123" t="s">
        <v>285</v>
      </c>
      <c r="B150" s="121"/>
      <c r="C150" s="121">
        <f>C144/C147</f>
        <v>20000</v>
      </c>
      <c r="D150" s="121">
        <f>D144/D147</f>
        <v>20000</v>
      </c>
      <c r="E150" s="121"/>
      <c r="F150" s="121">
        <f>G150</f>
        <v>10000</v>
      </c>
      <c r="G150" s="121">
        <f>G144/G147</f>
        <v>10000</v>
      </c>
      <c r="H150" s="121"/>
      <c r="I150" s="121"/>
      <c r="J150" s="121"/>
      <c r="K150" s="119"/>
    </row>
    <row r="151" spans="1:11" ht="57" customHeight="1" x14ac:dyDescent="0.3">
      <c r="A151" s="448" t="s">
        <v>537</v>
      </c>
      <c r="B151" s="449"/>
      <c r="C151" s="449"/>
      <c r="D151" s="449"/>
      <c r="E151" s="449"/>
      <c r="F151" s="449"/>
      <c r="G151" s="449"/>
      <c r="H151" s="449"/>
      <c r="I151" s="449"/>
      <c r="J151" s="449"/>
      <c r="K151" s="450"/>
    </row>
    <row r="152" spans="1:11" ht="39.75" customHeight="1" x14ac:dyDescent="0.3">
      <c r="A152" s="261" t="s">
        <v>77</v>
      </c>
      <c r="B152" s="123"/>
      <c r="C152" s="123"/>
      <c r="D152" s="123"/>
      <c r="E152" s="123"/>
      <c r="F152" s="123"/>
      <c r="G152" s="123"/>
      <c r="H152" s="123"/>
      <c r="I152" s="123"/>
      <c r="J152" s="123"/>
      <c r="K152" s="123"/>
    </row>
    <row r="153" spans="1:11" ht="39.75" customHeight="1" x14ac:dyDescent="0.3">
      <c r="A153" s="120" t="s">
        <v>231</v>
      </c>
      <c r="B153" s="252">
        <f>C153</f>
        <v>653300</v>
      </c>
      <c r="C153" s="252">
        <f>D153</f>
        <v>653300</v>
      </c>
      <c r="D153" s="252">
        <f>Дод.3!I71*1000</f>
        <v>653300</v>
      </c>
      <c r="E153" s="123"/>
      <c r="F153" s="123"/>
      <c r="G153" s="123"/>
      <c r="H153" s="123"/>
      <c r="I153" s="123"/>
      <c r="J153" s="123"/>
      <c r="K153" s="123"/>
    </row>
    <row r="154" spans="1:11" ht="39.75" customHeight="1" x14ac:dyDescent="0.3">
      <c r="A154" s="120" t="s">
        <v>491</v>
      </c>
      <c r="B154" s="241"/>
      <c r="C154" s="241"/>
      <c r="D154" s="241"/>
      <c r="E154" s="123"/>
      <c r="F154" s="123"/>
      <c r="G154" s="123"/>
      <c r="H154" s="123"/>
      <c r="I154" s="123"/>
      <c r="J154" s="123"/>
      <c r="K154" s="123"/>
    </row>
    <row r="155" spans="1:11" ht="57" customHeight="1" x14ac:dyDescent="0.3">
      <c r="A155" s="120" t="s">
        <v>286</v>
      </c>
      <c r="B155" s="241"/>
      <c r="C155" s="241">
        <f>D155</f>
        <v>93600</v>
      </c>
      <c r="D155" s="241">
        <f>Дод.3!I72*1000</f>
        <v>93600</v>
      </c>
      <c r="E155" s="123"/>
      <c r="F155" s="123"/>
      <c r="G155" s="123"/>
      <c r="H155" s="123"/>
      <c r="I155" s="123"/>
      <c r="J155" s="123"/>
      <c r="K155" s="123"/>
    </row>
    <row r="156" spans="1:11" ht="57" customHeight="1" x14ac:dyDescent="0.3">
      <c r="A156" s="120" t="s">
        <v>384</v>
      </c>
      <c r="B156" s="241"/>
      <c r="C156" s="241">
        <f t="shared" ref="C156:C167" si="4">D156</f>
        <v>106800</v>
      </c>
      <c r="D156" s="241">
        <f>Дод.3!I74*1000</f>
        <v>106800</v>
      </c>
      <c r="E156" s="123"/>
      <c r="F156" s="123"/>
      <c r="G156" s="123"/>
      <c r="H156" s="123"/>
      <c r="I156" s="123"/>
      <c r="J156" s="123"/>
      <c r="K156" s="123"/>
    </row>
    <row r="157" spans="1:11" ht="79.5" customHeight="1" x14ac:dyDescent="0.3">
      <c r="A157" s="120" t="s">
        <v>492</v>
      </c>
      <c r="B157" s="241"/>
      <c r="C157" s="241">
        <f t="shared" si="4"/>
        <v>452900</v>
      </c>
      <c r="D157" s="241">
        <f>Дод.3!I76*1000</f>
        <v>452900</v>
      </c>
      <c r="E157" s="123"/>
      <c r="F157" s="123"/>
      <c r="G157" s="123"/>
      <c r="H157" s="123"/>
      <c r="I157" s="123"/>
      <c r="J157" s="123"/>
      <c r="K157" s="123"/>
    </row>
    <row r="158" spans="1:11" ht="39.75" customHeight="1" x14ac:dyDescent="0.3">
      <c r="A158" s="261" t="s">
        <v>79</v>
      </c>
      <c r="B158" s="241"/>
      <c r="C158" s="241"/>
      <c r="D158" s="241"/>
      <c r="E158" s="123"/>
      <c r="F158" s="123"/>
      <c r="G158" s="123"/>
      <c r="H158" s="123"/>
      <c r="I158" s="123"/>
      <c r="J158" s="123"/>
      <c r="K158" s="123"/>
    </row>
    <row r="159" spans="1:11" ht="49.5" customHeight="1" x14ac:dyDescent="0.3">
      <c r="A159" s="120" t="s">
        <v>287</v>
      </c>
      <c r="B159" s="241"/>
      <c r="C159" s="241">
        <f t="shared" si="4"/>
        <v>75</v>
      </c>
      <c r="D159" s="241">
        <v>75</v>
      </c>
      <c r="E159" s="123"/>
      <c r="F159" s="123"/>
      <c r="G159" s="123"/>
      <c r="H159" s="123"/>
      <c r="I159" s="123"/>
      <c r="J159" s="123"/>
      <c r="K159" s="123"/>
    </row>
    <row r="160" spans="1:11" ht="57" customHeight="1" x14ac:dyDescent="0.3">
      <c r="A160" s="120" t="s">
        <v>288</v>
      </c>
      <c r="B160" s="241"/>
      <c r="C160" s="241">
        <f t="shared" si="4"/>
        <v>1</v>
      </c>
      <c r="D160" s="241">
        <v>1</v>
      </c>
      <c r="E160" s="123"/>
      <c r="F160" s="123"/>
      <c r="G160" s="123"/>
      <c r="H160" s="123"/>
      <c r="I160" s="123"/>
      <c r="J160" s="123"/>
      <c r="K160" s="123"/>
    </row>
    <row r="161" spans="1:11" ht="62.25" customHeight="1" x14ac:dyDescent="0.3">
      <c r="A161" s="120" t="s">
        <v>493</v>
      </c>
      <c r="B161" s="241"/>
      <c r="C161" s="241">
        <f t="shared" si="4"/>
        <v>5</v>
      </c>
      <c r="D161" s="241">
        <v>5</v>
      </c>
      <c r="E161" s="123"/>
      <c r="F161" s="123"/>
      <c r="G161" s="123"/>
      <c r="H161" s="123"/>
      <c r="I161" s="123"/>
      <c r="J161" s="123"/>
      <c r="K161" s="123"/>
    </row>
    <row r="162" spans="1:11" ht="32.25" customHeight="1" x14ac:dyDescent="0.3">
      <c r="A162" s="261" t="s">
        <v>80</v>
      </c>
      <c r="B162" s="241"/>
      <c r="C162" s="241"/>
      <c r="D162" s="241"/>
      <c r="E162" s="123"/>
      <c r="F162" s="123"/>
      <c r="G162" s="123"/>
      <c r="H162" s="123"/>
      <c r="I162" s="123"/>
      <c r="J162" s="123"/>
      <c r="K162" s="123"/>
    </row>
    <row r="163" spans="1:11" ht="45" customHeight="1" x14ac:dyDescent="0.3">
      <c r="A163" s="120" t="s">
        <v>289</v>
      </c>
      <c r="B163" s="241"/>
      <c r="C163" s="241">
        <f t="shared" si="4"/>
        <v>1248</v>
      </c>
      <c r="D163" s="178">
        <f>D155/D159</f>
        <v>1248</v>
      </c>
      <c r="E163" s="123"/>
      <c r="F163" s="123"/>
      <c r="G163" s="123"/>
      <c r="H163" s="123"/>
      <c r="I163" s="123"/>
      <c r="J163" s="123"/>
      <c r="K163" s="123"/>
    </row>
    <row r="164" spans="1:11" ht="52.5" customHeight="1" x14ac:dyDescent="0.3">
      <c r="A164" s="123" t="s">
        <v>290</v>
      </c>
      <c r="B164" s="241"/>
      <c r="C164" s="241">
        <f t="shared" si="4"/>
        <v>106800</v>
      </c>
      <c r="D164" s="178">
        <f>D156/D160</f>
        <v>106800</v>
      </c>
      <c r="E164" s="123"/>
      <c r="F164" s="123"/>
      <c r="G164" s="123"/>
      <c r="H164" s="123"/>
      <c r="I164" s="123"/>
      <c r="J164" s="123"/>
      <c r="K164" s="123"/>
    </row>
    <row r="165" spans="1:11" ht="77.25" customHeight="1" x14ac:dyDescent="0.3">
      <c r="A165" s="123" t="s">
        <v>494</v>
      </c>
      <c r="B165" s="121"/>
      <c r="C165" s="241">
        <f t="shared" si="4"/>
        <v>90580</v>
      </c>
      <c r="D165" s="178">
        <f>D157/D161</f>
        <v>90580</v>
      </c>
      <c r="E165" s="121"/>
      <c r="F165" s="121"/>
      <c r="G165" s="121"/>
      <c r="H165" s="121"/>
      <c r="I165" s="121"/>
      <c r="J165" s="121"/>
      <c r="K165" s="119"/>
    </row>
    <row r="166" spans="1:11" ht="36" customHeight="1" x14ac:dyDescent="0.3">
      <c r="A166" s="261" t="s">
        <v>81</v>
      </c>
      <c r="B166" s="121"/>
      <c r="C166" s="241"/>
      <c r="D166" s="121"/>
      <c r="E166" s="121"/>
      <c r="F166" s="121"/>
      <c r="G166" s="121"/>
      <c r="H166" s="121"/>
      <c r="I166" s="121"/>
      <c r="J166" s="121"/>
      <c r="K166" s="119"/>
    </row>
    <row r="167" spans="1:11" ht="77.25" customHeight="1" x14ac:dyDescent="0.3">
      <c r="A167" s="120" t="s">
        <v>177</v>
      </c>
      <c r="B167" s="121"/>
      <c r="C167" s="241">
        <f t="shared" si="4"/>
        <v>44</v>
      </c>
      <c r="D167" s="121">
        <v>44</v>
      </c>
      <c r="E167" s="121"/>
      <c r="F167" s="121"/>
      <c r="G167" s="121"/>
      <c r="H167" s="121"/>
      <c r="I167" s="121"/>
      <c r="J167" s="121"/>
      <c r="K167" s="119"/>
    </row>
    <row r="168" spans="1:11" ht="53.25" customHeight="1" x14ac:dyDescent="0.3">
      <c r="A168" s="493" t="s">
        <v>495</v>
      </c>
      <c r="B168" s="494"/>
      <c r="C168" s="494"/>
      <c r="D168" s="494"/>
      <c r="E168" s="494"/>
      <c r="F168" s="494"/>
      <c r="G168" s="494"/>
      <c r="H168" s="494"/>
      <c r="I168" s="494"/>
      <c r="J168" s="494"/>
      <c r="K168" s="495"/>
    </row>
    <row r="169" spans="1:11" ht="28.5" customHeight="1" x14ac:dyDescent="0.3">
      <c r="A169" s="261" t="s">
        <v>77</v>
      </c>
      <c r="B169" s="261"/>
      <c r="C169" s="261"/>
      <c r="D169" s="261"/>
      <c r="E169" s="261"/>
      <c r="F169" s="261"/>
      <c r="G169" s="261"/>
      <c r="H169" s="261"/>
      <c r="I169" s="261"/>
      <c r="J169" s="261"/>
      <c r="K169" s="261"/>
    </row>
    <row r="170" spans="1:11" ht="28.5" customHeight="1" x14ac:dyDescent="0.3">
      <c r="A170" s="120" t="s">
        <v>231</v>
      </c>
      <c r="B170" s="119">
        <f>F170+I170</f>
        <v>3354300</v>
      </c>
      <c r="C170" s="119"/>
      <c r="D170" s="119"/>
      <c r="E170" s="119"/>
      <c r="F170" s="119">
        <f>G170+H170</f>
        <v>1593000</v>
      </c>
      <c r="G170" s="119">
        <f>Дод.3!J71*1000</f>
        <v>1593000</v>
      </c>
      <c r="H170" s="119"/>
      <c r="I170" s="119">
        <f>J170+K170</f>
        <v>1761300</v>
      </c>
      <c r="J170" s="119">
        <f>Дод.3!K71*1000</f>
        <v>1761300</v>
      </c>
      <c r="K170" s="119"/>
    </row>
    <row r="171" spans="1:11" ht="54.75" customHeight="1" x14ac:dyDescent="0.3">
      <c r="A171" s="120" t="s">
        <v>286</v>
      </c>
      <c r="B171" s="121"/>
      <c r="C171" s="121"/>
      <c r="D171" s="121"/>
      <c r="E171" s="121"/>
      <c r="F171" s="121">
        <f>G171</f>
        <v>110000</v>
      </c>
      <c r="G171" s="121">
        <f>Дод.3!J73*1000</f>
        <v>110000</v>
      </c>
      <c r="H171" s="121"/>
      <c r="I171" s="121">
        <f>J171</f>
        <v>117400</v>
      </c>
      <c r="J171" s="121">
        <f>Дод.3!K73*1000</f>
        <v>117400</v>
      </c>
      <c r="K171" s="119"/>
    </row>
    <row r="172" spans="1:11" ht="49.5" customHeight="1" x14ac:dyDescent="0.3">
      <c r="A172" s="120" t="s">
        <v>384</v>
      </c>
      <c r="B172" s="121"/>
      <c r="C172" s="121"/>
      <c r="D172" s="121"/>
      <c r="E172" s="121"/>
      <c r="F172" s="121">
        <f>G172</f>
        <v>527200</v>
      </c>
      <c r="G172" s="121">
        <f>Дод.3!J75*1000</f>
        <v>527200</v>
      </c>
      <c r="H172" s="121"/>
      <c r="I172" s="121">
        <f>J172</f>
        <v>587100</v>
      </c>
      <c r="J172" s="121">
        <f>Дод.3!K75*1000</f>
        <v>587100</v>
      </c>
      <c r="K172" s="119"/>
    </row>
    <row r="173" spans="1:11" ht="57" customHeight="1" x14ac:dyDescent="0.3">
      <c r="A173" s="120" t="s">
        <v>385</v>
      </c>
      <c r="B173" s="121"/>
      <c r="C173" s="121"/>
      <c r="D173" s="121"/>
      <c r="E173" s="121"/>
      <c r="F173" s="121">
        <f>G173</f>
        <v>955800</v>
      </c>
      <c r="G173" s="121">
        <f>Дод.3!J77*1000</f>
        <v>955800</v>
      </c>
      <c r="H173" s="121"/>
      <c r="I173" s="121">
        <f>J173</f>
        <v>1056800</v>
      </c>
      <c r="J173" s="121">
        <f>Дод.3!K77*1000</f>
        <v>1056800</v>
      </c>
      <c r="K173" s="119"/>
    </row>
    <row r="174" spans="1:11" ht="28.5" customHeight="1" x14ac:dyDescent="0.3">
      <c r="A174" s="261" t="s">
        <v>79</v>
      </c>
      <c r="B174" s="121"/>
      <c r="C174" s="121"/>
      <c r="D174" s="121"/>
      <c r="E174" s="121"/>
      <c r="F174" s="121"/>
      <c r="G174" s="121"/>
      <c r="H174" s="121"/>
      <c r="I174" s="121"/>
      <c r="J174" s="121"/>
      <c r="K174" s="119"/>
    </row>
    <row r="175" spans="1:11" ht="47.25" customHeight="1" x14ac:dyDescent="0.3">
      <c r="A175" s="120" t="s">
        <v>287</v>
      </c>
      <c r="B175" s="121"/>
      <c r="C175" s="121"/>
      <c r="D175" s="121"/>
      <c r="E175" s="121"/>
      <c r="F175" s="121">
        <f>G175</f>
        <v>68</v>
      </c>
      <c r="G175" s="121">
        <v>68</v>
      </c>
      <c r="H175" s="121"/>
      <c r="I175" s="121">
        <f>J175</f>
        <v>75</v>
      </c>
      <c r="J175" s="121">
        <v>75</v>
      </c>
      <c r="K175" s="119"/>
    </row>
    <row r="176" spans="1:11" ht="54.75" customHeight="1" x14ac:dyDescent="0.3">
      <c r="A176" s="120" t="s">
        <v>288</v>
      </c>
      <c r="B176" s="121"/>
      <c r="C176" s="121"/>
      <c r="D176" s="121"/>
      <c r="E176" s="121"/>
      <c r="F176" s="121">
        <f>G176</f>
        <v>1</v>
      </c>
      <c r="G176" s="121">
        <v>1</v>
      </c>
      <c r="H176" s="121"/>
      <c r="I176" s="121">
        <f>J176</f>
        <v>1</v>
      </c>
      <c r="J176" s="121">
        <v>1</v>
      </c>
      <c r="K176" s="119"/>
    </row>
    <row r="177" spans="1:11" ht="47.25" customHeight="1" x14ac:dyDescent="0.3">
      <c r="A177" s="120" t="s">
        <v>386</v>
      </c>
      <c r="B177" s="121"/>
      <c r="C177" s="121"/>
      <c r="D177" s="121"/>
      <c r="E177" s="121"/>
      <c r="F177" s="121">
        <f>G177</f>
        <v>6</v>
      </c>
      <c r="G177" s="121">
        <v>6</v>
      </c>
      <c r="H177" s="121"/>
      <c r="I177" s="121">
        <f>J177</f>
        <v>5</v>
      </c>
      <c r="J177" s="121">
        <v>5</v>
      </c>
      <c r="K177" s="119"/>
    </row>
    <row r="178" spans="1:11" ht="28.5" customHeight="1" x14ac:dyDescent="0.3">
      <c r="A178" s="261" t="s">
        <v>80</v>
      </c>
      <c r="B178" s="121"/>
      <c r="C178" s="121"/>
      <c r="D178" s="121"/>
      <c r="E178" s="121"/>
      <c r="F178" s="121"/>
      <c r="G178" s="121"/>
      <c r="H178" s="121"/>
      <c r="I178" s="121"/>
      <c r="J178" s="121"/>
      <c r="K178" s="119"/>
    </row>
    <row r="179" spans="1:11" ht="49.5" customHeight="1" x14ac:dyDescent="0.3">
      <c r="A179" s="120" t="s">
        <v>289</v>
      </c>
      <c r="B179" s="121"/>
      <c r="C179" s="121"/>
      <c r="D179" s="121"/>
      <c r="E179" s="121"/>
      <c r="F179" s="121">
        <f>G179</f>
        <v>1617.6470588235295</v>
      </c>
      <c r="G179" s="121">
        <f>G171/G175</f>
        <v>1617.6470588235295</v>
      </c>
      <c r="H179" s="121"/>
      <c r="I179" s="121">
        <f>J179</f>
        <v>1565.3333333333333</v>
      </c>
      <c r="J179" s="121">
        <f>J171/J175</f>
        <v>1565.3333333333333</v>
      </c>
      <c r="K179" s="119"/>
    </row>
    <row r="180" spans="1:11" ht="60" customHeight="1" x14ac:dyDescent="0.3">
      <c r="A180" s="123" t="s">
        <v>290</v>
      </c>
      <c r="B180" s="121"/>
      <c r="C180" s="121"/>
      <c r="D180" s="121"/>
      <c r="E180" s="121"/>
      <c r="F180" s="121">
        <f>G180</f>
        <v>527200</v>
      </c>
      <c r="G180" s="121">
        <f>G172/G176</f>
        <v>527200</v>
      </c>
      <c r="H180" s="121"/>
      <c r="I180" s="121">
        <f>J180</f>
        <v>587100</v>
      </c>
      <c r="J180" s="121">
        <f>J172/J176</f>
        <v>587100</v>
      </c>
      <c r="K180" s="119"/>
    </row>
    <row r="181" spans="1:11" ht="77.25" customHeight="1" x14ac:dyDescent="0.3">
      <c r="A181" s="123" t="s">
        <v>387</v>
      </c>
      <c r="B181" s="121"/>
      <c r="C181" s="121"/>
      <c r="D181" s="121"/>
      <c r="E181" s="121"/>
      <c r="F181" s="121">
        <f>G181</f>
        <v>159300</v>
      </c>
      <c r="G181" s="121">
        <f>G173/G177</f>
        <v>159300</v>
      </c>
      <c r="H181" s="121"/>
      <c r="I181" s="121">
        <f>J181</f>
        <v>211360</v>
      </c>
      <c r="J181" s="121">
        <f>J173/J177</f>
        <v>211360</v>
      </c>
      <c r="K181" s="119"/>
    </row>
    <row r="182" spans="1:11" ht="28.5" customHeight="1" x14ac:dyDescent="0.3">
      <c r="A182" s="261" t="s">
        <v>81</v>
      </c>
      <c r="B182" s="121"/>
      <c r="C182" s="121"/>
      <c r="D182" s="121"/>
      <c r="E182" s="121"/>
      <c r="F182" s="121"/>
      <c r="G182" s="121"/>
      <c r="H182" s="121"/>
      <c r="I182" s="121"/>
      <c r="J182" s="121"/>
      <c r="K182" s="119"/>
    </row>
    <row r="183" spans="1:11" ht="73.5" customHeight="1" x14ac:dyDescent="0.3">
      <c r="A183" s="120" t="s">
        <v>177</v>
      </c>
      <c r="B183" s="121"/>
      <c r="C183" s="121"/>
      <c r="D183" s="121"/>
      <c r="E183" s="121"/>
      <c r="F183" s="121">
        <f>G183</f>
        <v>243.83897137609063</v>
      </c>
      <c r="G183" s="121">
        <f>G170/D153*100</f>
        <v>243.83897137609063</v>
      </c>
      <c r="H183" s="121"/>
      <c r="I183" s="121">
        <f>J183</f>
        <v>110.56497175141243</v>
      </c>
      <c r="J183" s="121">
        <f>J170/G170*100</f>
        <v>110.56497175141243</v>
      </c>
      <c r="K183" s="119"/>
    </row>
    <row r="184" spans="1:11" ht="32.25" customHeight="1" x14ac:dyDescent="0.3">
      <c r="A184" s="493" t="s">
        <v>460</v>
      </c>
      <c r="B184" s="494"/>
      <c r="C184" s="494"/>
      <c r="D184" s="494"/>
      <c r="E184" s="494"/>
      <c r="F184" s="494"/>
      <c r="G184" s="494"/>
      <c r="H184" s="494"/>
      <c r="I184" s="494"/>
      <c r="J184" s="494"/>
      <c r="K184" s="495"/>
    </row>
    <row r="185" spans="1:11" ht="32.25" customHeight="1" x14ac:dyDescent="0.3">
      <c r="A185" s="261" t="s">
        <v>77</v>
      </c>
      <c r="B185" s="130"/>
      <c r="C185" s="130"/>
      <c r="D185" s="130"/>
      <c r="E185" s="130"/>
      <c r="F185" s="130"/>
      <c r="G185" s="130"/>
      <c r="H185" s="130"/>
      <c r="I185" s="130"/>
      <c r="J185" s="130"/>
      <c r="K185" s="130"/>
    </row>
    <row r="186" spans="1:11" ht="51" customHeight="1" x14ac:dyDescent="0.3">
      <c r="A186" s="120" t="s">
        <v>313</v>
      </c>
      <c r="B186" s="119">
        <f>C186+F186+I186</f>
        <v>1748400</v>
      </c>
      <c r="C186" s="119">
        <f>D186</f>
        <v>1748400</v>
      </c>
      <c r="D186" s="119">
        <f>Дод.3!I78*1000</f>
        <v>1748400</v>
      </c>
      <c r="E186" s="130"/>
      <c r="F186" s="121"/>
      <c r="G186" s="121"/>
      <c r="H186" s="130"/>
      <c r="I186" s="130"/>
      <c r="J186" s="130"/>
      <c r="K186" s="130"/>
    </row>
    <row r="187" spans="1:11" ht="33.75" customHeight="1" x14ac:dyDescent="0.3">
      <c r="A187" s="261" t="s">
        <v>79</v>
      </c>
      <c r="B187" s="121"/>
      <c r="C187" s="121"/>
      <c r="D187" s="121"/>
      <c r="E187" s="130"/>
      <c r="F187" s="121"/>
      <c r="G187" s="121"/>
      <c r="H187" s="130"/>
      <c r="I187" s="130"/>
      <c r="J187" s="130"/>
      <c r="K187" s="130"/>
    </row>
    <row r="188" spans="1:11" ht="33.75" customHeight="1" x14ac:dyDescent="0.3">
      <c r="A188" s="120" t="s">
        <v>167</v>
      </c>
      <c r="B188" s="121"/>
      <c r="C188" s="121">
        <v>2</v>
      </c>
      <c r="D188" s="121">
        <v>2</v>
      </c>
      <c r="E188" s="130"/>
      <c r="F188" s="121"/>
      <c r="G188" s="121"/>
      <c r="H188" s="130"/>
      <c r="I188" s="130"/>
      <c r="J188" s="130"/>
      <c r="K188" s="130"/>
    </row>
    <row r="189" spans="1:11" ht="36" customHeight="1" x14ac:dyDescent="0.3">
      <c r="A189" s="261" t="s">
        <v>80</v>
      </c>
      <c r="B189" s="121"/>
      <c r="C189" s="121"/>
      <c r="D189" s="121"/>
      <c r="E189" s="130"/>
      <c r="F189" s="121"/>
      <c r="G189" s="121"/>
      <c r="H189" s="130"/>
      <c r="I189" s="130"/>
      <c r="J189" s="130"/>
      <c r="K189" s="130"/>
    </row>
    <row r="190" spans="1:11" ht="36" customHeight="1" x14ac:dyDescent="0.3">
      <c r="A190" s="120" t="s">
        <v>222</v>
      </c>
      <c r="B190" s="121"/>
      <c r="C190" s="121">
        <f>C186/C188</f>
        <v>874200</v>
      </c>
      <c r="D190" s="121">
        <f>D186/D188</f>
        <v>874200</v>
      </c>
      <c r="E190" s="130"/>
      <c r="F190" s="121"/>
      <c r="G190" s="121"/>
      <c r="H190" s="130"/>
      <c r="I190" s="130"/>
      <c r="J190" s="130"/>
      <c r="K190" s="130"/>
    </row>
    <row r="191" spans="1:11" ht="36" customHeight="1" x14ac:dyDescent="0.3">
      <c r="A191" s="261" t="s">
        <v>81</v>
      </c>
      <c r="B191" s="121"/>
      <c r="C191" s="121"/>
      <c r="D191" s="121"/>
      <c r="E191" s="130"/>
      <c r="F191" s="121"/>
      <c r="G191" s="121"/>
      <c r="H191" s="130"/>
      <c r="I191" s="130"/>
      <c r="J191" s="130"/>
      <c r="K191" s="130"/>
    </row>
    <row r="192" spans="1:11" ht="36" customHeight="1" x14ac:dyDescent="0.3">
      <c r="A192" s="120" t="s">
        <v>183</v>
      </c>
      <c r="B192" s="121"/>
      <c r="C192" s="121">
        <v>100</v>
      </c>
      <c r="D192" s="121">
        <v>100</v>
      </c>
      <c r="E192" s="130"/>
      <c r="F192" s="121"/>
      <c r="G192" s="121"/>
      <c r="H192" s="130"/>
      <c r="I192" s="130"/>
      <c r="J192" s="130"/>
      <c r="K192" s="130"/>
    </row>
    <row r="193" spans="1:11" ht="36" customHeight="1" x14ac:dyDescent="0.3">
      <c r="A193" s="493" t="s">
        <v>461</v>
      </c>
      <c r="B193" s="494"/>
      <c r="C193" s="494"/>
      <c r="D193" s="494"/>
      <c r="E193" s="494"/>
      <c r="F193" s="494"/>
      <c r="G193" s="494"/>
      <c r="H193" s="494"/>
      <c r="I193" s="494"/>
      <c r="J193" s="494"/>
      <c r="K193" s="495"/>
    </row>
    <row r="194" spans="1:11" ht="36" customHeight="1" x14ac:dyDescent="0.3">
      <c r="A194" s="261" t="s">
        <v>77</v>
      </c>
      <c r="B194" s="121"/>
      <c r="C194" s="121"/>
      <c r="D194" s="121"/>
      <c r="E194" s="130"/>
      <c r="F194" s="121"/>
      <c r="G194" s="121"/>
      <c r="H194" s="130"/>
      <c r="I194" s="130"/>
      <c r="J194" s="130"/>
      <c r="K194" s="130"/>
    </row>
    <row r="195" spans="1:11" ht="49.5" customHeight="1" x14ac:dyDescent="0.3">
      <c r="A195" s="120" t="s">
        <v>462</v>
      </c>
      <c r="B195" s="119">
        <f>F195+I195</f>
        <v>3853399.9999999995</v>
      </c>
      <c r="C195" s="119"/>
      <c r="D195" s="119"/>
      <c r="E195" s="131"/>
      <c r="F195" s="119">
        <f>G195</f>
        <v>3853399.9999999995</v>
      </c>
      <c r="G195" s="119">
        <f>Дод.3!J82*1000</f>
        <v>3853399.9999999995</v>
      </c>
      <c r="H195" s="130"/>
      <c r="I195" s="130">
        <f>J195</f>
        <v>0</v>
      </c>
      <c r="J195" s="130">
        <f>Дод.3!K82</f>
        <v>0</v>
      </c>
      <c r="K195" s="130"/>
    </row>
    <row r="196" spans="1:11" ht="36" customHeight="1" x14ac:dyDescent="0.3">
      <c r="A196" s="261" t="s">
        <v>79</v>
      </c>
      <c r="B196" s="121"/>
      <c r="C196" s="121"/>
      <c r="D196" s="121"/>
      <c r="E196" s="130"/>
      <c r="F196" s="121"/>
      <c r="G196" s="121"/>
      <c r="H196" s="130"/>
      <c r="I196" s="130"/>
      <c r="J196" s="130"/>
      <c r="K196" s="130"/>
    </row>
    <row r="197" spans="1:11" ht="36" customHeight="1" x14ac:dyDescent="0.3">
      <c r="A197" s="120" t="s">
        <v>167</v>
      </c>
      <c r="B197" s="121"/>
      <c r="C197" s="121"/>
      <c r="D197" s="121"/>
      <c r="E197" s="130"/>
      <c r="F197" s="121">
        <f>G197</f>
        <v>1</v>
      </c>
      <c r="G197" s="121">
        <v>1</v>
      </c>
      <c r="H197" s="130"/>
      <c r="I197" s="130"/>
      <c r="J197" s="130"/>
      <c r="K197" s="130"/>
    </row>
    <row r="198" spans="1:11" ht="36" customHeight="1" x14ac:dyDescent="0.3">
      <c r="A198" s="261" t="s">
        <v>80</v>
      </c>
      <c r="B198" s="121"/>
      <c r="C198" s="121"/>
      <c r="D198" s="121"/>
      <c r="E198" s="130"/>
      <c r="F198" s="121"/>
      <c r="G198" s="121"/>
      <c r="H198" s="130"/>
      <c r="I198" s="130"/>
      <c r="J198" s="130"/>
      <c r="K198" s="130"/>
    </row>
    <row r="199" spans="1:11" ht="36" customHeight="1" x14ac:dyDescent="0.3">
      <c r="A199" s="120" t="s">
        <v>222</v>
      </c>
      <c r="B199" s="121"/>
      <c r="C199" s="121"/>
      <c r="D199" s="121"/>
      <c r="E199" s="130"/>
      <c r="F199" s="121">
        <f>G199</f>
        <v>3853399.9999999995</v>
      </c>
      <c r="G199" s="121">
        <f>G195/G197</f>
        <v>3853399.9999999995</v>
      </c>
      <c r="H199" s="130"/>
      <c r="I199" s="130"/>
      <c r="J199" s="130"/>
      <c r="K199" s="130"/>
    </row>
    <row r="200" spans="1:11" ht="36" customHeight="1" x14ac:dyDescent="0.3">
      <c r="A200" s="261" t="s">
        <v>81</v>
      </c>
      <c r="B200" s="121"/>
      <c r="C200" s="121"/>
      <c r="D200" s="121"/>
      <c r="E200" s="130"/>
      <c r="F200" s="121"/>
      <c r="G200" s="121"/>
      <c r="H200" s="130"/>
      <c r="I200" s="130"/>
      <c r="J200" s="130"/>
      <c r="K200" s="130"/>
    </row>
    <row r="201" spans="1:11" ht="36" customHeight="1" x14ac:dyDescent="0.3">
      <c r="A201" s="120" t="s">
        <v>183</v>
      </c>
      <c r="B201" s="121"/>
      <c r="C201" s="121"/>
      <c r="D201" s="121"/>
      <c r="E201" s="130"/>
      <c r="F201" s="121">
        <v>100</v>
      </c>
      <c r="G201" s="121">
        <v>100</v>
      </c>
      <c r="H201" s="130"/>
      <c r="I201" s="130"/>
      <c r="J201" s="130"/>
      <c r="K201" s="130"/>
    </row>
    <row r="202" spans="1:11" ht="36" customHeight="1" x14ac:dyDescent="0.3">
      <c r="A202" s="493" t="s">
        <v>435</v>
      </c>
      <c r="B202" s="494"/>
      <c r="C202" s="494"/>
      <c r="D202" s="494"/>
      <c r="E202" s="494"/>
      <c r="F202" s="494"/>
      <c r="G202" s="494"/>
      <c r="H202" s="494"/>
      <c r="I202" s="494"/>
      <c r="J202" s="494"/>
      <c r="K202" s="495"/>
    </row>
    <row r="203" spans="1:11" ht="36" customHeight="1" x14ac:dyDescent="0.3">
      <c r="A203" s="261" t="s">
        <v>77</v>
      </c>
      <c r="B203" s="121"/>
      <c r="C203" s="121"/>
      <c r="D203" s="121"/>
      <c r="E203" s="130"/>
      <c r="F203" s="130"/>
      <c r="G203" s="130"/>
      <c r="H203" s="130"/>
      <c r="I203" s="130"/>
      <c r="J203" s="130"/>
      <c r="K203" s="130"/>
    </row>
    <row r="204" spans="1:11" ht="36" customHeight="1" x14ac:dyDescent="0.3">
      <c r="A204" s="120" t="s">
        <v>162</v>
      </c>
      <c r="B204" s="119">
        <f>C204+F204</f>
        <v>1000000</v>
      </c>
      <c r="C204" s="119">
        <f>D204</f>
        <v>1000000</v>
      </c>
      <c r="D204" s="119">
        <f>Дод.3!I86*1000</f>
        <v>1000000</v>
      </c>
      <c r="E204" s="121"/>
      <c r="F204" s="121"/>
      <c r="G204" s="121"/>
      <c r="H204" s="121"/>
      <c r="I204" s="121"/>
      <c r="J204" s="121"/>
      <c r="K204" s="121"/>
    </row>
    <row r="205" spans="1:11" ht="36" customHeight="1" x14ac:dyDescent="0.3">
      <c r="A205" s="261" t="s">
        <v>79</v>
      </c>
      <c r="B205" s="121"/>
      <c r="C205" s="121"/>
      <c r="D205" s="121"/>
      <c r="E205" s="130"/>
      <c r="F205" s="121"/>
      <c r="G205" s="121"/>
      <c r="H205" s="130"/>
      <c r="I205" s="130"/>
      <c r="J205" s="130"/>
      <c r="K205" s="130"/>
    </row>
    <row r="206" spans="1:11" ht="36" customHeight="1" x14ac:dyDescent="0.3">
      <c r="A206" s="120" t="s">
        <v>330</v>
      </c>
      <c r="B206" s="121"/>
      <c r="C206" s="121">
        <v>2</v>
      </c>
      <c r="D206" s="121">
        <v>2</v>
      </c>
      <c r="E206" s="130"/>
      <c r="F206" s="121"/>
      <c r="G206" s="121"/>
      <c r="H206" s="130"/>
      <c r="I206" s="130"/>
      <c r="J206" s="130"/>
      <c r="K206" s="130"/>
    </row>
    <row r="207" spans="1:11" ht="62.25" customHeight="1" x14ac:dyDescent="0.3">
      <c r="A207" s="120" t="s">
        <v>324</v>
      </c>
      <c r="B207" s="121"/>
      <c r="C207" s="121">
        <f>D207</f>
        <v>60</v>
      </c>
      <c r="D207" s="121">
        <f>50+10</f>
        <v>60</v>
      </c>
      <c r="E207" s="130"/>
      <c r="F207" s="121"/>
      <c r="G207" s="121"/>
      <c r="H207" s="130"/>
      <c r="I207" s="130"/>
      <c r="J207" s="130"/>
      <c r="K207" s="130"/>
    </row>
    <row r="208" spans="1:11" ht="36" customHeight="1" x14ac:dyDescent="0.3">
      <c r="A208" s="261" t="s">
        <v>80</v>
      </c>
      <c r="B208" s="121"/>
      <c r="C208" s="121"/>
      <c r="D208" s="121"/>
      <c r="E208" s="130"/>
      <c r="F208" s="121"/>
      <c r="G208" s="121"/>
      <c r="H208" s="130"/>
      <c r="I208" s="130"/>
      <c r="J208" s="130"/>
      <c r="K208" s="130"/>
    </row>
    <row r="209" spans="1:11" ht="36" customHeight="1" x14ac:dyDescent="0.3">
      <c r="A209" s="120" t="s">
        <v>325</v>
      </c>
      <c r="B209" s="121"/>
      <c r="C209" s="121">
        <f>D209</f>
        <v>16666.666666666668</v>
      </c>
      <c r="D209" s="121">
        <f>D204/D207</f>
        <v>16666.666666666668</v>
      </c>
      <c r="E209" s="130"/>
      <c r="F209" s="121"/>
      <c r="G209" s="121"/>
      <c r="H209" s="130"/>
      <c r="I209" s="130"/>
      <c r="J209" s="130"/>
      <c r="K209" s="130"/>
    </row>
    <row r="210" spans="1:11" ht="36" customHeight="1" x14ac:dyDescent="0.3">
      <c r="A210" s="493" t="s">
        <v>438</v>
      </c>
      <c r="B210" s="494"/>
      <c r="C210" s="494"/>
      <c r="D210" s="494"/>
      <c r="E210" s="494"/>
      <c r="F210" s="494"/>
      <c r="G210" s="494"/>
      <c r="H210" s="494"/>
      <c r="I210" s="494"/>
      <c r="J210" s="494"/>
      <c r="K210" s="495"/>
    </row>
    <row r="211" spans="1:11" ht="36" customHeight="1" x14ac:dyDescent="0.3">
      <c r="A211" s="261" t="s">
        <v>77</v>
      </c>
      <c r="B211" s="121"/>
      <c r="C211" s="121"/>
      <c r="D211" s="121"/>
      <c r="E211" s="130"/>
      <c r="F211" s="121"/>
      <c r="G211" s="121"/>
      <c r="H211" s="130"/>
      <c r="I211" s="130"/>
      <c r="J211" s="130"/>
      <c r="K211" s="130"/>
    </row>
    <row r="212" spans="1:11" ht="36" customHeight="1" x14ac:dyDescent="0.3">
      <c r="A212" s="120" t="s">
        <v>162</v>
      </c>
      <c r="B212" s="119">
        <f>F212+I212</f>
        <v>1000000</v>
      </c>
      <c r="C212" s="119"/>
      <c r="D212" s="119"/>
      <c r="E212" s="131"/>
      <c r="F212" s="119">
        <f>G212</f>
        <v>1000000</v>
      </c>
      <c r="G212" s="119">
        <f>Дод.3!J89*1000</f>
        <v>1000000</v>
      </c>
      <c r="H212" s="130"/>
      <c r="I212" s="130"/>
      <c r="J212" s="130"/>
      <c r="K212" s="130"/>
    </row>
    <row r="213" spans="1:11" ht="36" customHeight="1" x14ac:dyDescent="0.3">
      <c r="A213" s="261" t="s">
        <v>79</v>
      </c>
      <c r="B213" s="121"/>
      <c r="C213" s="121"/>
      <c r="D213" s="121"/>
      <c r="E213" s="130"/>
      <c r="F213" s="121"/>
      <c r="G213" s="121"/>
      <c r="H213" s="130"/>
      <c r="I213" s="130"/>
      <c r="J213" s="130"/>
      <c r="K213" s="130"/>
    </row>
    <row r="214" spans="1:11" ht="36" customHeight="1" x14ac:dyDescent="0.3">
      <c r="A214" s="120" t="s">
        <v>330</v>
      </c>
      <c r="B214" s="121"/>
      <c r="C214" s="121"/>
      <c r="D214" s="121"/>
      <c r="E214" s="130"/>
      <c r="F214" s="121">
        <v>2</v>
      </c>
      <c r="G214" s="121">
        <v>2</v>
      </c>
      <c r="H214" s="130"/>
      <c r="I214" s="130"/>
      <c r="J214" s="130"/>
      <c r="K214" s="130"/>
    </row>
    <row r="215" spans="1:11" ht="62.25" customHeight="1" x14ac:dyDescent="0.3">
      <c r="A215" s="120" t="s">
        <v>324</v>
      </c>
      <c r="B215" s="121"/>
      <c r="C215" s="121"/>
      <c r="D215" s="121"/>
      <c r="E215" s="130"/>
      <c r="F215" s="121">
        <v>60</v>
      </c>
      <c r="G215" s="121">
        <v>60</v>
      </c>
      <c r="H215" s="130"/>
      <c r="I215" s="130"/>
      <c r="J215" s="130"/>
      <c r="K215" s="130"/>
    </row>
    <row r="216" spans="1:11" ht="36" customHeight="1" x14ac:dyDescent="0.3">
      <c r="A216" s="261" t="s">
        <v>80</v>
      </c>
      <c r="B216" s="121"/>
      <c r="C216" s="121"/>
      <c r="D216" s="121"/>
      <c r="E216" s="130"/>
      <c r="F216" s="121"/>
      <c r="G216" s="121"/>
      <c r="H216" s="130"/>
      <c r="I216" s="130"/>
      <c r="J216" s="130"/>
      <c r="K216" s="130"/>
    </row>
    <row r="217" spans="1:11" ht="36" customHeight="1" x14ac:dyDescent="0.3">
      <c r="A217" s="120" t="s">
        <v>325</v>
      </c>
      <c r="B217" s="121"/>
      <c r="C217" s="121"/>
      <c r="D217" s="121"/>
      <c r="E217" s="130"/>
      <c r="F217" s="121">
        <f>G217</f>
        <v>16666.666666666668</v>
      </c>
      <c r="G217" s="121">
        <f>G212/G215</f>
        <v>16666.666666666668</v>
      </c>
      <c r="H217" s="130"/>
      <c r="I217" s="130"/>
      <c r="J217" s="130"/>
      <c r="K217" s="130"/>
    </row>
    <row r="218" spans="1:11" ht="36" customHeight="1" x14ac:dyDescent="0.3">
      <c r="A218" s="493" t="s">
        <v>463</v>
      </c>
      <c r="B218" s="494"/>
      <c r="C218" s="494"/>
      <c r="D218" s="494"/>
      <c r="E218" s="494"/>
      <c r="F218" s="494"/>
      <c r="G218" s="494"/>
      <c r="H218" s="494"/>
      <c r="I218" s="494"/>
      <c r="J218" s="494"/>
      <c r="K218" s="495"/>
    </row>
    <row r="219" spans="1:11" ht="36" customHeight="1" x14ac:dyDescent="0.3">
      <c r="A219" s="261" t="s">
        <v>77</v>
      </c>
      <c r="B219" s="121"/>
      <c r="C219" s="121"/>
      <c r="D219" s="121"/>
      <c r="E219" s="130"/>
      <c r="F219" s="130"/>
      <c r="G219" s="130"/>
      <c r="H219" s="130"/>
      <c r="I219" s="130"/>
      <c r="J219" s="130"/>
      <c r="K219" s="130"/>
    </row>
    <row r="220" spans="1:11" ht="36" customHeight="1" x14ac:dyDescent="0.3">
      <c r="A220" s="120" t="s">
        <v>231</v>
      </c>
      <c r="B220" s="119">
        <f>C220+F220+I220</f>
        <v>8119900</v>
      </c>
      <c r="C220" s="119"/>
      <c r="D220" s="119"/>
      <c r="E220" s="131"/>
      <c r="F220" s="131">
        <f>G220</f>
        <v>8119900</v>
      </c>
      <c r="G220" s="131">
        <f>Дод.3!J92*1000</f>
        <v>8119900</v>
      </c>
      <c r="H220" s="131"/>
      <c r="I220" s="130"/>
      <c r="J220" s="130"/>
      <c r="K220" s="130"/>
    </row>
    <row r="221" spans="1:11" ht="36" customHeight="1" x14ac:dyDescent="0.3">
      <c r="A221" s="120" t="s">
        <v>337</v>
      </c>
      <c r="B221" s="121"/>
      <c r="C221" s="121"/>
      <c r="D221" s="121"/>
      <c r="E221" s="130"/>
      <c r="F221" s="132">
        <f>G221</f>
        <v>27.25</v>
      </c>
      <c r="G221" s="132">
        <v>27.25</v>
      </c>
      <c r="H221" s="130"/>
      <c r="I221" s="130"/>
      <c r="J221" s="130"/>
      <c r="K221" s="130"/>
    </row>
    <row r="222" spans="1:11" ht="36" customHeight="1" x14ac:dyDescent="0.3">
      <c r="A222" s="120" t="s">
        <v>341</v>
      </c>
      <c r="B222" s="121"/>
      <c r="C222" s="121"/>
      <c r="D222" s="121"/>
      <c r="E222" s="130"/>
      <c r="F222" s="132"/>
      <c r="G222" s="132"/>
      <c r="H222" s="130"/>
      <c r="I222" s="130"/>
      <c r="J222" s="130"/>
      <c r="K222" s="130"/>
    </row>
    <row r="223" spans="1:11" ht="36" customHeight="1" x14ac:dyDescent="0.3">
      <c r="A223" s="120" t="s">
        <v>342</v>
      </c>
      <c r="B223" s="121"/>
      <c r="C223" s="121"/>
      <c r="D223" s="121"/>
      <c r="E223" s="130"/>
      <c r="F223" s="132">
        <f>G223</f>
        <v>5.25</v>
      </c>
      <c r="G223" s="132">
        <v>5.25</v>
      </c>
      <c r="H223" s="130"/>
      <c r="I223" s="130"/>
      <c r="J223" s="130"/>
      <c r="K223" s="130"/>
    </row>
    <row r="224" spans="1:11" ht="36" customHeight="1" x14ac:dyDescent="0.3">
      <c r="A224" s="120" t="s">
        <v>343</v>
      </c>
      <c r="B224" s="121"/>
      <c r="C224" s="121"/>
      <c r="D224" s="121"/>
      <c r="E224" s="130"/>
      <c r="F224" s="132">
        <f>G224</f>
        <v>26</v>
      </c>
      <c r="G224" s="132">
        <v>26</v>
      </c>
      <c r="H224" s="130"/>
      <c r="I224" s="130"/>
      <c r="J224" s="130"/>
      <c r="K224" s="130"/>
    </row>
    <row r="225" spans="1:11" ht="36" customHeight="1" x14ac:dyDescent="0.3">
      <c r="A225" s="120" t="s">
        <v>344</v>
      </c>
      <c r="B225" s="121"/>
      <c r="C225" s="121"/>
      <c r="D225" s="121"/>
      <c r="E225" s="130"/>
      <c r="F225" s="132"/>
      <c r="G225" s="132"/>
      <c r="H225" s="130"/>
      <c r="I225" s="130"/>
      <c r="J225" s="130"/>
      <c r="K225" s="130"/>
    </row>
    <row r="226" spans="1:11" ht="36" customHeight="1" x14ac:dyDescent="0.3">
      <c r="A226" s="261" t="s">
        <v>79</v>
      </c>
      <c r="B226" s="121"/>
      <c r="C226" s="121"/>
      <c r="D226" s="121"/>
      <c r="E226" s="130"/>
      <c r="F226" s="130"/>
      <c r="G226" s="130"/>
      <c r="H226" s="130"/>
      <c r="I226" s="130"/>
      <c r="J226" s="130"/>
      <c r="K226" s="130"/>
    </row>
    <row r="227" spans="1:11" ht="36" customHeight="1" x14ac:dyDescent="0.3">
      <c r="A227" s="120" t="s">
        <v>338</v>
      </c>
      <c r="B227" s="121"/>
      <c r="C227" s="121"/>
      <c r="D227" s="121"/>
      <c r="E227" s="130"/>
      <c r="F227" s="130">
        <f>G227</f>
        <v>1200</v>
      </c>
      <c r="G227" s="130">
        <v>1200</v>
      </c>
      <c r="H227" s="130"/>
      <c r="I227" s="130"/>
      <c r="J227" s="130"/>
      <c r="K227" s="130"/>
    </row>
    <row r="228" spans="1:11" ht="36" customHeight="1" x14ac:dyDescent="0.3">
      <c r="A228" s="261" t="s">
        <v>80</v>
      </c>
      <c r="B228" s="121"/>
      <c r="C228" s="121"/>
      <c r="D228" s="121"/>
      <c r="E228" s="130"/>
      <c r="F228" s="130"/>
      <c r="G228" s="130"/>
      <c r="H228" s="130"/>
      <c r="I228" s="130"/>
      <c r="J228" s="130"/>
      <c r="K228" s="130"/>
    </row>
    <row r="229" spans="1:11" ht="58.5" customHeight="1" x14ac:dyDescent="0.3">
      <c r="A229" s="120" t="s">
        <v>339</v>
      </c>
      <c r="B229" s="121"/>
      <c r="C229" s="121"/>
      <c r="D229" s="121"/>
      <c r="E229" s="130"/>
      <c r="F229" s="130">
        <f>G229</f>
        <v>229</v>
      </c>
      <c r="G229" s="130">
        <v>229</v>
      </c>
      <c r="H229" s="130"/>
      <c r="I229" s="130"/>
      <c r="J229" s="130"/>
      <c r="K229" s="130"/>
    </row>
    <row r="230" spans="1:11" ht="36" customHeight="1" x14ac:dyDescent="0.3">
      <c r="A230" s="261" t="s">
        <v>81</v>
      </c>
      <c r="B230" s="121"/>
      <c r="C230" s="121"/>
      <c r="D230" s="121"/>
      <c r="E230" s="130"/>
      <c r="F230" s="130"/>
      <c r="G230" s="130"/>
      <c r="H230" s="130"/>
      <c r="I230" s="130"/>
      <c r="J230" s="130"/>
      <c r="K230" s="130"/>
    </row>
    <row r="231" spans="1:11" ht="36" customHeight="1" x14ac:dyDescent="0.3">
      <c r="A231" s="120" t="s">
        <v>340</v>
      </c>
      <c r="B231" s="121"/>
      <c r="C231" s="121"/>
      <c r="D231" s="121"/>
      <c r="E231" s="130"/>
      <c r="F231" s="130"/>
      <c r="G231" s="130"/>
      <c r="H231" s="130"/>
      <c r="I231" s="130"/>
      <c r="J231" s="130"/>
      <c r="K231" s="130"/>
    </row>
    <row r="232" spans="1:11" ht="28.5" customHeight="1" x14ac:dyDescent="0.3">
      <c r="A232" s="493" t="s">
        <v>388</v>
      </c>
      <c r="B232" s="494"/>
      <c r="C232" s="494"/>
      <c r="D232" s="494"/>
      <c r="E232" s="494"/>
      <c r="F232" s="494"/>
      <c r="G232" s="494"/>
      <c r="H232" s="494"/>
      <c r="I232" s="494"/>
      <c r="J232" s="494"/>
      <c r="K232" s="495"/>
    </row>
    <row r="233" spans="1:11" ht="28.5" customHeight="1" x14ac:dyDescent="0.3">
      <c r="A233" s="498" t="s">
        <v>270</v>
      </c>
      <c r="B233" s="499"/>
      <c r="C233" s="499"/>
      <c r="D233" s="499"/>
      <c r="E233" s="499"/>
      <c r="F233" s="499"/>
      <c r="G233" s="499"/>
      <c r="H233" s="499"/>
      <c r="I233" s="499"/>
      <c r="J233" s="499"/>
      <c r="K233" s="500"/>
    </row>
    <row r="234" spans="1:11" ht="28.5" customHeight="1" x14ac:dyDescent="0.3">
      <c r="A234" s="261" t="s">
        <v>77</v>
      </c>
      <c r="B234" s="261"/>
      <c r="C234" s="261"/>
      <c r="D234" s="261"/>
      <c r="E234" s="261"/>
      <c r="F234" s="261"/>
      <c r="G234" s="261"/>
      <c r="H234" s="261"/>
      <c r="I234" s="261"/>
      <c r="J234" s="261"/>
      <c r="K234" s="261"/>
    </row>
    <row r="235" spans="1:11" ht="28.5" customHeight="1" x14ac:dyDescent="0.3">
      <c r="A235" s="120" t="s">
        <v>232</v>
      </c>
      <c r="B235" s="119">
        <f>C235+F235+I235</f>
        <v>5058300</v>
      </c>
      <c r="C235" s="119">
        <f>D235+E235</f>
        <v>5058300</v>
      </c>
      <c r="D235" s="119">
        <f>Дод.3!I110*1000</f>
        <v>5058300</v>
      </c>
      <c r="E235" s="119"/>
      <c r="F235" s="119"/>
      <c r="G235" s="119"/>
      <c r="H235" s="119"/>
      <c r="I235" s="119"/>
      <c r="J235" s="119"/>
      <c r="K235" s="119"/>
    </row>
    <row r="236" spans="1:11" ht="28.5" customHeight="1" x14ac:dyDescent="0.3">
      <c r="A236" s="261" t="s">
        <v>116</v>
      </c>
      <c r="B236" s="119"/>
      <c r="C236" s="133"/>
      <c r="D236" s="133"/>
      <c r="E236" s="133"/>
      <c r="F236" s="133"/>
      <c r="G236" s="133"/>
      <c r="H236" s="133"/>
      <c r="I236" s="133"/>
      <c r="J236" s="133"/>
      <c r="K236" s="119"/>
    </row>
    <row r="237" spans="1:11" ht="28.5" customHeight="1" x14ac:dyDescent="0.3">
      <c r="A237" s="120" t="s">
        <v>167</v>
      </c>
      <c r="B237" s="119"/>
      <c r="C237" s="121">
        <v>1</v>
      </c>
      <c r="D237" s="121">
        <v>1</v>
      </c>
      <c r="E237" s="119"/>
      <c r="F237" s="121"/>
      <c r="G237" s="121"/>
      <c r="H237" s="121"/>
      <c r="I237" s="121"/>
      <c r="J237" s="121"/>
      <c r="K237" s="119"/>
    </row>
    <row r="238" spans="1:11" ht="28.5" customHeight="1" x14ac:dyDescent="0.3">
      <c r="A238" s="261" t="s">
        <v>80</v>
      </c>
      <c r="B238" s="119"/>
      <c r="C238" s="121"/>
      <c r="D238" s="121"/>
      <c r="E238" s="121"/>
      <c r="F238" s="121"/>
      <c r="G238" s="121"/>
      <c r="H238" s="121"/>
      <c r="I238" s="121"/>
      <c r="J238" s="121"/>
      <c r="K238" s="119"/>
    </row>
    <row r="239" spans="1:11" ht="28.5" customHeight="1" x14ac:dyDescent="0.3">
      <c r="A239" s="120" t="s">
        <v>222</v>
      </c>
      <c r="B239" s="119"/>
      <c r="C239" s="121">
        <f>C235/C237</f>
        <v>5058300</v>
      </c>
      <c r="D239" s="121">
        <f>D235/D237</f>
        <v>5058300</v>
      </c>
      <c r="E239" s="121"/>
      <c r="F239" s="121"/>
      <c r="G239" s="121"/>
      <c r="H239" s="121"/>
      <c r="I239" s="121"/>
      <c r="J239" s="121"/>
      <c r="K239" s="119"/>
    </row>
    <row r="240" spans="1:11" ht="28.5" customHeight="1" x14ac:dyDescent="0.3">
      <c r="A240" s="261" t="s">
        <v>81</v>
      </c>
      <c r="B240" s="121"/>
      <c r="C240" s="121"/>
      <c r="D240" s="121"/>
      <c r="E240" s="121"/>
      <c r="F240" s="121"/>
      <c r="G240" s="121"/>
      <c r="H240" s="121"/>
      <c r="I240" s="121"/>
      <c r="J240" s="121"/>
      <c r="K240" s="119"/>
    </row>
    <row r="241" spans="1:11" ht="28.5" customHeight="1" x14ac:dyDescent="0.3">
      <c r="A241" s="120" t="s">
        <v>183</v>
      </c>
      <c r="B241" s="121"/>
      <c r="C241" s="121">
        <v>100</v>
      </c>
      <c r="D241" s="121">
        <v>100</v>
      </c>
      <c r="E241" s="121"/>
      <c r="F241" s="121"/>
      <c r="G241" s="121"/>
      <c r="H241" s="121"/>
      <c r="I241" s="121"/>
      <c r="J241" s="121"/>
      <c r="K241" s="119"/>
    </row>
    <row r="242" spans="1:11" ht="75.75" customHeight="1" x14ac:dyDescent="0.3">
      <c r="A242" s="120" t="s">
        <v>214</v>
      </c>
      <c r="B242" s="121"/>
      <c r="C242" s="121">
        <f>D242</f>
        <v>129.42260421829212</v>
      </c>
      <c r="D242" s="121">
        <f>D235/3908359*100</f>
        <v>129.42260421829212</v>
      </c>
      <c r="E242" s="121"/>
      <c r="F242" s="121"/>
      <c r="G242" s="121"/>
      <c r="H242" s="121"/>
      <c r="I242" s="121"/>
      <c r="J242" s="121"/>
      <c r="K242" s="119"/>
    </row>
    <row r="243" spans="1:11" ht="32.25" customHeight="1" x14ac:dyDescent="0.3">
      <c r="A243" s="498" t="s">
        <v>270</v>
      </c>
      <c r="B243" s="499"/>
      <c r="C243" s="499"/>
      <c r="D243" s="499"/>
      <c r="E243" s="499"/>
      <c r="F243" s="499"/>
      <c r="G243" s="499"/>
      <c r="H243" s="499"/>
      <c r="I243" s="499"/>
      <c r="J243" s="499"/>
      <c r="K243" s="500"/>
    </row>
    <row r="244" spans="1:11" ht="38.25" customHeight="1" x14ac:dyDescent="0.3">
      <c r="A244" s="261" t="s">
        <v>77</v>
      </c>
      <c r="B244" s="121"/>
      <c r="C244" s="121"/>
      <c r="D244" s="121"/>
      <c r="E244" s="121"/>
      <c r="F244" s="121"/>
      <c r="G244" s="121"/>
      <c r="H244" s="121"/>
      <c r="I244" s="121"/>
      <c r="J244" s="121"/>
      <c r="K244" s="119"/>
    </row>
    <row r="245" spans="1:11" ht="42" customHeight="1" x14ac:dyDescent="0.3">
      <c r="A245" s="120" t="s">
        <v>232</v>
      </c>
      <c r="B245" s="119">
        <f>F245+I245</f>
        <v>11184800</v>
      </c>
      <c r="C245" s="119"/>
      <c r="D245" s="119"/>
      <c r="E245" s="119"/>
      <c r="F245" s="119">
        <f>G245</f>
        <v>5512000</v>
      </c>
      <c r="G245" s="119">
        <f>Дод.3!J111*1000</f>
        <v>5512000</v>
      </c>
      <c r="H245" s="119"/>
      <c r="I245" s="119">
        <f>J245</f>
        <v>5672800</v>
      </c>
      <c r="J245" s="119">
        <f>Дод.3!K111*1000</f>
        <v>5672800</v>
      </c>
      <c r="K245" s="119"/>
    </row>
    <row r="246" spans="1:11" ht="42" customHeight="1" x14ac:dyDescent="0.3">
      <c r="A246" s="261" t="s">
        <v>116</v>
      </c>
      <c r="B246" s="121"/>
      <c r="C246" s="121"/>
      <c r="D246" s="121"/>
      <c r="E246" s="121"/>
      <c r="F246" s="121"/>
      <c r="G246" s="121"/>
      <c r="H246" s="121"/>
      <c r="I246" s="121"/>
      <c r="J246" s="121"/>
      <c r="K246" s="119"/>
    </row>
    <row r="247" spans="1:11" ht="42" customHeight="1" x14ac:dyDescent="0.3">
      <c r="A247" s="120" t="s">
        <v>167</v>
      </c>
      <c r="B247" s="121"/>
      <c r="C247" s="121"/>
      <c r="D247" s="121"/>
      <c r="E247" s="121"/>
      <c r="F247" s="121">
        <f t="shared" ref="F247:F252" si="5">G247</f>
        <v>1</v>
      </c>
      <c r="G247" s="121">
        <v>1</v>
      </c>
      <c r="H247" s="121"/>
      <c r="I247" s="121">
        <f t="shared" ref="I247:I252" si="6">J247</f>
        <v>1</v>
      </c>
      <c r="J247" s="121">
        <v>1</v>
      </c>
      <c r="K247" s="119"/>
    </row>
    <row r="248" spans="1:11" ht="42" customHeight="1" x14ac:dyDescent="0.3">
      <c r="A248" s="261" t="s">
        <v>80</v>
      </c>
      <c r="B248" s="121"/>
      <c r="C248" s="121"/>
      <c r="D248" s="121"/>
      <c r="E248" s="121"/>
      <c r="F248" s="121"/>
      <c r="G248" s="121"/>
      <c r="H248" s="121"/>
      <c r="I248" s="121"/>
      <c r="J248" s="121"/>
      <c r="K248" s="119"/>
    </row>
    <row r="249" spans="1:11" ht="42" customHeight="1" x14ac:dyDescent="0.3">
      <c r="A249" s="120" t="s">
        <v>222</v>
      </c>
      <c r="B249" s="121"/>
      <c r="C249" s="121"/>
      <c r="D249" s="121"/>
      <c r="E249" s="121"/>
      <c r="F249" s="121">
        <f t="shared" si="5"/>
        <v>5512000</v>
      </c>
      <c r="G249" s="121">
        <f>G245/G247</f>
        <v>5512000</v>
      </c>
      <c r="H249" s="121"/>
      <c r="I249" s="121">
        <f t="shared" si="6"/>
        <v>5672800</v>
      </c>
      <c r="J249" s="121">
        <f>J245/J247</f>
        <v>5672800</v>
      </c>
      <c r="K249" s="119"/>
    </row>
    <row r="250" spans="1:11" ht="42" customHeight="1" x14ac:dyDescent="0.3">
      <c r="A250" s="261" t="s">
        <v>81</v>
      </c>
      <c r="B250" s="121"/>
      <c r="C250" s="121"/>
      <c r="D250" s="121"/>
      <c r="E250" s="121"/>
      <c r="F250" s="121"/>
      <c r="G250" s="121"/>
      <c r="H250" s="121"/>
      <c r="I250" s="121"/>
      <c r="J250" s="121"/>
      <c r="K250" s="119"/>
    </row>
    <row r="251" spans="1:11" ht="42" customHeight="1" x14ac:dyDescent="0.3">
      <c r="A251" s="120" t="s">
        <v>183</v>
      </c>
      <c r="B251" s="121"/>
      <c r="C251" s="121"/>
      <c r="D251" s="121"/>
      <c r="E251" s="121"/>
      <c r="F251" s="121">
        <f t="shared" si="5"/>
        <v>100</v>
      </c>
      <c r="G251" s="121">
        <v>100</v>
      </c>
      <c r="H251" s="121"/>
      <c r="I251" s="121">
        <f t="shared" si="6"/>
        <v>100</v>
      </c>
      <c r="J251" s="121">
        <v>100</v>
      </c>
      <c r="K251" s="119"/>
    </row>
    <row r="252" spans="1:11" ht="48" customHeight="1" x14ac:dyDescent="0.3">
      <c r="A252" s="120" t="s">
        <v>214</v>
      </c>
      <c r="B252" s="121"/>
      <c r="C252" s="121"/>
      <c r="D252" s="121"/>
      <c r="E252" s="121"/>
      <c r="F252" s="121">
        <f t="shared" si="5"/>
        <v>108.96941660241583</v>
      </c>
      <c r="G252" s="121">
        <f>G245/D235*100</f>
        <v>108.96941660241583</v>
      </c>
      <c r="H252" s="121"/>
      <c r="I252" s="121">
        <f t="shared" si="6"/>
        <v>102.91727140783745</v>
      </c>
      <c r="J252" s="121">
        <f>J245/G245*100</f>
        <v>102.91727140783745</v>
      </c>
      <c r="K252" s="119"/>
    </row>
    <row r="253" spans="1:11" ht="30.75" customHeight="1" x14ac:dyDescent="0.3">
      <c r="A253" s="493" t="s">
        <v>468</v>
      </c>
      <c r="B253" s="494"/>
      <c r="C253" s="494"/>
      <c r="D253" s="494"/>
      <c r="E253" s="494"/>
      <c r="F253" s="494"/>
      <c r="G253" s="494"/>
      <c r="H253" s="494"/>
      <c r="I253" s="494"/>
      <c r="J253" s="494"/>
      <c r="K253" s="495"/>
    </row>
    <row r="254" spans="1:11" ht="48" customHeight="1" x14ac:dyDescent="0.3">
      <c r="A254" s="261" t="s">
        <v>77</v>
      </c>
      <c r="B254" s="121"/>
      <c r="C254" s="121"/>
      <c r="D254" s="121"/>
      <c r="E254" s="121"/>
      <c r="F254" s="121"/>
      <c r="G254" s="121"/>
      <c r="H254" s="121"/>
      <c r="I254" s="121"/>
      <c r="J254" s="121"/>
      <c r="K254" s="119"/>
    </row>
    <row r="255" spans="1:11" ht="48" customHeight="1" x14ac:dyDescent="0.3">
      <c r="A255" s="120" t="s">
        <v>212</v>
      </c>
      <c r="B255" s="119">
        <f>C255</f>
        <v>67300</v>
      </c>
      <c r="C255" s="119">
        <f>D255</f>
        <v>67300</v>
      </c>
      <c r="D255" s="119">
        <f>Дод.3!I113*1000</f>
        <v>67300</v>
      </c>
      <c r="E255" s="121"/>
      <c r="F255" s="121"/>
      <c r="G255" s="121"/>
      <c r="H255" s="121"/>
      <c r="I255" s="121"/>
      <c r="J255" s="121"/>
      <c r="K255" s="119"/>
    </row>
    <row r="256" spans="1:11" ht="48" customHeight="1" x14ac:dyDescent="0.3">
      <c r="A256" s="261" t="s">
        <v>79</v>
      </c>
      <c r="B256" s="121"/>
      <c r="C256" s="121"/>
      <c r="D256" s="121"/>
      <c r="E256" s="121"/>
      <c r="F256" s="121"/>
      <c r="G256" s="121"/>
      <c r="H256" s="121"/>
      <c r="I256" s="121"/>
      <c r="J256" s="121"/>
      <c r="K256" s="119"/>
    </row>
    <row r="257" spans="1:11" ht="48" customHeight="1" x14ac:dyDescent="0.3">
      <c r="A257" s="120" t="s">
        <v>199</v>
      </c>
      <c r="B257" s="121"/>
      <c r="C257" s="121">
        <f>D257</f>
        <v>1</v>
      </c>
      <c r="D257" s="121">
        <v>1</v>
      </c>
      <c r="E257" s="121"/>
      <c r="F257" s="121"/>
      <c r="G257" s="121"/>
      <c r="H257" s="121"/>
      <c r="I257" s="121"/>
      <c r="J257" s="121"/>
      <c r="K257" s="119"/>
    </row>
    <row r="258" spans="1:11" ht="48" customHeight="1" x14ac:dyDescent="0.3">
      <c r="A258" s="261" t="s">
        <v>80</v>
      </c>
      <c r="B258" s="121"/>
      <c r="C258" s="121"/>
      <c r="D258" s="121"/>
      <c r="E258" s="121"/>
      <c r="F258" s="121"/>
      <c r="G258" s="121"/>
      <c r="H258" s="121"/>
      <c r="I258" s="121"/>
      <c r="J258" s="121"/>
      <c r="K258" s="119"/>
    </row>
    <row r="259" spans="1:11" ht="48" customHeight="1" x14ac:dyDescent="0.3">
      <c r="A259" s="120" t="s">
        <v>224</v>
      </c>
      <c r="B259" s="121"/>
      <c r="C259" s="121">
        <f>D259</f>
        <v>67300</v>
      </c>
      <c r="D259" s="121">
        <f>D255/D257</f>
        <v>67300</v>
      </c>
      <c r="E259" s="121"/>
      <c r="F259" s="121"/>
      <c r="G259" s="121"/>
      <c r="H259" s="121"/>
      <c r="I259" s="121"/>
      <c r="J259" s="121"/>
      <c r="K259" s="119"/>
    </row>
    <row r="260" spans="1:11" ht="28.5" customHeight="1" x14ac:dyDescent="0.3">
      <c r="A260" s="493" t="s">
        <v>271</v>
      </c>
      <c r="B260" s="494"/>
      <c r="C260" s="494"/>
      <c r="D260" s="494"/>
      <c r="E260" s="494"/>
      <c r="F260" s="494"/>
      <c r="G260" s="494"/>
      <c r="H260" s="494"/>
      <c r="I260" s="494"/>
      <c r="J260" s="494"/>
      <c r="K260" s="495"/>
    </row>
    <row r="261" spans="1:11" ht="28.5" customHeight="1" x14ac:dyDescent="0.3">
      <c r="A261" s="498" t="s">
        <v>538</v>
      </c>
      <c r="B261" s="499"/>
      <c r="C261" s="499"/>
      <c r="D261" s="499"/>
      <c r="E261" s="499"/>
      <c r="F261" s="499"/>
      <c r="G261" s="499"/>
      <c r="H261" s="499"/>
      <c r="I261" s="499"/>
      <c r="J261" s="499"/>
      <c r="K261" s="500"/>
    </row>
    <row r="262" spans="1:11" ht="28.5" customHeight="1" x14ac:dyDescent="0.3">
      <c r="A262" s="261" t="s">
        <v>77</v>
      </c>
      <c r="B262" s="261"/>
      <c r="C262" s="261"/>
      <c r="D262" s="261"/>
      <c r="E262" s="261"/>
      <c r="F262" s="261"/>
      <c r="G262" s="261"/>
      <c r="H262" s="261"/>
      <c r="I262" s="261"/>
      <c r="J262" s="261"/>
      <c r="K262" s="261"/>
    </row>
    <row r="263" spans="1:11" ht="28.5" customHeight="1" x14ac:dyDescent="0.3">
      <c r="A263" s="120" t="s">
        <v>232</v>
      </c>
      <c r="B263" s="119">
        <f>C263+F263+I263</f>
        <v>11493100</v>
      </c>
      <c r="C263" s="119">
        <f>D263+E263</f>
        <v>11493100</v>
      </c>
      <c r="D263" s="119">
        <f>Дод.3!I117*1000</f>
        <v>11493100</v>
      </c>
      <c r="E263" s="119"/>
      <c r="F263" s="119"/>
      <c r="G263" s="119"/>
      <c r="H263" s="119"/>
      <c r="I263" s="119"/>
      <c r="J263" s="119"/>
      <c r="K263" s="119"/>
    </row>
    <row r="264" spans="1:11" ht="28.5" customHeight="1" x14ac:dyDescent="0.3">
      <c r="A264" s="120" t="s">
        <v>167</v>
      </c>
      <c r="B264" s="119"/>
      <c r="C264" s="121">
        <v>1</v>
      </c>
      <c r="D264" s="121">
        <v>1</v>
      </c>
      <c r="E264" s="121"/>
      <c r="F264" s="121"/>
      <c r="G264" s="121"/>
      <c r="H264" s="121"/>
      <c r="I264" s="121"/>
      <c r="J264" s="121"/>
      <c r="K264" s="121"/>
    </row>
    <row r="265" spans="1:11" ht="28.5" customHeight="1" x14ac:dyDescent="0.3">
      <c r="A265" s="120" t="s">
        <v>172</v>
      </c>
      <c r="B265" s="119"/>
      <c r="C265" s="22">
        <f>D265</f>
        <v>63.5</v>
      </c>
      <c r="D265" s="22">
        <v>63.5</v>
      </c>
      <c r="E265" s="121"/>
      <c r="F265" s="22"/>
      <c r="G265" s="22"/>
      <c r="H265" s="121"/>
      <c r="I265" s="22"/>
      <c r="J265" s="22"/>
      <c r="K265" s="121"/>
    </row>
    <row r="266" spans="1:11" ht="28.5" customHeight="1" x14ac:dyDescent="0.3">
      <c r="A266" s="120" t="s">
        <v>200</v>
      </c>
      <c r="B266" s="119"/>
      <c r="C266" s="22">
        <f>D266</f>
        <v>22.5</v>
      </c>
      <c r="D266" s="22">
        <v>22.5</v>
      </c>
      <c r="E266" s="121"/>
      <c r="F266" s="22"/>
      <c r="G266" s="22"/>
      <c r="H266" s="121"/>
      <c r="I266" s="22"/>
      <c r="J266" s="22"/>
      <c r="K266" s="121"/>
    </row>
    <row r="267" spans="1:11" ht="28.5" customHeight="1" x14ac:dyDescent="0.3">
      <c r="A267" s="261" t="s">
        <v>116</v>
      </c>
      <c r="B267" s="119"/>
      <c r="C267" s="22"/>
      <c r="D267" s="134"/>
      <c r="E267" s="121"/>
      <c r="F267" s="121"/>
      <c r="G267" s="121"/>
      <c r="H267" s="121"/>
      <c r="I267" s="121"/>
      <c r="J267" s="121"/>
      <c r="K267" s="121"/>
    </row>
    <row r="268" spans="1:11" ht="28.5" customHeight="1" x14ac:dyDescent="0.3">
      <c r="A268" s="120" t="s">
        <v>168</v>
      </c>
      <c r="B268" s="119"/>
      <c r="C268" s="121">
        <f>D268</f>
        <v>32550</v>
      </c>
      <c r="D268" s="121">
        <v>32550</v>
      </c>
      <c r="E268" s="121"/>
      <c r="F268" s="121"/>
      <c r="G268" s="121"/>
      <c r="H268" s="121"/>
      <c r="I268" s="121"/>
      <c r="J268" s="121"/>
      <c r="K268" s="121"/>
    </row>
    <row r="269" spans="1:11" ht="28.5" customHeight="1" x14ac:dyDescent="0.3">
      <c r="A269" s="120" t="s">
        <v>201</v>
      </c>
      <c r="B269" s="119"/>
      <c r="C269" s="121">
        <f>D269</f>
        <v>8600</v>
      </c>
      <c r="D269" s="121">
        <v>8600</v>
      </c>
      <c r="E269" s="121"/>
      <c r="F269" s="121"/>
      <c r="G269" s="121"/>
      <c r="H269" s="121"/>
      <c r="I269" s="121"/>
      <c r="J269" s="121"/>
      <c r="K269" s="121"/>
    </row>
    <row r="270" spans="1:11" ht="28.5" customHeight="1" x14ac:dyDescent="0.3">
      <c r="A270" s="120" t="s">
        <v>176</v>
      </c>
      <c r="B270" s="119"/>
      <c r="C270" s="121"/>
      <c r="D270" s="121"/>
      <c r="E270" s="121"/>
      <c r="F270" s="121"/>
      <c r="G270" s="121"/>
      <c r="H270" s="121"/>
      <c r="I270" s="121"/>
      <c r="J270" s="121"/>
      <c r="K270" s="121"/>
    </row>
    <row r="271" spans="1:11" ht="28.5" customHeight="1" x14ac:dyDescent="0.3">
      <c r="A271" s="261" t="s">
        <v>115</v>
      </c>
      <c r="B271" s="121"/>
      <c r="C271" s="22"/>
      <c r="D271" s="121"/>
      <c r="E271" s="121"/>
      <c r="F271" s="121"/>
      <c r="G271" s="121"/>
      <c r="H271" s="121"/>
      <c r="I271" s="121"/>
      <c r="J271" s="121"/>
      <c r="K271" s="119"/>
    </row>
    <row r="272" spans="1:11" ht="39.75" customHeight="1" x14ac:dyDescent="0.3">
      <c r="A272" s="120" t="s">
        <v>291</v>
      </c>
      <c r="B272" s="121"/>
      <c r="C272" s="121">
        <f>D272</f>
        <v>382</v>
      </c>
      <c r="D272" s="121">
        <v>382</v>
      </c>
      <c r="E272" s="121"/>
      <c r="F272" s="121"/>
      <c r="G272" s="121"/>
      <c r="H272" s="121"/>
      <c r="I272" s="121"/>
      <c r="J272" s="121"/>
      <c r="K272" s="119"/>
    </row>
    <row r="273" spans="1:11" ht="45.75" customHeight="1" x14ac:dyDescent="0.3">
      <c r="A273" s="120" t="s">
        <v>234</v>
      </c>
      <c r="B273" s="121"/>
      <c r="C273" s="121">
        <f>C268/C266</f>
        <v>1446.6666666666667</v>
      </c>
      <c r="D273" s="121">
        <f>D268/D266</f>
        <v>1446.6666666666667</v>
      </c>
      <c r="E273" s="121"/>
      <c r="F273" s="121"/>
      <c r="G273" s="121"/>
      <c r="H273" s="121"/>
      <c r="I273" s="121"/>
      <c r="J273" s="121"/>
      <c r="K273" s="119"/>
    </row>
    <row r="274" spans="1:11" ht="53.25" customHeight="1" x14ac:dyDescent="0.3">
      <c r="A274" s="120" t="s">
        <v>233</v>
      </c>
      <c r="B274" s="121"/>
      <c r="C274" s="121">
        <f>D274</f>
        <v>353</v>
      </c>
      <c r="D274" s="121">
        <v>353</v>
      </c>
      <c r="E274" s="121"/>
      <c r="F274" s="121"/>
      <c r="G274" s="121"/>
      <c r="H274" s="121"/>
      <c r="I274" s="121"/>
      <c r="J274" s="121"/>
      <c r="K274" s="119"/>
    </row>
    <row r="275" spans="1:11" ht="38.25" customHeight="1" x14ac:dyDescent="0.3">
      <c r="A275" s="493" t="s">
        <v>471</v>
      </c>
      <c r="B275" s="494"/>
      <c r="C275" s="494"/>
      <c r="D275" s="494"/>
      <c r="E275" s="494"/>
      <c r="F275" s="494"/>
      <c r="G275" s="494"/>
      <c r="H275" s="494"/>
      <c r="I275" s="494"/>
      <c r="J275" s="494"/>
      <c r="K275" s="495"/>
    </row>
    <row r="276" spans="1:11" ht="38.25" customHeight="1" x14ac:dyDescent="0.3">
      <c r="A276" s="261" t="s">
        <v>77</v>
      </c>
      <c r="B276" s="121"/>
      <c r="C276" s="121"/>
      <c r="D276" s="121"/>
      <c r="E276" s="121"/>
      <c r="F276" s="121"/>
      <c r="G276" s="121"/>
      <c r="H276" s="121"/>
      <c r="I276" s="121"/>
      <c r="J276" s="121"/>
      <c r="K276" s="119"/>
    </row>
    <row r="277" spans="1:11" ht="30.75" customHeight="1" x14ac:dyDescent="0.3">
      <c r="A277" s="120" t="s">
        <v>232</v>
      </c>
      <c r="B277" s="119">
        <f>F277+I277</f>
        <v>20140200</v>
      </c>
      <c r="C277" s="119"/>
      <c r="D277" s="119"/>
      <c r="E277" s="119"/>
      <c r="F277" s="119">
        <f>G277</f>
        <v>11836100</v>
      </c>
      <c r="G277" s="119">
        <f>Дод.3!J118*1000</f>
        <v>11836100</v>
      </c>
      <c r="H277" s="119"/>
      <c r="I277" s="119">
        <f>J277</f>
        <v>8304100</v>
      </c>
      <c r="J277" s="119">
        <f>Дод.3!K118*1000</f>
        <v>8304100</v>
      </c>
      <c r="K277" s="119"/>
    </row>
    <row r="278" spans="1:11" ht="30.75" customHeight="1" x14ac:dyDescent="0.3">
      <c r="A278" s="120" t="s">
        <v>167</v>
      </c>
      <c r="B278" s="121"/>
      <c r="C278" s="121"/>
      <c r="D278" s="121"/>
      <c r="E278" s="121"/>
      <c r="F278" s="121">
        <f t="shared" ref="F278:F288" si="7">G278</f>
        <v>1</v>
      </c>
      <c r="G278" s="121">
        <v>1</v>
      </c>
      <c r="H278" s="121"/>
      <c r="I278" s="121">
        <f t="shared" ref="I278:I288" si="8">J278</f>
        <v>1</v>
      </c>
      <c r="J278" s="121">
        <v>1</v>
      </c>
      <c r="K278" s="119"/>
    </row>
    <row r="279" spans="1:11" ht="28.5" customHeight="1" x14ac:dyDescent="0.3">
      <c r="A279" s="120" t="s">
        <v>172</v>
      </c>
      <c r="B279" s="121"/>
      <c r="C279" s="121"/>
      <c r="D279" s="121"/>
      <c r="E279" s="121"/>
      <c r="F279" s="121">
        <f t="shared" si="7"/>
        <v>63.5</v>
      </c>
      <c r="G279" s="22">
        <v>63.5</v>
      </c>
      <c r="H279" s="121"/>
      <c r="I279" s="121">
        <f t="shared" si="8"/>
        <v>63.5</v>
      </c>
      <c r="J279" s="22">
        <v>63.5</v>
      </c>
      <c r="K279" s="119"/>
    </row>
    <row r="280" spans="1:11" ht="39.75" customHeight="1" x14ac:dyDescent="0.3">
      <c r="A280" s="120" t="s">
        <v>200</v>
      </c>
      <c r="B280" s="121"/>
      <c r="C280" s="121"/>
      <c r="D280" s="121"/>
      <c r="E280" s="121"/>
      <c r="F280" s="121">
        <f t="shared" si="7"/>
        <v>21</v>
      </c>
      <c r="G280" s="22">
        <v>21</v>
      </c>
      <c r="H280" s="121"/>
      <c r="I280" s="121">
        <f t="shared" si="8"/>
        <v>22.5</v>
      </c>
      <c r="J280" s="22">
        <v>22.5</v>
      </c>
      <c r="K280" s="119"/>
    </row>
    <row r="281" spans="1:11" ht="39.75" customHeight="1" x14ac:dyDescent="0.3">
      <c r="A281" s="261" t="s">
        <v>116</v>
      </c>
      <c r="B281" s="121"/>
      <c r="C281" s="121"/>
      <c r="D281" s="121"/>
      <c r="E281" s="121"/>
      <c r="F281" s="121"/>
      <c r="G281" s="121"/>
      <c r="H281" s="121"/>
      <c r="I281" s="121"/>
      <c r="J281" s="121"/>
      <c r="K281" s="119"/>
    </row>
    <row r="282" spans="1:11" ht="34.5" customHeight="1" x14ac:dyDescent="0.3">
      <c r="A282" s="120" t="s">
        <v>168</v>
      </c>
      <c r="B282" s="121"/>
      <c r="C282" s="121"/>
      <c r="D282" s="121"/>
      <c r="E282" s="121"/>
      <c r="F282" s="121">
        <f t="shared" si="7"/>
        <v>23274</v>
      </c>
      <c r="G282" s="121">
        <v>23274</v>
      </c>
      <c r="H282" s="121"/>
      <c r="I282" s="121">
        <f t="shared" si="8"/>
        <v>33000</v>
      </c>
      <c r="J282" s="121">
        <v>33000</v>
      </c>
      <c r="K282" s="119"/>
    </row>
    <row r="283" spans="1:11" ht="36" customHeight="1" x14ac:dyDescent="0.3">
      <c r="A283" s="120" t="s">
        <v>201</v>
      </c>
      <c r="B283" s="121"/>
      <c r="C283" s="121"/>
      <c r="D283" s="121"/>
      <c r="E283" s="121"/>
      <c r="F283" s="121">
        <f t="shared" si="7"/>
        <v>8700</v>
      </c>
      <c r="G283" s="121">
        <v>8700</v>
      </c>
      <c r="H283" s="121"/>
      <c r="I283" s="121">
        <f t="shared" si="8"/>
        <v>8790</v>
      </c>
      <c r="J283" s="121">
        <v>8790</v>
      </c>
      <c r="K283" s="119"/>
    </row>
    <row r="284" spans="1:11" ht="34.5" customHeight="1" x14ac:dyDescent="0.3">
      <c r="A284" s="120" t="s">
        <v>176</v>
      </c>
      <c r="B284" s="121"/>
      <c r="C284" s="121"/>
      <c r="D284" s="121"/>
      <c r="E284" s="121"/>
      <c r="F284" s="121"/>
      <c r="G284" s="121"/>
      <c r="H284" s="121"/>
      <c r="I284" s="121"/>
      <c r="J284" s="121"/>
      <c r="K284" s="119"/>
    </row>
    <row r="285" spans="1:11" ht="27" customHeight="1" x14ac:dyDescent="0.3">
      <c r="A285" s="261" t="s">
        <v>115</v>
      </c>
      <c r="B285" s="121"/>
      <c r="C285" s="121"/>
      <c r="D285" s="121"/>
      <c r="E285" s="121"/>
      <c r="F285" s="121"/>
      <c r="G285" s="121"/>
      <c r="H285" s="121"/>
      <c r="I285" s="121">
        <f t="shared" si="8"/>
        <v>0</v>
      </c>
      <c r="J285" s="121"/>
      <c r="K285" s="119"/>
    </row>
    <row r="286" spans="1:11" ht="53.25" customHeight="1" x14ac:dyDescent="0.3">
      <c r="A286" s="120" t="s">
        <v>291</v>
      </c>
      <c r="B286" s="121"/>
      <c r="C286" s="121"/>
      <c r="D286" s="121"/>
      <c r="E286" s="121"/>
      <c r="F286" s="121">
        <f t="shared" si="7"/>
        <v>414</v>
      </c>
      <c r="G286" s="121">
        <v>414</v>
      </c>
      <c r="H286" s="121"/>
      <c r="I286" s="121">
        <f t="shared" si="8"/>
        <v>391</v>
      </c>
      <c r="J286" s="121">
        <v>391</v>
      </c>
      <c r="K286" s="119"/>
    </row>
    <row r="287" spans="1:11" ht="53.25" customHeight="1" x14ac:dyDescent="0.3">
      <c r="A287" s="120" t="s">
        <v>234</v>
      </c>
      <c r="B287" s="121"/>
      <c r="C287" s="121"/>
      <c r="D287" s="121"/>
      <c r="E287" s="121"/>
      <c r="F287" s="121">
        <f t="shared" si="7"/>
        <v>1108.2857142857142</v>
      </c>
      <c r="G287" s="121">
        <f>G282/G280</f>
        <v>1108.2857142857142</v>
      </c>
      <c r="H287" s="121"/>
      <c r="I287" s="121">
        <f t="shared" si="8"/>
        <v>1467</v>
      </c>
      <c r="J287" s="121">
        <v>1467</v>
      </c>
      <c r="K287" s="119"/>
    </row>
    <row r="288" spans="1:11" ht="53.25" customHeight="1" x14ac:dyDescent="0.3">
      <c r="A288" s="120" t="s">
        <v>233</v>
      </c>
      <c r="B288" s="121"/>
      <c r="C288" s="121"/>
      <c r="D288" s="121"/>
      <c r="E288" s="121"/>
      <c r="F288" s="121">
        <f t="shared" si="7"/>
        <v>509</v>
      </c>
      <c r="G288" s="121">
        <v>509</v>
      </c>
      <c r="H288" s="121"/>
      <c r="I288" s="121">
        <f t="shared" si="8"/>
        <v>282</v>
      </c>
      <c r="J288" s="121">
        <v>282</v>
      </c>
      <c r="K288" s="119"/>
    </row>
    <row r="289" spans="1:11" ht="28.5" customHeight="1" x14ac:dyDescent="0.3">
      <c r="A289" s="498" t="s">
        <v>472</v>
      </c>
      <c r="B289" s="499"/>
      <c r="C289" s="499"/>
      <c r="D289" s="499"/>
      <c r="E289" s="499"/>
      <c r="F289" s="499"/>
      <c r="G289" s="499"/>
      <c r="H289" s="499"/>
      <c r="I289" s="499"/>
      <c r="J289" s="499"/>
      <c r="K289" s="500"/>
    </row>
    <row r="290" spans="1:11" ht="28.5" customHeight="1" x14ac:dyDescent="0.3">
      <c r="A290" s="261" t="s">
        <v>77</v>
      </c>
      <c r="B290" s="268"/>
      <c r="C290" s="268"/>
      <c r="D290" s="268"/>
      <c r="E290" s="268"/>
      <c r="F290" s="268"/>
      <c r="G290" s="268"/>
      <c r="H290" s="268"/>
      <c r="I290" s="268"/>
      <c r="J290" s="268"/>
      <c r="K290" s="268"/>
    </row>
    <row r="291" spans="1:11" ht="28.5" customHeight="1" x14ac:dyDescent="0.3">
      <c r="A291" s="120" t="s">
        <v>166</v>
      </c>
      <c r="B291" s="122">
        <f>C291+F291+I291</f>
        <v>895600</v>
      </c>
      <c r="C291" s="122">
        <f>D291+E291</f>
        <v>895600</v>
      </c>
      <c r="D291" s="122">
        <f>Дод.3!I119*1000</f>
        <v>895600</v>
      </c>
      <c r="E291" s="122"/>
      <c r="F291" s="122"/>
      <c r="G291" s="122"/>
      <c r="H291" s="122"/>
      <c r="I291" s="122"/>
      <c r="J291" s="122"/>
      <c r="K291" s="124"/>
    </row>
    <row r="292" spans="1:11" ht="28.5" customHeight="1" x14ac:dyDescent="0.3">
      <c r="A292" s="261" t="s">
        <v>116</v>
      </c>
      <c r="B292" s="124"/>
      <c r="C292" s="124"/>
      <c r="D292" s="124"/>
      <c r="E292" s="124"/>
      <c r="F292" s="124"/>
      <c r="G292" s="124"/>
      <c r="H292" s="124"/>
      <c r="I292" s="124"/>
      <c r="J292" s="124"/>
      <c r="K292" s="124"/>
    </row>
    <row r="293" spans="1:11" ht="28.5" customHeight="1" x14ac:dyDescent="0.3">
      <c r="A293" s="120" t="s">
        <v>167</v>
      </c>
      <c r="B293" s="124"/>
      <c r="C293" s="124">
        <v>1</v>
      </c>
      <c r="D293" s="124">
        <v>1</v>
      </c>
      <c r="E293" s="124"/>
      <c r="F293" s="124"/>
      <c r="G293" s="124"/>
      <c r="H293" s="124"/>
      <c r="I293" s="124"/>
      <c r="J293" s="124"/>
      <c r="K293" s="124"/>
    </row>
    <row r="294" spans="1:11" ht="28.5" customHeight="1" x14ac:dyDescent="0.3">
      <c r="A294" s="261" t="s">
        <v>80</v>
      </c>
      <c r="B294" s="124"/>
      <c r="C294" s="124"/>
      <c r="D294" s="124"/>
      <c r="E294" s="124"/>
      <c r="F294" s="124"/>
      <c r="G294" s="124"/>
      <c r="H294" s="124"/>
      <c r="I294" s="124"/>
      <c r="J294" s="124"/>
      <c r="K294" s="124"/>
    </row>
    <row r="295" spans="1:11" ht="28.5" customHeight="1" x14ac:dyDescent="0.3">
      <c r="A295" s="120" t="s">
        <v>222</v>
      </c>
      <c r="B295" s="124"/>
      <c r="C295" s="124">
        <f>C291/C293</f>
        <v>895600</v>
      </c>
      <c r="D295" s="124">
        <f>D291/D293</f>
        <v>895600</v>
      </c>
      <c r="E295" s="124"/>
      <c r="F295" s="124"/>
      <c r="G295" s="124"/>
      <c r="H295" s="124"/>
      <c r="I295" s="124"/>
      <c r="J295" s="124"/>
      <c r="K295" s="124"/>
    </row>
    <row r="296" spans="1:11" ht="28.5" customHeight="1" x14ac:dyDescent="0.3">
      <c r="A296" s="261" t="s">
        <v>81</v>
      </c>
      <c r="B296" s="124"/>
      <c r="C296" s="124"/>
      <c r="D296" s="124"/>
      <c r="E296" s="124"/>
      <c r="F296" s="124"/>
      <c r="G296" s="124"/>
      <c r="H296" s="124"/>
      <c r="I296" s="124"/>
      <c r="J296" s="124"/>
      <c r="K296" s="124"/>
    </row>
    <row r="297" spans="1:11" ht="28.5" customHeight="1" x14ac:dyDescent="0.3">
      <c r="A297" s="120" t="s">
        <v>183</v>
      </c>
      <c r="B297" s="124"/>
      <c r="C297" s="124">
        <v>100</v>
      </c>
      <c r="D297" s="124">
        <v>100</v>
      </c>
      <c r="E297" s="124"/>
      <c r="F297" s="124"/>
      <c r="G297" s="124"/>
      <c r="H297" s="124"/>
      <c r="I297" s="124"/>
      <c r="J297" s="124"/>
      <c r="K297" s="124"/>
    </row>
    <row r="298" spans="1:11" ht="70.5" customHeight="1" x14ac:dyDescent="0.3">
      <c r="A298" s="120" t="s">
        <v>292</v>
      </c>
      <c r="B298" s="124"/>
      <c r="C298" s="124">
        <f>D298</f>
        <v>150.31738518913875</v>
      </c>
      <c r="D298" s="124">
        <f>D291/595806*100</f>
        <v>150.31738518913875</v>
      </c>
      <c r="E298" s="124"/>
      <c r="F298" s="124"/>
      <c r="G298" s="124"/>
      <c r="H298" s="124"/>
      <c r="I298" s="124"/>
      <c r="J298" s="124"/>
      <c r="K298" s="124"/>
    </row>
    <row r="299" spans="1:11" ht="38.25" customHeight="1" x14ac:dyDescent="0.3">
      <c r="A299" s="493" t="s">
        <v>473</v>
      </c>
      <c r="B299" s="494"/>
      <c r="C299" s="494"/>
      <c r="D299" s="494"/>
      <c r="E299" s="494"/>
      <c r="F299" s="494"/>
      <c r="G299" s="494"/>
      <c r="H299" s="494"/>
      <c r="I299" s="494"/>
      <c r="J299" s="494"/>
      <c r="K299" s="495"/>
    </row>
    <row r="300" spans="1:11" ht="36" customHeight="1" x14ac:dyDescent="0.3">
      <c r="A300" s="261" t="s">
        <v>77</v>
      </c>
      <c r="B300" s="122"/>
      <c r="C300" s="122"/>
      <c r="D300" s="122"/>
      <c r="E300" s="122"/>
      <c r="F300" s="122"/>
      <c r="G300" s="122"/>
      <c r="H300" s="122"/>
      <c r="I300" s="122"/>
      <c r="J300" s="122"/>
      <c r="K300" s="124"/>
    </row>
    <row r="301" spans="1:11" ht="34.5" customHeight="1" x14ac:dyDescent="0.3">
      <c r="A301" s="120" t="s">
        <v>166</v>
      </c>
      <c r="B301" s="122">
        <f>F301+I301</f>
        <v>2015100</v>
      </c>
      <c r="C301" s="122"/>
      <c r="D301" s="122"/>
      <c r="E301" s="122"/>
      <c r="F301" s="122">
        <f>G301</f>
        <v>1010700</v>
      </c>
      <c r="G301" s="122">
        <f>Дод.3!J120*1000</f>
        <v>1010700</v>
      </c>
      <c r="H301" s="122"/>
      <c r="I301" s="122">
        <f>J301</f>
        <v>1004400</v>
      </c>
      <c r="J301" s="122">
        <f>Дод.3!K120*1000</f>
        <v>1004400</v>
      </c>
      <c r="K301" s="124"/>
    </row>
    <row r="302" spans="1:11" ht="39.75" customHeight="1" x14ac:dyDescent="0.3">
      <c r="A302" s="261" t="s">
        <v>116</v>
      </c>
      <c r="B302" s="124"/>
      <c r="C302" s="124"/>
      <c r="D302" s="124"/>
      <c r="E302" s="124"/>
      <c r="F302" s="124"/>
      <c r="G302" s="124"/>
      <c r="H302" s="124"/>
      <c r="I302" s="124"/>
      <c r="J302" s="124"/>
      <c r="K302" s="124"/>
    </row>
    <row r="303" spans="1:11" ht="28.5" customHeight="1" x14ac:dyDescent="0.3">
      <c r="A303" s="120" t="s">
        <v>167</v>
      </c>
      <c r="B303" s="124"/>
      <c r="C303" s="124"/>
      <c r="D303" s="124"/>
      <c r="E303" s="124"/>
      <c r="F303" s="124">
        <f t="shared" ref="F303:F308" si="9">G303</f>
        <v>1</v>
      </c>
      <c r="G303" s="124">
        <v>1</v>
      </c>
      <c r="H303" s="124"/>
      <c r="I303" s="124">
        <f t="shared" ref="I303:I308" si="10">J303</f>
        <v>1</v>
      </c>
      <c r="J303" s="124">
        <v>1</v>
      </c>
      <c r="K303" s="124"/>
    </row>
    <row r="304" spans="1:11" ht="36" customHeight="1" x14ac:dyDescent="0.3">
      <c r="A304" s="261" t="s">
        <v>80</v>
      </c>
      <c r="B304" s="124"/>
      <c r="C304" s="124"/>
      <c r="D304" s="124"/>
      <c r="E304" s="124"/>
      <c r="F304" s="124"/>
      <c r="G304" s="124"/>
      <c r="H304" s="124"/>
      <c r="I304" s="124"/>
      <c r="J304" s="124"/>
      <c r="K304" s="124"/>
    </row>
    <row r="305" spans="1:11" ht="30.75" customHeight="1" x14ac:dyDescent="0.3">
      <c r="A305" s="120" t="s">
        <v>222</v>
      </c>
      <c r="B305" s="124"/>
      <c r="C305" s="124"/>
      <c r="D305" s="124"/>
      <c r="E305" s="124"/>
      <c r="F305" s="124">
        <f t="shared" si="9"/>
        <v>1010700</v>
      </c>
      <c r="G305" s="124">
        <f>G301/G303</f>
        <v>1010700</v>
      </c>
      <c r="H305" s="124"/>
      <c r="I305" s="124">
        <f t="shared" si="10"/>
        <v>1004400</v>
      </c>
      <c r="J305" s="124">
        <f>J301/J303</f>
        <v>1004400</v>
      </c>
      <c r="K305" s="124"/>
    </row>
    <row r="306" spans="1:11" ht="36" customHeight="1" x14ac:dyDescent="0.3">
      <c r="A306" s="261" t="s">
        <v>81</v>
      </c>
      <c r="B306" s="124"/>
      <c r="C306" s="124"/>
      <c r="D306" s="124"/>
      <c r="E306" s="124"/>
      <c r="F306" s="124"/>
      <c r="G306" s="124"/>
      <c r="H306" s="124"/>
      <c r="I306" s="124"/>
      <c r="J306" s="124"/>
      <c r="K306" s="124"/>
    </row>
    <row r="307" spans="1:11" ht="42" customHeight="1" x14ac:dyDescent="0.3">
      <c r="A307" s="120" t="s">
        <v>183</v>
      </c>
      <c r="B307" s="124"/>
      <c r="C307" s="124"/>
      <c r="D307" s="124"/>
      <c r="E307" s="124"/>
      <c r="F307" s="124">
        <f t="shared" si="9"/>
        <v>100</v>
      </c>
      <c r="G307" s="124">
        <v>100</v>
      </c>
      <c r="H307" s="124"/>
      <c r="I307" s="124">
        <f t="shared" si="10"/>
        <v>100</v>
      </c>
      <c r="J307" s="124">
        <v>100</v>
      </c>
      <c r="K307" s="124"/>
    </row>
    <row r="308" spans="1:11" ht="85.5" customHeight="1" x14ac:dyDescent="0.3">
      <c r="A308" s="120" t="s">
        <v>292</v>
      </c>
      <c r="B308" s="124"/>
      <c r="C308" s="124"/>
      <c r="D308" s="124"/>
      <c r="E308" s="124"/>
      <c r="F308" s="124">
        <f t="shared" si="9"/>
        <v>112.85171951764181</v>
      </c>
      <c r="G308" s="124">
        <f>G301/D291*100</f>
        <v>112.85171951764181</v>
      </c>
      <c r="H308" s="124"/>
      <c r="I308" s="124">
        <f t="shared" si="10"/>
        <v>99.376669634906506</v>
      </c>
      <c r="J308" s="124">
        <f>J301/G301*100</f>
        <v>99.376669634906506</v>
      </c>
      <c r="K308" s="124"/>
    </row>
    <row r="309" spans="1:11" ht="36" customHeight="1" x14ac:dyDescent="0.3">
      <c r="A309" s="493" t="s">
        <v>293</v>
      </c>
      <c r="B309" s="494"/>
      <c r="C309" s="494"/>
      <c r="D309" s="494"/>
      <c r="E309" s="494"/>
      <c r="F309" s="494"/>
      <c r="G309" s="494"/>
      <c r="H309" s="494"/>
      <c r="I309" s="494"/>
      <c r="J309" s="494"/>
      <c r="K309" s="495"/>
    </row>
    <row r="310" spans="1:11" ht="33.75" customHeight="1" x14ac:dyDescent="0.3">
      <c r="A310" s="265" t="s">
        <v>235</v>
      </c>
      <c r="B310" s="261">
        <f>B314+B323+B332+B348+B364+B373+B382+B395</f>
        <v>55936200</v>
      </c>
      <c r="C310" s="261">
        <f>D310+E310</f>
        <v>17774900</v>
      </c>
      <c r="D310" s="261">
        <f>D314+D332+D364+D382</f>
        <v>17774900</v>
      </c>
      <c r="E310" s="261"/>
      <c r="F310" s="261">
        <f>G310+H310</f>
        <v>18796000</v>
      </c>
      <c r="G310" s="261">
        <f>G323+G348+G373+G395</f>
        <v>18796000</v>
      </c>
      <c r="H310" s="261"/>
      <c r="I310" s="261">
        <f>J310+K310</f>
        <v>19365300</v>
      </c>
      <c r="J310" s="261">
        <f>J323+J348+J373+J395</f>
        <v>19365300</v>
      </c>
      <c r="K310" s="261"/>
    </row>
    <row r="311" spans="1:11" ht="30" customHeight="1" x14ac:dyDescent="0.3">
      <c r="A311" s="512" t="s">
        <v>539</v>
      </c>
      <c r="B311" s="513"/>
      <c r="C311" s="513"/>
      <c r="D311" s="513"/>
      <c r="E311" s="513"/>
      <c r="F311" s="513"/>
      <c r="G311" s="513"/>
      <c r="H311" s="513"/>
      <c r="I311" s="513"/>
      <c r="J311" s="513"/>
      <c r="K311" s="514"/>
    </row>
    <row r="312" spans="1:11" ht="36" customHeight="1" x14ac:dyDescent="0.3">
      <c r="A312" s="498" t="s">
        <v>474</v>
      </c>
      <c r="B312" s="499"/>
      <c r="C312" s="499"/>
      <c r="D312" s="499"/>
      <c r="E312" s="499"/>
      <c r="F312" s="499"/>
      <c r="G312" s="499"/>
      <c r="H312" s="499"/>
      <c r="I312" s="499"/>
      <c r="J312" s="499"/>
      <c r="K312" s="500"/>
    </row>
    <row r="313" spans="1:11" ht="28.5" customHeight="1" x14ac:dyDescent="0.3">
      <c r="A313" s="261" t="s">
        <v>77</v>
      </c>
      <c r="B313" s="261"/>
      <c r="C313" s="261"/>
      <c r="D313" s="261"/>
      <c r="E313" s="261"/>
      <c r="F313" s="261"/>
      <c r="G313" s="261"/>
      <c r="H313" s="261"/>
      <c r="I313" s="261"/>
      <c r="J313" s="261"/>
      <c r="K313" s="261"/>
    </row>
    <row r="314" spans="1:11" ht="28.5" customHeight="1" x14ac:dyDescent="0.3">
      <c r="A314" s="120" t="s">
        <v>232</v>
      </c>
      <c r="B314" s="119">
        <f>C314+F314+I314</f>
        <v>12542200</v>
      </c>
      <c r="C314" s="119">
        <f>D314+E314</f>
        <v>12542200</v>
      </c>
      <c r="D314" s="119">
        <f>Дод.3!I148*1000</f>
        <v>12542200</v>
      </c>
      <c r="E314" s="119"/>
      <c r="F314" s="119"/>
      <c r="G314" s="119"/>
      <c r="H314" s="119"/>
      <c r="I314" s="119"/>
      <c r="J314" s="119"/>
      <c r="K314" s="261"/>
    </row>
    <row r="315" spans="1:11" ht="28.5" customHeight="1" x14ac:dyDescent="0.3">
      <c r="A315" s="261" t="s">
        <v>79</v>
      </c>
      <c r="B315" s="121"/>
      <c r="C315" s="121"/>
      <c r="D315" s="121"/>
      <c r="E315" s="121"/>
      <c r="F315" s="121"/>
      <c r="G315" s="121"/>
      <c r="H315" s="121"/>
      <c r="I315" s="121"/>
      <c r="J315" s="121"/>
      <c r="K315" s="261"/>
    </row>
    <row r="316" spans="1:11" ht="54.75" customHeight="1" x14ac:dyDescent="0.3">
      <c r="A316" s="120" t="s">
        <v>186</v>
      </c>
      <c r="B316" s="121"/>
      <c r="C316" s="121">
        <f>D316</f>
        <v>26112</v>
      </c>
      <c r="D316" s="121">
        <f>18554+7550+8</f>
        <v>26112</v>
      </c>
      <c r="E316" s="121"/>
      <c r="F316" s="121"/>
      <c r="G316" s="121"/>
      <c r="H316" s="121"/>
      <c r="I316" s="121"/>
      <c r="J316" s="121"/>
      <c r="K316" s="261"/>
    </row>
    <row r="317" spans="1:11" ht="28.5" customHeight="1" x14ac:dyDescent="0.3">
      <c r="A317" s="261" t="s">
        <v>80</v>
      </c>
      <c r="B317" s="121"/>
      <c r="C317" s="121"/>
      <c r="D317" s="121"/>
      <c r="E317" s="121"/>
      <c r="F317" s="121"/>
      <c r="G317" s="121"/>
      <c r="H317" s="121"/>
      <c r="I317" s="121"/>
      <c r="J317" s="121"/>
      <c r="K317" s="261"/>
    </row>
    <row r="318" spans="1:11" ht="28.5" customHeight="1" x14ac:dyDescent="0.3">
      <c r="A318" s="125" t="s">
        <v>223</v>
      </c>
      <c r="B318" s="121"/>
      <c r="C318" s="121">
        <f>C314/C316</f>
        <v>480.32322303921569</v>
      </c>
      <c r="D318" s="121">
        <f>D314/D316</f>
        <v>480.32322303921569</v>
      </c>
      <c r="E318" s="121"/>
      <c r="F318" s="121"/>
      <c r="G318" s="121"/>
      <c r="H318" s="121"/>
      <c r="I318" s="121"/>
      <c r="J318" s="121"/>
      <c r="K318" s="120"/>
    </row>
    <row r="319" spans="1:11" ht="28.5" customHeight="1" x14ac:dyDescent="0.3">
      <c r="A319" s="135" t="s">
        <v>81</v>
      </c>
      <c r="B319" s="121"/>
      <c r="C319" s="121"/>
      <c r="D319" s="121"/>
      <c r="E319" s="121"/>
      <c r="F319" s="121"/>
      <c r="G319" s="121"/>
      <c r="H319" s="121"/>
      <c r="I319" s="121"/>
      <c r="J319" s="121"/>
      <c r="K319" s="261"/>
    </row>
    <row r="320" spans="1:11" ht="96.75" customHeight="1" x14ac:dyDescent="0.3">
      <c r="A320" s="120" t="s">
        <v>187</v>
      </c>
      <c r="B320" s="121"/>
      <c r="C320" s="121">
        <f>D320</f>
        <v>100.41954234655479</v>
      </c>
      <c r="D320" s="121">
        <f>D314/12489800*100</f>
        <v>100.41954234655479</v>
      </c>
      <c r="E320" s="121"/>
      <c r="F320" s="121"/>
      <c r="G320" s="121"/>
      <c r="H320" s="121"/>
      <c r="I320" s="121"/>
      <c r="J320" s="121"/>
      <c r="K320" s="261"/>
    </row>
    <row r="321" spans="1:11" ht="39.75" customHeight="1" x14ac:dyDescent="0.3">
      <c r="A321" s="493" t="s">
        <v>475</v>
      </c>
      <c r="B321" s="494"/>
      <c r="C321" s="494"/>
      <c r="D321" s="494"/>
      <c r="E321" s="494"/>
      <c r="F321" s="494"/>
      <c r="G321" s="494"/>
      <c r="H321" s="494"/>
      <c r="I321" s="494"/>
      <c r="J321" s="494"/>
      <c r="K321" s="495"/>
    </row>
    <row r="322" spans="1:11" ht="42" customHeight="1" x14ac:dyDescent="0.3">
      <c r="A322" s="261" t="s">
        <v>77</v>
      </c>
      <c r="B322" s="121"/>
      <c r="C322" s="121"/>
      <c r="D322" s="121"/>
      <c r="E322" s="121"/>
      <c r="F322" s="121"/>
      <c r="G322" s="121"/>
      <c r="H322" s="121"/>
      <c r="I322" s="121"/>
      <c r="J322" s="121"/>
      <c r="K322" s="261"/>
    </row>
    <row r="323" spans="1:11" ht="36" customHeight="1" x14ac:dyDescent="0.3">
      <c r="A323" s="120" t="s">
        <v>232</v>
      </c>
      <c r="B323" s="119">
        <f>F323+I323</f>
        <v>28239000</v>
      </c>
      <c r="C323" s="119"/>
      <c r="D323" s="119"/>
      <c r="E323" s="119"/>
      <c r="F323" s="119">
        <f>G323</f>
        <v>13799400</v>
      </c>
      <c r="G323" s="119">
        <f>Дод.3!J152*1000</f>
        <v>13799400</v>
      </c>
      <c r="H323" s="119"/>
      <c r="I323" s="119">
        <f>J323</f>
        <v>14439600</v>
      </c>
      <c r="J323" s="119">
        <f>Дод.3!K152*1000</f>
        <v>14439600</v>
      </c>
      <c r="K323" s="261"/>
    </row>
    <row r="324" spans="1:11" ht="36" customHeight="1" x14ac:dyDescent="0.3">
      <c r="A324" s="261" t="s">
        <v>79</v>
      </c>
      <c r="B324" s="121"/>
      <c r="C324" s="121"/>
      <c r="D324" s="121"/>
      <c r="E324" s="121"/>
      <c r="F324" s="121"/>
      <c r="G324" s="121"/>
      <c r="H324" s="121"/>
      <c r="I324" s="121"/>
      <c r="J324" s="121"/>
      <c r="K324" s="261"/>
    </row>
    <row r="325" spans="1:11" ht="49.5" customHeight="1" x14ac:dyDescent="0.3">
      <c r="A325" s="120" t="s">
        <v>186</v>
      </c>
      <c r="B325" s="121"/>
      <c r="C325" s="121"/>
      <c r="D325" s="121"/>
      <c r="E325" s="121"/>
      <c r="F325" s="121">
        <f>G325</f>
        <v>31340</v>
      </c>
      <c r="G325" s="121">
        <v>31340</v>
      </c>
      <c r="H325" s="121"/>
      <c r="I325" s="121">
        <f>J325</f>
        <v>26112</v>
      </c>
      <c r="J325" s="121">
        <v>26112</v>
      </c>
      <c r="K325" s="261"/>
    </row>
    <row r="326" spans="1:11" ht="40.5" customHeight="1" x14ac:dyDescent="0.3">
      <c r="A326" s="261" t="s">
        <v>80</v>
      </c>
      <c r="B326" s="121"/>
      <c r="C326" s="121"/>
      <c r="D326" s="121"/>
      <c r="E326" s="121"/>
      <c r="F326" s="121"/>
      <c r="G326" s="121"/>
      <c r="H326" s="121"/>
      <c r="I326" s="121"/>
      <c r="J326" s="121"/>
      <c r="K326" s="261"/>
    </row>
    <row r="327" spans="1:11" ht="40.5" customHeight="1" x14ac:dyDescent="0.3">
      <c r="A327" s="125" t="s">
        <v>223</v>
      </c>
      <c r="B327" s="121"/>
      <c r="C327" s="121"/>
      <c r="D327" s="121"/>
      <c r="E327" s="121"/>
      <c r="F327" s="121">
        <f>G327</f>
        <v>440.3126994256541</v>
      </c>
      <c r="G327" s="121">
        <f>G323/G325</f>
        <v>440.3126994256541</v>
      </c>
      <c r="H327" s="121"/>
      <c r="I327" s="121">
        <f>J327</f>
        <v>552.98713235294122</v>
      </c>
      <c r="J327" s="121">
        <f>J323/J325</f>
        <v>552.98713235294122</v>
      </c>
      <c r="K327" s="261"/>
    </row>
    <row r="328" spans="1:11" ht="42" customHeight="1" x14ac:dyDescent="0.3">
      <c r="A328" s="135" t="s">
        <v>81</v>
      </c>
      <c r="B328" s="121"/>
      <c r="C328" s="121"/>
      <c r="D328" s="121"/>
      <c r="E328" s="121"/>
      <c r="F328" s="121"/>
      <c r="G328" s="121"/>
      <c r="H328" s="121"/>
      <c r="I328" s="121"/>
      <c r="J328" s="121"/>
      <c r="K328" s="261"/>
    </row>
    <row r="329" spans="1:11" ht="96.75" customHeight="1" x14ac:dyDescent="0.3">
      <c r="A329" s="120" t="s">
        <v>187</v>
      </c>
      <c r="B329" s="121"/>
      <c r="C329" s="121"/>
      <c r="D329" s="121"/>
      <c r="E329" s="121"/>
      <c r="F329" s="121">
        <f>G329</f>
        <v>110.02375978695922</v>
      </c>
      <c r="G329" s="121">
        <f>G323/D314*100</f>
        <v>110.02375978695922</v>
      </c>
      <c r="H329" s="121"/>
      <c r="I329" s="121">
        <f>J329</f>
        <v>104.63933214487587</v>
      </c>
      <c r="J329" s="121">
        <f>J323/G323*100</f>
        <v>104.63933214487587</v>
      </c>
      <c r="K329" s="261"/>
    </row>
    <row r="330" spans="1:11" ht="28.5" customHeight="1" x14ac:dyDescent="0.3">
      <c r="A330" s="496" t="s">
        <v>476</v>
      </c>
      <c r="B330" s="496"/>
      <c r="C330" s="496"/>
      <c r="D330" s="496"/>
      <c r="E330" s="496"/>
      <c r="F330" s="496"/>
      <c r="G330" s="496"/>
      <c r="H330" s="496"/>
      <c r="I330" s="496"/>
      <c r="J330" s="496"/>
      <c r="K330" s="496"/>
    </row>
    <row r="331" spans="1:11" ht="28.5" customHeight="1" x14ac:dyDescent="0.3">
      <c r="A331" s="261" t="s">
        <v>77</v>
      </c>
      <c r="B331" s="261"/>
      <c r="C331" s="261"/>
      <c r="D331" s="261"/>
      <c r="E331" s="261"/>
      <c r="F331" s="261"/>
      <c r="G331" s="261"/>
      <c r="H331" s="261"/>
      <c r="I331" s="261"/>
      <c r="J331" s="261"/>
      <c r="K331" s="261"/>
    </row>
    <row r="332" spans="1:11" ht="28.5" customHeight="1" x14ac:dyDescent="0.3">
      <c r="A332" s="120" t="s">
        <v>231</v>
      </c>
      <c r="B332" s="119">
        <f>C332+F332+I332</f>
        <v>2806300</v>
      </c>
      <c r="C332" s="119">
        <f>D332+E332</f>
        <v>2806300</v>
      </c>
      <c r="D332" s="119">
        <f>Дод.3!I156*1000</f>
        <v>2806300</v>
      </c>
      <c r="E332" s="119"/>
      <c r="F332" s="119"/>
      <c r="G332" s="119"/>
      <c r="H332" s="119"/>
      <c r="I332" s="119"/>
      <c r="J332" s="119"/>
      <c r="K332" s="261"/>
    </row>
    <row r="333" spans="1:11" ht="28.5" customHeight="1" x14ac:dyDescent="0.3">
      <c r="A333" s="120" t="s">
        <v>236</v>
      </c>
      <c r="B333" s="119"/>
      <c r="C333" s="121">
        <f>D333</f>
        <v>1916190</v>
      </c>
      <c r="D333" s="121">
        <f>1268520+627640+20030</f>
        <v>1916190</v>
      </c>
      <c r="E333" s="119"/>
      <c r="F333" s="121"/>
      <c r="G333" s="121"/>
      <c r="H333" s="119"/>
      <c r="I333" s="121"/>
      <c r="J333" s="121"/>
      <c r="K333" s="261"/>
    </row>
    <row r="334" spans="1:11" ht="53.25" customHeight="1" x14ac:dyDescent="0.3">
      <c r="A334" s="120" t="s">
        <v>237</v>
      </c>
      <c r="B334" s="119"/>
      <c r="C334" s="121">
        <f t="shared" ref="C334:C339" si="11">D334</f>
        <v>830234.17999999993</v>
      </c>
      <c r="D334" s="121">
        <f>365476+444728.18+20030</f>
        <v>830234.17999999993</v>
      </c>
      <c r="E334" s="119"/>
      <c r="F334" s="121"/>
      <c r="G334" s="121"/>
      <c r="H334" s="119"/>
      <c r="I334" s="121"/>
      <c r="J334" s="121"/>
      <c r="K334" s="261"/>
    </row>
    <row r="335" spans="1:11" ht="42" customHeight="1" x14ac:dyDescent="0.3">
      <c r="A335" s="120" t="s">
        <v>238</v>
      </c>
      <c r="B335" s="119"/>
      <c r="C335" s="121">
        <f t="shared" si="11"/>
        <v>59884</v>
      </c>
      <c r="D335" s="121">
        <f>46234+13650</f>
        <v>59884</v>
      </c>
      <c r="E335" s="119"/>
      <c r="F335" s="121"/>
      <c r="G335" s="121"/>
      <c r="H335" s="119"/>
      <c r="I335" s="121"/>
      <c r="J335" s="121"/>
      <c r="K335" s="261"/>
    </row>
    <row r="336" spans="1:11" ht="28.5" customHeight="1" x14ac:dyDescent="0.3">
      <c r="A336" s="261" t="s">
        <v>79</v>
      </c>
      <c r="B336" s="121"/>
      <c r="C336" s="121"/>
      <c r="D336" s="121"/>
      <c r="E336" s="121"/>
      <c r="F336" s="121"/>
      <c r="G336" s="121"/>
      <c r="H336" s="121"/>
      <c r="I336" s="121"/>
      <c r="J336" s="121"/>
      <c r="K336" s="261"/>
    </row>
    <row r="337" spans="1:11" ht="28.5" customHeight="1" x14ac:dyDescent="0.3">
      <c r="A337" s="120" t="s">
        <v>294</v>
      </c>
      <c r="B337" s="121"/>
      <c r="C337" s="121">
        <f t="shared" si="11"/>
        <v>281</v>
      </c>
      <c r="D337" s="121">
        <f>165+114+2</f>
        <v>281</v>
      </c>
      <c r="E337" s="121"/>
      <c r="F337" s="121"/>
      <c r="G337" s="121"/>
      <c r="H337" s="121"/>
      <c r="I337" s="121"/>
      <c r="J337" s="121"/>
      <c r="K337" s="261"/>
    </row>
    <row r="338" spans="1:11" ht="28.5" customHeight="1" x14ac:dyDescent="0.3">
      <c r="A338" s="120" t="s">
        <v>295</v>
      </c>
      <c r="B338" s="121"/>
      <c r="C338" s="121">
        <f t="shared" si="11"/>
        <v>80</v>
      </c>
      <c r="D338" s="121">
        <f>47+30+3</f>
        <v>80</v>
      </c>
      <c r="E338" s="121"/>
      <c r="F338" s="121"/>
      <c r="G338" s="121"/>
      <c r="H338" s="121"/>
      <c r="I338" s="121"/>
      <c r="J338" s="121"/>
      <c r="K338" s="261"/>
    </row>
    <row r="339" spans="1:11" ht="28.5" customHeight="1" x14ac:dyDescent="0.3">
      <c r="A339" s="120" t="s">
        <v>296</v>
      </c>
      <c r="B339" s="121"/>
      <c r="C339" s="121">
        <f t="shared" si="11"/>
        <v>36</v>
      </c>
      <c r="D339" s="121">
        <f>16+20</f>
        <v>36</v>
      </c>
      <c r="E339" s="121"/>
      <c r="F339" s="121"/>
      <c r="G339" s="121"/>
      <c r="H339" s="121"/>
      <c r="I339" s="121"/>
      <c r="J339" s="121"/>
      <c r="K339" s="261"/>
    </row>
    <row r="340" spans="1:11" ht="28.5" customHeight="1" x14ac:dyDescent="0.3">
      <c r="A340" s="261" t="s">
        <v>80</v>
      </c>
      <c r="B340" s="121"/>
      <c r="C340" s="121"/>
      <c r="D340" s="121"/>
      <c r="E340" s="121"/>
      <c r="F340" s="121"/>
      <c r="G340" s="121"/>
      <c r="H340" s="121"/>
      <c r="I340" s="121"/>
      <c r="J340" s="121"/>
      <c r="K340" s="261"/>
    </row>
    <row r="341" spans="1:11" ht="39.75" customHeight="1" x14ac:dyDescent="0.3">
      <c r="A341" s="125" t="s">
        <v>239</v>
      </c>
      <c r="B341" s="121"/>
      <c r="C341" s="121">
        <f t="shared" ref="C341:D343" si="12">C333/C337</f>
        <v>6819.1814946619215</v>
      </c>
      <c r="D341" s="121">
        <f t="shared" si="12"/>
        <v>6819.1814946619215</v>
      </c>
      <c r="E341" s="121"/>
      <c r="F341" s="121"/>
      <c r="G341" s="121"/>
      <c r="H341" s="121"/>
      <c r="I341" s="121"/>
      <c r="J341" s="121"/>
      <c r="K341" s="261"/>
    </row>
    <row r="342" spans="1:11" ht="54.75" customHeight="1" x14ac:dyDescent="0.3">
      <c r="A342" s="125" t="s">
        <v>240</v>
      </c>
      <c r="B342" s="121"/>
      <c r="C342" s="121">
        <f t="shared" si="12"/>
        <v>10377.927249999999</v>
      </c>
      <c r="D342" s="121">
        <f t="shared" si="12"/>
        <v>10377.927249999999</v>
      </c>
      <c r="E342" s="121"/>
      <c r="F342" s="121"/>
      <c r="G342" s="121"/>
      <c r="H342" s="121"/>
      <c r="I342" s="121"/>
      <c r="J342" s="121"/>
      <c r="K342" s="261"/>
    </row>
    <row r="343" spans="1:11" ht="60.75" customHeight="1" x14ac:dyDescent="0.3">
      <c r="A343" s="125" t="s">
        <v>241</v>
      </c>
      <c r="B343" s="121"/>
      <c r="C343" s="121">
        <f t="shared" si="12"/>
        <v>1663.4444444444443</v>
      </c>
      <c r="D343" s="121">
        <f t="shared" si="12"/>
        <v>1663.4444444444443</v>
      </c>
      <c r="E343" s="121"/>
      <c r="F343" s="121"/>
      <c r="G343" s="121"/>
      <c r="H343" s="121"/>
      <c r="I343" s="121"/>
      <c r="J343" s="121"/>
      <c r="K343" s="261"/>
    </row>
    <row r="344" spans="1:11" ht="28.5" customHeight="1" x14ac:dyDescent="0.3">
      <c r="A344" s="135" t="s">
        <v>81</v>
      </c>
      <c r="B344" s="121"/>
      <c r="C344" s="121"/>
      <c r="D344" s="121"/>
      <c r="E344" s="121"/>
      <c r="F344" s="121"/>
      <c r="G344" s="121"/>
      <c r="H344" s="121"/>
      <c r="I344" s="121"/>
      <c r="J344" s="121"/>
      <c r="K344" s="261"/>
    </row>
    <row r="345" spans="1:11" ht="70.5" customHeight="1" x14ac:dyDescent="0.3">
      <c r="A345" s="120" t="s">
        <v>297</v>
      </c>
      <c r="B345" s="121"/>
      <c r="C345" s="121">
        <f>D345</f>
        <v>311.45639688132957</v>
      </c>
      <c r="D345" s="121">
        <f>D332/901025*100</f>
        <v>311.45639688132957</v>
      </c>
      <c r="E345" s="121"/>
      <c r="F345" s="121"/>
      <c r="G345" s="121"/>
      <c r="H345" s="121"/>
      <c r="I345" s="121"/>
      <c r="J345" s="121"/>
      <c r="K345" s="261"/>
    </row>
    <row r="346" spans="1:11" ht="51.75" customHeight="1" x14ac:dyDescent="0.3">
      <c r="A346" s="493" t="s">
        <v>477</v>
      </c>
      <c r="B346" s="494"/>
      <c r="C346" s="494"/>
      <c r="D346" s="494"/>
      <c r="E346" s="494"/>
      <c r="F346" s="494"/>
      <c r="G346" s="494"/>
      <c r="H346" s="494"/>
      <c r="I346" s="494"/>
      <c r="J346" s="494"/>
      <c r="K346" s="495"/>
    </row>
    <row r="347" spans="1:11" ht="34.5" customHeight="1" x14ac:dyDescent="0.3">
      <c r="A347" s="261" t="s">
        <v>77</v>
      </c>
      <c r="B347" s="121"/>
      <c r="C347" s="121"/>
      <c r="D347" s="121"/>
      <c r="E347" s="121"/>
      <c r="F347" s="121"/>
      <c r="G347" s="121"/>
      <c r="H347" s="121"/>
      <c r="I347" s="121"/>
      <c r="J347" s="121"/>
      <c r="K347" s="261"/>
    </row>
    <row r="348" spans="1:11" ht="29.25" customHeight="1" x14ac:dyDescent="0.3">
      <c r="A348" s="120" t="s">
        <v>231</v>
      </c>
      <c r="B348" s="119">
        <f>F348+I348</f>
        <v>4158500</v>
      </c>
      <c r="C348" s="119"/>
      <c r="D348" s="119"/>
      <c r="E348" s="119"/>
      <c r="F348" s="119">
        <f>G348</f>
        <v>2500000</v>
      </c>
      <c r="G348" s="119">
        <f>Дод.3!J160*1000</f>
        <v>2500000</v>
      </c>
      <c r="H348" s="119"/>
      <c r="I348" s="119">
        <f>J348</f>
        <v>1658500</v>
      </c>
      <c r="J348" s="119">
        <f>Дод.3!K160*1000</f>
        <v>1658500</v>
      </c>
      <c r="K348" s="261"/>
    </row>
    <row r="349" spans="1:11" ht="30.75" customHeight="1" x14ac:dyDescent="0.3">
      <c r="A349" s="120" t="s">
        <v>236</v>
      </c>
      <c r="B349" s="121"/>
      <c r="C349" s="121"/>
      <c r="D349" s="121"/>
      <c r="E349" s="121"/>
      <c r="F349" s="121">
        <f t="shared" ref="F349:F359" si="13">G349</f>
        <v>1002458</v>
      </c>
      <c r="G349" s="121">
        <v>1002458</v>
      </c>
      <c r="H349" s="121"/>
      <c r="I349" s="121">
        <f t="shared" ref="I349:I361" si="14">J349</f>
        <v>1148830</v>
      </c>
      <c r="J349" s="121">
        <v>1148830</v>
      </c>
      <c r="K349" s="261"/>
    </row>
    <row r="350" spans="1:11" ht="51.75" customHeight="1" x14ac:dyDescent="0.3">
      <c r="A350" s="120" t="s">
        <v>237</v>
      </c>
      <c r="B350" s="121"/>
      <c r="C350" s="121"/>
      <c r="D350" s="121"/>
      <c r="E350" s="121"/>
      <c r="F350" s="121">
        <f t="shared" si="13"/>
        <v>444572</v>
      </c>
      <c r="G350" s="121">
        <v>444572</v>
      </c>
      <c r="H350" s="121"/>
      <c r="I350" s="121">
        <f t="shared" si="14"/>
        <v>466350</v>
      </c>
      <c r="J350" s="121">
        <v>466350</v>
      </c>
      <c r="K350" s="261"/>
    </row>
    <row r="351" spans="1:11" ht="30.75" customHeight="1" x14ac:dyDescent="0.3">
      <c r="A351" s="120" t="s">
        <v>238</v>
      </c>
      <c r="B351" s="121"/>
      <c r="C351" s="121"/>
      <c r="D351" s="121"/>
      <c r="E351" s="121"/>
      <c r="F351" s="121">
        <f t="shared" si="13"/>
        <v>52970</v>
      </c>
      <c r="G351" s="121">
        <v>52970</v>
      </c>
      <c r="H351" s="121"/>
      <c r="I351" s="121">
        <f t="shared" si="14"/>
        <v>42320</v>
      </c>
      <c r="J351" s="121">
        <v>42320</v>
      </c>
      <c r="K351" s="261"/>
    </row>
    <row r="352" spans="1:11" ht="40.5" customHeight="1" x14ac:dyDescent="0.3">
      <c r="A352" s="261" t="s">
        <v>79</v>
      </c>
      <c r="B352" s="121"/>
      <c r="C352" s="121"/>
      <c r="D352" s="121"/>
      <c r="E352" s="121"/>
      <c r="F352" s="121"/>
      <c r="G352" s="121"/>
      <c r="H352" s="121"/>
      <c r="I352" s="121"/>
      <c r="J352" s="121"/>
      <c r="K352" s="261"/>
    </row>
    <row r="353" spans="1:11" ht="38.25" customHeight="1" x14ac:dyDescent="0.3">
      <c r="A353" s="120" t="s">
        <v>294</v>
      </c>
      <c r="B353" s="121"/>
      <c r="C353" s="121"/>
      <c r="D353" s="121"/>
      <c r="E353" s="121"/>
      <c r="F353" s="121">
        <f t="shared" si="13"/>
        <v>272</v>
      </c>
      <c r="G353" s="121">
        <v>272</v>
      </c>
      <c r="H353" s="121"/>
      <c r="I353" s="121">
        <f t="shared" si="14"/>
        <v>284</v>
      </c>
      <c r="J353" s="121">
        <v>284</v>
      </c>
      <c r="K353" s="261"/>
    </row>
    <row r="354" spans="1:11" ht="57" customHeight="1" x14ac:dyDescent="0.3">
      <c r="A354" s="120" t="s">
        <v>295</v>
      </c>
      <c r="B354" s="121"/>
      <c r="C354" s="121"/>
      <c r="D354" s="121"/>
      <c r="E354" s="121"/>
      <c r="F354" s="121">
        <f t="shared" si="13"/>
        <v>110</v>
      </c>
      <c r="G354" s="121">
        <v>110</v>
      </c>
      <c r="H354" s="121"/>
      <c r="I354" s="121">
        <f t="shared" si="14"/>
        <v>83</v>
      </c>
      <c r="J354" s="121">
        <v>83</v>
      </c>
      <c r="K354" s="261"/>
    </row>
    <row r="355" spans="1:11" ht="51.75" customHeight="1" x14ac:dyDescent="0.3">
      <c r="A355" s="120" t="s">
        <v>296</v>
      </c>
      <c r="B355" s="121"/>
      <c r="C355" s="121"/>
      <c r="D355" s="121"/>
      <c r="E355" s="121"/>
      <c r="F355" s="121">
        <f t="shared" si="13"/>
        <v>38</v>
      </c>
      <c r="G355" s="121">
        <v>38</v>
      </c>
      <c r="H355" s="121"/>
      <c r="I355" s="121">
        <f t="shared" si="14"/>
        <v>37</v>
      </c>
      <c r="J355" s="121">
        <v>37</v>
      </c>
      <c r="K355" s="261"/>
    </row>
    <row r="356" spans="1:11" ht="51.75" customHeight="1" x14ac:dyDescent="0.3">
      <c r="A356" s="261" t="s">
        <v>80</v>
      </c>
      <c r="B356" s="121"/>
      <c r="C356" s="121"/>
      <c r="D356" s="121"/>
      <c r="E356" s="121"/>
      <c r="F356" s="121"/>
      <c r="G356" s="121"/>
      <c r="H356" s="121"/>
      <c r="I356" s="121"/>
      <c r="J356" s="121"/>
      <c r="K356" s="261"/>
    </row>
    <row r="357" spans="1:11" ht="51.75" customHeight="1" x14ac:dyDescent="0.3">
      <c r="A357" s="125" t="s">
        <v>239</v>
      </c>
      <c r="B357" s="121"/>
      <c r="C357" s="121"/>
      <c r="D357" s="121"/>
      <c r="E357" s="121"/>
      <c r="F357" s="121">
        <f t="shared" si="13"/>
        <v>3685.5073529411766</v>
      </c>
      <c r="G357" s="121">
        <f>G349/G353</f>
        <v>3685.5073529411766</v>
      </c>
      <c r="H357" s="121"/>
      <c r="I357" s="121">
        <f t="shared" si="14"/>
        <v>4045.176056338028</v>
      </c>
      <c r="J357" s="121">
        <f>J349/J353</f>
        <v>4045.176056338028</v>
      </c>
      <c r="K357" s="261"/>
    </row>
    <row r="358" spans="1:11" ht="51.75" customHeight="1" x14ac:dyDescent="0.3">
      <c r="A358" s="125" t="s">
        <v>240</v>
      </c>
      <c r="B358" s="121"/>
      <c r="C358" s="121"/>
      <c r="D358" s="121"/>
      <c r="E358" s="121"/>
      <c r="F358" s="121">
        <f t="shared" si="13"/>
        <v>4041.5636363636363</v>
      </c>
      <c r="G358" s="121">
        <f>G350/G354</f>
        <v>4041.5636363636363</v>
      </c>
      <c r="H358" s="121"/>
      <c r="I358" s="121">
        <f t="shared" si="14"/>
        <v>5618.674698795181</v>
      </c>
      <c r="J358" s="121">
        <f>J350/J354</f>
        <v>5618.674698795181</v>
      </c>
      <c r="K358" s="261"/>
    </row>
    <row r="359" spans="1:11" ht="51.75" customHeight="1" x14ac:dyDescent="0.3">
      <c r="A359" s="125" t="s">
        <v>241</v>
      </c>
      <c r="B359" s="121"/>
      <c r="C359" s="121"/>
      <c r="D359" s="121"/>
      <c r="E359" s="121"/>
      <c r="F359" s="121">
        <f t="shared" si="13"/>
        <v>1393.9473684210527</v>
      </c>
      <c r="G359" s="121">
        <f>G351/G355</f>
        <v>1393.9473684210527</v>
      </c>
      <c r="H359" s="121"/>
      <c r="I359" s="121">
        <f t="shared" si="14"/>
        <v>1143.7837837837837</v>
      </c>
      <c r="J359" s="121">
        <f>J351/J355</f>
        <v>1143.7837837837837</v>
      </c>
      <c r="K359" s="261"/>
    </row>
    <row r="360" spans="1:11" ht="36" customHeight="1" x14ac:dyDescent="0.3">
      <c r="A360" s="135" t="s">
        <v>81</v>
      </c>
      <c r="B360" s="121"/>
      <c r="C360" s="121"/>
      <c r="D360" s="121"/>
      <c r="E360" s="121"/>
      <c r="F360" s="121"/>
      <c r="G360" s="121"/>
      <c r="H360" s="121"/>
      <c r="I360" s="121"/>
      <c r="J360" s="121"/>
      <c r="K360" s="261"/>
    </row>
    <row r="361" spans="1:11" ht="85.5" customHeight="1" x14ac:dyDescent="0.3">
      <c r="A361" s="120" t="s">
        <v>297</v>
      </c>
      <c r="B361" s="121"/>
      <c r="C361" s="121"/>
      <c r="D361" s="121"/>
      <c r="E361" s="121"/>
      <c r="F361" s="121">
        <f>G361</f>
        <v>89.085272422763069</v>
      </c>
      <c r="G361" s="121">
        <f>G348/D332*100</f>
        <v>89.085272422763069</v>
      </c>
      <c r="H361" s="121"/>
      <c r="I361" s="121">
        <f t="shared" si="14"/>
        <v>66.34</v>
      </c>
      <c r="J361" s="121">
        <f>J348/G348*100</f>
        <v>66.34</v>
      </c>
      <c r="K361" s="261"/>
    </row>
    <row r="362" spans="1:11" ht="28.5" customHeight="1" x14ac:dyDescent="0.3">
      <c r="A362" s="498" t="s">
        <v>478</v>
      </c>
      <c r="B362" s="499"/>
      <c r="C362" s="499"/>
      <c r="D362" s="499"/>
      <c r="E362" s="499"/>
      <c r="F362" s="499"/>
      <c r="G362" s="499"/>
      <c r="H362" s="499"/>
      <c r="I362" s="499"/>
      <c r="J362" s="499"/>
      <c r="K362" s="500"/>
    </row>
    <row r="363" spans="1:11" ht="28.5" customHeight="1" x14ac:dyDescent="0.3">
      <c r="A363" s="261" t="s">
        <v>77</v>
      </c>
      <c r="B363" s="261"/>
      <c r="C363" s="261"/>
      <c r="D363" s="120"/>
      <c r="E363" s="261"/>
      <c r="F363" s="261"/>
      <c r="G363" s="261"/>
      <c r="H363" s="261"/>
      <c r="I363" s="261"/>
      <c r="J363" s="261"/>
      <c r="K363" s="261"/>
    </row>
    <row r="364" spans="1:11" ht="28.5" customHeight="1" x14ac:dyDescent="0.3">
      <c r="A364" s="120" t="s">
        <v>242</v>
      </c>
      <c r="B364" s="119">
        <f>C364+F364+I364</f>
        <v>2061600</v>
      </c>
      <c r="C364" s="119">
        <f>D364+E364</f>
        <v>2061600</v>
      </c>
      <c r="D364" s="119">
        <f>Дод.3!I164*1000</f>
        <v>2061600</v>
      </c>
      <c r="E364" s="119"/>
      <c r="F364" s="119"/>
      <c r="G364" s="119"/>
      <c r="H364" s="119"/>
      <c r="I364" s="119"/>
      <c r="J364" s="119"/>
      <c r="K364" s="119"/>
    </row>
    <row r="365" spans="1:11" ht="28.5" customHeight="1" x14ac:dyDescent="0.3">
      <c r="A365" s="261" t="s">
        <v>79</v>
      </c>
      <c r="B365" s="121"/>
      <c r="C365" s="121"/>
      <c r="D365" s="121"/>
      <c r="E365" s="121"/>
      <c r="F365" s="121"/>
      <c r="G365" s="121"/>
      <c r="H365" s="121"/>
      <c r="I365" s="121"/>
      <c r="J365" s="121"/>
      <c r="K365" s="119"/>
    </row>
    <row r="366" spans="1:11" ht="57" customHeight="1" x14ac:dyDescent="0.3">
      <c r="A366" s="120" t="s">
        <v>190</v>
      </c>
      <c r="B366" s="121"/>
      <c r="C366" s="121">
        <f>D366</f>
        <v>742</v>
      </c>
      <c r="D366" s="121">
        <f>558+184</f>
        <v>742</v>
      </c>
      <c r="E366" s="121"/>
      <c r="F366" s="121"/>
      <c r="G366" s="121"/>
      <c r="H366" s="121"/>
      <c r="I366" s="121"/>
      <c r="J366" s="121"/>
      <c r="K366" s="119"/>
    </row>
    <row r="367" spans="1:11" ht="28.5" customHeight="1" x14ac:dyDescent="0.3">
      <c r="A367" s="261" t="s">
        <v>80</v>
      </c>
      <c r="B367" s="121"/>
      <c r="C367" s="121"/>
      <c r="D367" s="121"/>
      <c r="E367" s="121"/>
      <c r="F367" s="121"/>
      <c r="G367" s="121"/>
      <c r="H367" s="121"/>
      <c r="I367" s="121"/>
      <c r="J367" s="121"/>
      <c r="K367" s="119"/>
    </row>
    <row r="368" spans="1:11" ht="64.5" customHeight="1" x14ac:dyDescent="0.3">
      <c r="A368" s="125" t="s">
        <v>189</v>
      </c>
      <c r="B368" s="121"/>
      <c r="C368" s="121">
        <f>D368</f>
        <v>2778.4366576819407</v>
      </c>
      <c r="D368" s="121">
        <f>D364/D366</f>
        <v>2778.4366576819407</v>
      </c>
      <c r="E368" s="121"/>
      <c r="F368" s="121"/>
      <c r="G368" s="121"/>
      <c r="H368" s="121"/>
      <c r="I368" s="121"/>
      <c r="J368" s="121"/>
      <c r="K368" s="119"/>
    </row>
    <row r="369" spans="1:11" ht="28.5" customHeight="1" x14ac:dyDescent="0.3">
      <c r="A369" s="135" t="s">
        <v>81</v>
      </c>
      <c r="B369" s="121"/>
      <c r="C369" s="121"/>
      <c r="D369" s="121"/>
      <c r="E369" s="121"/>
      <c r="F369" s="121"/>
      <c r="G369" s="121"/>
      <c r="H369" s="121"/>
      <c r="I369" s="121"/>
      <c r="J369" s="121"/>
      <c r="K369" s="119"/>
    </row>
    <row r="370" spans="1:11" ht="72" customHeight="1" x14ac:dyDescent="0.3">
      <c r="A370" s="120" t="s">
        <v>188</v>
      </c>
      <c r="B370" s="121"/>
      <c r="C370" s="121">
        <f>D370</f>
        <v>82.463999999999999</v>
      </c>
      <c r="D370" s="121">
        <f>D364/2500000*100</f>
        <v>82.463999999999999</v>
      </c>
      <c r="E370" s="121"/>
      <c r="F370" s="121"/>
      <c r="G370" s="121"/>
      <c r="H370" s="121"/>
      <c r="I370" s="121"/>
      <c r="J370" s="121"/>
      <c r="K370" s="119"/>
    </row>
    <row r="371" spans="1:11" ht="51" customHeight="1" x14ac:dyDescent="0.3">
      <c r="A371" s="493" t="s">
        <v>479</v>
      </c>
      <c r="B371" s="494"/>
      <c r="C371" s="494"/>
      <c r="D371" s="494"/>
      <c r="E371" s="494"/>
      <c r="F371" s="494"/>
      <c r="G371" s="494"/>
      <c r="H371" s="494"/>
      <c r="I371" s="494"/>
      <c r="J371" s="494"/>
      <c r="K371" s="495"/>
    </row>
    <row r="372" spans="1:11" ht="30" customHeight="1" x14ac:dyDescent="0.3">
      <c r="A372" s="261" t="s">
        <v>77</v>
      </c>
      <c r="B372" s="121"/>
      <c r="C372" s="121"/>
      <c r="D372" s="121"/>
      <c r="E372" s="121"/>
      <c r="F372" s="121"/>
      <c r="G372" s="121"/>
      <c r="H372" s="121"/>
      <c r="I372" s="121"/>
      <c r="J372" s="121"/>
      <c r="K372" s="119"/>
    </row>
    <row r="373" spans="1:11" ht="39.75" customHeight="1" x14ac:dyDescent="0.3">
      <c r="A373" s="120" t="s">
        <v>242</v>
      </c>
      <c r="B373" s="119">
        <f>F373+I373</f>
        <v>5132100</v>
      </c>
      <c r="C373" s="119"/>
      <c r="D373" s="119"/>
      <c r="E373" s="119"/>
      <c r="F373" s="119">
        <f>G373</f>
        <v>2196600</v>
      </c>
      <c r="G373" s="119">
        <f>Дод.3!J167*1000</f>
        <v>2196600</v>
      </c>
      <c r="H373" s="119"/>
      <c r="I373" s="119">
        <f>J373</f>
        <v>2935500</v>
      </c>
      <c r="J373" s="119">
        <f>Дод.3!K167*1000</f>
        <v>2935500</v>
      </c>
      <c r="K373" s="119"/>
    </row>
    <row r="374" spans="1:11" ht="31.5" customHeight="1" x14ac:dyDescent="0.3">
      <c r="A374" s="261" t="s">
        <v>79</v>
      </c>
      <c r="B374" s="121"/>
      <c r="C374" s="121"/>
      <c r="D374" s="121"/>
      <c r="E374" s="121"/>
      <c r="F374" s="121"/>
      <c r="G374" s="121"/>
      <c r="H374" s="121"/>
      <c r="I374" s="121"/>
      <c r="J374" s="121"/>
      <c r="K374" s="119"/>
    </row>
    <row r="375" spans="1:11" ht="62.25" customHeight="1" x14ac:dyDescent="0.3">
      <c r="A375" s="120" t="s">
        <v>190</v>
      </c>
      <c r="B375" s="121"/>
      <c r="C375" s="121"/>
      <c r="D375" s="121"/>
      <c r="E375" s="121"/>
      <c r="F375" s="121">
        <f>G375</f>
        <v>654</v>
      </c>
      <c r="G375" s="121">
        <v>654</v>
      </c>
      <c r="H375" s="121"/>
      <c r="I375" s="121">
        <f>J375</f>
        <v>742</v>
      </c>
      <c r="J375" s="121">
        <v>742</v>
      </c>
      <c r="K375" s="119"/>
    </row>
    <row r="376" spans="1:11" ht="26.25" customHeight="1" x14ac:dyDescent="0.3">
      <c r="A376" s="261" t="s">
        <v>80</v>
      </c>
      <c r="B376" s="121"/>
      <c r="C376" s="121"/>
      <c r="D376" s="121"/>
      <c r="E376" s="121"/>
      <c r="F376" s="121"/>
      <c r="G376" s="121"/>
      <c r="H376" s="121"/>
      <c r="I376" s="121"/>
      <c r="J376" s="121"/>
      <c r="K376" s="119"/>
    </row>
    <row r="377" spans="1:11" ht="58.5" customHeight="1" x14ac:dyDescent="0.3">
      <c r="A377" s="125" t="s">
        <v>189</v>
      </c>
      <c r="B377" s="121"/>
      <c r="C377" s="121"/>
      <c r="D377" s="121"/>
      <c r="E377" s="121"/>
      <c r="F377" s="121">
        <f>G377</f>
        <v>3358.7155963302753</v>
      </c>
      <c r="G377" s="121">
        <f>G373/G375</f>
        <v>3358.7155963302753</v>
      </c>
      <c r="H377" s="121"/>
      <c r="I377" s="121">
        <f>J377</f>
        <v>3956.1994609164421</v>
      </c>
      <c r="J377" s="121">
        <f>J373/J375</f>
        <v>3956.1994609164421</v>
      </c>
      <c r="K377" s="119"/>
    </row>
    <row r="378" spans="1:11" ht="33.75" customHeight="1" x14ac:dyDescent="0.3">
      <c r="A378" s="135" t="s">
        <v>81</v>
      </c>
      <c r="B378" s="121"/>
      <c r="C378" s="121"/>
      <c r="D378" s="121"/>
      <c r="E378" s="121"/>
      <c r="F378" s="121"/>
      <c r="G378" s="121"/>
      <c r="H378" s="121"/>
      <c r="I378" s="121"/>
      <c r="J378" s="121"/>
      <c r="K378" s="119"/>
    </row>
    <row r="379" spans="1:11" ht="72" customHeight="1" x14ac:dyDescent="0.3">
      <c r="A379" s="120" t="s">
        <v>188</v>
      </c>
      <c r="B379" s="121"/>
      <c r="C379" s="121"/>
      <c r="D379" s="121"/>
      <c r="E379" s="121"/>
      <c r="F379" s="121">
        <f>G379</f>
        <v>106.54831199068684</v>
      </c>
      <c r="G379" s="121">
        <f>G373/D364*100</f>
        <v>106.54831199068684</v>
      </c>
      <c r="H379" s="121"/>
      <c r="I379" s="121">
        <f>J379</f>
        <v>133.63835017754712</v>
      </c>
      <c r="J379" s="121">
        <f>J373/G373*100</f>
        <v>133.63835017754712</v>
      </c>
      <c r="K379" s="119"/>
    </row>
    <row r="380" spans="1:11" ht="28.5" customHeight="1" x14ac:dyDescent="0.3">
      <c r="A380" s="498" t="s">
        <v>480</v>
      </c>
      <c r="B380" s="499"/>
      <c r="C380" s="499"/>
      <c r="D380" s="499"/>
      <c r="E380" s="499"/>
      <c r="F380" s="499"/>
      <c r="G380" s="499"/>
      <c r="H380" s="499"/>
      <c r="I380" s="499"/>
      <c r="J380" s="499"/>
      <c r="K380" s="500"/>
    </row>
    <row r="381" spans="1:11" ht="28.5" customHeight="1" x14ac:dyDescent="0.3">
      <c r="A381" s="261" t="s">
        <v>77</v>
      </c>
      <c r="B381" s="261"/>
      <c r="C381" s="261"/>
      <c r="D381" s="120"/>
      <c r="E381" s="261"/>
      <c r="F381" s="261"/>
      <c r="G381" s="261"/>
      <c r="H381" s="261"/>
      <c r="I381" s="261"/>
      <c r="J381" s="261"/>
      <c r="K381" s="261"/>
    </row>
    <row r="382" spans="1:11" ht="28.5" customHeight="1" x14ac:dyDescent="0.3">
      <c r="A382" s="120" t="s">
        <v>242</v>
      </c>
      <c r="B382" s="119">
        <f>C382+F382+I382</f>
        <v>364800</v>
      </c>
      <c r="C382" s="119">
        <f>D382+E382</f>
        <v>364800</v>
      </c>
      <c r="D382" s="121">
        <f>Дод.3!I170*1000</f>
        <v>364800</v>
      </c>
      <c r="E382" s="119"/>
      <c r="F382" s="119"/>
      <c r="G382" s="119"/>
      <c r="H382" s="119"/>
      <c r="I382" s="119"/>
      <c r="J382" s="119"/>
      <c r="K382" s="119"/>
    </row>
    <row r="383" spans="1:11" ht="28.5" customHeight="1" x14ac:dyDescent="0.3">
      <c r="A383" s="261" t="s">
        <v>79</v>
      </c>
      <c r="B383" s="121"/>
      <c r="C383" s="121"/>
      <c r="D383" s="121"/>
      <c r="E383" s="121"/>
      <c r="F383" s="121"/>
      <c r="G383" s="121"/>
      <c r="H383" s="121"/>
      <c r="I383" s="121"/>
      <c r="J383" s="121"/>
      <c r="K383" s="119"/>
    </row>
    <row r="384" spans="1:11" ht="28.5" customHeight="1" x14ac:dyDescent="0.3">
      <c r="A384" s="120" t="s">
        <v>78</v>
      </c>
      <c r="B384" s="121"/>
      <c r="C384" s="121">
        <f>D384</f>
        <v>1</v>
      </c>
      <c r="D384" s="121">
        <v>1</v>
      </c>
      <c r="E384" s="121"/>
      <c r="F384" s="121"/>
      <c r="G384" s="121"/>
      <c r="H384" s="121"/>
      <c r="I384" s="121"/>
      <c r="J384" s="121"/>
      <c r="K384" s="119"/>
    </row>
    <row r="385" spans="1:11" ht="60" customHeight="1" x14ac:dyDescent="0.3">
      <c r="A385" s="120" t="s">
        <v>84</v>
      </c>
      <c r="B385" s="121"/>
      <c r="C385" s="121">
        <f>D385</f>
        <v>99</v>
      </c>
      <c r="D385" s="121">
        <v>99</v>
      </c>
      <c r="E385" s="121"/>
      <c r="F385" s="121"/>
      <c r="G385" s="121"/>
      <c r="H385" s="121"/>
      <c r="I385" s="121"/>
      <c r="J385" s="121"/>
      <c r="K385" s="119"/>
    </row>
    <row r="386" spans="1:11" ht="60.75" customHeight="1" x14ac:dyDescent="0.3">
      <c r="A386" s="120" t="s">
        <v>326</v>
      </c>
      <c r="B386" s="121"/>
      <c r="C386" s="121">
        <f>D386</f>
        <v>4</v>
      </c>
      <c r="D386" s="121">
        <v>4</v>
      </c>
      <c r="E386" s="121"/>
      <c r="F386" s="121"/>
      <c r="G386" s="121"/>
      <c r="H386" s="121"/>
      <c r="I386" s="121"/>
      <c r="J386" s="121"/>
      <c r="K386" s="119"/>
    </row>
    <row r="387" spans="1:11" ht="28.5" customHeight="1" x14ac:dyDescent="0.3">
      <c r="A387" s="261" t="s">
        <v>80</v>
      </c>
      <c r="B387" s="121"/>
      <c r="C387" s="121"/>
      <c r="D387" s="121"/>
      <c r="E387" s="121"/>
      <c r="F387" s="121"/>
      <c r="G387" s="121"/>
      <c r="H387" s="121"/>
      <c r="I387" s="121"/>
      <c r="J387" s="121"/>
      <c r="K387" s="119"/>
    </row>
    <row r="388" spans="1:11" ht="59.25" customHeight="1" x14ac:dyDescent="0.3">
      <c r="A388" s="125" t="s">
        <v>328</v>
      </c>
      <c r="B388" s="121"/>
      <c r="C388" s="121">
        <f>D388</f>
        <v>3030.3030303030305</v>
      </c>
      <c r="D388" s="121">
        <f>300000/99</f>
        <v>3030.3030303030305</v>
      </c>
      <c r="E388" s="121"/>
      <c r="F388" s="121"/>
      <c r="G388" s="121"/>
      <c r="H388" s="121"/>
      <c r="I388" s="121"/>
      <c r="J388" s="121"/>
      <c r="K388" s="119"/>
    </row>
    <row r="389" spans="1:11" ht="54" customHeight="1" x14ac:dyDescent="0.3">
      <c r="A389" s="125" t="s">
        <v>327</v>
      </c>
      <c r="B389" s="121"/>
      <c r="C389" s="121">
        <f>D389</f>
        <v>16200</v>
      </c>
      <c r="D389" s="121">
        <f>64800/4</f>
        <v>16200</v>
      </c>
      <c r="E389" s="121"/>
      <c r="F389" s="121"/>
      <c r="G389" s="121"/>
      <c r="H389" s="121"/>
      <c r="I389" s="121"/>
      <c r="J389" s="121"/>
      <c r="K389" s="119"/>
    </row>
    <row r="390" spans="1:11" ht="28.5" customHeight="1" x14ac:dyDescent="0.3">
      <c r="A390" s="136" t="s">
        <v>81</v>
      </c>
      <c r="B390" s="121"/>
      <c r="C390" s="121"/>
      <c r="D390" s="121"/>
      <c r="E390" s="121"/>
      <c r="F390" s="121"/>
      <c r="G390" s="121"/>
      <c r="H390" s="121"/>
      <c r="I390" s="121"/>
      <c r="J390" s="121"/>
      <c r="K390" s="119"/>
    </row>
    <row r="391" spans="1:11" ht="47.25" customHeight="1" x14ac:dyDescent="0.3">
      <c r="A391" s="125" t="s">
        <v>329</v>
      </c>
      <c r="B391" s="121"/>
      <c r="C391" s="121">
        <f>D391</f>
        <v>100</v>
      </c>
      <c r="D391" s="121">
        <v>100</v>
      </c>
      <c r="E391" s="121"/>
      <c r="F391" s="121"/>
      <c r="G391" s="121"/>
      <c r="H391" s="121"/>
      <c r="I391" s="121"/>
      <c r="J391" s="121"/>
      <c r="K391" s="119"/>
    </row>
    <row r="392" spans="1:11" ht="60.75" customHeight="1" x14ac:dyDescent="0.3">
      <c r="A392" s="125" t="s">
        <v>329</v>
      </c>
      <c r="B392" s="121"/>
      <c r="C392" s="121">
        <f>D392</f>
        <v>100</v>
      </c>
      <c r="D392" s="121">
        <v>100</v>
      </c>
      <c r="E392" s="121"/>
      <c r="F392" s="121"/>
      <c r="G392" s="121"/>
      <c r="H392" s="121"/>
      <c r="I392" s="121"/>
      <c r="J392" s="121"/>
      <c r="K392" s="119"/>
    </row>
    <row r="393" spans="1:11" ht="51" customHeight="1" x14ac:dyDescent="0.3">
      <c r="A393" s="509" t="s">
        <v>481</v>
      </c>
      <c r="B393" s="510"/>
      <c r="C393" s="510"/>
      <c r="D393" s="510"/>
      <c r="E393" s="510"/>
      <c r="F393" s="510"/>
      <c r="G393" s="510"/>
      <c r="H393" s="510"/>
      <c r="I393" s="510"/>
      <c r="J393" s="510"/>
      <c r="K393" s="511"/>
    </row>
    <row r="394" spans="1:11" ht="37.5" customHeight="1" x14ac:dyDescent="0.3">
      <c r="A394" s="261" t="s">
        <v>77</v>
      </c>
      <c r="B394" s="121"/>
      <c r="C394" s="121"/>
      <c r="D394" s="121"/>
      <c r="E394" s="121"/>
      <c r="F394" s="121"/>
      <c r="G394" s="121"/>
      <c r="H394" s="121"/>
      <c r="I394" s="121"/>
      <c r="J394" s="121"/>
      <c r="K394" s="119"/>
    </row>
    <row r="395" spans="1:11" ht="26.25" customHeight="1" x14ac:dyDescent="0.3">
      <c r="A395" s="120" t="s">
        <v>242</v>
      </c>
      <c r="B395" s="119">
        <f>F395+I395</f>
        <v>631700</v>
      </c>
      <c r="C395" s="119"/>
      <c r="D395" s="119"/>
      <c r="E395" s="119"/>
      <c r="F395" s="119">
        <f>G395</f>
        <v>300000</v>
      </c>
      <c r="G395" s="119">
        <f>Дод.3!J171*1000</f>
        <v>300000</v>
      </c>
      <c r="H395" s="119"/>
      <c r="I395" s="119">
        <f>J395</f>
        <v>331700</v>
      </c>
      <c r="J395" s="119">
        <f>Дод.3!K171*1000</f>
        <v>331700</v>
      </c>
      <c r="K395" s="119"/>
    </row>
    <row r="396" spans="1:11" ht="30" customHeight="1" x14ac:dyDescent="0.3">
      <c r="A396" s="261" t="s">
        <v>79</v>
      </c>
      <c r="B396" s="121"/>
      <c r="C396" s="121"/>
      <c r="D396" s="121"/>
      <c r="E396" s="121"/>
      <c r="F396" s="121"/>
      <c r="G396" s="121"/>
      <c r="H396" s="121"/>
      <c r="I396" s="121"/>
      <c r="J396" s="121"/>
      <c r="K396" s="119"/>
    </row>
    <row r="397" spans="1:11" ht="32.25" customHeight="1" x14ac:dyDescent="0.3">
      <c r="A397" s="120" t="s">
        <v>78</v>
      </c>
      <c r="B397" s="121"/>
      <c r="C397" s="121"/>
      <c r="D397" s="121"/>
      <c r="E397" s="121"/>
      <c r="F397" s="121">
        <f t="shared" ref="F397:F405" si="15">G397</f>
        <v>1</v>
      </c>
      <c r="G397" s="121">
        <v>1</v>
      </c>
      <c r="H397" s="121"/>
      <c r="I397" s="121"/>
      <c r="J397" s="121">
        <v>1</v>
      </c>
      <c r="K397" s="119"/>
    </row>
    <row r="398" spans="1:11" ht="51" customHeight="1" x14ac:dyDescent="0.3">
      <c r="A398" s="120" t="s">
        <v>84</v>
      </c>
      <c r="B398" s="121"/>
      <c r="C398" s="121"/>
      <c r="D398" s="121"/>
      <c r="E398" s="121"/>
      <c r="F398" s="121">
        <f t="shared" si="15"/>
        <v>85</v>
      </c>
      <c r="G398" s="121">
        <v>85</v>
      </c>
      <c r="H398" s="121"/>
      <c r="I398" s="121"/>
      <c r="J398" s="121"/>
      <c r="K398" s="119"/>
    </row>
    <row r="399" spans="1:11" ht="51" customHeight="1" x14ac:dyDescent="0.3">
      <c r="A399" s="120" t="s">
        <v>326</v>
      </c>
      <c r="B399" s="121"/>
      <c r="C399" s="121"/>
      <c r="D399" s="121"/>
      <c r="E399" s="121"/>
      <c r="F399" s="121"/>
      <c r="G399" s="121"/>
      <c r="H399" s="121"/>
      <c r="I399" s="121"/>
      <c r="J399" s="121"/>
      <c r="K399" s="119"/>
    </row>
    <row r="400" spans="1:11" ht="30" customHeight="1" x14ac:dyDescent="0.3">
      <c r="A400" s="261" t="s">
        <v>80</v>
      </c>
      <c r="B400" s="121"/>
      <c r="C400" s="121"/>
      <c r="D400" s="121"/>
      <c r="E400" s="121"/>
      <c r="F400" s="121"/>
      <c r="G400" s="121"/>
      <c r="H400" s="121"/>
      <c r="I400" s="121"/>
      <c r="J400" s="121"/>
      <c r="K400" s="119"/>
    </row>
    <row r="401" spans="1:11" ht="51" customHeight="1" x14ac:dyDescent="0.3">
      <c r="A401" s="125" t="s">
        <v>328</v>
      </c>
      <c r="B401" s="121"/>
      <c r="C401" s="121"/>
      <c r="D401" s="121"/>
      <c r="E401" s="121"/>
      <c r="F401" s="121">
        <f t="shared" si="15"/>
        <v>3529</v>
      </c>
      <c r="G401" s="121">
        <v>3529</v>
      </c>
      <c r="H401" s="121"/>
      <c r="I401" s="121"/>
      <c r="J401" s="121"/>
      <c r="K401" s="119"/>
    </row>
    <row r="402" spans="1:11" ht="51" customHeight="1" x14ac:dyDescent="0.3">
      <c r="A402" s="125" t="s">
        <v>327</v>
      </c>
      <c r="B402" s="121"/>
      <c r="C402" s="121"/>
      <c r="D402" s="121"/>
      <c r="E402" s="121"/>
      <c r="F402" s="121"/>
      <c r="G402" s="121"/>
      <c r="H402" s="121"/>
      <c r="I402" s="121"/>
      <c r="J402" s="121"/>
      <c r="K402" s="119"/>
    </row>
    <row r="403" spans="1:11" ht="33.75" customHeight="1" x14ac:dyDescent="0.3">
      <c r="A403" s="136" t="s">
        <v>81</v>
      </c>
      <c r="B403" s="121"/>
      <c r="C403" s="121"/>
      <c r="D403" s="121"/>
      <c r="E403" s="121"/>
      <c r="F403" s="121"/>
      <c r="G403" s="121"/>
      <c r="H403" s="121"/>
      <c r="I403" s="121"/>
      <c r="J403" s="121"/>
      <c r="K403" s="119"/>
    </row>
    <row r="404" spans="1:11" ht="62.25" customHeight="1" x14ac:dyDescent="0.3">
      <c r="A404" s="125" t="s">
        <v>329</v>
      </c>
      <c r="B404" s="121"/>
      <c r="C404" s="121"/>
      <c r="D404" s="121"/>
      <c r="E404" s="121"/>
      <c r="F404" s="121">
        <f t="shared" si="15"/>
        <v>100</v>
      </c>
      <c r="G404" s="121">
        <v>100</v>
      </c>
      <c r="H404" s="121"/>
      <c r="I404" s="121"/>
      <c r="J404" s="121"/>
      <c r="K404" s="119"/>
    </row>
    <row r="405" spans="1:11" ht="57.75" customHeight="1" x14ac:dyDescent="0.3">
      <c r="A405" s="125" t="s">
        <v>329</v>
      </c>
      <c r="B405" s="121"/>
      <c r="C405" s="121"/>
      <c r="D405" s="121"/>
      <c r="E405" s="121"/>
      <c r="F405" s="121">
        <f t="shared" si="15"/>
        <v>100</v>
      </c>
      <c r="G405" s="121">
        <v>100</v>
      </c>
      <c r="H405" s="121"/>
      <c r="I405" s="121"/>
      <c r="J405" s="121"/>
      <c r="K405" s="119"/>
    </row>
    <row r="406" spans="1:11" ht="43.5" customHeight="1" x14ac:dyDescent="0.3">
      <c r="A406" s="496" t="s">
        <v>128</v>
      </c>
      <c r="B406" s="496"/>
      <c r="C406" s="496"/>
      <c r="D406" s="496"/>
      <c r="E406" s="496"/>
      <c r="F406" s="496"/>
      <c r="G406" s="496"/>
      <c r="H406" s="496"/>
      <c r="I406" s="496"/>
      <c r="J406" s="496"/>
      <c r="K406" s="496"/>
    </row>
    <row r="407" spans="1:11" ht="42" customHeight="1" x14ac:dyDescent="0.3">
      <c r="A407" s="265" t="s">
        <v>243</v>
      </c>
      <c r="B407" s="119">
        <f>B411+B429+B447+B454</f>
        <v>29042800</v>
      </c>
      <c r="C407" s="119">
        <f>D407+E407</f>
        <v>19491400</v>
      </c>
      <c r="D407" s="119">
        <f>D411+D447</f>
        <v>2954300</v>
      </c>
      <c r="E407" s="119">
        <f>E454</f>
        <v>16537099.999999998</v>
      </c>
      <c r="F407" s="119">
        <f>G407+H407</f>
        <v>5558000</v>
      </c>
      <c r="G407" s="119">
        <f>G429</f>
        <v>3813000</v>
      </c>
      <c r="H407" s="119">
        <f>H454</f>
        <v>1745000</v>
      </c>
      <c r="I407" s="119">
        <f>J407+K407</f>
        <v>3993400</v>
      </c>
      <c r="J407" s="119">
        <f>J429</f>
        <v>3993400</v>
      </c>
      <c r="K407" s="119">
        <f>K410</f>
        <v>0</v>
      </c>
    </row>
    <row r="408" spans="1:11" ht="28.5" customHeight="1" x14ac:dyDescent="0.3">
      <c r="A408" s="269" t="s">
        <v>272</v>
      </c>
      <c r="B408" s="262"/>
      <c r="C408" s="262"/>
      <c r="D408" s="262"/>
      <c r="E408" s="262"/>
      <c r="F408" s="262"/>
      <c r="G408" s="262"/>
      <c r="H408" s="262"/>
      <c r="I408" s="262"/>
      <c r="J408" s="262"/>
      <c r="K408" s="263"/>
    </row>
    <row r="409" spans="1:11" ht="57" customHeight="1" x14ac:dyDescent="0.3">
      <c r="A409" s="493" t="s">
        <v>482</v>
      </c>
      <c r="B409" s="494"/>
      <c r="C409" s="494"/>
      <c r="D409" s="494"/>
      <c r="E409" s="494"/>
      <c r="F409" s="494"/>
      <c r="G409" s="494"/>
      <c r="H409" s="494"/>
      <c r="I409" s="494"/>
      <c r="J409" s="494"/>
      <c r="K409" s="495"/>
    </row>
    <row r="410" spans="1:11" ht="28.5" customHeight="1" x14ac:dyDescent="0.3">
      <c r="A410" s="261" t="s">
        <v>77</v>
      </c>
      <c r="B410" s="261"/>
      <c r="C410" s="261"/>
      <c r="D410" s="261"/>
      <c r="E410" s="261"/>
      <c r="F410" s="120"/>
      <c r="G410" s="120"/>
      <c r="H410" s="261"/>
      <c r="I410" s="261"/>
      <c r="J410" s="261"/>
      <c r="K410" s="261"/>
    </row>
    <row r="411" spans="1:11" ht="28.5" customHeight="1" x14ac:dyDescent="0.3">
      <c r="A411" s="120" t="s">
        <v>244</v>
      </c>
      <c r="B411" s="119">
        <f>C411+F411+I411</f>
        <v>2933100</v>
      </c>
      <c r="C411" s="119">
        <f>D411+E411</f>
        <v>2933100</v>
      </c>
      <c r="D411" s="119">
        <f>Дод.3!I181*1000</f>
        <v>2933100</v>
      </c>
      <c r="E411" s="119"/>
      <c r="F411" s="119"/>
      <c r="G411" s="119"/>
      <c r="H411" s="119"/>
      <c r="I411" s="119"/>
      <c r="J411" s="119"/>
      <c r="K411" s="119"/>
    </row>
    <row r="412" spans="1:11" ht="28.5" customHeight="1" x14ac:dyDescent="0.3">
      <c r="A412" s="120" t="s">
        <v>178</v>
      </c>
      <c r="B412" s="119"/>
      <c r="C412" s="119">
        <v>2</v>
      </c>
      <c r="D412" s="119">
        <v>2</v>
      </c>
      <c r="E412" s="119"/>
      <c r="F412" s="119"/>
      <c r="G412" s="119"/>
      <c r="H412" s="119"/>
      <c r="I412" s="119"/>
      <c r="J412" s="119"/>
      <c r="K412" s="119"/>
    </row>
    <row r="413" spans="1:11" ht="28.5" customHeight="1" x14ac:dyDescent="0.3">
      <c r="A413" s="120" t="s">
        <v>298</v>
      </c>
      <c r="B413" s="119"/>
      <c r="C413" s="121">
        <f>D413</f>
        <v>1</v>
      </c>
      <c r="D413" s="121">
        <v>1</v>
      </c>
      <c r="E413" s="119"/>
      <c r="F413" s="121"/>
      <c r="G413" s="121"/>
      <c r="H413" s="119"/>
      <c r="I413" s="121"/>
      <c r="J413" s="121"/>
      <c r="K413" s="119"/>
    </row>
    <row r="414" spans="1:11" ht="28.5" customHeight="1" x14ac:dyDescent="0.3">
      <c r="A414" s="120" t="s">
        <v>299</v>
      </c>
      <c r="B414" s="119"/>
      <c r="C414" s="121">
        <v>1</v>
      </c>
      <c r="D414" s="121">
        <v>1</v>
      </c>
      <c r="E414" s="119"/>
      <c r="F414" s="121"/>
      <c r="G414" s="121"/>
      <c r="H414" s="119"/>
      <c r="I414" s="121"/>
      <c r="J414" s="121"/>
      <c r="K414" s="119"/>
    </row>
    <row r="415" spans="1:11" ht="28.5" customHeight="1" x14ac:dyDescent="0.3">
      <c r="A415" s="120" t="s">
        <v>245</v>
      </c>
      <c r="B415" s="119"/>
      <c r="C415" s="121">
        <f>C416+C417</f>
        <v>21</v>
      </c>
      <c r="D415" s="121">
        <f>D416+D417</f>
        <v>21</v>
      </c>
      <c r="E415" s="121"/>
      <c r="F415" s="121"/>
      <c r="G415" s="121"/>
      <c r="H415" s="121"/>
      <c r="I415" s="121"/>
      <c r="J415" s="121"/>
      <c r="K415" s="119"/>
    </row>
    <row r="416" spans="1:11" ht="28.5" customHeight="1" x14ac:dyDescent="0.3">
      <c r="A416" s="120" t="s">
        <v>202</v>
      </c>
      <c r="B416" s="119"/>
      <c r="C416" s="121">
        <f t="shared" ref="C416:C426" si="16">D416</f>
        <v>10</v>
      </c>
      <c r="D416" s="121">
        <v>10</v>
      </c>
      <c r="E416" s="119"/>
      <c r="F416" s="121"/>
      <c r="G416" s="121"/>
      <c r="H416" s="119"/>
      <c r="I416" s="121"/>
      <c r="J416" s="121"/>
      <c r="K416" s="119"/>
    </row>
    <row r="417" spans="1:11" ht="28.5" customHeight="1" x14ac:dyDescent="0.3">
      <c r="A417" s="120" t="s">
        <v>203</v>
      </c>
      <c r="B417" s="119"/>
      <c r="C417" s="121">
        <f t="shared" si="16"/>
        <v>11</v>
      </c>
      <c r="D417" s="121">
        <v>11</v>
      </c>
      <c r="E417" s="119"/>
      <c r="F417" s="121"/>
      <c r="G417" s="121"/>
      <c r="H417" s="119"/>
      <c r="I417" s="121"/>
      <c r="J417" s="121"/>
      <c r="K417" s="119"/>
    </row>
    <row r="418" spans="1:11" ht="28.5" customHeight="1" x14ac:dyDescent="0.3">
      <c r="A418" s="261" t="s">
        <v>79</v>
      </c>
      <c r="B418" s="121"/>
      <c r="C418" s="121"/>
      <c r="D418" s="121"/>
      <c r="E418" s="121"/>
      <c r="F418" s="121"/>
      <c r="G418" s="121"/>
      <c r="H418" s="121"/>
      <c r="I418" s="121"/>
      <c r="J418" s="121"/>
      <c r="K418" s="119"/>
    </row>
    <row r="419" spans="1:11" ht="54.75" customHeight="1" x14ac:dyDescent="0.3">
      <c r="A419" s="120" t="s">
        <v>300</v>
      </c>
      <c r="B419" s="121"/>
      <c r="C419" s="121">
        <f t="shared" si="16"/>
        <v>9</v>
      </c>
      <c r="D419" s="124">
        <v>9</v>
      </c>
      <c r="E419" s="121"/>
      <c r="F419" s="121"/>
      <c r="G419" s="124"/>
      <c r="H419" s="121"/>
      <c r="I419" s="121"/>
      <c r="J419" s="124"/>
      <c r="K419" s="119"/>
    </row>
    <row r="420" spans="1:11" ht="53.25" customHeight="1" x14ac:dyDescent="0.3">
      <c r="A420" s="120" t="s">
        <v>301</v>
      </c>
      <c r="B420" s="121"/>
      <c r="C420" s="121">
        <f t="shared" si="16"/>
        <v>800</v>
      </c>
      <c r="D420" s="124">
        <v>800</v>
      </c>
      <c r="E420" s="121"/>
      <c r="F420" s="121"/>
      <c r="G420" s="124"/>
      <c r="H420" s="121"/>
      <c r="I420" s="121"/>
      <c r="J420" s="124"/>
      <c r="K420" s="119"/>
    </row>
    <row r="421" spans="1:11" ht="28.5" customHeight="1" x14ac:dyDescent="0.3">
      <c r="A421" s="120" t="s">
        <v>302</v>
      </c>
      <c r="B421" s="121"/>
      <c r="C421" s="121">
        <f t="shared" si="16"/>
        <v>42</v>
      </c>
      <c r="D421" s="124">
        <v>42</v>
      </c>
      <c r="E421" s="121"/>
      <c r="F421" s="121"/>
      <c r="G421" s="124"/>
      <c r="H421" s="121"/>
      <c r="I421" s="121"/>
      <c r="J421" s="124"/>
      <c r="K421" s="119"/>
    </row>
    <row r="422" spans="1:11" ht="83.25" customHeight="1" x14ac:dyDescent="0.3">
      <c r="A422" s="120" t="s">
        <v>191</v>
      </c>
      <c r="B422" s="121"/>
      <c r="C422" s="121">
        <f t="shared" si="16"/>
        <v>220</v>
      </c>
      <c r="D422" s="124">
        <v>220</v>
      </c>
      <c r="E422" s="121"/>
      <c r="F422" s="121"/>
      <c r="G422" s="124"/>
      <c r="H422" s="121"/>
      <c r="I422" s="121"/>
      <c r="J422" s="124"/>
      <c r="K422" s="119"/>
    </row>
    <row r="423" spans="1:11" ht="28.5" customHeight="1" x14ac:dyDescent="0.3">
      <c r="A423" s="261" t="s">
        <v>80</v>
      </c>
      <c r="B423" s="121"/>
      <c r="C423" s="121"/>
      <c r="D423" s="121"/>
      <c r="E423" s="121"/>
      <c r="F423" s="121"/>
      <c r="G423" s="121"/>
      <c r="H423" s="121"/>
      <c r="I423" s="121"/>
      <c r="J423" s="121"/>
      <c r="K423" s="119"/>
    </row>
    <row r="424" spans="1:11" ht="58.5" customHeight="1" x14ac:dyDescent="0.3">
      <c r="A424" s="120" t="s">
        <v>193</v>
      </c>
      <c r="B424" s="121"/>
      <c r="C424" s="121">
        <f t="shared" si="16"/>
        <v>80</v>
      </c>
      <c r="D424" s="121">
        <f>D420/D416</f>
        <v>80</v>
      </c>
      <c r="E424" s="121"/>
      <c r="F424" s="121"/>
      <c r="G424" s="121"/>
      <c r="H424" s="121"/>
      <c r="I424" s="121"/>
      <c r="J424" s="121"/>
      <c r="K424" s="119"/>
    </row>
    <row r="425" spans="1:11" ht="60.75" customHeight="1" x14ac:dyDescent="0.3">
      <c r="A425" s="120" t="s">
        <v>192</v>
      </c>
      <c r="B425" s="121"/>
      <c r="C425" s="121">
        <f t="shared" si="16"/>
        <v>4.2</v>
      </c>
      <c r="D425" s="121">
        <f>D421/D416</f>
        <v>4.2</v>
      </c>
      <c r="E425" s="121"/>
      <c r="F425" s="121"/>
      <c r="G425" s="121"/>
      <c r="H425" s="121"/>
      <c r="I425" s="121"/>
      <c r="J425" s="121"/>
      <c r="K425" s="119"/>
    </row>
    <row r="426" spans="1:11" ht="79.5" customHeight="1" x14ac:dyDescent="0.3">
      <c r="A426" s="120" t="s">
        <v>194</v>
      </c>
      <c r="B426" s="121"/>
      <c r="C426" s="121">
        <f t="shared" si="16"/>
        <v>20</v>
      </c>
      <c r="D426" s="121">
        <f>D422/D417</f>
        <v>20</v>
      </c>
      <c r="E426" s="121"/>
      <c r="F426" s="121"/>
      <c r="G426" s="121"/>
      <c r="H426" s="121"/>
      <c r="I426" s="121"/>
      <c r="J426" s="121"/>
      <c r="K426" s="119"/>
    </row>
    <row r="427" spans="1:11" ht="54.75" customHeight="1" x14ac:dyDescent="0.3">
      <c r="A427" s="493" t="s">
        <v>483</v>
      </c>
      <c r="B427" s="494"/>
      <c r="C427" s="494"/>
      <c r="D427" s="494"/>
      <c r="E427" s="494"/>
      <c r="F427" s="494"/>
      <c r="G427" s="494"/>
      <c r="H427" s="494"/>
      <c r="I427" s="494"/>
      <c r="J427" s="494"/>
      <c r="K427" s="495"/>
    </row>
    <row r="428" spans="1:11" ht="32.25" customHeight="1" x14ac:dyDescent="0.3">
      <c r="A428" s="261" t="s">
        <v>77</v>
      </c>
      <c r="B428" s="121"/>
      <c r="C428" s="121"/>
      <c r="D428" s="121"/>
      <c r="E428" s="121"/>
      <c r="F428" s="121"/>
      <c r="G428" s="121"/>
      <c r="H428" s="121"/>
      <c r="I428" s="121"/>
      <c r="J428" s="121"/>
      <c r="K428" s="119"/>
    </row>
    <row r="429" spans="1:11" ht="32.25" customHeight="1" x14ac:dyDescent="0.3">
      <c r="A429" s="120" t="s">
        <v>244</v>
      </c>
      <c r="B429" s="119">
        <f>F429+I429</f>
        <v>7806400</v>
      </c>
      <c r="C429" s="119"/>
      <c r="D429" s="119"/>
      <c r="E429" s="119"/>
      <c r="F429" s="119">
        <f>G429</f>
        <v>3813000</v>
      </c>
      <c r="G429" s="119">
        <f>Дод.3!J182*1000</f>
        <v>3813000</v>
      </c>
      <c r="H429" s="119"/>
      <c r="I429" s="119">
        <f>J429</f>
        <v>3993400</v>
      </c>
      <c r="J429" s="119">
        <f>Дод.3!K182*1000</f>
        <v>3993400</v>
      </c>
      <c r="K429" s="119"/>
    </row>
    <row r="430" spans="1:11" ht="32.25" customHeight="1" x14ac:dyDescent="0.3">
      <c r="A430" s="120" t="s">
        <v>178</v>
      </c>
      <c r="B430" s="121"/>
      <c r="C430" s="121"/>
      <c r="D430" s="121"/>
      <c r="E430" s="121"/>
      <c r="F430" s="121">
        <f t="shared" ref="F430:F444" si="17">G430</f>
        <v>2</v>
      </c>
      <c r="G430" s="119">
        <v>2</v>
      </c>
      <c r="H430" s="121"/>
      <c r="I430" s="121">
        <f t="shared" ref="I430:I444" si="18">J430</f>
        <v>2</v>
      </c>
      <c r="J430" s="119">
        <v>2</v>
      </c>
      <c r="K430" s="119"/>
    </row>
    <row r="431" spans="1:11" ht="32.25" customHeight="1" x14ac:dyDescent="0.3">
      <c r="A431" s="120" t="s">
        <v>298</v>
      </c>
      <c r="B431" s="121"/>
      <c r="C431" s="121"/>
      <c r="D431" s="121"/>
      <c r="E431" s="121"/>
      <c r="F431" s="121">
        <f t="shared" si="17"/>
        <v>1</v>
      </c>
      <c r="G431" s="121">
        <v>1</v>
      </c>
      <c r="H431" s="121"/>
      <c r="I431" s="121">
        <f t="shared" si="18"/>
        <v>1</v>
      </c>
      <c r="J431" s="121">
        <v>1</v>
      </c>
      <c r="K431" s="119"/>
    </row>
    <row r="432" spans="1:11" ht="32.25" customHeight="1" x14ac:dyDescent="0.3">
      <c r="A432" s="120" t="s">
        <v>299</v>
      </c>
      <c r="B432" s="121"/>
      <c r="C432" s="121"/>
      <c r="D432" s="121"/>
      <c r="E432" s="121"/>
      <c r="F432" s="121">
        <f t="shared" si="17"/>
        <v>1</v>
      </c>
      <c r="G432" s="121">
        <v>1</v>
      </c>
      <c r="H432" s="121"/>
      <c r="I432" s="121">
        <f t="shared" si="18"/>
        <v>1</v>
      </c>
      <c r="J432" s="121">
        <v>1</v>
      </c>
      <c r="K432" s="119"/>
    </row>
    <row r="433" spans="1:11" ht="32.25" customHeight="1" x14ac:dyDescent="0.3">
      <c r="A433" s="120" t="s">
        <v>245</v>
      </c>
      <c r="B433" s="121"/>
      <c r="C433" s="121"/>
      <c r="D433" s="121"/>
      <c r="E433" s="121"/>
      <c r="F433" s="121">
        <f t="shared" si="17"/>
        <v>21</v>
      </c>
      <c r="G433" s="121">
        <f>G434+G435</f>
        <v>21</v>
      </c>
      <c r="H433" s="121"/>
      <c r="I433" s="121">
        <f t="shared" si="18"/>
        <v>21</v>
      </c>
      <c r="J433" s="121">
        <f>J434+J435</f>
        <v>21</v>
      </c>
      <c r="K433" s="119"/>
    </row>
    <row r="434" spans="1:11" ht="32.25" customHeight="1" x14ac:dyDescent="0.3">
      <c r="A434" s="120" t="s">
        <v>202</v>
      </c>
      <c r="B434" s="121"/>
      <c r="C434" s="121"/>
      <c r="D434" s="121"/>
      <c r="E434" s="121"/>
      <c r="F434" s="121">
        <f t="shared" si="17"/>
        <v>10</v>
      </c>
      <c r="G434" s="121">
        <v>10</v>
      </c>
      <c r="H434" s="121"/>
      <c r="I434" s="121">
        <f t="shared" si="18"/>
        <v>10</v>
      </c>
      <c r="J434" s="121">
        <v>10</v>
      </c>
      <c r="K434" s="119"/>
    </row>
    <row r="435" spans="1:11" ht="32.25" customHeight="1" x14ac:dyDescent="0.3">
      <c r="A435" s="120" t="s">
        <v>203</v>
      </c>
      <c r="B435" s="121"/>
      <c r="C435" s="121"/>
      <c r="D435" s="121"/>
      <c r="E435" s="121"/>
      <c r="F435" s="121">
        <f t="shared" si="17"/>
        <v>11</v>
      </c>
      <c r="G435" s="121">
        <v>11</v>
      </c>
      <c r="H435" s="121"/>
      <c r="I435" s="121">
        <f t="shared" si="18"/>
        <v>11</v>
      </c>
      <c r="J435" s="121">
        <v>11</v>
      </c>
      <c r="K435" s="119"/>
    </row>
    <row r="436" spans="1:11" ht="32.25" customHeight="1" x14ac:dyDescent="0.3">
      <c r="A436" s="261" t="s">
        <v>79</v>
      </c>
      <c r="B436" s="121"/>
      <c r="C436" s="121"/>
      <c r="D436" s="121"/>
      <c r="E436" s="121"/>
      <c r="F436" s="121"/>
      <c r="G436" s="121"/>
      <c r="H436" s="121"/>
      <c r="I436" s="121"/>
      <c r="J436" s="121"/>
      <c r="K436" s="119"/>
    </row>
    <row r="437" spans="1:11" ht="62.25" customHeight="1" x14ac:dyDescent="0.3">
      <c r="A437" s="120" t="s">
        <v>300</v>
      </c>
      <c r="B437" s="121"/>
      <c r="C437" s="121"/>
      <c r="D437" s="121"/>
      <c r="E437" s="121"/>
      <c r="F437" s="121">
        <f t="shared" si="17"/>
        <v>9</v>
      </c>
      <c r="G437" s="124">
        <v>9</v>
      </c>
      <c r="H437" s="121"/>
      <c r="I437" s="121">
        <f t="shared" si="18"/>
        <v>9</v>
      </c>
      <c r="J437" s="124">
        <v>9</v>
      </c>
      <c r="K437" s="119"/>
    </row>
    <row r="438" spans="1:11" ht="69.75" customHeight="1" x14ac:dyDescent="0.3">
      <c r="A438" s="120" t="s">
        <v>301</v>
      </c>
      <c r="B438" s="121"/>
      <c r="C438" s="121"/>
      <c r="D438" s="121"/>
      <c r="E438" s="121"/>
      <c r="F438" s="121">
        <f t="shared" si="17"/>
        <v>800</v>
      </c>
      <c r="G438" s="124">
        <v>800</v>
      </c>
      <c r="H438" s="121"/>
      <c r="I438" s="121">
        <f t="shared" si="18"/>
        <v>800</v>
      </c>
      <c r="J438" s="124">
        <v>800</v>
      </c>
      <c r="K438" s="119"/>
    </row>
    <row r="439" spans="1:11" ht="24.75" customHeight="1" x14ac:dyDescent="0.3">
      <c r="A439" s="120" t="s">
        <v>302</v>
      </c>
      <c r="B439" s="121"/>
      <c r="C439" s="121"/>
      <c r="D439" s="121"/>
      <c r="E439" s="121"/>
      <c r="F439" s="121">
        <f t="shared" si="17"/>
        <v>42</v>
      </c>
      <c r="G439" s="124">
        <v>42</v>
      </c>
      <c r="H439" s="121"/>
      <c r="I439" s="121">
        <f t="shared" si="18"/>
        <v>42</v>
      </c>
      <c r="J439" s="124">
        <v>42</v>
      </c>
      <c r="K439" s="119"/>
    </row>
    <row r="440" spans="1:11" ht="73.5" customHeight="1" x14ac:dyDescent="0.3">
      <c r="A440" s="120" t="s">
        <v>191</v>
      </c>
      <c r="B440" s="121"/>
      <c r="C440" s="121"/>
      <c r="D440" s="121"/>
      <c r="E440" s="121"/>
      <c r="F440" s="121">
        <f t="shared" si="17"/>
        <v>220</v>
      </c>
      <c r="G440" s="124">
        <v>220</v>
      </c>
      <c r="H440" s="121"/>
      <c r="I440" s="121">
        <f t="shared" si="18"/>
        <v>220</v>
      </c>
      <c r="J440" s="124">
        <v>220</v>
      </c>
      <c r="K440" s="119"/>
    </row>
    <row r="441" spans="1:11" ht="32.25" customHeight="1" x14ac:dyDescent="0.3">
      <c r="A441" s="261" t="s">
        <v>80</v>
      </c>
      <c r="B441" s="121"/>
      <c r="C441" s="121"/>
      <c r="D441" s="121"/>
      <c r="E441" s="121"/>
      <c r="F441" s="121"/>
      <c r="G441" s="121"/>
      <c r="H441" s="121"/>
      <c r="I441" s="121"/>
      <c r="J441" s="121"/>
      <c r="K441" s="119"/>
    </row>
    <row r="442" spans="1:11" ht="68.25" customHeight="1" x14ac:dyDescent="0.3">
      <c r="A442" s="120" t="s">
        <v>193</v>
      </c>
      <c r="B442" s="121"/>
      <c r="C442" s="121"/>
      <c r="D442" s="121"/>
      <c r="E442" s="121"/>
      <c r="F442" s="121">
        <f t="shared" si="17"/>
        <v>80</v>
      </c>
      <c r="G442" s="121">
        <f>G438/G434</f>
        <v>80</v>
      </c>
      <c r="H442" s="121"/>
      <c r="I442" s="121">
        <f t="shared" si="18"/>
        <v>80</v>
      </c>
      <c r="J442" s="121">
        <f>J438/J434</f>
        <v>80</v>
      </c>
      <c r="K442" s="119"/>
    </row>
    <row r="443" spans="1:11" ht="75.75" customHeight="1" x14ac:dyDescent="0.3">
      <c r="A443" s="120" t="s">
        <v>192</v>
      </c>
      <c r="B443" s="121"/>
      <c r="C443" s="121"/>
      <c r="D443" s="121"/>
      <c r="E443" s="121"/>
      <c r="F443" s="121">
        <f t="shared" si="17"/>
        <v>4.2</v>
      </c>
      <c r="G443" s="121">
        <f>G439/G434</f>
        <v>4.2</v>
      </c>
      <c r="H443" s="121"/>
      <c r="I443" s="121">
        <f t="shared" si="18"/>
        <v>4.2</v>
      </c>
      <c r="J443" s="121">
        <f>J439/J434</f>
        <v>4.2</v>
      </c>
      <c r="K443" s="119"/>
    </row>
    <row r="444" spans="1:11" ht="88.5" customHeight="1" x14ac:dyDescent="0.3">
      <c r="A444" s="120" t="s">
        <v>194</v>
      </c>
      <c r="B444" s="121"/>
      <c r="C444" s="121"/>
      <c r="D444" s="121"/>
      <c r="E444" s="121"/>
      <c r="F444" s="121">
        <f t="shared" si="17"/>
        <v>20</v>
      </c>
      <c r="G444" s="121">
        <f>G440/G435</f>
        <v>20</v>
      </c>
      <c r="H444" s="121"/>
      <c r="I444" s="121">
        <f t="shared" si="18"/>
        <v>20</v>
      </c>
      <c r="J444" s="121">
        <f>J440/J435</f>
        <v>20</v>
      </c>
      <c r="K444" s="119"/>
    </row>
    <row r="445" spans="1:11" ht="32.25" customHeight="1" x14ac:dyDescent="0.3">
      <c r="A445" s="492" t="s">
        <v>484</v>
      </c>
      <c r="B445" s="492"/>
      <c r="C445" s="492"/>
      <c r="D445" s="492"/>
      <c r="E445" s="492"/>
      <c r="F445" s="492"/>
      <c r="G445" s="492"/>
      <c r="H445" s="492"/>
      <c r="I445" s="492"/>
      <c r="J445" s="492"/>
      <c r="K445" s="492"/>
    </row>
    <row r="446" spans="1:11" ht="32.25" customHeight="1" x14ac:dyDescent="0.3">
      <c r="A446" s="261" t="s">
        <v>77</v>
      </c>
      <c r="B446" s="121"/>
      <c r="C446" s="121"/>
      <c r="D446" s="121"/>
      <c r="E446" s="121"/>
      <c r="F446" s="121"/>
      <c r="G446" s="121"/>
      <c r="H446" s="121"/>
      <c r="I446" s="121"/>
      <c r="J446" s="121"/>
      <c r="K446" s="119"/>
    </row>
    <row r="447" spans="1:11" ht="32.25" customHeight="1" x14ac:dyDescent="0.3">
      <c r="A447" s="120" t="s">
        <v>242</v>
      </c>
      <c r="B447" s="119">
        <f>C447+F447+I447</f>
        <v>21200</v>
      </c>
      <c r="C447" s="119">
        <f>D447+E447</f>
        <v>21200</v>
      </c>
      <c r="D447" s="119">
        <f>Дод.3!I183*1000</f>
        <v>21200</v>
      </c>
      <c r="E447" s="121"/>
      <c r="F447" s="119"/>
      <c r="G447" s="119"/>
      <c r="H447" s="121"/>
      <c r="I447" s="121"/>
      <c r="J447" s="121"/>
      <c r="K447" s="119"/>
    </row>
    <row r="448" spans="1:11" ht="32.25" customHeight="1" x14ac:dyDescent="0.3">
      <c r="A448" s="261" t="s">
        <v>79</v>
      </c>
      <c r="B448" s="121"/>
      <c r="C448" s="121"/>
      <c r="D448" s="121"/>
      <c r="E448" s="121"/>
      <c r="F448" s="121"/>
      <c r="G448" s="121"/>
      <c r="H448" s="121"/>
      <c r="I448" s="121"/>
      <c r="J448" s="121"/>
      <c r="K448" s="119"/>
    </row>
    <row r="449" spans="1:11" ht="32.25" customHeight="1" x14ac:dyDescent="0.3">
      <c r="A449" s="120" t="s">
        <v>351</v>
      </c>
      <c r="B449" s="121"/>
      <c r="C449" s="121">
        <f>D449</f>
        <v>2</v>
      </c>
      <c r="D449" s="121">
        <v>2</v>
      </c>
      <c r="E449" s="121"/>
      <c r="F449" s="121"/>
      <c r="G449" s="121"/>
      <c r="H449" s="121"/>
      <c r="I449" s="121"/>
      <c r="J449" s="121"/>
      <c r="K449" s="119"/>
    </row>
    <row r="450" spans="1:11" ht="32.25" customHeight="1" x14ac:dyDescent="0.3">
      <c r="A450" s="261" t="s">
        <v>80</v>
      </c>
      <c r="B450" s="121"/>
      <c r="C450" s="121"/>
      <c r="D450" s="121"/>
      <c r="E450" s="121"/>
      <c r="F450" s="121"/>
      <c r="G450" s="121"/>
      <c r="H450" s="121"/>
      <c r="I450" s="121"/>
      <c r="J450" s="121"/>
      <c r="K450" s="119"/>
    </row>
    <row r="451" spans="1:11" ht="34.5" customHeight="1" x14ac:dyDescent="0.3">
      <c r="A451" s="125" t="s">
        <v>205</v>
      </c>
      <c r="B451" s="121"/>
      <c r="C451" s="121">
        <f>D451</f>
        <v>10600</v>
      </c>
      <c r="D451" s="121">
        <f>D447/D449</f>
        <v>10600</v>
      </c>
      <c r="E451" s="121"/>
      <c r="F451" s="121"/>
      <c r="G451" s="121"/>
      <c r="H451" s="121"/>
      <c r="I451" s="121"/>
      <c r="J451" s="121"/>
      <c r="K451" s="119"/>
    </row>
    <row r="452" spans="1:11" ht="34.5" customHeight="1" x14ac:dyDescent="0.3">
      <c r="A452" s="493" t="s">
        <v>565</v>
      </c>
      <c r="B452" s="494"/>
      <c r="C452" s="494"/>
      <c r="D452" s="494"/>
      <c r="E452" s="494"/>
      <c r="F452" s="494"/>
      <c r="G452" s="494"/>
      <c r="H452" s="494"/>
      <c r="I452" s="494"/>
      <c r="J452" s="494"/>
      <c r="K452" s="495"/>
    </row>
    <row r="453" spans="1:11" ht="34.5" customHeight="1" x14ac:dyDescent="0.3">
      <c r="A453" s="261" t="s">
        <v>77</v>
      </c>
      <c r="B453" s="121"/>
      <c r="C453" s="121"/>
      <c r="D453" s="121"/>
      <c r="E453" s="121"/>
      <c r="F453" s="121"/>
      <c r="G453" s="121"/>
      <c r="H453" s="121"/>
      <c r="I453" s="121"/>
      <c r="J453" s="121"/>
      <c r="K453" s="119"/>
    </row>
    <row r="454" spans="1:11" ht="34.5" customHeight="1" x14ac:dyDescent="0.3">
      <c r="A454" s="120" t="s">
        <v>360</v>
      </c>
      <c r="B454" s="119">
        <f>C454+F454+I454</f>
        <v>18282100</v>
      </c>
      <c r="C454" s="119">
        <f>D454+E454</f>
        <v>16537099.999999998</v>
      </c>
      <c r="D454" s="119"/>
      <c r="E454" s="119">
        <f>Дод.3!I184*1000</f>
        <v>16537099.999999998</v>
      </c>
      <c r="F454" s="121">
        <f>H454</f>
        <v>1745000</v>
      </c>
      <c r="G454" s="121"/>
      <c r="H454" s="121">
        <f>Дод.3!J184*1000</f>
        <v>1745000</v>
      </c>
      <c r="I454" s="121"/>
      <c r="J454" s="121"/>
      <c r="K454" s="119"/>
    </row>
    <row r="455" spans="1:11" ht="47.25" customHeight="1" x14ac:dyDescent="0.3">
      <c r="A455" s="496" t="s">
        <v>96</v>
      </c>
      <c r="B455" s="496"/>
      <c r="C455" s="496"/>
      <c r="D455" s="496"/>
      <c r="E455" s="496"/>
      <c r="F455" s="496"/>
      <c r="G455" s="496"/>
      <c r="H455" s="496"/>
      <c r="I455" s="496"/>
      <c r="J455" s="496"/>
      <c r="K455" s="496"/>
    </row>
    <row r="456" spans="1:11" ht="43.5" customHeight="1" x14ac:dyDescent="0.3">
      <c r="A456" s="265" t="s">
        <v>246</v>
      </c>
      <c r="B456" s="119">
        <f>B460+B467+B474+B487+B498+B505+B514+B523+B530</f>
        <v>455382020</v>
      </c>
      <c r="C456" s="119">
        <f>C460+C474+C498+C505+C523</f>
        <v>107551920</v>
      </c>
      <c r="D456" s="119">
        <f>D460+D474</f>
        <v>0</v>
      </c>
      <c r="E456" s="119">
        <f>E460+E474+E498+E505+E523</f>
        <v>107551920</v>
      </c>
      <c r="F456" s="119">
        <f>G456+H456</f>
        <v>239530100.00000003</v>
      </c>
      <c r="G456" s="119">
        <f>G460+G474</f>
        <v>0</v>
      </c>
      <c r="H456" s="119">
        <f>H467+H487+H498+H514+H530</f>
        <v>239530100.00000003</v>
      </c>
      <c r="I456" s="119">
        <f>J456+K456</f>
        <v>108300000</v>
      </c>
      <c r="J456" s="119">
        <f>J460+J474</f>
        <v>0</v>
      </c>
      <c r="K456" s="119">
        <f>K467+K487</f>
        <v>108300000</v>
      </c>
    </row>
    <row r="457" spans="1:11" ht="28.5" customHeight="1" x14ac:dyDescent="0.3">
      <c r="A457" s="497" t="s">
        <v>273</v>
      </c>
      <c r="B457" s="497"/>
      <c r="C457" s="497"/>
      <c r="D457" s="497"/>
      <c r="E457" s="497"/>
      <c r="F457" s="497"/>
      <c r="G457" s="497"/>
      <c r="H457" s="497"/>
      <c r="I457" s="497"/>
      <c r="J457" s="497"/>
      <c r="K457" s="497"/>
    </row>
    <row r="458" spans="1:11" ht="28.5" customHeight="1" x14ac:dyDescent="0.3">
      <c r="A458" s="492" t="s">
        <v>540</v>
      </c>
      <c r="B458" s="492"/>
      <c r="C458" s="492"/>
      <c r="D458" s="492"/>
      <c r="E458" s="492"/>
      <c r="F458" s="492"/>
      <c r="G458" s="492"/>
      <c r="H458" s="492"/>
      <c r="I458" s="492"/>
      <c r="J458" s="492"/>
      <c r="K458" s="492"/>
    </row>
    <row r="459" spans="1:11" ht="28.5" customHeight="1" x14ac:dyDescent="0.3">
      <c r="A459" s="261" t="s">
        <v>77</v>
      </c>
      <c r="B459" s="264"/>
      <c r="C459" s="264"/>
      <c r="D459" s="268"/>
      <c r="E459" s="264"/>
      <c r="F459" s="264"/>
      <c r="G459" s="264"/>
      <c r="H459" s="264"/>
      <c r="I459" s="264"/>
      <c r="J459" s="264"/>
      <c r="K459" s="264"/>
    </row>
    <row r="460" spans="1:11" ht="63" customHeight="1" x14ac:dyDescent="0.3">
      <c r="A460" s="120" t="s">
        <v>333</v>
      </c>
      <c r="B460" s="122">
        <f>C460+F460+I460</f>
        <v>80593000</v>
      </c>
      <c r="C460" s="122">
        <f>E460+D460</f>
        <v>80593000</v>
      </c>
      <c r="D460" s="122"/>
      <c r="E460" s="122">
        <f>Дод.3!I189*1000</f>
        <v>80593000</v>
      </c>
      <c r="F460" s="124"/>
      <c r="G460" s="124"/>
      <c r="H460" s="124"/>
      <c r="I460" s="124"/>
      <c r="J460" s="124"/>
      <c r="K460" s="124"/>
    </row>
    <row r="461" spans="1:11" ht="28.5" customHeight="1" x14ac:dyDescent="0.3">
      <c r="A461" s="261" t="s">
        <v>79</v>
      </c>
      <c r="B461" s="124"/>
      <c r="C461" s="124"/>
      <c r="D461" s="124"/>
      <c r="E461" s="124"/>
      <c r="F461" s="124"/>
      <c r="G461" s="124"/>
      <c r="H461" s="124"/>
      <c r="I461" s="124"/>
      <c r="J461" s="124"/>
      <c r="K461" s="124"/>
    </row>
    <row r="462" spans="1:11" ht="28.5" customHeight="1" x14ac:dyDescent="0.3">
      <c r="A462" s="125" t="s">
        <v>195</v>
      </c>
      <c r="B462" s="122"/>
      <c r="C462" s="124">
        <f>E462</f>
        <v>9</v>
      </c>
      <c r="D462" s="124"/>
      <c r="E462" s="124">
        <f>4+5</f>
        <v>9</v>
      </c>
      <c r="F462" s="124"/>
      <c r="G462" s="133"/>
      <c r="H462" s="124"/>
      <c r="I462" s="124"/>
      <c r="J462" s="124"/>
      <c r="K462" s="124"/>
    </row>
    <row r="463" spans="1:11" ht="28.5" customHeight="1" x14ac:dyDescent="0.3">
      <c r="A463" s="261" t="s">
        <v>80</v>
      </c>
      <c r="B463" s="137"/>
      <c r="C463" s="137"/>
      <c r="D463" s="137"/>
      <c r="E463" s="137"/>
      <c r="F463" s="137"/>
      <c r="G463" s="137"/>
      <c r="H463" s="137"/>
      <c r="I463" s="137"/>
      <c r="J463" s="137"/>
      <c r="K463" s="137"/>
    </row>
    <row r="464" spans="1:11" ht="28.5" customHeight="1" x14ac:dyDescent="0.3">
      <c r="A464" s="125" t="s">
        <v>205</v>
      </c>
      <c r="B464" s="124"/>
      <c r="C464" s="124">
        <f>E464</f>
        <v>8954777.777777778</v>
      </c>
      <c r="D464" s="124"/>
      <c r="E464" s="124">
        <f>E460/E462</f>
        <v>8954777.777777778</v>
      </c>
      <c r="F464" s="124"/>
      <c r="G464" s="124"/>
      <c r="H464" s="124"/>
      <c r="I464" s="124"/>
      <c r="J464" s="124"/>
      <c r="K464" s="124"/>
    </row>
    <row r="465" spans="1:11" ht="28.5" customHeight="1" x14ac:dyDescent="0.3">
      <c r="A465" s="492" t="s">
        <v>541</v>
      </c>
      <c r="B465" s="492"/>
      <c r="C465" s="492"/>
      <c r="D465" s="492"/>
      <c r="E465" s="492"/>
      <c r="F465" s="492"/>
      <c r="G465" s="492"/>
      <c r="H465" s="492"/>
      <c r="I465" s="492"/>
      <c r="J465" s="492"/>
      <c r="K465" s="492"/>
    </row>
    <row r="466" spans="1:11" ht="28.5" customHeight="1" x14ac:dyDescent="0.3">
      <c r="A466" s="261" t="s">
        <v>77</v>
      </c>
      <c r="B466" s="124"/>
      <c r="C466" s="124"/>
      <c r="D466" s="124"/>
      <c r="E466" s="124"/>
      <c r="F466" s="124"/>
      <c r="G466" s="124"/>
      <c r="H466" s="124"/>
      <c r="I466" s="124"/>
      <c r="J466" s="124"/>
      <c r="K466" s="124"/>
    </row>
    <row r="467" spans="1:11" ht="28.5" customHeight="1" x14ac:dyDescent="0.3">
      <c r="A467" s="120" t="s">
        <v>333</v>
      </c>
      <c r="B467" s="122">
        <f>F467+I467</f>
        <v>232735400.00000003</v>
      </c>
      <c r="C467" s="124"/>
      <c r="D467" s="124"/>
      <c r="E467" s="124"/>
      <c r="F467" s="122">
        <f>H467</f>
        <v>152735400.00000003</v>
      </c>
      <c r="G467" s="122"/>
      <c r="H467" s="122">
        <f>Дод.3!J194*1000</f>
        <v>152735400.00000003</v>
      </c>
      <c r="I467" s="122">
        <f>K467</f>
        <v>80000000</v>
      </c>
      <c r="J467" s="122"/>
      <c r="K467" s="122">
        <f>Дод.3!K194*1000</f>
        <v>80000000</v>
      </c>
    </row>
    <row r="468" spans="1:11" ht="28.5" customHeight="1" x14ac:dyDescent="0.3">
      <c r="A468" s="261" t="s">
        <v>79</v>
      </c>
      <c r="B468" s="124"/>
      <c r="C468" s="124"/>
      <c r="D468" s="124"/>
      <c r="E468" s="124"/>
      <c r="F468" s="124"/>
      <c r="G468" s="124"/>
      <c r="H468" s="124"/>
      <c r="I468" s="124"/>
      <c r="J468" s="124"/>
      <c r="K468" s="124"/>
    </row>
    <row r="469" spans="1:11" ht="28.5" customHeight="1" x14ac:dyDescent="0.3">
      <c r="A469" s="125" t="s">
        <v>195</v>
      </c>
      <c r="B469" s="124"/>
      <c r="C469" s="124"/>
      <c r="D469" s="124"/>
      <c r="E469" s="124"/>
      <c r="F469" s="124">
        <f>H469</f>
        <v>39</v>
      </c>
      <c r="G469" s="124"/>
      <c r="H469" s="124">
        <v>39</v>
      </c>
      <c r="I469" s="124">
        <f>K469</f>
        <v>63</v>
      </c>
      <c r="J469" s="124"/>
      <c r="K469" s="124">
        <v>63</v>
      </c>
    </row>
    <row r="470" spans="1:11" ht="28.5" customHeight="1" x14ac:dyDescent="0.3">
      <c r="A470" s="261" t="s">
        <v>80</v>
      </c>
      <c r="B470" s="124"/>
      <c r="C470" s="124"/>
      <c r="D470" s="124"/>
      <c r="E470" s="124"/>
      <c r="F470" s="124"/>
      <c r="G470" s="124"/>
      <c r="H470" s="124"/>
      <c r="I470" s="124"/>
      <c r="J470" s="124"/>
      <c r="K470" s="124"/>
    </row>
    <row r="471" spans="1:11" ht="28.5" customHeight="1" x14ac:dyDescent="0.3">
      <c r="A471" s="125" t="s">
        <v>205</v>
      </c>
      <c r="B471" s="124"/>
      <c r="C471" s="124"/>
      <c r="D471" s="124"/>
      <c r="E471" s="124"/>
      <c r="F471" s="124">
        <f>H471</f>
        <v>3916292.3076923084</v>
      </c>
      <c r="G471" s="124"/>
      <c r="H471" s="124">
        <f>H467/H469</f>
        <v>3916292.3076923084</v>
      </c>
      <c r="I471" s="124">
        <f>K471</f>
        <v>1269841.2698412698</v>
      </c>
      <c r="J471" s="124"/>
      <c r="K471" s="124">
        <f>K467/K469</f>
        <v>1269841.2698412698</v>
      </c>
    </row>
    <row r="472" spans="1:11" ht="32.25" customHeight="1" x14ac:dyDescent="0.3">
      <c r="A472" s="493" t="s">
        <v>542</v>
      </c>
      <c r="B472" s="494"/>
      <c r="C472" s="494"/>
      <c r="D472" s="494"/>
      <c r="E472" s="494"/>
      <c r="F472" s="494"/>
      <c r="G472" s="494"/>
      <c r="H472" s="494"/>
      <c r="I472" s="494"/>
      <c r="J472" s="494"/>
      <c r="K472" s="495"/>
    </row>
    <row r="473" spans="1:11" ht="32.25" customHeight="1" x14ac:dyDescent="0.3">
      <c r="A473" s="261" t="s">
        <v>77</v>
      </c>
      <c r="B473" s="261"/>
      <c r="C473" s="261"/>
      <c r="D473" s="261"/>
      <c r="E473" s="261"/>
      <c r="F473" s="261"/>
      <c r="G473" s="261"/>
      <c r="H473" s="261"/>
      <c r="I473" s="261"/>
      <c r="J473" s="261"/>
      <c r="K473" s="261"/>
    </row>
    <row r="474" spans="1:11" ht="53.25" customHeight="1" x14ac:dyDescent="0.3">
      <c r="A474" s="120" t="s">
        <v>574</v>
      </c>
      <c r="B474" s="122">
        <f>C474+F474+I474</f>
        <v>5300000</v>
      </c>
      <c r="C474" s="122">
        <f>E474+D474</f>
        <v>5300000</v>
      </c>
      <c r="D474" s="122"/>
      <c r="E474" s="122">
        <f>Дод.3!I206*1000</f>
        <v>5300000</v>
      </c>
      <c r="F474" s="124"/>
      <c r="G474" s="124"/>
      <c r="H474" s="124"/>
      <c r="I474" s="124"/>
      <c r="J474" s="124"/>
      <c r="K474" s="124"/>
    </row>
    <row r="475" spans="1:11" ht="28.5" customHeight="1" x14ac:dyDescent="0.3">
      <c r="A475" s="120" t="s">
        <v>169</v>
      </c>
      <c r="B475" s="124"/>
      <c r="C475" s="124">
        <f>E475+D475</f>
        <v>2300000</v>
      </c>
      <c r="D475" s="124"/>
      <c r="E475" s="124">
        <f>300000+2000000</f>
        <v>2300000</v>
      </c>
      <c r="F475" s="124"/>
      <c r="G475" s="124"/>
      <c r="H475" s="124"/>
      <c r="I475" s="124"/>
      <c r="J475" s="124"/>
      <c r="K475" s="124"/>
    </row>
    <row r="476" spans="1:11" ht="28.5" customHeight="1" x14ac:dyDescent="0.3">
      <c r="A476" s="120" t="s">
        <v>170</v>
      </c>
      <c r="B476" s="124"/>
      <c r="C476" s="124"/>
      <c r="D476" s="124"/>
      <c r="E476" s="124">
        <f>2000000+1000000</f>
        <v>3000000</v>
      </c>
      <c r="F476" s="124"/>
      <c r="G476" s="124"/>
      <c r="H476" s="124"/>
      <c r="I476" s="124"/>
      <c r="J476" s="124"/>
      <c r="K476" s="124"/>
    </row>
    <row r="477" spans="1:11" ht="28.5" customHeight="1" x14ac:dyDescent="0.3">
      <c r="A477" s="261" t="s">
        <v>79</v>
      </c>
      <c r="B477" s="124"/>
      <c r="C477" s="124"/>
      <c r="D477" s="124"/>
      <c r="E477" s="124"/>
      <c r="F477" s="124"/>
      <c r="G477" s="124"/>
      <c r="H477" s="124"/>
      <c r="I477" s="124"/>
      <c r="J477" s="124"/>
      <c r="K477" s="124"/>
    </row>
    <row r="478" spans="1:11" ht="45.75" customHeight="1" x14ac:dyDescent="0.3">
      <c r="A478" s="125" t="s">
        <v>575</v>
      </c>
      <c r="B478" s="122"/>
      <c r="C478" s="124"/>
      <c r="D478" s="124"/>
      <c r="E478" s="124"/>
      <c r="F478" s="124"/>
      <c r="G478" s="133"/>
      <c r="H478" s="124"/>
      <c r="I478" s="124"/>
      <c r="J478" s="124"/>
      <c r="K478" s="124"/>
    </row>
    <row r="479" spans="1:11" ht="28.5" customHeight="1" x14ac:dyDescent="0.3">
      <c r="A479" s="120" t="s">
        <v>169</v>
      </c>
      <c r="B479" s="122"/>
      <c r="C479" s="124">
        <f>E479</f>
        <v>2</v>
      </c>
      <c r="D479" s="124"/>
      <c r="E479" s="124">
        <v>2</v>
      </c>
      <c r="F479" s="124"/>
      <c r="G479" s="133"/>
      <c r="H479" s="124"/>
      <c r="I479" s="124"/>
      <c r="J479" s="124"/>
      <c r="K479" s="124"/>
    </row>
    <row r="480" spans="1:11" ht="28.5" customHeight="1" x14ac:dyDescent="0.3">
      <c r="A480" s="120" t="s">
        <v>170</v>
      </c>
      <c r="B480" s="122"/>
      <c r="C480" s="124">
        <f>E480</f>
        <v>2</v>
      </c>
      <c r="D480" s="124"/>
      <c r="E480" s="124">
        <v>2</v>
      </c>
      <c r="F480" s="124"/>
      <c r="G480" s="133"/>
      <c r="H480" s="124"/>
      <c r="I480" s="124"/>
      <c r="J480" s="124"/>
      <c r="K480" s="124"/>
    </row>
    <row r="481" spans="1:11" ht="28.5" customHeight="1" x14ac:dyDescent="0.3">
      <c r="A481" s="261" t="s">
        <v>80</v>
      </c>
      <c r="B481" s="124"/>
      <c r="C481" s="124"/>
      <c r="D481" s="124"/>
      <c r="E481" s="124"/>
      <c r="F481" s="124"/>
      <c r="G481" s="124"/>
      <c r="H481" s="124"/>
      <c r="I481" s="124"/>
      <c r="J481" s="124"/>
      <c r="K481" s="124"/>
    </row>
    <row r="482" spans="1:11" ht="28.5" customHeight="1" x14ac:dyDescent="0.3">
      <c r="A482" s="125" t="s">
        <v>576</v>
      </c>
      <c r="B482" s="124"/>
      <c r="C482" s="124"/>
      <c r="D482" s="124"/>
      <c r="E482" s="124"/>
      <c r="F482" s="124"/>
      <c r="G482" s="124"/>
      <c r="H482" s="124"/>
      <c r="I482" s="124"/>
      <c r="J482" s="124"/>
      <c r="K482" s="124"/>
    </row>
    <row r="483" spans="1:11" ht="28.5" customHeight="1" x14ac:dyDescent="0.3">
      <c r="A483" s="120" t="s">
        <v>169</v>
      </c>
      <c r="B483" s="124"/>
      <c r="C483" s="124"/>
      <c r="D483" s="124"/>
      <c r="E483" s="124">
        <f>E475/E479</f>
        <v>1150000</v>
      </c>
      <c r="F483" s="124"/>
      <c r="G483" s="124"/>
      <c r="H483" s="124"/>
      <c r="I483" s="124"/>
      <c r="J483" s="124"/>
      <c r="K483" s="124"/>
    </row>
    <row r="484" spans="1:11" ht="28.5" customHeight="1" x14ac:dyDescent="0.3">
      <c r="A484" s="120" t="s">
        <v>170</v>
      </c>
      <c r="B484" s="124"/>
      <c r="C484" s="124"/>
      <c r="D484" s="124"/>
      <c r="E484" s="124">
        <f>E476/E480</f>
        <v>1500000</v>
      </c>
      <c r="F484" s="124"/>
      <c r="G484" s="124"/>
      <c r="H484" s="124"/>
      <c r="I484" s="124"/>
      <c r="J484" s="124"/>
      <c r="K484" s="124"/>
    </row>
    <row r="485" spans="1:11" ht="28.5" customHeight="1" x14ac:dyDescent="0.3">
      <c r="A485" s="493" t="s">
        <v>566</v>
      </c>
      <c r="B485" s="494"/>
      <c r="C485" s="494"/>
      <c r="D485" s="494"/>
      <c r="E485" s="494"/>
      <c r="F485" s="494"/>
      <c r="G485" s="494"/>
      <c r="H485" s="494"/>
      <c r="I485" s="494"/>
      <c r="J485" s="494"/>
      <c r="K485" s="495"/>
    </row>
    <row r="486" spans="1:11" ht="28.5" customHeight="1" x14ac:dyDescent="0.3">
      <c r="A486" s="261" t="s">
        <v>77</v>
      </c>
      <c r="B486" s="124"/>
      <c r="C486" s="124"/>
      <c r="D486" s="124"/>
      <c r="E486" s="124"/>
      <c r="F486" s="124"/>
      <c r="G486" s="124"/>
      <c r="H486" s="124"/>
      <c r="I486" s="124"/>
      <c r="J486" s="124"/>
      <c r="K486" s="124"/>
    </row>
    <row r="487" spans="1:11" ht="49.5" customHeight="1" x14ac:dyDescent="0.3">
      <c r="A487" s="189" t="s">
        <v>571</v>
      </c>
      <c r="B487" s="122">
        <f>F487+I487</f>
        <v>68847000</v>
      </c>
      <c r="C487" s="122"/>
      <c r="D487" s="122"/>
      <c r="E487" s="122"/>
      <c r="F487" s="122">
        <f>H487</f>
        <v>40547000</v>
      </c>
      <c r="G487" s="122"/>
      <c r="H487" s="122">
        <f>Дод.3!J216*1000</f>
        <v>40547000</v>
      </c>
      <c r="I487" s="122">
        <f>K487</f>
        <v>28300000</v>
      </c>
      <c r="J487" s="122"/>
      <c r="K487" s="122">
        <f>Дод.3!K216*1000</f>
        <v>28300000</v>
      </c>
    </row>
    <row r="488" spans="1:11" ht="49.5" customHeight="1" x14ac:dyDescent="0.3">
      <c r="A488" s="120" t="s">
        <v>485</v>
      </c>
      <c r="B488" s="122"/>
      <c r="C488" s="122"/>
      <c r="D488" s="122"/>
      <c r="E488" s="122"/>
      <c r="F488" s="122">
        <f>H488</f>
        <v>32375000</v>
      </c>
      <c r="G488" s="122"/>
      <c r="H488" s="122">
        <f>Дод.3!J221*1000</f>
        <v>32375000</v>
      </c>
      <c r="I488" s="122"/>
      <c r="J488" s="122"/>
      <c r="K488" s="122"/>
    </row>
    <row r="489" spans="1:11" ht="49.5" customHeight="1" x14ac:dyDescent="0.3">
      <c r="A489" s="120" t="s">
        <v>567</v>
      </c>
      <c r="B489" s="122"/>
      <c r="C489" s="122"/>
      <c r="D489" s="122"/>
      <c r="E489" s="122"/>
      <c r="F489" s="122">
        <f>H489</f>
        <v>8172000</v>
      </c>
      <c r="G489" s="122"/>
      <c r="H489" s="122">
        <f>Дод.3!J228*1000</f>
        <v>8172000</v>
      </c>
      <c r="I489" s="122"/>
      <c r="J489" s="122"/>
      <c r="K489" s="122"/>
    </row>
    <row r="490" spans="1:11" ht="28.5" customHeight="1" x14ac:dyDescent="0.3">
      <c r="A490" s="261" t="s">
        <v>79</v>
      </c>
      <c r="B490" s="124"/>
      <c r="C490" s="124"/>
      <c r="D490" s="124"/>
      <c r="E490" s="124"/>
      <c r="F490" s="124"/>
      <c r="G490" s="124"/>
      <c r="H490" s="124"/>
      <c r="I490" s="124"/>
      <c r="J490" s="124"/>
      <c r="K490" s="124"/>
    </row>
    <row r="491" spans="1:11" ht="54.75" customHeight="1" x14ac:dyDescent="0.3">
      <c r="A491" s="120" t="s">
        <v>486</v>
      </c>
      <c r="B491" s="124"/>
      <c r="C491" s="124"/>
      <c r="D491" s="124"/>
      <c r="E491" s="124"/>
      <c r="F491" s="124">
        <f>H491</f>
        <v>1</v>
      </c>
      <c r="G491" s="124"/>
      <c r="H491" s="124">
        <v>1</v>
      </c>
      <c r="I491" s="124">
        <f>K491</f>
        <v>8</v>
      </c>
      <c r="J491" s="124"/>
      <c r="K491" s="124">
        <v>8</v>
      </c>
    </row>
    <row r="492" spans="1:11" ht="54.75" customHeight="1" x14ac:dyDescent="0.3">
      <c r="A492" s="120" t="s">
        <v>568</v>
      </c>
      <c r="B492" s="124"/>
      <c r="C492" s="124"/>
      <c r="D492" s="124"/>
      <c r="E492" s="124"/>
      <c r="F492" s="124">
        <f>H492</f>
        <v>1</v>
      </c>
      <c r="G492" s="124"/>
      <c r="H492" s="124">
        <v>1</v>
      </c>
      <c r="I492" s="124"/>
      <c r="J492" s="124"/>
      <c r="K492" s="124"/>
    </row>
    <row r="493" spans="1:11" ht="28.5" customHeight="1" x14ac:dyDescent="0.3">
      <c r="A493" s="261" t="s">
        <v>80</v>
      </c>
      <c r="B493" s="124"/>
      <c r="C493" s="124"/>
      <c r="D493" s="124"/>
      <c r="E493" s="124"/>
      <c r="F493" s="124"/>
      <c r="G493" s="124"/>
      <c r="H493" s="124"/>
      <c r="I493" s="124"/>
      <c r="J493" s="124"/>
      <c r="K493" s="124"/>
    </row>
    <row r="494" spans="1:11" ht="68.25" customHeight="1" x14ac:dyDescent="0.3">
      <c r="A494" s="120" t="s">
        <v>487</v>
      </c>
      <c r="B494" s="124"/>
      <c r="C494" s="124"/>
      <c r="D494" s="124"/>
      <c r="E494" s="124"/>
      <c r="F494" s="124">
        <f>H494</f>
        <v>32375000</v>
      </c>
      <c r="G494" s="124"/>
      <c r="H494" s="124">
        <f>H488/H491</f>
        <v>32375000</v>
      </c>
      <c r="I494" s="124">
        <f>K494</f>
        <v>3537500</v>
      </c>
      <c r="J494" s="124"/>
      <c r="K494" s="124">
        <f>K487/K491</f>
        <v>3537500</v>
      </c>
    </row>
    <row r="495" spans="1:11" ht="68.25" customHeight="1" x14ac:dyDescent="0.3">
      <c r="A495" s="120" t="s">
        <v>569</v>
      </c>
      <c r="B495" s="124"/>
      <c r="C495" s="124"/>
      <c r="D495" s="124"/>
      <c r="E495" s="124"/>
      <c r="F495" s="124">
        <f>H495</f>
        <v>8172000</v>
      </c>
      <c r="G495" s="124"/>
      <c r="H495" s="124">
        <f>H489/H492</f>
        <v>8172000</v>
      </c>
      <c r="I495" s="124"/>
      <c r="J495" s="124"/>
      <c r="K495" s="124"/>
    </row>
    <row r="496" spans="1:11" ht="28.5" customHeight="1" x14ac:dyDescent="0.3">
      <c r="A496" s="493" t="s">
        <v>488</v>
      </c>
      <c r="B496" s="494"/>
      <c r="C496" s="494"/>
      <c r="D496" s="494"/>
      <c r="E496" s="494"/>
      <c r="F496" s="494"/>
      <c r="G496" s="494"/>
      <c r="H496" s="494"/>
      <c r="I496" s="494"/>
      <c r="J496" s="494"/>
      <c r="K496" s="495"/>
    </row>
    <row r="497" spans="1:11" ht="28.5" customHeight="1" x14ac:dyDescent="0.3">
      <c r="A497" s="261" t="s">
        <v>77</v>
      </c>
      <c r="B497" s="261"/>
      <c r="C497" s="261"/>
      <c r="D497" s="261"/>
      <c r="E497" s="261"/>
      <c r="F497" s="261"/>
      <c r="G497" s="261"/>
      <c r="H497" s="261"/>
      <c r="I497" s="261"/>
      <c r="J497" s="261"/>
      <c r="K497" s="261"/>
    </row>
    <row r="498" spans="1:11" ht="54.75" customHeight="1" x14ac:dyDescent="0.3">
      <c r="A498" s="120" t="s">
        <v>572</v>
      </c>
      <c r="B498" s="122">
        <f>Дод.3!H229*1000</f>
        <v>16907200</v>
      </c>
      <c r="C498" s="122">
        <f>Дод.3!I229*1000</f>
        <v>16800000</v>
      </c>
      <c r="D498" s="122"/>
      <c r="E498" s="122">
        <f>Дод.3!I229*1000</f>
        <v>16800000</v>
      </c>
      <c r="F498" s="122"/>
      <c r="G498" s="122"/>
      <c r="H498" s="122">
        <f>Дод.3!J230*1000</f>
        <v>107200</v>
      </c>
      <c r="I498" s="122"/>
      <c r="J498" s="124"/>
      <c r="K498" s="124"/>
    </row>
    <row r="499" spans="1:11" ht="33.75" customHeight="1" x14ac:dyDescent="0.3">
      <c r="A499" s="261" t="s">
        <v>79</v>
      </c>
      <c r="B499" s="124"/>
      <c r="C499" s="124"/>
      <c r="D499" s="124"/>
      <c r="E499" s="124"/>
      <c r="F499" s="124"/>
      <c r="G499" s="124"/>
      <c r="H499" s="124"/>
      <c r="I499" s="124"/>
      <c r="J499" s="124"/>
      <c r="K499" s="124"/>
    </row>
    <row r="500" spans="1:11" ht="54.75" customHeight="1" x14ac:dyDescent="0.3">
      <c r="A500" s="125" t="s">
        <v>196</v>
      </c>
      <c r="B500" s="122"/>
      <c r="C500" s="124">
        <v>1</v>
      </c>
      <c r="D500" s="124"/>
      <c r="E500" s="124">
        <v>1</v>
      </c>
      <c r="F500" s="124">
        <v>1</v>
      </c>
      <c r="G500" s="133"/>
      <c r="H500" s="124">
        <v>1</v>
      </c>
      <c r="I500" s="124"/>
      <c r="J500" s="124"/>
      <c r="K500" s="124"/>
    </row>
    <row r="501" spans="1:11" ht="28.5" customHeight="1" x14ac:dyDescent="0.3">
      <c r="A501" s="261" t="s">
        <v>80</v>
      </c>
      <c r="B501" s="124"/>
      <c r="C501" s="124"/>
      <c r="D501" s="124"/>
      <c r="E501" s="124"/>
      <c r="F501" s="124"/>
      <c r="G501" s="124"/>
      <c r="H501" s="124"/>
      <c r="I501" s="124"/>
      <c r="J501" s="124"/>
      <c r="K501" s="124"/>
    </row>
    <row r="502" spans="1:11" ht="28.5" customHeight="1" x14ac:dyDescent="0.3">
      <c r="A502" s="125" t="s">
        <v>204</v>
      </c>
      <c r="B502" s="124"/>
      <c r="C502" s="124"/>
      <c r="D502" s="124"/>
      <c r="E502" s="124">
        <f>E498/E500</f>
        <v>16800000</v>
      </c>
      <c r="F502" s="124"/>
      <c r="G502" s="124"/>
      <c r="H502" s="124">
        <f>H498/H500</f>
        <v>107200</v>
      </c>
      <c r="I502" s="124"/>
      <c r="J502" s="124"/>
      <c r="K502" s="124"/>
    </row>
    <row r="503" spans="1:11" ht="30" customHeight="1" x14ac:dyDescent="0.3">
      <c r="A503" s="492" t="s">
        <v>489</v>
      </c>
      <c r="B503" s="492"/>
      <c r="C503" s="492"/>
      <c r="D503" s="492"/>
      <c r="E503" s="492"/>
      <c r="F503" s="492"/>
      <c r="G503" s="492"/>
      <c r="H503" s="492"/>
      <c r="I503" s="492"/>
      <c r="J503" s="492"/>
      <c r="K503" s="492"/>
    </row>
    <row r="504" spans="1:11" ht="28.5" customHeight="1" x14ac:dyDescent="0.3">
      <c r="A504" s="261" t="s">
        <v>77</v>
      </c>
      <c r="B504" s="124"/>
      <c r="C504" s="124"/>
      <c r="D504" s="124"/>
      <c r="E504" s="124"/>
      <c r="F504" s="124"/>
      <c r="G504" s="124"/>
      <c r="H504" s="124"/>
      <c r="I504" s="124"/>
      <c r="J504" s="124"/>
      <c r="K504" s="124"/>
    </row>
    <row r="505" spans="1:11" ht="58.5" customHeight="1" x14ac:dyDescent="0.3">
      <c r="A505" s="120" t="s">
        <v>318</v>
      </c>
      <c r="B505" s="179">
        <f>C505+F505+I505</f>
        <v>4498920</v>
      </c>
      <c r="C505" s="179">
        <f>E505</f>
        <v>4498920</v>
      </c>
      <c r="D505" s="180"/>
      <c r="E505" s="179">
        <f>Дод.3!I233*1000</f>
        <v>4498920</v>
      </c>
      <c r="F505" s="138"/>
      <c r="G505" s="138"/>
      <c r="H505" s="138"/>
      <c r="I505" s="138"/>
      <c r="J505" s="138"/>
      <c r="K505" s="138"/>
    </row>
    <row r="506" spans="1:11" ht="29.25" customHeight="1" x14ac:dyDescent="0.3">
      <c r="A506" s="261" t="s">
        <v>79</v>
      </c>
      <c r="B506" s="138"/>
      <c r="C506" s="138"/>
      <c r="D506" s="137"/>
      <c r="E506" s="138"/>
      <c r="F506" s="138"/>
      <c r="G506" s="138"/>
      <c r="H506" s="138"/>
      <c r="I506" s="138"/>
      <c r="J506" s="138"/>
      <c r="K506" s="138"/>
    </row>
    <row r="507" spans="1:11" ht="28.5" customHeight="1" x14ac:dyDescent="0.3">
      <c r="A507" s="139" t="s">
        <v>319</v>
      </c>
      <c r="B507" s="138"/>
      <c r="C507" s="138">
        <f>E507</f>
        <v>3</v>
      </c>
      <c r="D507" s="137"/>
      <c r="E507" s="138">
        <v>3</v>
      </c>
      <c r="F507" s="138"/>
      <c r="G507" s="138"/>
      <c r="H507" s="138"/>
      <c r="I507" s="138"/>
      <c r="J507" s="138"/>
      <c r="K507" s="138"/>
    </row>
    <row r="508" spans="1:11" ht="28.5" customHeight="1" x14ac:dyDescent="0.3">
      <c r="A508" s="261" t="s">
        <v>80</v>
      </c>
      <c r="B508" s="138"/>
      <c r="C508" s="138"/>
      <c r="D508" s="137"/>
      <c r="E508" s="137"/>
      <c r="F508" s="137"/>
      <c r="G508" s="137"/>
      <c r="H508" s="137"/>
      <c r="I508" s="137"/>
      <c r="J508" s="137"/>
      <c r="K508" s="137"/>
    </row>
    <row r="509" spans="1:11" ht="57" customHeight="1" x14ac:dyDescent="0.3">
      <c r="A509" s="125" t="s">
        <v>320</v>
      </c>
      <c r="B509" s="138"/>
      <c r="C509" s="138">
        <f>C505/C507</f>
        <v>1499640</v>
      </c>
      <c r="D509" s="137"/>
      <c r="E509" s="138">
        <f>E505/E507</f>
        <v>1499640</v>
      </c>
      <c r="F509" s="137"/>
      <c r="G509" s="137"/>
      <c r="H509" s="137"/>
      <c r="I509" s="137"/>
      <c r="J509" s="137"/>
      <c r="K509" s="137"/>
    </row>
    <row r="510" spans="1:11" ht="27" customHeight="1" x14ac:dyDescent="0.3">
      <c r="A510" s="136" t="s">
        <v>81</v>
      </c>
      <c r="B510" s="138"/>
      <c r="C510" s="138"/>
      <c r="D510" s="137"/>
      <c r="E510" s="138"/>
      <c r="F510" s="137"/>
      <c r="G510" s="137"/>
      <c r="H510" s="137"/>
      <c r="I510" s="137"/>
      <c r="J510" s="137"/>
      <c r="K510" s="137"/>
    </row>
    <row r="511" spans="1:11" ht="53.25" customHeight="1" x14ac:dyDescent="0.3">
      <c r="A511" s="125" t="s">
        <v>321</v>
      </c>
      <c r="B511" s="138"/>
      <c r="C511" s="138">
        <v>100</v>
      </c>
      <c r="D511" s="137"/>
      <c r="E511" s="138">
        <v>100</v>
      </c>
      <c r="F511" s="137"/>
      <c r="G511" s="137"/>
      <c r="H511" s="137"/>
      <c r="I511" s="137"/>
      <c r="J511" s="137"/>
      <c r="K511" s="137"/>
    </row>
    <row r="512" spans="1:11" ht="32.25" customHeight="1" x14ac:dyDescent="0.3">
      <c r="A512" s="492" t="s">
        <v>490</v>
      </c>
      <c r="B512" s="492"/>
      <c r="C512" s="492"/>
      <c r="D512" s="492"/>
      <c r="E512" s="492"/>
      <c r="F512" s="492"/>
      <c r="G512" s="492"/>
      <c r="H512" s="492"/>
      <c r="I512" s="492"/>
      <c r="J512" s="492"/>
      <c r="K512" s="492"/>
    </row>
    <row r="513" spans="1:11" ht="32.25" customHeight="1" x14ac:dyDescent="0.3">
      <c r="A513" s="261" t="s">
        <v>77</v>
      </c>
      <c r="B513" s="138"/>
      <c r="C513" s="138"/>
      <c r="D513" s="137"/>
      <c r="E513" s="138"/>
      <c r="F513" s="137"/>
      <c r="G513" s="137"/>
      <c r="H513" s="137"/>
      <c r="I513" s="137"/>
      <c r="J513" s="137"/>
      <c r="K513" s="137"/>
    </row>
    <row r="514" spans="1:11" ht="53.25" customHeight="1" x14ac:dyDescent="0.3">
      <c r="A514" s="120" t="s">
        <v>318</v>
      </c>
      <c r="B514" s="179">
        <f>F514+I514</f>
        <v>1194900</v>
      </c>
      <c r="C514" s="179"/>
      <c r="D514" s="180"/>
      <c r="E514" s="179"/>
      <c r="F514" s="179">
        <f>H514</f>
        <v>1194900</v>
      </c>
      <c r="G514" s="181"/>
      <c r="H514" s="179">
        <f>Дод.3!J240*1000</f>
        <v>1194900</v>
      </c>
      <c r="I514" s="137"/>
      <c r="J514" s="137"/>
      <c r="K514" s="138"/>
    </row>
    <row r="515" spans="1:11" ht="32.25" customHeight="1" x14ac:dyDescent="0.3">
      <c r="A515" s="261" t="s">
        <v>79</v>
      </c>
      <c r="B515" s="138"/>
      <c r="C515" s="138"/>
      <c r="D515" s="137"/>
      <c r="E515" s="138"/>
      <c r="F515" s="138"/>
      <c r="G515" s="137"/>
      <c r="H515" s="138"/>
      <c r="I515" s="137"/>
      <c r="J515" s="137"/>
      <c r="K515" s="137"/>
    </row>
    <row r="516" spans="1:11" ht="42" customHeight="1" x14ac:dyDescent="0.3">
      <c r="A516" s="139" t="s">
        <v>319</v>
      </c>
      <c r="B516" s="138"/>
      <c r="C516" s="138"/>
      <c r="D516" s="137"/>
      <c r="E516" s="138"/>
      <c r="F516" s="138">
        <f>H516</f>
        <v>1</v>
      </c>
      <c r="G516" s="137"/>
      <c r="H516" s="138">
        <v>1</v>
      </c>
      <c r="I516" s="137"/>
      <c r="J516" s="137"/>
      <c r="K516" s="137"/>
    </row>
    <row r="517" spans="1:11" ht="38.25" customHeight="1" x14ac:dyDescent="0.3">
      <c r="A517" s="261" t="s">
        <v>80</v>
      </c>
      <c r="B517" s="138"/>
      <c r="C517" s="138"/>
      <c r="D517" s="137"/>
      <c r="E517" s="138"/>
      <c r="F517" s="138"/>
      <c r="G517" s="137"/>
      <c r="H517" s="137"/>
      <c r="I517" s="137"/>
      <c r="J517" s="137"/>
      <c r="K517" s="137"/>
    </row>
    <row r="518" spans="1:11" ht="54.75" customHeight="1" x14ac:dyDescent="0.3">
      <c r="A518" s="125" t="s">
        <v>320</v>
      </c>
      <c r="B518" s="138"/>
      <c r="C518" s="138"/>
      <c r="D518" s="137"/>
      <c r="E518" s="138"/>
      <c r="F518" s="138">
        <f>H518</f>
        <v>1194900</v>
      </c>
      <c r="G518" s="137"/>
      <c r="H518" s="138">
        <f>H514/H516</f>
        <v>1194900</v>
      </c>
      <c r="I518" s="137"/>
      <c r="J518" s="137"/>
      <c r="K518" s="137"/>
    </row>
    <row r="519" spans="1:11" ht="54.75" customHeight="1" x14ac:dyDescent="0.3">
      <c r="A519" s="136" t="s">
        <v>81</v>
      </c>
      <c r="B519" s="138"/>
      <c r="C519" s="138"/>
      <c r="D519" s="137"/>
      <c r="E519" s="138"/>
      <c r="F519" s="138"/>
      <c r="G519" s="137"/>
      <c r="H519" s="138"/>
      <c r="I519" s="137"/>
      <c r="J519" s="137"/>
      <c r="K519" s="137"/>
    </row>
    <row r="520" spans="1:11" ht="49.5" customHeight="1" x14ac:dyDescent="0.3">
      <c r="A520" s="125" t="s">
        <v>321</v>
      </c>
      <c r="B520" s="138"/>
      <c r="C520" s="138"/>
      <c r="D520" s="137"/>
      <c r="E520" s="138"/>
      <c r="F520" s="138">
        <f>H520</f>
        <v>100</v>
      </c>
      <c r="G520" s="137"/>
      <c r="H520" s="138">
        <v>100</v>
      </c>
      <c r="I520" s="137"/>
      <c r="J520" s="137"/>
      <c r="K520" s="137"/>
    </row>
    <row r="521" spans="1:11" ht="32.25" customHeight="1" x14ac:dyDescent="0.3">
      <c r="A521" s="492" t="s">
        <v>543</v>
      </c>
      <c r="B521" s="492"/>
      <c r="C521" s="492"/>
      <c r="D521" s="492"/>
      <c r="E521" s="492"/>
      <c r="F521" s="492"/>
      <c r="G521" s="492"/>
      <c r="H521" s="492"/>
      <c r="I521" s="492"/>
      <c r="J521" s="492"/>
      <c r="K521" s="492"/>
    </row>
    <row r="522" spans="1:11" ht="30.75" customHeight="1" x14ac:dyDescent="0.3">
      <c r="A522" s="261" t="s">
        <v>77</v>
      </c>
      <c r="B522" s="138"/>
      <c r="C522" s="138"/>
      <c r="D522" s="137"/>
      <c r="E522" s="138"/>
      <c r="F522" s="137"/>
      <c r="G522" s="137"/>
      <c r="H522" s="137"/>
      <c r="I522" s="137"/>
      <c r="J522" s="137"/>
      <c r="K522" s="137"/>
    </row>
    <row r="523" spans="1:11" ht="53.25" customHeight="1" x14ac:dyDescent="0.3">
      <c r="A523" s="125" t="s">
        <v>331</v>
      </c>
      <c r="B523" s="179">
        <f>C523+F523+I523</f>
        <v>360000</v>
      </c>
      <c r="C523" s="179">
        <f>E523</f>
        <v>360000</v>
      </c>
      <c r="D523" s="180"/>
      <c r="E523" s="179">
        <f>Дод.3!I247*1000</f>
        <v>360000</v>
      </c>
      <c r="F523" s="137"/>
      <c r="G523" s="137"/>
      <c r="H523" s="137"/>
      <c r="I523" s="137"/>
      <c r="J523" s="137"/>
      <c r="K523" s="137"/>
    </row>
    <row r="524" spans="1:11" ht="34.5" customHeight="1" x14ac:dyDescent="0.3">
      <c r="A524" s="261" t="s">
        <v>79</v>
      </c>
      <c r="B524" s="138"/>
      <c r="C524" s="138"/>
      <c r="D524" s="137"/>
      <c r="E524" s="138"/>
      <c r="F524" s="137"/>
      <c r="G524" s="137"/>
      <c r="H524" s="137"/>
      <c r="I524" s="137"/>
      <c r="J524" s="137"/>
      <c r="K524" s="137"/>
    </row>
    <row r="525" spans="1:11" ht="32.25" customHeight="1" x14ac:dyDescent="0.3">
      <c r="A525" s="130" t="s">
        <v>330</v>
      </c>
      <c r="B525" s="138"/>
      <c r="C525" s="138">
        <f>E525</f>
        <v>1</v>
      </c>
      <c r="D525" s="137"/>
      <c r="E525" s="138">
        <v>1</v>
      </c>
      <c r="F525" s="137"/>
      <c r="G525" s="137"/>
      <c r="H525" s="137"/>
      <c r="I525" s="137"/>
      <c r="J525" s="137"/>
      <c r="K525" s="137"/>
    </row>
    <row r="526" spans="1:11" ht="38.25" customHeight="1" x14ac:dyDescent="0.3">
      <c r="A526" s="261" t="s">
        <v>80</v>
      </c>
      <c r="B526" s="138"/>
      <c r="C526" s="138"/>
      <c r="D526" s="137"/>
      <c r="E526" s="138"/>
      <c r="F526" s="137"/>
      <c r="G526" s="137"/>
      <c r="H526" s="137"/>
      <c r="I526" s="137"/>
      <c r="J526" s="137"/>
      <c r="K526" s="137"/>
    </row>
    <row r="527" spans="1:11" ht="53.25" customHeight="1" x14ac:dyDescent="0.3">
      <c r="A527" s="120" t="s">
        <v>332</v>
      </c>
      <c r="B527" s="138"/>
      <c r="C527" s="138">
        <f>E527</f>
        <v>360000</v>
      </c>
      <c r="D527" s="137"/>
      <c r="E527" s="138">
        <f>E523/E525</f>
        <v>360000</v>
      </c>
      <c r="F527" s="137"/>
      <c r="G527" s="137"/>
      <c r="H527" s="137"/>
      <c r="I527" s="137"/>
      <c r="J527" s="137"/>
      <c r="K527" s="137"/>
    </row>
    <row r="528" spans="1:11" ht="34.5" customHeight="1" x14ac:dyDescent="0.3">
      <c r="A528" s="492" t="s">
        <v>570</v>
      </c>
      <c r="B528" s="492"/>
      <c r="C528" s="492"/>
      <c r="D528" s="492"/>
      <c r="E528" s="492"/>
      <c r="F528" s="492"/>
      <c r="G528" s="492"/>
      <c r="H528" s="492"/>
      <c r="I528" s="492"/>
      <c r="J528" s="492"/>
      <c r="K528" s="492"/>
    </row>
    <row r="529" spans="1:11" ht="34.5" customHeight="1" x14ac:dyDescent="0.3">
      <c r="A529" s="261" t="s">
        <v>77</v>
      </c>
      <c r="B529" s="138"/>
      <c r="C529" s="138"/>
      <c r="D529" s="137"/>
      <c r="E529" s="138"/>
      <c r="F529" s="137"/>
      <c r="G529" s="137"/>
      <c r="H529" s="137"/>
      <c r="I529" s="137"/>
      <c r="J529" s="137"/>
      <c r="K529" s="137"/>
    </row>
    <row r="530" spans="1:11" ht="43.5" customHeight="1" x14ac:dyDescent="0.3">
      <c r="A530" s="189" t="s">
        <v>573</v>
      </c>
      <c r="B530" s="179">
        <f>F530+I530</f>
        <v>44945600.000000007</v>
      </c>
      <c r="C530" s="179"/>
      <c r="D530" s="180"/>
      <c r="E530" s="179"/>
      <c r="F530" s="179">
        <f>G530+H530</f>
        <v>44945600.000000007</v>
      </c>
      <c r="G530" s="179"/>
      <c r="H530" s="179">
        <f>Дод.3!J252*1000</f>
        <v>44945600.000000007</v>
      </c>
      <c r="I530" s="138"/>
      <c r="J530" s="137"/>
      <c r="K530" s="137"/>
    </row>
    <row r="531" spans="1:11" ht="59.25" customHeight="1" x14ac:dyDescent="0.3">
      <c r="A531" s="125" t="s">
        <v>581</v>
      </c>
      <c r="B531" s="179"/>
      <c r="C531" s="179"/>
      <c r="D531" s="180"/>
      <c r="E531" s="179"/>
      <c r="F531" s="179">
        <f>H531</f>
        <v>44545600.000000007</v>
      </c>
      <c r="G531" s="179"/>
      <c r="H531" s="179">
        <f>Дод.3!J262*1000</f>
        <v>44545600.000000007</v>
      </c>
      <c r="I531" s="138"/>
      <c r="J531" s="137"/>
      <c r="K531" s="137"/>
    </row>
    <row r="532" spans="1:11" ht="59.25" customHeight="1" x14ac:dyDescent="0.3">
      <c r="A532" s="125" t="s">
        <v>582</v>
      </c>
      <c r="B532" s="179"/>
      <c r="C532" s="179"/>
      <c r="D532" s="180"/>
      <c r="E532" s="179"/>
      <c r="F532" s="179">
        <f>H532</f>
        <v>400000</v>
      </c>
      <c r="G532" s="179"/>
      <c r="H532" s="179">
        <f>Дод.3!J263*1000</f>
        <v>400000</v>
      </c>
      <c r="I532" s="138"/>
      <c r="J532" s="137"/>
      <c r="K532" s="137"/>
    </row>
    <row r="533" spans="1:11" ht="34.5" customHeight="1" x14ac:dyDescent="0.3">
      <c r="A533" s="261" t="s">
        <v>79</v>
      </c>
      <c r="B533" s="138"/>
      <c r="C533" s="138"/>
      <c r="D533" s="137"/>
      <c r="E533" s="138"/>
      <c r="F533" s="138"/>
      <c r="G533" s="138"/>
      <c r="H533" s="138"/>
      <c r="I533" s="138"/>
      <c r="J533" s="137"/>
      <c r="K533" s="137"/>
    </row>
    <row r="534" spans="1:11" ht="53.25" customHeight="1" x14ac:dyDescent="0.3">
      <c r="A534" s="130" t="s">
        <v>580</v>
      </c>
      <c r="B534" s="138"/>
      <c r="C534" s="138"/>
      <c r="D534" s="137"/>
      <c r="E534" s="138"/>
      <c r="F534" s="138">
        <f>G534+H534</f>
        <v>4</v>
      </c>
      <c r="G534" s="138"/>
      <c r="H534" s="138">
        <v>4</v>
      </c>
      <c r="I534" s="138"/>
      <c r="J534" s="137"/>
      <c r="K534" s="137"/>
    </row>
    <row r="535" spans="1:11" ht="59.25" customHeight="1" x14ac:dyDescent="0.3">
      <c r="A535" s="130" t="s">
        <v>579</v>
      </c>
      <c r="B535" s="138"/>
      <c r="C535" s="138"/>
      <c r="D535" s="137"/>
      <c r="E535" s="138"/>
      <c r="F535" s="138">
        <f>G535+H535</f>
        <v>1</v>
      </c>
      <c r="G535" s="138"/>
      <c r="H535" s="138">
        <v>1</v>
      </c>
      <c r="I535" s="138"/>
      <c r="J535" s="137"/>
      <c r="K535" s="137"/>
    </row>
    <row r="536" spans="1:11" ht="39.75" customHeight="1" x14ac:dyDescent="0.3">
      <c r="A536" s="261" t="s">
        <v>80</v>
      </c>
      <c r="B536" s="138"/>
      <c r="C536" s="138"/>
      <c r="D536" s="137"/>
      <c r="E536" s="138"/>
      <c r="F536" s="138"/>
      <c r="G536" s="138"/>
      <c r="H536" s="138"/>
      <c r="I536" s="138"/>
      <c r="J536" s="137"/>
      <c r="K536" s="137"/>
    </row>
    <row r="537" spans="1:11" ht="53.25" customHeight="1" x14ac:dyDescent="0.3">
      <c r="A537" s="120" t="s">
        <v>577</v>
      </c>
      <c r="B537" s="138"/>
      <c r="C537" s="138"/>
      <c r="D537" s="137"/>
      <c r="E537" s="138"/>
      <c r="F537" s="138">
        <f>H537</f>
        <v>11136400.000000002</v>
      </c>
      <c r="G537" s="138"/>
      <c r="H537" s="138">
        <f>H531/H534</f>
        <v>11136400.000000002</v>
      </c>
      <c r="I537" s="138"/>
      <c r="J537" s="137"/>
      <c r="K537" s="137"/>
    </row>
    <row r="538" spans="1:11" ht="49.5" customHeight="1" x14ac:dyDescent="0.3">
      <c r="A538" s="120" t="s">
        <v>578</v>
      </c>
      <c r="B538" s="138"/>
      <c r="C538" s="138"/>
      <c r="D538" s="137"/>
      <c r="E538" s="138"/>
      <c r="F538" s="138">
        <f>H538</f>
        <v>400000</v>
      </c>
      <c r="G538" s="138"/>
      <c r="H538" s="138">
        <f>H532/H535</f>
        <v>400000</v>
      </c>
      <c r="I538" s="138"/>
      <c r="J538" s="137"/>
      <c r="K538" s="137"/>
    </row>
    <row r="539" spans="1:11" ht="53.25" customHeight="1" x14ac:dyDescent="0.3">
      <c r="A539" s="176"/>
      <c r="B539" s="177"/>
      <c r="C539" s="177"/>
      <c r="D539" s="113"/>
      <c r="E539" s="177"/>
      <c r="F539" s="113"/>
      <c r="G539" s="113"/>
      <c r="H539" s="113"/>
      <c r="I539" s="113"/>
      <c r="J539" s="113"/>
      <c r="K539" s="113"/>
    </row>
    <row r="540" spans="1:11" s="21" customFormat="1" ht="28.5" customHeight="1" x14ac:dyDescent="0.35">
      <c r="A540" s="140"/>
      <c r="B540" s="141"/>
      <c r="C540" s="142"/>
      <c r="D540" s="142"/>
      <c r="E540" s="142"/>
      <c r="F540" s="142"/>
      <c r="G540" s="142"/>
      <c r="H540" s="142"/>
      <c r="I540" s="142"/>
      <c r="J540" s="142"/>
      <c r="K540" s="142"/>
    </row>
    <row r="541" spans="1:11" s="21" customFormat="1" ht="28.5" customHeight="1" x14ac:dyDescent="0.4">
      <c r="A541" s="143" t="s">
        <v>136</v>
      </c>
      <c r="B541" s="141"/>
      <c r="C541" s="142"/>
      <c r="D541" s="142"/>
      <c r="E541" s="142"/>
      <c r="F541" s="142"/>
      <c r="G541" s="142"/>
      <c r="H541" s="142"/>
      <c r="I541" s="144" t="s">
        <v>304</v>
      </c>
      <c r="J541" s="142"/>
      <c r="K541" s="142"/>
    </row>
    <row r="542" spans="1:11" s="21" customFormat="1" ht="28.5" customHeight="1" x14ac:dyDescent="0.35">
      <c r="A542" s="140"/>
      <c r="B542" s="141"/>
      <c r="C542" s="142"/>
      <c r="D542" s="142"/>
      <c r="E542" s="142"/>
      <c r="F542" s="142"/>
      <c r="G542" s="142"/>
      <c r="H542" s="142"/>
      <c r="I542" s="142"/>
      <c r="J542" s="142"/>
      <c r="K542" s="142"/>
    </row>
    <row r="543" spans="1:11" s="21" customFormat="1" ht="28.5" customHeight="1" x14ac:dyDescent="0.4">
      <c r="A543" s="145" t="s">
        <v>25</v>
      </c>
      <c r="B543" s="143"/>
      <c r="C543" s="146"/>
      <c r="D543" s="147"/>
      <c r="E543" s="143"/>
      <c r="F543" s="148"/>
      <c r="G543" s="148"/>
      <c r="H543" s="148"/>
      <c r="J543" s="149"/>
      <c r="K543" s="150"/>
    </row>
    <row r="544" spans="1:11" s="21" customFormat="1" ht="28.5" customHeight="1" x14ac:dyDescent="0.35">
      <c r="A544" s="151"/>
      <c r="B544" s="151"/>
      <c r="C544" s="152"/>
      <c r="D544" s="153"/>
      <c r="E544" s="151"/>
      <c r="F544" s="149"/>
      <c r="G544" s="149"/>
      <c r="H544" s="149"/>
      <c r="I544" s="154"/>
      <c r="J544" s="149"/>
      <c r="K544" s="150"/>
    </row>
    <row r="545" spans="1:11" ht="28.5" customHeight="1" x14ac:dyDescent="0.35">
      <c r="B545" s="151"/>
      <c r="C545" s="155"/>
      <c r="D545" s="153"/>
      <c r="E545" s="151"/>
      <c r="F545" s="149"/>
      <c r="G545" s="149"/>
      <c r="H545" s="149"/>
      <c r="I545" s="149"/>
      <c r="J545" s="149"/>
      <c r="K545" s="156"/>
    </row>
    <row r="546" spans="1:11" ht="28.5" customHeight="1" x14ac:dyDescent="0.35">
      <c r="A546" s="151"/>
      <c r="B546" s="151"/>
      <c r="C546" s="151"/>
      <c r="D546" s="153"/>
      <c r="E546" s="151"/>
      <c r="F546" s="149"/>
      <c r="G546" s="149"/>
      <c r="H546" s="149"/>
      <c r="I546" s="149"/>
      <c r="J546" s="149"/>
      <c r="K546" s="156"/>
    </row>
    <row r="547" spans="1:11" ht="28.5" customHeight="1" x14ac:dyDescent="0.35">
      <c r="A547" s="151"/>
      <c r="B547" s="151"/>
      <c r="C547" s="151"/>
      <c r="D547" s="151"/>
      <c r="E547" s="151"/>
      <c r="F547" s="151"/>
      <c r="G547" s="151"/>
      <c r="H547" s="151"/>
      <c r="I547" s="151"/>
      <c r="J547" s="151"/>
    </row>
  </sheetData>
  <mergeCells count="73">
    <mergeCell ref="A243:K243"/>
    <mergeCell ref="A168:K168"/>
    <mergeCell ref="A371:K371"/>
    <mergeCell ref="A393:K393"/>
    <mergeCell ref="A427:K427"/>
    <mergeCell ref="A253:K253"/>
    <mergeCell ref="A311:K311"/>
    <mergeCell ref="A77:K77"/>
    <mergeCell ref="A84:K84"/>
    <mergeCell ref="A93:K93"/>
    <mergeCell ref="A232:K232"/>
    <mergeCell ref="A233:K233"/>
    <mergeCell ref="A202:K202"/>
    <mergeCell ref="A218:K218"/>
    <mergeCell ref="A107:K107"/>
    <mergeCell ref="A139:K139"/>
    <mergeCell ref="A123:K123"/>
    <mergeCell ref="A193:K193"/>
    <mergeCell ref="A210:K210"/>
    <mergeCell ref="B16:K16"/>
    <mergeCell ref="A452:K452"/>
    <mergeCell ref="A521:K521"/>
    <mergeCell ref="A289:K289"/>
    <mergeCell ref="A312:K312"/>
    <mergeCell ref="A330:K330"/>
    <mergeCell ref="A362:K362"/>
    <mergeCell ref="A184:K184"/>
    <mergeCell ref="A406:K406"/>
    <mergeCell ref="A409:K409"/>
    <mergeCell ref="A472:K472"/>
    <mergeCell ref="A496:K496"/>
    <mergeCell ref="A503:K503"/>
    <mergeCell ref="A380:K380"/>
    <mergeCell ref="A21:K21"/>
    <mergeCell ref="A68:K68"/>
    <mergeCell ref="H2:K2"/>
    <mergeCell ref="A14:K14"/>
    <mergeCell ref="A13:K13"/>
    <mergeCell ref="H3:K3"/>
    <mergeCell ref="A5:K5"/>
    <mergeCell ref="A7:A10"/>
    <mergeCell ref="B7:B10"/>
    <mergeCell ref="C7:E8"/>
    <mergeCell ref="F7:H8"/>
    <mergeCell ref="I7:K8"/>
    <mergeCell ref="C9:C10"/>
    <mergeCell ref="G9:H9"/>
    <mergeCell ref="I9:I10"/>
    <mergeCell ref="J9:K9"/>
    <mergeCell ref="D9:E9"/>
    <mergeCell ref="F9:F10"/>
    <mergeCell ref="B17:K17"/>
    <mergeCell ref="A22:K22"/>
    <mergeCell ref="A32:K32"/>
    <mergeCell ref="A41:K41"/>
    <mergeCell ref="A58:K58"/>
    <mergeCell ref="A57:K57"/>
    <mergeCell ref="A465:K465"/>
    <mergeCell ref="A485:K485"/>
    <mergeCell ref="A512:K512"/>
    <mergeCell ref="A528:K528"/>
    <mergeCell ref="A151:K151"/>
    <mergeCell ref="A458:K458"/>
    <mergeCell ref="A455:K455"/>
    <mergeCell ref="A457:K457"/>
    <mergeCell ref="A261:K261"/>
    <mergeCell ref="A260:K260"/>
    <mergeCell ref="A309:K309"/>
    <mergeCell ref="A445:K445"/>
    <mergeCell ref="A275:K275"/>
    <mergeCell ref="A299:K299"/>
    <mergeCell ref="A321:K321"/>
    <mergeCell ref="A346:K346"/>
  </mergeCells>
  <pageMargins left="0.78740157480314965" right="0.78740157480314965" top="1.1811023622047245" bottom="0.39370078740157483" header="0.31496062992125984" footer="0.31496062992125984"/>
  <pageSetup paperSize="9" scale="37" fitToHeight="11" orientation="landscape" r:id="rId1"/>
  <rowBreaks count="7" manualBreakCount="7">
    <brk id="58" max="10" man="1"/>
    <brk id="119" max="10" man="1"/>
    <brk id="287" max="10" man="1"/>
    <brk id="319" max="10" man="1"/>
    <brk id="448" max="10" man="1"/>
    <brk id="482" max="10" man="1"/>
    <brk id="511"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2"/>
  <sheetViews>
    <sheetView view="pageBreakPreview" zoomScale="40" zoomScaleNormal="50" zoomScaleSheetLayoutView="40" workbookViewId="0">
      <selection activeCell="A16" sqref="A1:XFD1048576"/>
    </sheetView>
  </sheetViews>
  <sheetFormatPr defaultColWidth="9.140625" defaultRowHeight="18.75" x14ac:dyDescent="0.3"/>
  <cols>
    <col min="1" max="1" width="6.5703125" style="8" customWidth="1"/>
    <col min="2" max="2" width="25.85546875" style="8" customWidth="1"/>
    <col min="3" max="3" width="54.140625" style="8" customWidth="1"/>
    <col min="4" max="4" width="19" style="8" customWidth="1"/>
    <col min="5" max="5" width="23.7109375" style="8" customWidth="1"/>
    <col min="6" max="6" width="25.140625" style="8" customWidth="1"/>
    <col min="7" max="7" width="28.28515625" style="8" customWidth="1"/>
    <col min="8" max="8" width="26.7109375" style="8" customWidth="1"/>
    <col min="9" max="9" width="37.140625" style="8" customWidth="1"/>
    <col min="10" max="10" width="11" style="8" bestFit="1" customWidth="1"/>
    <col min="11" max="11" width="9.5703125" style="8" bestFit="1" customWidth="1"/>
    <col min="12" max="12" width="11" style="8" bestFit="1" customWidth="1"/>
    <col min="13" max="13" width="9.5703125" style="8" bestFit="1" customWidth="1"/>
    <col min="14" max="16384" width="9.140625" style="8"/>
  </cols>
  <sheetData>
    <row r="2" spans="1:9" ht="33.75" customHeight="1" x14ac:dyDescent="0.3">
      <c r="A2" s="532" t="s">
        <v>317</v>
      </c>
      <c r="B2" s="532"/>
      <c r="C2" s="532"/>
      <c r="D2" s="532"/>
      <c r="E2" s="532"/>
      <c r="F2" s="532"/>
      <c r="G2" s="532"/>
      <c r="H2" s="532"/>
      <c r="I2" s="532"/>
    </row>
    <row r="3" spans="1:9" x14ac:dyDescent="0.3">
      <c r="A3" s="533"/>
      <c r="B3" s="533"/>
      <c r="C3" s="533"/>
      <c r="D3" s="533"/>
      <c r="E3" s="533"/>
      <c r="F3" s="533"/>
      <c r="G3" s="533"/>
      <c r="H3" s="533"/>
      <c r="I3" s="533"/>
    </row>
    <row r="4" spans="1:9" ht="20.25" customHeight="1" x14ac:dyDescent="0.3">
      <c r="A4" s="534" t="s">
        <v>1</v>
      </c>
      <c r="B4" s="534" t="s">
        <v>2</v>
      </c>
      <c r="C4" s="534" t="s">
        <v>3</v>
      </c>
      <c r="D4" s="534" t="s">
        <v>4</v>
      </c>
      <c r="E4" s="535" t="s">
        <v>311</v>
      </c>
      <c r="F4" s="535" t="s">
        <v>307</v>
      </c>
      <c r="G4" s="535" t="s">
        <v>512</v>
      </c>
      <c r="H4" s="536" t="s">
        <v>308</v>
      </c>
      <c r="I4" s="537"/>
    </row>
    <row r="5" spans="1:9" ht="20.25" customHeight="1" x14ac:dyDescent="0.3">
      <c r="A5" s="534"/>
      <c r="B5" s="534"/>
      <c r="C5" s="534"/>
      <c r="D5" s="534"/>
      <c r="E5" s="535"/>
      <c r="F5" s="535"/>
      <c r="G5" s="535"/>
      <c r="H5" s="538"/>
      <c r="I5" s="539"/>
    </row>
    <row r="6" spans="1:9" ht="109.5" customHeight="1" x14ac:dyDescent="0.3">
      <c r="A6" s="534"/>
      <c r="B6" s="534"/>
      <c r="C6" s="534"/>
      <c r="D6" s="534"/>
      <c r="E6" s="535"/>
      <c r="F6" s="535"/>
      <c r="G6" s="535"/>
      <c r="H6" s="540"/>
      <c r="I6" s="541"/>
    </row>
    <row r="7" spans="1:9" x14ac:dyDescent="0.3">
      <c r="A7" s="182">
        <v>1</v>
      </c>
      <c r="B7" s="182">
        <v>2</v>
      </c>
      <c r="C7" s="182">
        <v>3</v>
      </c>
      <c r="D7" s="182">
        <v>4</v>
      </c>
      <c r="E7" s="23">
        <v>5</v>
      </c>
      <c r="F7" s="23">
        <v>6</v>
      </c>
      <c r="G7" s="23">
        <v>7</v>
      </c>
      <c r="H7" s="542"/>
      <c r="I7" s="543"/>
    </row>
    <row r="8" spans="1:9" ht="117" customHeight="1" x14ac:dyDescent="0.3">
      <c r="A8" s="288" t="s">
        <v>92</v>
      </c>
      <c r="B8" s="288" t="s">
        <v>415</v>
      </c>
      <c r="C8" s="123" t="s">
        <v>458</v>
      </c>
      <c r="D8" s="213" t="s">
        <v>151</v>
      </c>
      <c r="E8" s="208">
        <v>5305.2</v>
      </c>
      <c r="F8" s="191">
        <f t="shared" ref="F8:F21" si="0">G8-E8</f>
        <v>-100</v>
      </c>
      <c r="G8" s="208">
        <v>5205.2</v>
      </c>
      <c r="H8" s="520" t="s">
        <v>508</v>
      </c>
      <c r="I8" s="521"/>
    </row>
    <row r="9" spans="1:9" ht="122.25" customHeight="1" x14ac:dyDescent="0.3">
      <c r="A9" s="298"/>
      <c r="B9" s="298"/>
      <c r="C9" s="123" t="s">
        <v>434</v>
      </c>
      <c r="D9" s="213" t="s">
        <v>151</v>
      </c>
      <c r="E9" s="192">
        <v>3615</v>
      </c>
      <c r="F9" s="193">
        <f t="shared" si="0"/>
        <v>238.40000000000009</v>
      </c>
      <c r="G9" s="192">
        <v>3853.4</v>
      </c>
      <c r="H9" s="520" t="s">
        <v>513</v>
      </c>
      <c r="I9" s="521"/>
    </row>
    <row r="10" spans="1:9" ht="40.5" customHeight="1" x14ac:dyDescent="0.3">
      <c r="A10" s="522" t="s">
        <v>503</v>
      </c>
      <c r="B10" s="523"/>
      <c r="C10" s="524"/>
      <c r="D10" s="213"/>
      <c r="E10" s="197">
        <v>98686.7</v>
      </c>
      <c r="F10" s="198">
        <f t="shared" si="0"/>
        <v>138.40000000000873</v>
      </c>
      <c r="G10" s="197">
        <v>98825.1</v>
      </c>
      <c r="H10" s="530"/>
      <c r="I10" s="531"/>
    </row>
    <row r="11" spans="1:9" ht="159" customHeight="1" x14ac:dyDescent="0.3">
      <c r="A11" s="207" t="s">
        <v>91</v>
      </c>
      <c r="B11" s="194" t="s">
        <v>400</v>
      </c>
      <c r="C11" s="123" t="s">
        <v>444</v>
      </c>
      <c r="D11" s="213" t="s">
        <v>151</v>
      </c>
      <c r="E11" s="192">
        <v>1500</v>
      </c>
      <c r="F11" s="193">
        <f t="shared" si="0"/>
        <v>1000</v>
      </c>
      <c r="G11" s="192">
        <v>2500</v>
      </c>
      <c r="H11" s="520" t="s">
        <v>514</v>
      </c>
      <c r="I11" s="521"/>
    </row>
    <row r="12" spans="1:9" ht="45" customHeight="1" x14ac:dyDescent="0.3">
      <c r="A12" s="522" t="s">
        <v>504</v>
      </c>
      <c r="B12" s="523"/>
      <c r="C12" s="524"/>
      <c r="D12" s="213"/>
      <c r="E12" s="197">
        <v>17796</v>
      </c>
      <c r="F12" s="198">
        <f t="shared" si="0"/>
        <v>1000</v>
      </c>
      <c r="G12" s="197">
        <v>18796</v>
      </c>
      <c r="H12" s="530"/>
      <c r="I12" s="531"/>
    </row>
    <row r="13" spans="1:9" ht="319.5" customHeight="1" x14ac:dyDescent="0.3">
      <c r="A13" s="341" t="s">
        <v>95</v>
      </c>
      <c r="B13" s="341" t="s">
        <v>87</v>
      </c>
      <c r="C13" s="215" t="s">
        <v>506</v>
      </c>
      <c r="D13" s="206" t="s">
        <v>149</v>
      </c>
      <c r="E13" s="193">
        <v>3713</v>
      </c>
      <c r="F13" s="193">
        <f t="shared" si="0"/>
        <v>100</v>
      </c>
      <c r="G13" s="193">
        <v>3813</v>
      </c>
      <c r="H13" s="520" t="s">
        <v>507</v>
      </c>
      <c r="I13" s="521"/>
    </row>
    <row r="14" spans="1:9" ht="113.25" customHeight="1" x14ac:dyDescent="0.3">
      <c r="A14" s="341"/>
      <c r="B14" s="341"/>
      <c r="C14" s="215" t="s">
        <v>451</v>
      </c>
      <c r="D14" s="206" t="s">
        <v>356</v>
      </c>
      <c r="E14" s="193">
        <v>0</v>
      </c>
      <c r="F14" s="193">
        <f>G14-E14</f>
        <v>1745</v>
      </c>
      <c r="G14" s="193">
        <v>1745</v>
      </c>
      <c r="H14" s="520" t="s">
        <v>561</v>
      </c>
      <c r="I14" s="521"/>
    </row>
    <row r="15" spans="1:9" ht="40.5" customHeight="1" x14ac:dyDescent="0.3">
      <c r="A15" s="522" t="s">
        <v>505</v>
      </c>
      <c r="B15" s="523"/>
      <c r="C15" s="524"/>
      <c r="D15" s="214"/>
      <c r="E15" s="199">
        <v>3713</v>
      </c>
      <c r="F15" s="199">
        <f t="shared" si="0"/>
        <v>1845</v>
      </c>
      <c r="G15" s="199">
        <v>5558</v>
      </c>
      <c r="H15" s="530"/>
      <c r="I15" s="531"/>
    </row>
    <row r="16" spans="1:9" ht="126" customHeight="1" x14ac:dyDescent="0.3">
      <c r="A16" s="525" t="s">
        <v>97</v>
      </c>
      <c r="B16" s="288" t="s">
        <v>98</v>
      </c>
      <c r="C16" s="123" t="s">
        <v>496</v>
      </c>
      <c r="D16" s="212" t="s">
        <v>152</v>
      </c>
      <c r="E16" s="192">
        <v>152676.6</v>
      </c>
      <c r="F16" s="193">
        <f t="shared" si="0"/>
        <v>58.799999999988358</v>
      </c>
      <c r="G16" s="192">
        <v>152735.4</v>
      </c>
      <c r="H16" s="520" t="s">
        <v>509</v>
      </c>
      <c r="I16" s="521"/>
    </row>
    <row r="17" spans="1:13" ht="121.5" customHeight="1" x14ac:dyDescent="0.3">
      <c r="A17" s="526"/>
      <c r="B17" s="289"/>
      <c r="C17" s="123" t="s">
        <v>529</v>
      </c>
      <c r="D17" s="212" t="s">
        <v>152</v>
      </c>
      <c r="E17" s="192">
        <v>0</v>
      </c>
      <c r="F17" s="193">
        <f t="shared" si="0"/>
        <v>8172</v>
      </c>
      <c r="G17" s="192">
        <v>8172</v>
      </c>
      <c r="H17" s="520" t="s">
        <v>544</v>
      </c>
      <c r="I17" s="521"/>
    </row>
    <row r="18" spans="1:13" ht="119.25" customHeight="1" x14ac:dyDescent="0.3">
      <c r="A18" s="526"/>
      <c r="B18" s="289"/>
      <c r="C18" s="528" t="s">
        <v>521</v>
      </c>
      <c r="D18" s="212" t="s">
        <v>152</v>
      </c>
      <c r="E18" s="193">
        <v>35191.4</v>
      </c>
      <c r="F18" s="193">
        <f t="shared" si="0"/>
        <v>9354.1999999999971</v>
      </c>
      <c r="G18" s="193">
        <v>44545.599999999999</v>
      </c>
      <c r="H18" s="520" t="s">
        <v>515</v>
      </c>
      <c r="I18" s="521"/>
    </row>
    <row r="19" spans="1:13" ht="147.75" customHeight="1" x14ac:dyDescent="0.3">
      <c r="A19" s="527"/>
      <c r="B19" s="298"/>
      <c r="C19" s="529"/>
      <c r="D19" s="212" t="s">
        <v>152</v>
      </c>
      <c r="E19" s="192">
        <v>0</v>
      </c>
      <c r="F19" s="193">
        <f>G19-E19</f>
        <v>400</v>
      </c>
      <c r="G19" s="192">
        <v>400</v>
      </c>
      <c r="H19" s="520" t="s">
        <v>545</v>
      </c>
      <c r="I19" s="521"/>
    </row>
    <row r="20" spans="1:13" ht="51" customHeight="1" x14ac:dyDescent="0.35">
      <c r="A20" s="522" t="s">
        <v>316</v>
      </c>
      <c r="B20" s="523"/>
      <c r="C20" s="524"/>
      <c r="D20" s="105"/>
      <c r="E20" s="197">
        <v>221545.10000000003</v>
      </c>
      <c r="F20" s="198">
        <f>G20-E20</f>
        <v>17985</v>
      </c>
      <c r="G20" s="197">
        <v>239530.10000000003</v>
      </c>
      <c r="H20" s="518"/>
      <c r="I20" s="519"/>
      <c r="L20" s="24"/>
      <c r="M20" s="24"/>
    </row>
    <row r="21" spans="1:13" ht="26.25" customHeight="1" x14ac:dyDescent="0.35">
      <c r="A21" s="515" t="s">
        <v>309</v>
      </c>
      <c r="B21" s="516"/>
      <c r="C21" s="517"/>
      <c r="D21" s="105"/>
      <c r="E21" s="198">
        <v>341740.79999999999</v>
      </c>
      <c r="F21" s="198">
        <f t="shared" si="0"/>
        <v>20968.400000000023</v>
      </c>
      <c r="G21" s="198">
        <v>362709.2</v>
      </c>
      <c r="H21" s="518"/>
      <c r="I21" s="519"/>
      <c r="J21" s="24"/>
    </row>
    <row r="22" spans="1:13" ht="20.25" x14ac:dyDescent="0.3">
      <c r="A22" s="10"/>
      <c r="B22" s="10"/>
      <c r="C22" s="10"/>
      <c r="D22" s="10"/>
      <c r="E22" s="10"/>
      <c r="F22" s="10"/>
      <c r="G22" s="10"/>
      <c r="H22" s="10"/>
      <c r="I22" s="184"/>
    </row>
    <row r="23" spans="1:13" ht="23.25" x14ac:dyDescent="0.35">
      <c r="A23" s="151" t="s">
        <v>136</v>
      </c>
      <c r="B23" s="111"/>
      <c r="C23" s="185"/>
      <c r="D23" s="186"/>
      <c r="E23" s="111"/>
      <c r="F23" s="154" t="s">
        <v>310</v>
      </c>
      <c r="G23" s="187"/>
      <c r="H23" s="187"/>
      <c r="I23" s="10"/>
    </row>
    <row r="24" spans="1:13" ht="20.25" x14ac:dyDescent="0.3">
      <c r="A24" s="111"/>
      <c r="B24" s="111"/>
      <c r="C24" s="185"/>
      <c r="D24" s="186"/>
      <c r="E24" s="111"/>
      <c r="F24" s="187"/>
      <c r="G24" s="187"/>
      <c r="H24" s="187"/>
      <c r="I24" s="115"/>
    </row>
    <row r="25" spans="1:13" ht="23.25" x14ac:dyDescent="0.35">
      <c r="A25" s="188" t="s">
        <v>25</v>
      </c>
      <c r="B25" s="151"/>
      <c r="C25" s="155"/>
      <c r="D25" s="153"/>
      <c r="E25" s="151"/>
      <c r="F25" s="196"/>
      <c r="G25" s="149"/>
      <c r="H25" s="149"/>
      <c r="I25" s="149"/>
    </row>
    <row r="26" spans="1:13" ht="23.25" x14ac:dyDescent="0.35">
      <c r="A26" s="195"/>
      <c r="B26" s="195"/>
      <c r="C26" s="195"/>
      <c r="D26" s="195"/>
      <c r="E26" s="195"/>
      <c r="F26" s="195"/>
      <c r="G26" s="195"/>
      <c r="H26" s="195"/>
      <c r="I26" s="195"/>
    </row>
    <row r="27" spans="1:13" x14ac:dyDescent="0.3">
      <c r="F27" s="25"/>
    </row>
    <row r="29" spans="1:13" x14ac:dyDescent="0.3">
      <c r="G29" s="25"/>
    </row>
    <row r="30" spans="1:13" x14ac:dyDescent="0.3">
      <c r="F30" s="24"/>
    </row>
    <row r="31" spans="1:13" x14ac:dyDescent="0.3">
      <c r="E31" s="24"/>
      <c r="F31" s="24"/>
      <c r="G31" s="24"/>
    </row>
    <row r="32" spans="1:13" x14ac:dyDescent="0.3">
      <c r="E32" s="25"/>
      <c r="F32" s="25"/>
    </row>
  </sheetData>
  <mergeCells count="36">
    <mergeCell ref="A10:C10"/>
    <mergeCell ref="H10:I10"/>
    <mergeCell ref="A2:I3"/>
    <mergeCell ref="A4:A6"/>
    <mergeCell ref="B4:B6"/>
    <mergeCell ref="C4:C6"/>
    <mergeCell ref="D4:D6"/>
    <mergeCell ref="E4:E6"/>
    <mergeCell ref="F4:F6"/>
    <mergeCell ref="G4:G6"/>
    <mergeCell ref="H4:I6"/>
    <mergeCell ref="H7:I7"/>
    <mergeCell ref="A8:A9"/>
    <mergeCell ref="B8:B9"/>
    <mergeCell ref="H8:I8"/>
    <mergeCell ref="H9:I9"/>
    <mergeCell ref="H11:I11"/>
    <mergeCell ref="A12:C12"/>
    <mergeCell ref="H12:I12"/>
    <mergeCell ref="H13:I13"/>
    <mergeCell ref="A15:C15"/>
    <mergeCell ref="H15:I15"/>
    <mergeCell ref="A13:A14"/>
    <mergeCell ref="B13:B14"/>
    <mergeCell ref="H14:I14"/>
    <mergeCell ref="A21:C21"/>
    <mergeCell ref="H21:I21"/>
    <mergeCell ref="H16:I16"/>
    <mergeCell ref="H18:I18"/>
    <mergeCell ref="A20:C20"/>
    <mergeCell ref="H20:I20"/>
    <mergeCell ref="H17:I17"/>
    <mergeCell ref="H19:I19"/>
    <mergeCell ref="B16:B19"/>
    <mergeCell ref="A16:A19"/>
    <mergeCell ref="C18:C19"/>
  </mergeCells>
  <pageMargins left="0.70866141732283472" right="0.70866141732283472" top="0.74803149606299213" bottom="0.74803149606299213" header="0.31496062992125984" footer="0.31496062992125984"/>
  <pageSetup paperSize="9" scale="45" orientation="landscape" horizontalDpi="0" verticalDpi="0" r:id="rId1"/>
  <rowBreaks count="1" manualBreakCount="1">
    <brk id="13"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6"/>
  <sheetViews>
    <sheetView view="pageBreakPreview" zoomScale="60" zoomScaleNormal="60" workbookViewId="0">
      <selection sqref="A1:XFD1048576"/>
    </sheetView>
  </sheetViews>
  <sheetFormatPr defaultColWidth="9.140625" defaultRowHeight="20.25" x14ac:dyDescent="0.3"/>
  <cols>
    <col min="1" max="1" width="6.85546875" style="10" customWidth="1"/>
    <col min="2" max="2" width="20.5703125" style="10" customWidth="1"/>
    <col min="3" max="3" width="39.42578125" style="10" customWidth="1"/>
    <col min="4" max="4" width="41" style="10" customWidth="1"/>
    <col min="5" max="5" width="20" style="10" customWidth="1"/>
    <col min="6" max="6" width="38.42578125" style="10" customWidth="1"/>
    <col min="7" max="7" width="42.140625" style="10" customWidth="1"/>
    <col min="8" max="8" width="25.140625" style="10" hidden="1" customWidth="1"/>
    <col min="9" max="9" width="19.85546875" style="10" hidden="1" customWidth="1"/>
    <col min="10" max="10" width="37" style="10" hidden="1" customWidth="1"/>
    <col min="11" max="11" width="37.140625" style="10" hidden="1" customWidth="1"/>
    <col min="12" max="12" width="11" style="10" bestFit="1" customWidth="1"/>
    <col min="13" max="13" width="9.5703125" style="10" bestFit="1" customWidth="1"/>
    <col min="14" max="14" width="11" style="10" bestFit="1" customWidth="1"/>
    <col min="15" max="15" width="9.5703125" style="10" bestFit="1" customWidth="1"/>
    <col min="16" max="16384" width="9.140625" style="10"/>
  </cols>
  <sheetData>
    <row r="2" spans="1:11" ht="24" customHeight="1" x14ac:dyDescent="0.3">
      <c r="A2" s="552" t="s">
        <v>559</v>
      </c>
      <c r="B2" s="552"/>
      <c r="C2" s="552"/>
      <c r="D2" s="552"/>
      <c r="E2" s="552"/>
      <c r="F2" s="552"/>
      <c r="G2" s="552"/>
      <c r="H2" s="552"/>
      <c r="I2" s="552"/>
      <c r="J2" s="552"/>
      <c r="K2" s="552"/>
    </row>
    <row r="3" spans="1:11" ht="26.25" customHeight="1" x14ac:dyDescent="0.3">
      <c r="A3" s="552"/>
      <c r="B3" s="552"/>
      <c r="C3" s="552"/>
      <c r="D3" s="552"/>
      <c r="E3" s="552"/>
      <c r="F3" s="552"/>
      <c r="G3" s="552"/>
      <c r="H3" s="552"/>
      <c r="I3" s="552"/>
      <c r="J3" s="552"/>
      <c r="K3" s="552"/>
    </row>
    <row r="4" spans="1:11" ht="18.75" customHeight="1" x14ac:dyDescent="0.3">
      <c r="A4" s="210"/>
      <c r="B4" s="469" t="s">
        <v>558</v>
      </c>
      <c r="C4" s="469"/>
      <c r="D4" s="469"/>
      <c r="E4" s="469" t="s">
        <v>557</v>
      </c>
      <c r="F4" s="469"/>
      <c r="G4" s="469"/>
      <c r="H4" s="210"/>
      <c r="I4" s="210"/>
      <c r="J4" s="210"/>
      <c r="K4" s="210"/>
    </row>
    <row r="5" spans="1:11" ht="132" customHeight="1" x14ac:dyDescent="0.3">
      <c r="A5" s="172" t="s">
        <v>414</v>
      </c>
      <c r="B5" s="172" t="s">
        <v>2</v>
      </c>
      <c r="C5" s="172" t="s">
        <v>413</v>
      </c>
      <c r="D5" s="172" t="s">
        <v>421</v>
      </c>
      <c r="E5" s="172" t="s">
        <v>497</v>
      </c>
      <c r="F5" s="172" t="s">
        <v>498</v>
      </c>
      <c r="G5" s="172" t="s">
        <v>499</v>
      </c>
      <c r="H5" s="200"/>
      <c r="I5" s="201"/>
      <c r="J5" s="201"/>
      <c r="K5" s="201"/>
    </row>
    <row r="6" spans="1:11" ht="366" customHeight="1" x14ac:dyDescent="0.3">
      <c r="A6" s="546" t="s">
        <v>92</v>
      </c>
      <c r="B6" s="546" t="s">
        <v>419</v>
      </c>
      <c r="C6" s="202" t="s">
        <v>412</v>
      </c>
      <c r="D6" s="202" t="s">
        <v>549</v>
      </c>
      <c r="E6" s="546" t="s">
        <v>415</v>
      </c>
      <c r="F6" s="202" t="s">
        <v>458</v>
      </c>
      <c r="G6" s="202" t="s">
        <v>548</v>
      </c>
      <c r="H6" s="184"/>
      <c r="I6" s="184"/>
    </row>
    <row r="7" spans="1:11" ht="182.25" customHeight="1" x14ac:dyDescent="0.3">
      <c r="A7" s="547"/>
      <c r="B7" s="547"/>
      <c r="C7" s="202" t="s">
        <v>423</v>
      </c>
      <c r="D7" s="202" t="s">
        <v>392</v>
      </c>
      <c r="E7" s="547"/>
      <c r="F7" s="202" t="s">
        <v>424</v>
      </c>
      <c r="G7" s="202" t="s">
        <v>369</v>
      </c>
      <c r="H7" s="184"/>
      <c r="I7" s="184"/>
    </row>
    <row r="8" spans="1:11" ht="105" customHeight="1" x14ac:dyDescent="0.3">
      <c r="A8" s="547"/>
      <c r="B8" s="547"/>
      <c r="C8" s="202" t="s">
        <v>429</v>
      </c>
      <c r="D8" s="202" t="s">
        <v>394</v>
      </c>
      <c r="E8" s="547"/>
      <c r="F8" s="202" t="s">
        <v>500</v>
      </c>
      <c r="G8" s="202" t="s">
        <v>362</v>
      </c>
    </row>
    <row r="9" spans="1:11" ht="108" customHeight="1" x14ac:dyDescent="0.3">
      <c r="A9" s="547"/>
      <c r="B9" s="547"/>
      <c r="C9" s="202" t="s">
        <v>430</v>
      </c>
      <c r="D9" s="202" t="s">
        <v>395</v>
      </c>
      <c r="E9" s="547"/>
      <c r="F9" s="202" t="s">
        <v>431</v>
      </c>
      <c r="G9" s="202" t="s">
        <v>375</v>
      </c>
    </row>
    <row r="10" spans="1:11" ht="168" customHeight="1" x14ac:dyDescent="0.3">
      <c r="A10" s="548"/>
      <c r="B10" s="548"/>
      <c r="C10" s="202" t="s">
        <v>435</v>
      </c>
      <c r="D10" s="203" t="s">
        <v>397</v>
      </c>
      <c r="E10" s="548"/>
      <c r="F10" s="202" t="s">
        <v>438</v>
      </c>
      <c r="G10" s="202" t="s">
        <v>374</v>
      </c>
    </row>
    <row r="11" spans="1:11" ht="170.25" customHeight="1" x14ac:dyDescent="0.3">
      <c r="A11" s="209" t="s">
        <v>93</v>
      </c>
      <c r="B11" s="209" t="s">
        <v>398</v>
      </c>
      <c r="C11" s="202" t="s">
        <v>253</v>
      </c>
      <c r="D11" s="211" t="s">
        <v>209</v>
      </c>
      <c r="E11" s="209" t="s">
        <v>416</v>
      </c>
      <c r="F11" s="202" t="s">
        <v>465</v>
      </c>
      <c r="G11" s="202" t="s">
        <v>467</v>
      </c>
    </row>
    <row r="12" spans="1:11" ht="121.5" customHeight="1" x14ac:dyDescent="0.3">
      <c r="A12" s="202" t="s">
        <v>94</v>
      </c>
      <c r="B12" s="206" t="s">
        <v>107</v>
      </c>
      <c r="C12" s="202" t="s">
        <v>399</v>
      </c>
      <c r="D12" s="202" t="s">
        <v>209</v>
      </c>
      <c r="E12" s="206" t="s">
        <v>107</v>
      </c>
      <c r="F12" s="202" t="s">
        <v>469</v>
      </c>
      <c r="G12" s="202" t="s">
        <v>363</v>
      </c>
    </row>
    <row r="13" spans="1:11" ht="219" customHeight="1" x14ac:dyDescent="0.3">
      <c r="A13" s="549" t="s">
        <v>91</v>
      </c>
      <c r="B13" s="546" t="s">
        <v>400</v>
      </c>
      <c r="C13" s="202" t="s">
        <v>401</v>
      </c>
      <c r="D13" s="202" t="s">
        <v>402</v>
      </c>
      <c r="E13" s="546" t="s">
        <v>400</v>
      </c>
      <c r="F13" s="202" t="s">
        <v>442</v>
      </c>
      <c r="G13" s="202" t="s">
        <v>501</v>
      </c>
    </row>
    <row r="14" spans="1:11" ht="208.5" customHeight="1" x14ac:dyDescent="0.3">
      <c r="A14" s="550"/>
      <c r="B14" s="547"/>
      <c r="C14" s="202" t="s">
        <v>443</v>
      </c>
      <c r="D14" s="202" t="s">
        <v>550</v>
      </c>
      <c r="E14" s="547"/>
      <c r="F14" s="202" t="s">
        <v>562</v>
      </c>
      <c r="G14" s="202" t="s">
        <v>560</v>
      </c>
    </row>
    <row r="15" spans="1:11" ht="119.25" customHeight="1" x14ac:dyDescent="0.3">
      <c r="A15" s="550"/>
      <c r="B15" s="547"/>
      <c r="C15" s="202" t="s">
        <v>445</v>
      </c>
      <c r="D15" s="202" t="s">
        <v>404</v>
      </c>
      <c r="E15" s="547"/>
      <c r="F15" s="202" t="s">
        <v>446</v>
      </c>
      <c r="G15" s="202" t="s">
        <v>418</v>
      </c>
    </row>
    <row r="16" spans="1:11" ht="202.5" x14ac:dyDescent="0.3">
      <c r="A16" s="551"/>
      <c r="B16" s="548"/>
      <c r="C16" s="202" t="s">
        <v>447</v>
      </c>
      <c r="D16" s="202" t="s">
        <v>405</v>
      </c>
      <c r="E16" s="548"/>
      <c r="F16" s="202" t="s">
        <v>448</v>
      </c>
      <c r="G16" s="202" t="s">
        <v>547</v>
      </c>
    </row>
    <row r="17" spans="1:7" ht="185.25" customHeight="1" x14ac:dyDescent="0.3">
      <c r="A17" s="216" t="s">
        <v>95</v>
      </c>
      <c r="B17" s="216" t="s">
        <v>87</v>
      </c>
      <c r="C17" s="202" t="s">
        <v>406</v>
      </c>
      <c r="D17" s="202" t="s">
        <v>206</v>
      </c>
      <c r="E17" s="216" t="s">
        <v>87</v>
      </c>
      <c r="F17" s="202" t="s">
        <v>449</v>
      </c>
      <c r="G17" s="202" t="s">
        <v>206</v>
      </c>
    </row>
    <row r="18" spans="1:7" ht="202.5" customHeight="1" x14ac:dyDescent="0.3">
      <c r="A18" s="546" t="s">
        <v>97</v>
      </c>
      <c r="B18" s="546" t="s">
        <v>98</v>
      </c>
      <c r="C18" s="202" t="s">
        <v>420</v>
      </c>
      <c r="D18" s="202" t="s">
        <v>552</v>
      </c>
      <c r="E18" s="546" t="s">
        <v>98</v>
      </c>
      <c r="F18" s="202" t="s">
        <v>502</v>
      </c>
      <c r="G18" s="202" t="s">
        <v>551</v>
      </c>
    </row>
    <row r="19" spans="1:7" ht="86.25" customHeight="1" x14ac:dyDescent="0.3">
      <c r="A19" s="547"/>
      <c r="B19" s="547"/>
      <c r="C19" s="183" t="s">
        <v>453</v>
      </c>
      <c r="D19" s="204"/>
      <c r="E19" s="547"/>
      <c r="F19" s="202" t="s">
        <v>546</v>
      </c>
      <c r="G19" s="202" t="s">
        <v>366</v>
      </c>
    </row>
    <row r="20" spans="1:7" ht="126.75" customHeight="1" x14ac:dyDescent="0.3">
      <c r="A20" s="547"/>
      <c r="B20" s="547"/>
      <c r="C20" s="544" t="s">
        <v>455</v>
      </c>
      <c r="D20" s="544" t="s">
        <v>409</v>
      </c>
      <c r="E20" s="547"/>
      <c r="F20" s="544" t="s">
        <v>456</v>
      </c>
      <c r="G20" s="544" t="s">
        <v>553</v>
      </c>
    </row>
    <row r="21" spans="1:7" ht="45" customHeight="1" x14ac:dyDescent="0.3">
      <c r="A21" s="547"/>
      <c r="B21" s="547"/>
      <c r="C21" s="545"/>
      <c r="D21" s="545"/>
      <c r="E21" s="547"/>
      <c r="F21" s="545"/>
      <c r="G21" s="545"/>
    </row>
    <row r="22" spans="1:7" ht="126" customHeight="1" x14ac:dyDescent="0.3">
      <c r="A22" s="548"/>
      <c r="B22" s="548"/>
      <c r="C22" s="202" t="s">
        <v>457</v>
      </c>
      <c r="D22" s="202" t="s">
        <v>410</v>
      </c>
      <c r="E22" s="548"/>
      <c r="F22" s="202" t="s">
        <v>521</v>
      </c>
      <c r="G22" s="202" t="s">
        <v>367</v>
      </c>
    </row>
    <row r="24" spans="1:7" x14ac:dyDescent="0.3">
      <c r="B24" s="111" t="s">
        <v>136</v>
      </c>
      <c r="C24" s="111"/>
      <c r="D24" s="185"/>
      <c r="E24" s="186"/>
      <c r="F24" s="111"/>
      <c r="G24" s="115" t="s">
        <v>310</v>
      </c>
    </row>
    <row r="25" spans="1:7" x14ac:dyDescent="0.3">
      <c r="B25" s="111"/>
      <c r="C25" s="111"/>
      <c r="D25" s="185"/>
      <c r="E25" s="186"/>
      <c r="F25" s="111"/>
      <c r="G25" s="187"/>
    </row>
    <row r="26" spans="1:7" x14ac:dyDescent="0.3">
      <c r="B26" s="188" t="s">
        <v>25</v>
      </c>
      <c r="C26" s="111"/>
      <c r="D26" s="189"/>
      <c r="E26" s="186"/>
      <c r="F26" s="111"/>
      <c r="G26" s="190"/>
    </row>
  </sheetData>
  <mergeCells count="16">
    <mergeCell ref="A13:A16"/>
    <mergeCell ref="B13:B16"/>
    <mergeCell ref="E13:E16"/>
    <mergeCell ref="A2:K3"/>
    <mergeCell ref="E4:G4"/>
    <mergeCell ref="A6:A10"/>
    <mergeCell ref="B6:B10"/>
    <mergeCell ref="E6:E10"/>
    <mergeCell ref="B4:D4"/>
    <mergeCell ref="F20:F21"/>
    <mergeCell ref="G20:G21"/>
    <mergeCell ref="A18:A22"/>
    <mergeCell ref="B18:B22"/>
    <mergeCell ref="E18:E22"/>
    <mergeCell ref="C20:C21"/>
    <mergeCell ref="D20:D21"/>
  </mergeCells>
  <pageMargins left="0.7" right="0.7" top="0.75" bottom="0.75" header="0.3" footer="0.3"/>
  <pageSetup paperSize="9" scale="50" orientation="landscape" horizontalDpi="0" verticalDpi="0" r:id="rId1"/>
  <rowBreaks count="2" manualBreakCount="2">
    <brk id="8" max="16383" man="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Додаток 1</vt:lpstr>
      <vt:lpstr>Дод.3</vt:lpstr>
      <vt:lpstr>Дод.4</vt:lpstr>
      <vt:lpstr>порівняльна1</vt:lpstr>
      <vt:lpstr>порівняльна2</vt:lpstr>
      <vt:lpstr>Дод.3!Заголовки_для_печати</vt:lpstr>
      <vt:lpstr>Дод.4!Заголовки_для_печати</vt:lpstr>
      <vt:lpstr>Дод.3!Область_печати</vt:lpstr>
      <vt:lpstr>Дод.4!Область_печати</vt:lpstr>
      <vt:lpstr>'Додаток 1'!Область_печати</vt:lpstr>
      <vt:lpstr>порівняльна1!Область_печати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2023-06-27T10:58:51Z</cp:lastPrinted>
  <dcterms:created xsi:type="dcterms:W3CDTF">1996-10-08T23:32:33Z</dcterms:created>
  <dcterms:modified xsi:type="dcterms:W3CDTF">2023-06-27T11:02:09Z</dcterms:modified>
</cp:coreProperties>
</file>