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Поддубная\2023\Програма Охорона здоров'я 2023\на наступну сесію\проєкт\"/>
    </mc:Choice>
  </mc:AlternateContent>
  <bookViews>
    <workbookView xWindow="0" yWindow="0" windowWidth="11130" windowHeight="5535" tabRatio="1000" firstSheet="1" activeTab="1"/>
  </bookViews>
  <sheets>
    <sheet name="Додаток 1" sheetId="10" state="hidden" r:id="rId1"/>
    <sheet name="дод.1" sheetId="25" r:id="rId2"/>
    <sheet name="дод.2" sheetId="14" r:id="rId3"/>
    <sheet name="порівняльна" sheetId="31" r:id="rId4"/>
  </sheets>
  <definedNames>
    <definedName name="_xlnm._FilterDatabase" localSheetId="1" hidden="1">дод.1!$A$7:$L$389</definedName>
    <definedName name="_xlnm.Print_Titles" localSheetId="1">дод.1!$7:$10</definedName>
    <definedName name="_xlnm.Print_Titles" localSheetId="2">дод.2!$7:$11</definedName>
    <definedName name="_xlnm.Print_Area" localSheetId="1">дод.1!$A$1:$L$391</definedName>
    <definedName name="_xlnm.Print_Area" localSheetId="2">дод.2!$A$1:$K$367</definedName>
    <definedName name="_xlnm.Print_Area" localSheetId="0">'Додаток 1'!$A$1:$C$28</definedName>
  </definedNames>
  <calcPr calcId="152511"/>
</workbook>
</file>

<file path=xl/calcChain.xml><?xml version="1.0" encoding="utf-8"?>
<calcChain xmlns="http://schemas.openxmlformats.org/spreadsheetml/2006/main">
  <c r="I206" i="25" l="1"/>
  <c r="J206" i="25"/>
  <c r="J154" i="25"/>
  <c r="J155" i="25"/>
  <c r="F10" i="31" l="1"/>
  <c r="F9" i="31"/>
  <c r="F8" i="31"/>
  <c r="C296" i="14" l="1"/>
  <c r="E296" i="14"/>
  <c r="E267" i="14" s="1"/>
  <c r="E304" i="14" l="1"/>
  <c r="F130" i="14"/>
  <c r="F129" i="14"/>
  <c r="C129" i="14"/>
  <c r="G126" i="14"/>
  <c r="G129" i="14"/>
  <c r="J188" i="25" l="1"/>
  <c r="J147" i="25"/>
  <c r="J67" i="25"/>
  <c r="J100" i="25"/>
  <c r="J87" i="25"/>
  <c r="K87" i="25"/>
  <c r="J58" i="25"/>
  <c r="K58" i="25"/>
  <c r="I58" i="25"/>
  <c r="H60" i="25"/>
  <c r="C323" i="14" l="1"/>
  <c r="E332" i="14"/>
  <c r="E330" i="14"/>
  <c r="E312" i="14"/>
  <c r="E314" i="14"/>
  <c r="H333" i="14" l="1"/>
  <c r="F316" i="14"/>
  <c r="F315" i="14"/>
  <c r="F325" i="14"/>
  <c r="F324" i="14"/>
  <c r="F355" i="14"/>
  <c r="I166" i="25"/>
  <c r="K166" i="25"/>
  <c r="K200" i="25"/>
  <c r="K215" i="25"/>
  <c r="J215" i="25"/>
  <c r="I215" i="25"/>
  <c r="H177" i="25"/>
  <c r="H215" i="25" s="1"/>
  <c r="I187" i="25"/>
  <c r="I186" i="25" l="1"/>
  <c r="J258" i="25"/>
  <c r="J387" i="25" s="1"/>
  <c r="K258" i="25"/>
  <c r="K387" i="25" s="1"/>
  <c r="I258" i="25"/>
  <c r="I387" i="25" s="1"/>
  <c r="H258" i="25"/>
  <c r="H387" i="25" s="1"/>
  <c r="H334" i="14" l="1"/>
  <c r="H318" i="14"/>
  <c r="J162" i="25" l="1"/>
  <c r="J171" i="25"/>
  <c r="J50" i="25"/>
  <c r="J208" i="25" l="1"/>
  <c r="J239" i="25" s="1"/>
  <c r="J200" i="25"/>
  <c r="H309" i="14"/>
  <c r="F309" i="14" s="1"/>
  <c r="J166" i="25"/>
  <c r="B296" i="14"/>
  <c r="J257" i="25"/>
  <c r="K257" i="25"/>
  <c r="K329" i="25" s="1"/>
  <c r="I257" i="25"/>
  <c r="K152" i="25"/>
  <c r="K222" i="25" s="1"/>
  <c r="J152" i="25"/>
  <c r="J222" i="25" s="1"/>
  <c r="I152" i="25"/>
  <c r="I222" i="25" s="1"/>
  <c r="J150" i="25"/>
  <c r="I386" i="25" l="1"/>
  <c r="I329" i="25"/>
  <c r="J386" i="25"/>
  <c r="J329" i="25"/>
  <c r="H149" i="25"/>
  <c r="H257" i="25" s="1"/>
  <c r="H386" i="25" l="1"/>
  <c r="H329" i="25"/>
  <c r="H152" i="25"/>
  <c r="H222" i="25" s="1"/>
  <c r="I56" i="25"/>
  <c r="J66" i="25"/>
  <c r="K66" i="25"/>
  <c r="J76" i="25"/>
  <c r="K76" i="25"/>
  <c r="I76" i="25"/>
  <c r="J88" i="25" l="1"/>
  <c r="J103" i="25" s="1"/>
  <c r="J221" i="25" s="1"/>
  <c r="K88" i="25"/>
  <c r="K122" i="25" s="1"/>
  <c r="K241" i="25" s="1"/>
  <c r="I88" i="25"/>
  <c r="I103" i="25" s="1"/>
  <c r="I221" i="25" s="1"/>
  <c r="H69" i="25"/>
  <c r="K86" i="25" l="1"/>
  <c r="K103" i="25"/>
  <c r="K221" i="25" s="1"/>
  <c r="J86" i="25"/>
  <c r="K328" i="25"/>
  <c r="K362" i="25"/>
  <c r="J122" i="25"/>
  <c r="J241" i="25" s="1"/>
  <c r="I122" i="25"/>
  <c r="I241" i="25" s="1"/>
  <c r="H88" i="25"/>
  <c r="H122" i="25" s="1"/>
  <c r="H241" i="25" s="1"/>
  <c r="H76" i="25"/>
  <c r="H103" i="25"/>
  <c r="H221" i="25" s="1"/>
  <c r="I202" i="25"/>
  <c r="K202" i="25"/>
  <c r="J202" i="25"/>
  <c r="I362" i="25" l="1"/>
  <c r="I328" i="25"/>
  <c r="J362" i="25"/>
  <c r="J328" i="25"/>
  <c r="H328" i="25"/>
  <c r="H362" i="25"/>
  <c r="M15" i="14" l="1"/>
  <c r="P15" i="14"/>
  <c r="S15" i="14"/>
  <c r="T15" i="14"/>
  <c r="U15" i="14"/>
  <c r="V15" i="14"/>
  <c r="W15" i="14"/>
  <c r="G271" i="14" l="1"/>
  <c r="C291" i="14"/>
  <c r="D289" i="14"/>
  <c r="C289" i="14" s="1"/>
  <c r="I65" i="25"/>
  <c r="G111" i="14"/>
  <c r="F111" i="14" s="1"/>
  <c r="D112" i="14"/>
  <c r="C112" i="14" s="1"/>
  <c r="G112" i="14"/>
  <c r="F112" i="14" s="1"/>
  <c r="D293" i="14" l="1"/>
  <c r="C293" i="14" s="1"/>
  <c r="G120" i="14"/>
  <c r="F120" i="14" s="1"/>
  <c r="I90" i="25"/>
  <c r="I124" i="25" s="1"/>
  <c r="I123" i="25" s="1"/>
  <c r="K90" i="25"/>
  <c r="K124" i="25" s="1"/>
  <c r="K123" i="25" s="1"/>
  <c r="J90" i="25"/>
  <c r="J89" i="25" s="1"/>
  <c r="K51" i="25"/>
  <c r="J51" i="25"/>
  <c r="H57" i="25"/>
  <c r="H90" i="25" s="1"/>
  <c r="I50" i="25"/>
  <c r="I67" i="25"/>
  <c r="I147" i="25"/>
  <c r="I155" i="25"/>
  <c r="I214" i="25" l="1"/>
  <c r="I150" i="25"/>
  <c r="I51" i="25"/>
  <c r="D111" i="14"/>
  <c r="C111" i="14" s="1"/>
  <c r="J124" i="25"/>
  <c r="J123" i="25" s="1"/>
  <c r="D271" i="14"/>
  <c r="D267" i="14" s="1"/>
  <c r="C267" i="14" s="1"/>
  <c r="I151" i="25"/>
  <c r="I255" i="25" s="1"/>
  <c r="I89" i="25"/>
  <c r="H124" i="25"/>
  <c r="H123" i="25" s="1"/>
  <c r="H89" i="25"/>
  <c r="K89" i="25"/>
  <c r="J327" i="25"/>
  <c r="J353" i="25" s="1"/>
  <c r="K327" i="25"/>
  <c r="K353" i="25" s="1"/>
  <c r="I327" i="25"/>
  <c r="I353" i="25" s="1"/>
  <c r="J298" i="25"/>
  <c r="I298" i="25"/>
  <c r="H299" i="25"/>
  <c r="J310" i="25"/>
  <c r="I310" i="25"/>
  <c r="I324" i="25"/>
  <c r="K310" i="25"/>
  <c r="I267" i="25"/>
  <c r="I261" i="25"/>
  <c r="H274" i="25"/>
  <c r="H270" i="25"/>
  <c r="C271" i="14" l="1"/>
  <c r="H315" i="25"/>
  <c r="D231" i="14" l="1"/>
  <c r="D237" i="14"/>
  <c r="D232" i="14"/>
  <c r="D236" i="14"/>
  <c r="D235" i="14"/>
  <c r="D233" i="14"/>
  <c r="D285" i="14"/>
  <c r="F258" i="14" l="1"/>
  <c r="G248" i="14"/>
  <c r="J136" i="25"/>
  <c r="J135" i="25"/>
  <c r="G237" i="14"/>
  <c r="G236" i="14"/>
  <c r="G235" i="14"/>
  <c r="G233" i="14"/>
  <c r="G232" i="14"/>
  <c r="G231" i="14"/>
  <c r="G223" i="14"/>
  <c r="F206" i="14"/>
  <c r="F154" i="14"/>
  <c r="G152" i="14"/>
  <c r="G156" i="14" s="1"/>
  <c r="G114" i="14"/>
  <c r="G127" i="14"/>
  <c r="F126" i="14"/>
  <c r="H56" i="25"/>
  <c r="G133" i="14" l="1"/>
  <c r="F133" i="14" s="1"/>
  <c r="F127" i="14"/>
  <c r="G239" i="14"/>
  <c r="G241" i="14"/>
  <c r="G240" i="14"/>
  <c r="G132" i="14"/>
  <c r="F132" i="14" s="1"/>
  <c r="F152" i="14"/>
  <c r="F156" i="14" s="1"/>
  <c r="I79" i="25"/>
  <c r="K79" i="25"/>
  <c r="J79" i="25"/>
  <c r="H55" i="25"/>
  <c r="I136" i="25" l="1"/>
  <c r="I135" i="25"/>
  <c r="I68" i="25" l="1"/>
  <c r="I87" i="25" s="1"/>
  <c r="K96" i="25"/>
  <c r="J96" i="25"/>
  <c r="H94" i="25"/>
  <c r="H68" i="25" l="1"/>
  <c r="I66" i="25"/>
  <c r="D152" i="14"/>
  <c r="I86" i="25"/>
  <c r="F271" i="14"/>
  <c r="B289" i="14" l="1"/>
  <c r="G169" i="14"/>
  <c r="F173" i="14"/>
  <c r="F172" i="14"/>
  <c r="F170" i="14"/>
  <c r="F178" i="14"/>
  <c r="F176" i="14"/>
  <c r="F169" i="14" l="1"/>
  <c r="B169" i="14" s="1"/>
  <c r="K85" i="25"/>
  <c r="J85" i="25"/>
  <c r="H73" i="25"/>
  <c r="I154" i="25"/>
  <c r="H148" i="25"/>
  <c r="I209" i="25" l="1"/>
  <c r="I240" i="25" s="1"/>
  <c r="I361" i="25" s="1"/>
  <c r="J209" i="25"/>
  <c r="J240" i="25" s="1"/>
  <c r="J361" i="25" s="1"/>
  <c r="K209" i="25"/>
  <c r="K240" i="25" s="1"/>
  <c r="K361" i="25" s="1"/>
  <c r="K208" i="25"/>
  <c r="I208" i="25"/>
  <c r="J207" i="25"/>
  <c r="J236" i="25" s="1"/>
  <c r="J354" i="25" s="1"/>
  <c r="K207" i="25"/>
  <c r="K236" i="25" s="1"/>
  <c r="K354" i="25" s="1"/>
  <c r="I207" i="25"/>
  <c r="I236" i="25" s="1"/>
  <c r="I354" i="25" s="1"/>
  <c r="K206" i="25"/>
  <c r="J205" i="25"/>
  <c r="J232" i="25" s="1"/>
  <c r="J346" i="25" s="1"/>
  <c r="K205" i="25"/>
  <c r="K232" i="25" s="1"/>
  <c r="K346" i="25" s="1"/>
  <c r="I205" i="25"/>
  <c r="I232" i="25" s="1"/>
  <c r="I346" i="25" s="1"/>
  <c r="J204" i="25"/>
  <c r="K204" i="25"/>
  <c r="I204" i="25"/>
  <c r="J201" i="25"/>
  <c r="J220" i="25" s="1"/>
  <c r="J326" i="25" s="1"/>
  <c r="K201" i="25"/>
  <c r="K220" i="25" s="1"/>
  <c r="K326" i="25" s="1"/>
  <c r="I201" i="25"/>
  <c r="C355" i="14"/>
  <c r="I220" i="25" l="1"/>
  <c r="I326" i="25" s="1"/>
  <c r="K199" i="25"/>
  <c r="J199" i="25"/>
  <c r="C265" i="14"/>
  <c r="C264" i="14"/>
  <c r="D262" i="14"/>
  <c r="C262" i="14" s="1"/>
  <c r="D261" i="14"/>
  <c r="C261" i="14" s="1"/>
  <c r="C259" i="14"/>
  <c r="C258" i="14"/>
  <c r="C257" i="14"/>
  <c r="D164" i="14"/>
  <c r="C164" i="14" s="1"/>
  <c r="J182" i="25"/>
  <c r="K182" i="25"/>
  <c r="I182" i="25"/>
  <c r="J105" i="25"/>
  <c r="K105" i="25"/>
  <c r="H72" i="25"/>
  <c r="H71" i="25"/>
  <c r="I70" i="25"/>
  <c r="D161" i="14" s="1"/>
  <c r="J70" i="25"/>
  <c r="G161" i="14" s="1"/>
  <c r="K70" i="25"/>
  <c r="J189" i="25"/>
  <c r="H353" i="14" s="1"/>
  <c r="K189" i="25"/>
  <c r="I213" i="25"/>
  <c r="I212" i="25"/>
  <c r="I211" i="25"/>
  <c r="I210" i="25"/>
  <c r="I203" i="25"/>
  <c r="H191" i="25"/>
  <c r="H192" i="25"/>
  <c r="H193" i="25"/>
  <c r="H194" i="25"/>
  <c r="H195" i="25"/>
  <c r="H196" i="25"/>
  <c r="H197" i="25"/>
  <c r="H198" i="25"/>
  <c r="H190" i="25"/>
  <c r="I189" i="25"/>
  <c r="E353" i="14" s="1"/>
  <c r="E357" i="14" s="1"/>
  <c r="C357" i="14" s="1"/>
  <c r="I137" i="25"/>
  <c r="H137" i="25" s="1"/>
  <c r="I231" i="25"/>
  <c r="I343" i="25" s="1"/>
  <c r="H187" i="25"/>
  <c r="H188" i="25"/>
  <c r="H186" i="25"/>
  <c r="H185" i="25"/>
  <c r="H209" i="25" s="1"/>
  <c r="H240" i="25" s="1"/>
  <c r="H361" i="25" s="1"/>
  <c r="H357" i="14" l="1"/>
  <c r="F353" i="14"/>
  <c r="G166" i="14"/>
  <c r="F161" i="14"/>
  <c r="F166" i="14" s="1"/>
  <c r="H70" i="25"/>
  <c r="I225" i="25"/>
  <c r="C353" i="14"/>
  <c r="H189" i="25"/>
  <c r="D166" i="14"/>
  <c r="C166" i="14" s="1"/>
  <c r="C161" i="14"/>
  <c r="B161" i="14" s="1"/>
  <c r="C346" i="14"/>
  <c r="K344" i="14"/>
  <c r="K329" i="14"/>
  <c r="K330" i="14"/>
  <c r="K331" i="14"/>
  <c r="K332" i="14"/>
  <c r="K328" i="14"/>
  <c r="H184" i="25"/>
  <c r="H207" i="25" s="1"/>
  <c r="H236" i="25" s="1"/>
  <c r="H354" i="25" s="1"/>
  <c r="H183" i="25"/>
  <c r="H344" i="14"/>
  <c r="C152" i="14"/>
  <c r="I179" i="25"/>
  <c r="I200" i="25" s="1"/>
  <c r="H67" i="25"/>
  <c r="H66" i="25" s="1"/>
  <c r="I199" i="25" l="1"/>
  <c r="I219" i="25"/>
  <c r="I322" i="25" s="1"/>
  <c r="B353" i="14"/>
  <c r="C156" i="14"/>
  <c r="B152" i="14"/>
  <c r="H201" i="25"/>
  <c r="H220" i="25" s="1"/>
  <c r="H205" i="25"/>
  <c r="H232" i="25" s="1"/>
  <c r="H346" i="25" s="1"/>
  <c r="H182" i="25"/>
  <c r="C344" i="14" s="1"/>
  <c r="C348" i="14" s="1"/>
  <c r="E344" i="14"/>
  <c r="E348" i="14" s="1"/>
  <c r="B344" i="14"/>
  <c r="D156" i="14"/>
  <c r="J216" i="25"/>
  <c r="J259" i="25" s="1"/>
  <c r="J388" i="25" s="1"/>
  <c r="K216" i="25"/>
  <c r="K259" i="25" s="1"/>
  <c r="K388" i="25" s="1"/>
  <c r="I216" i="25"/>
  <c r="K154" i="25"/>
  <c r="H156" i="25"/>
  <c r="H216" i="25" l="1"/>
  <c r="H259" i="25" s="1"/>
  <c r="H388" i="25" s="1"/>
  <c r="H326" i="25"/>
  <c r="I235" i="25"/>
  <c r="I349" i="25" s="1"/>
  <c r="I259" i="25"/>
  <c r="I388" i="25" s="1"/>
  <c r="J237" i="14"/>
  <c r="J236" i="14"/>
  <c r="J235" i="14"/>
  <c r="J381" i="25"/>
  <c r="K381" i="25"/>
  <c r="I382" i="25"/>
  <c r="I381" i="25"/>
  <c r="I377" i="25"/>
  <c r="J377" i="25"/>
  <c r="K377" i="25"/>
  <c r="I339" i="25" l="1"/>
  <c r="J339" i="25"/>
  <c r="K339" i="25"/>
  <c r="H319" i="25" l="1"/>
  <c r="H382" i="25" s="1"/>
  <c r="H318" i="25"/>
  <c r="H377" i="25" s="1"/>
  <c r="K366" i="25"/>
  <c r="J382" i="25"/>
  <c r="K382" i="25"/>
  <c r="I376" i="25"/>
  <c r="J376" i="25"/>
  <c r="K376" i="25"/>
  <c r="I371" i="25"/>
  <c r="J371" i="25"/>
  <c r="K371" i="25"/>
  <c r="I372" i="25"/>
  <c r="J372" i="25"/>
  <c r="K372" i="25"/>
  <c r="I366" i="25"/>
  <c r="J366" i="25"/>
  <c r="I367" i="25"/>
  <c r="J367" i="25"/>
  <c r="K367" i="25"/>
  <c r="I358" i="25"/>
  <c r="J358" i="25"/>
  <c r="K358" i="25"/>
  <c r="I359" i="25"/>
  <c r="J359" i="25"/>
  <c r="K359" i="25"/>
  <c r="I351" i="25"/>
  <c r="J351" i="25"/>
  <c r="K351" i="25"/>
  <c r="I352" i="25"/>
  <c r="J352" i="25"/>
  <c r="K352" i="25"/>
  <c r="I344" i="25"/>
  <c r="J344" i="25"/>
  <c r="K344" i="25"/>
  <c r="I345" i="25"/>
  <c r="J345" i="25"/>
  <c r="K345" i="25"/>
  <c r="I340" i="25"/>
  <c r="J340" i="25"/>
  <c r="K340" i="25"/>
  <c r="I334" i="25"/>
  <c r="J334" i="25"/>
  <c r="K334" i="25"/>
  <c r="I335" i="25"/>
  <c r="J335" i="25"/>
  <c r="K335" i="25"/>
  <c r="D298" i="14"/>
  <c r="H267" i="14"/>
  <c r="D286" i="14"/>
  <c r="J205" i="14"/>
  <c r="G205" i="14"/>
  <c r="D205" i="14"/>
  <c r="I204" i="14"/>
  <c r="F204" i="14"/>
  <c r="C204" i="14"/>
  <c r="C99" i="14"/>
  <c r="G275" i="14" l="1"/>
  <c r="J275" i="14"/>
  <c r="D275" i="14"/>
  <c r="I97" i="14"/>
  <c r="I99" i="14"/>
  <c r="I100" i="14"/>
  <c r="I101" i="14"/>
  <c r="I102" i="14"/>
  <c r="I103" i="14"/>
  <c r="I106" i="14"/>
  <c r="I96" i="14"/>
  <c r="F96" i="14"/>
  <c r="F106" i="14"/>
  <c r="F103" i="14"/>
  <c r="F102" i="14"/>
  <c r="F100" i="14"/>
  <c r="F99" i="14"/>
  <c r="F97" i="14"/>
  <c r="C97" i="14"/>
  <c r="C100" i="14"/>
  <c r="C102" i="14"/>
  <c r="C103" i="14"/>
  <c r="C106" i="14"/>
  <c r="C96" i="14"/>
  <c r="I276" i="14"/>
  <c r="I277" i="14"/>
  <c r="I279" i="14"/>
  <c r="I280" i="14"/>
  <c r="I281" i="14"/>
  <c r="I282" i="14"/>
  <c r="I273" i="14"/>
  <c r="F276" i="14"/>
  <c r="F277" i="14"/>
  <c r="F279" i="14"/>
  <c r="F280" i="14"/>
  <c r="F281" i="14"/>
  <c r="F282" i="14"/>
  <c r="F273" i="14"/>
  <c r="J286" i="14"/>
  <c r="I286" i="14" s="1"/>
  <c r="J285" i="14"/>
  <c r="I285" i="14" s="1"/>
  <c r="J284" i="14"/>
  <c r="I284" i="14" s="1"/>
  <c r="G286" i="14"/>
  <c r="F286" i="14" s="1"/>
  <c r="G285" i="14"/>
  <c r="F285" i="14" s="1"/>
  <c r="G284" i="14"/>
  <c r="F284" i="14" s="1"/>
  <c r="C286" i="14"/>
  <c r="C285" i="14"/>
  <c r="D284" i="14"/>
  <c r="C284" i="14" s="1"/>
  <c r="C276" i="14"/>
  <c r="C277" i="14"/>
  <c r="C279" i="14"/>
  <c r="C280" i="14"/>
  <c r="C281" i="14"/>
  <c r="C282" i="14"/>
  <c r="C273" i="14"/>
  <c r="C275" i="14" l="1"/>
  <c r="F275" i="14"/>
  <c r="I275" i="14"/>
  <c r="C81" i="14"/>
  <c r="D79" i="14"/>
  <c r="D83" i="14" s="1"/>
  <c r="I323" i="25" l="1"/>
  <c r="J209" i="14" l="1"/>
  <c r="J213" i="14" s="1"/>
  <c r="G209" i="14"/>
  <c r="G213" i="14" s="1"/>
  <c r="E15" i="14"/>
  <c r="H15" i="14"/>
  <c r="K15" i="14"/>
  <c r="I198" i="14"/>
  <c r="I199" i="14"/>
  <c r="I200" i="14"/>
  <c r="I201" i="14"/>
  <c r="I197" i="14"/>
  <c r="F198" i="14"/>
  <c r="F200" i="14"/>
  <c r="F201" i="14"/>
  <c r="F197" i="14"/>
  <c r="C198" i="14"/>
  <c r="C200" i="14"/>
  <c r="C201" i="14"/>
  <c r="C197" i="14"/>
  <c r="J248" i="14"/>
  <c r="D248" i="14"/>
  <c r="J223" i="14"/>
  <c r="I223" i="14" s="1"/>
  <c r="F223" i="14"/>
  <c r="D223" i="14"/>
  <c r="J36" i="14"/>
  <c r="G36" i="14"/>
  <c r="D36" i="14"/>
  <c r="I310" i="14"/>
  <c r="I311" i="14"/>
  <c r="I312" i="14"/>
  <c r="I313" i="14"/>
  <c r="I314" i="14"/>
  <c r="C312" i="14"/>
  <c r="I318" i="14"/>
  <c r="I319" i="14"/>
  <c r="I320" i="14"/>
  <c r="I321" i="14"/>
  <c r="I322" i="14"/>
  <c r="I323" i="14"/>
  <c r="F318" i="14"/>
  <c r="C321" i="14"/>
  <c r="F122" i="14"/>
  <c r="I122" i="14"/>
  <c r="C122" i="14"/>
  <c r="I115" i="14"/>
  <c r="F115" i="14"/>
  <c r="C115" i="14"/>
  <c r="I114" i="14"/>
  <c r="F114" i="14"/>
  <c r="C114" i="14"/>
  <c r="F205" i="14" l="1"/>
  <c r="C205" i="14"/>
  <c r="I205" i="14"/>
  <c r="J216" i="14"/>
  <c r="I216" i="14" s="1"/>
  <c r="J255" i="14" l="1"/>
  <c r="G255" i="14"/>
  <c r="G261" i="14" s="1"/>
  <c r="F261" i="14" s="1"/>
  <c r="D255" i="14"/>
  <c r="I209" i="14"/>
  <c r="I213" i="14" s="1"/>
  <c r="F209" i="14"/>
  <c r="F213" i="14" s="1"/>
  <c r="J195" i="14"/>
  <c r="J206" i="14" s="1"/>
  <c r="G195" i="14"/>
  <c r="D195" i="14"/>
  <c r="J184" i="14"/>
  <c r="J188" i="14" s="1"/>
  <c r="G184" i="14"/>
  <c r="J95" i="14"/>
  <c r="G95" i="14"/>
  <c r="D95" i="14"/>
  <c r="J86" i="14"/>
  <c r="G86" i="14"/>
  <c r="F86" i="14" s="1"/>
  <c r="D86" i="14"/>
  <c r="G188" i="14" l="1"/>
  <c r="J191" i="14"/>
  <c r="I191" i="14" s="1"/>
  <c r="F255" i="14"/>
  <c r="C255" i="14"/>
  <c r="I86" i="14"/>
  <c r="J90" i="14"/>
  <c r="F95" i="14"/>
  <c r="I95" i="14"/>
  <c r="C95" i="14"/>
  <c r="C86" i="14"/>
  <c r="D90" i="14"/>
  <c r="I255" i="14"/>
  <c r="G90" i="14"/>
  <c r="C195" i="14"/>
  <c r="I195" i="14"/>
  <c r="I206" i="14" s="1"/>
  <c r="I184" i="14"/>
  <c r="I188" i="14" s="1"/>
  <c r="F195" i="14"/>
  <c r="F184" i="14"/>
  <c r="F188" i="14" s="1"/>
  <c r="J70" i="14"/>
  <c r="G70" i="14"/>
  <c r="D70" i="14"/>
  <c r="B255" i="14" l="1"/>
  <c r="D74" i="14"/>
  <c r="D76" i="14"/>
  <c r="C76" i="14" s="1"/>
  <c r="G74" i="14"/>
  <c r="G76" i="14"/>
  <c r="F76" i="14" s="1"/>
  <c r="J74" i="14"/>
  <c r="J76" i="14"/>
  <c r="I76" i="14" s="1"/>
  <c r="B86" i="14"/>
  <c r="B95" i="14"/>
  <c r="F70" i="14"/>
  <c r="B195" i="14"/>
  <c r="I70" i="14"/>
  <c r="C70" i="14"/>
  <c r="C79" i="14"/>
  <c r="H314" i="25"/>
  <c r="H352" i="25" l="1"/>
  <c r="C83" i="14"/>
  <c r="B79" i="14"/>
  <c r="B70" i="14"/>
  <c r="C74" i="14"/>
  <c r="H277" i="25"/>
  <c r="K147" i="25"/>
  <c r="J41" i="25"/>
  <c r="G60" i="14" s="1"/>
  <c r="I105" i="25"/>
  <c r="I17" i="25"/>
  <c r="I16" i="25"/>
  <c r="I98" i="25"/>
  <c r="I92" i="25"/>
  <c r="J271" i="14" l="1"/>
  <c r="K150" i="25"/>
  <c r="D184" i="14"/>
  <c r="D191" i="14" s="1"/>
  <c r="C191" i="14" s="1"/>
  <c r="I96" i="25"/>
  <c r="I85" i="25"/>
  <c r="I111" i="25" s="1"/>
  <c r="J151" i="25"/>
  <c r="K151" i="25"/>
  <c r="K255" i="25" s="1"/>
  <c r="G64" i="14"/>
  <c r="D209" i="14"/>
  <c r="I100" i="25"/>
  <c r="F60" i="14"/>
  <c r="F64" i="14" s="1"/>
  <c r="G267" i="14" l="1"/>
  <c r="F267" i="14" s="1"/>
  <c r="J255" i="25"/>
  <c r="D188" i="14"/>
  <c r="C184" i="14"/>
  <c r="C188" i="14" s="1"/>
  <c r="G191" i="14"/>
  <c r="F191" i="14" s="1"/>
  <c r="I234" i="25"/>
  <c r="I233" i="25" s="1"/>
  <c r="I110" i="25"/>
  <c r="D213" i="14"/>
  <c r="D216" i="14"/>
  <c r="C216" i="14" s="1"/>
  <c r="G216" i="14"/>
  <c r="F216" i="14" s="1"/>
  <c r="C209" i="14"/>
  <c r="K309" i="14"/>
  <c r="B184" i="14" l="1"/>
  <c r="C206" i="14"/>
  <c r="C213" i="14"/>
  <c r="B209" i="14"/>
  <c r="H181" i="25"/>
  <c r="H179" i="25"/>
  <c r="H91" i="25" l="1"/>
  <c r="I24" i="25" l="1"/>
  <c r="H23" i="25"/>
  <c r="H17" i="25"/>
  <c r="H16" i="25"/>
  <c r="H15" i="25" l="1"/>
  <c r="I178" i="25"/>
  <c r="E337" i="14" s="1"/>
  <c r="E341" i="14" s="1"/>
  <c r="J178" i="25"/>
  <c r="K178" i="25"/>
  <c r="C142" i="14"/>
  <c r="C143" i="14"/>
  <c r="C141" i="14"/>
  <c r="I142" i="14"/>
  <c r="I143" i="14"/>
  <c r="I141" i="14"/>
  <c r="F142" i="14"/>
  <c r="F143" i="14"/>
  <c r="F141" i="14"/>
  <c r="J137" i="14" l="1"/>
  <c r="J145" i="14" s="1"/>
  <c r="I145" i="14" s="1"/>
  <c r="J138" i="14"/>
  <c r="J146" i="14" s="1"/>
  <c r="I146" i="14" s="1"/>
  <c r="J139" i="14"/>
  <c r="J147" i="14" s="1"/>
  <c r="I147" i="14" s="1"/>
  <c r="G137" i="14"/>
  <c r="G145" i="14" s="1"/>
  <c r="G138" i="14"/>
  <c r="G146" i="14" s="1"/>
  <c r="G139" i="14"/>
  <c r="G147" i="14" s="1"/>
  <c r="D138" i="14"/>
  <c r="D146" i="14" s="1"/>
  <c r="C146" i="14" s="1"/>
  <c r="D139" i="14"/>
  <c r="D147" i="14" s="1"/>
  <c r="C147" i="14" s="1"/>
  <c r="D137" i="14"/>
  <c r="C137" i="14" s="1"/>
  <c r="D145" i="14" l="1"/>
  <c r="C145" i="14" s="1"/>
  <c r="I139" i="14"/>
  <c r="I137" i="14"/>
  <c r="F138" i="14"/>
  <c r="C139" i="14"/>
  <c r="I138" i="14"/>
  <c r="F139" i="14"/>
  <c r="F137" i="14"/>
  <c r="C138" i="14"/>
  <c r="J62" i="25" l="1"/>
  <c r="K62" i="25"/>
  <c r="I62" i="25"/>
  <c r="D136" i="14" s="1"/>
  <c r="D149" i="14" s="1"/>
  <c r="C149" i="14" s="1"/>
  <c r="J136" i="14" l="1"/>
  <c r="I136" i="14" s="1"/>
  <c r="G136" i="14"/>
  <c r="G149" i="14" s="1"/>
  <c r="F149" i="14" s="1"/>
  <c r="C136" i="14"/>
  <c r="H64" i="25"/>
  <c r="H65" i="25"/>
  <c r="H63" i="25"/>
  <c r="F136" i="14" l="1"/>
  <c r="J149" i="14"/>
  <c r="I149" i="14" s="1"/>
  <c r="B136" i="14"/>
  <c r="H62" i="25"/>
  <c r="I304" i="14"/>
  <c r="I88" i="14"/>
  <c r="I90" i="14" s="1"/>
  <c r="F88" i="14"/>
  <c r="F90" i="14" s="1"/>
  <c r="I72" i="14"/>
  <c r="I74" i="14" s="1"/>
  <c r="F72" i="14"/>
  <c r="F74" i="14" s="1"/>
  <c r="I50" i="14"/>
  <c r="F50" i="14"/>
  <c r="I49" i="14"/>
  <c r="I48" i="14"/>
  <c r="F49" i="14"/>
  <c r="F48" i="14"/>
  <c r="J214" i="25"/>
  <c r="K214" i="25"/>
  <c r="H288" i="25"/>
  <c r="I360" i="25"/>
  <c r="J360" i="25"/>
  <c r="K360" i="25"/>
  <c r="I350" i="25"/>
  <c r="J350" i="25"/>
  <c r="K350" i="25"/>
  <c r="I333" i="25"/>
  <c r="J333" i="25"/>
  <c r="K333" i="25"/>
  <c r="J323" i="25"/>
  <c r="K323" i="25"/>
  <c r="J267" i="25"/>
  <c r="K267" i="25"/>
  <c r="H276" i="25"/>
  <c r="H272" i="25"/>
  <c r="J282" i="25"/>
  <c r="K282" i="25"/>
  <c r="I282" i="25"/>
  <c r="H284" i="25"/>
  <c r="H350" i="25" s="1"/>
  <c r="H285" i="25"/>
  <c r="H360" i="25" s="1"/>
  <c r="H286" i="25"/>
  <c r="H287" i="25"/>
  <c r="H283" i="25"/>
  <c r="H273" i="25"/>
  <c r="H271" i="25" l="1"/>
  <c r="H323" i="25"/>
  <c r="H333" i="25"/>
  <c r="H282" i="25"/>
  <c r="K337" i="14"/>
  <c r="H337" i="14"/>
  <c r="H341" i="14" s="1"/>
  <c r="J213" i="25"/>
  <c r="K213" i="25"/>
  <c r="J212" i="25"/>
  <c r="K212" i="25"/>
  <c r="H157" i="25" l="1"/>
  <c r="C130" i="14"/>
  <c r="H214" i="25" l="1"/>
  <c r="I237" i="14"/>
  <c r="I236" i="14"/>
  <c r="I235" i="14"/>
  <c r="J233" i="14"/>
  <c r="J232" i="14"/>
  <c r="J231" i="14"/>
  <c r="J239" i="14" s="1"/>
  <c r="F237" i="14"/>
  <c r="F236" i="14"/>
  <c r="F235" i="14"/>
  <c r="C237" i="14"/>
  <c r="C236" i="14"/>
  <c r="C235" i="14"/>
  <c r="C233" i="14"/>
  <c r="C232" i="14"/>
  <c r="D239" i="14"/>
  <c r="C241" i="14" l="1"/>
  <c r="C231" i="14"/>
  <c r="C239" i="14" s="1"/>
  <c r="F231" i="14"/>
  <c r="F239" i="14" s="1"/>
  <c r="F233" i="14"/>
  <c r="F241" i="14" s="1"/>
  <c r="I231" i="14"/>
  <c r="I239" i="14" s="1"/>
  <c r="I233" i="14"/>
  <c r="I241" i="14" s="1"/>
  <c r="J241" i="14"/>
  <c r="F232" i="14"/>
  <c r="F240" i="14" s="1"/>
  <c r="I232" i="14"/>
  <c r="I240" i="14" s="1"/>
  <c r="J240" i="14"/>
  <c r="C240" i="14"/>
  <c r="I248" i="14" l="1"/>
  <c r="F248" i="14"/>
  <c r="C248" i="14"/>
  <c r="D240" i="14" l="1"/>
  <c r="C223" i="14" l="1"/>
  <c r="I83" i="25" l="1"/>
  <c r="J83" i="25"/>
  <c r="K83" i="25"/>
  <c r="G125" i="14"/>
  <c r="F125" i="14" s="1"/>
  <c r="D125" i="14"/>
  <c r="C125" i="14" s="1"/>
  <c r="B125" i="14" l="1"/>
  <c r="I33" i="25"/>
  <c r="K33" i="25"/>
  <c r="J33" i="25"/>
  <c r="J34" i="25"/>
  <c r="J32" i="25"/>
  <c r="K267" i="14"/>
  <c r="J31" i="25" l="1"/>
  <c r="D127" i="14" l="1"/>
  <c r="D133" i="14" s="1"/>
  <c r="D126" i="14"/>
  <c r="D132" i="14" s="1"/>
  <c r="C127" i="14" l="1"/>
  <c r="C133" i="14" s="1"/>
  <c r="C126" i="14"/>
  <c r="C132" i="14" s="1"/>
  <c r="C88" i="14"/>
  <c r="C90" i="14" s="1"/>
  <c r="I121" i="25" l="1"/>
  <c r="I120" i="25" s="1"/>
  <c r="J35" i="25"/>
  <c r="K35" i="25"/>
  <c r="I35" i="25"/>
  <c r="H40" i="25"/>
  <c r="C36" i="14"/>
  <c r="J75" i="25" l="1"/>
  <c r="I384" i="25"/>
  <c r="J253" i="25"/>
  <c r="J380" i="25" s="1"/>
  <c r="K253" i="25"/>
  <c r="K380" i="25" s="1"/>
  <c r="J250" i="25"/>
  <c r="J375" i="25" s="1"/>
  <c r="K250" i="25"/>
  <c r="K375" i="25" s="1"/>
  <c r="I253" i="25"/>
  <c r="I250" i="25"/>
  <c r="I375" i="25" s="1"/>
  <c r="I247" i="25"/>
  <c r="J225" i="25"/>
  <c r="K225" i="25"/>
  <c r="K332" i="25" s="1"/>
  <c r="I332" i="25"/>
  <c r="I309" i="14"/>
  <c r="E309" i="14"/>
  <c r="H167" i="25"/>
  <c r="H176" i="25"/>
  <c r="H175" i="25"/>
  <c r="H165" i="25"/>
  <c r="K384" i="25"/>
  <c r="I145" i="25"/>
  <c r="I139" i="25"/>
  <c r="I239" i="25"/>
  <c r="I357" i="25" s="1"/>
  <c r="J203" i="25"/>
  <c r="K203" i="25"/>
  <c r="I244" i="25"/>
  <c r="I365" i="25" s="1"/>
  <c r="J74" i="25" l="1"/>
  <c r="J102" i="25"/>
  <c r="J332" i="25"/>
  <c r="I224" i="25"/>
  <c r="I331" i="25" s="1"/>
  <c r="I228" i="25"/>
  <c r="H203" i="25"/>
  <c r="H213" i="25"/>
  <c r="I380" i="25"/>
  <c r="H253" i="25"/>
  <c r="H380" i="25" s="1"/>
  <c r="H212" i="25"/>
  <c r="I256" i="25"/>
  <c r="I34" i="25"/>
  <c r="K32" i="25"/>
  <c r="I32" i="25"/>
  <c r="I28" i="25"/>
  <c r="D46" i="14" s="1"/>
  <c r="I385" i="25" l="1"/>
  <c r="I383" i="25" s="1"/>
  <c r="I254" i="25"/>
  <c r="I338" i="25"/>
  <c r="H250" i="25"/>
  <c r="H375" i="25" s="1"/>
  <c r="I330" i="25"/>
  <c r="C46" i="14"/>
  <c r="D54" i="14"/>
  <c r="C54" i="14" s="1"/>
  <c r="I119" i="25"/>
  <c r="I31" i="25"/>
  <c r="I118" i="25" l="1"/>
  <c r="I95" i="25"/>
  <c r="J121" i="25"/>
  <c r="I84" i="25"/>
  <c r="J84" i="25"/>
  <c r="K84" i="25"/>
  <c r="J81" i="25"/>
  <c r="J80" i="25" s="1"/>
  <c r="K81" i="25"/>
  <c r="K80" i="25" s="1"/>
  <c r="I81" i="25"/>
  <c r="I80" i="25" s="1"/>
  <c r="J78" i="25"/>
  <c r="I78" i="25"/>
  <c r="H48" i="25"/>
  <c r="K100" i="25"/>
  <c r="K99" i="25" s="1"/>
  <c r="I99" i="25"/>
  <c r="H98" i="25"/>
  <c r="H97" i="25"/>
  <c r="J82" i="25"/>
  <c r="K82" i="25"/>
  <c r="H39" i="25"/>
  <c r="H38" i="25"/>
  <c r="H37" i="25"/>
  <c r="H36" i="25"/>
  <c r="J120" i="25" l="1"/>
  <c r="J99" i="25"/>
  <c r="J101" i="25"/>
  <c r="H100" i="25"/>
  <c r="H99" i="25" s="1"/>
  <c r="I82" i="25"/>
  <c r="I109" i="25"/>
  <c r="H35" i="25"/>
  <c r="K121" i="25"/>
  <c r="K120" i="25" s="1"/>
  <c r="J145" i="25" l="1"/>
  <c r="J238" i="25" s="1"/>
  <c r="K145" i="25"/>
  <c r="J144" i="25"/>
  <c r="K144" i="25"/>
  <c r="I144" i="25"/>
  <c r="J143" i="25"/>
  <c r="K143" i="25"/>
  <c r="I143" i="25"/>
  <c r="I142" i="25"/>
  <c r="J141" i="25"/>
  <c r="K141" i="25"/>
  <c r="J140" i="25"/>
  <c r="K140" i="25"/>
  <c r="I140" i="25"/>
  <c r="I141" i="25"/>
  <c r="J139" i="25"/>
  <c r="K139" i="25"/>
  <c r="K95" i="25"/>
  <c r="J95" i="25"/>
  <c r="I348" i="25"/>
  <c r="I347" i="25" s="1"/>
  <c r="D109" i="14"/>
  <c r="H53" i="25"/>
  <c r="H52" i="25"/>
  <c r="K34" i="25"/>
  <c r="H30" i="25"/>
  <c r="H29" i="25"/>
  <c r="J28" i="25"/>
  <c r="G46" i="14" s="1"/>
  <c r="K28" i="25"/>
  <c r="J46" i="14" s="1"/>
  <c r="D45" i="14"/>
  <c r="J24" i="25"/>
  <c r="G45" i="14" s="1"/>
  <c r="K24" i="25"/>
  <c r="J45" i="14" s="1"/>
  <c r="H27" i="25"/>
  <c r="I21" i="25"/>
  <c r="D43" i="14" s="1"/>
  <c r="J21" i="25"/>
  <c r="K21" i="25"/>
  <c r="H22" i="25"/>
  <c r="H21" i="25" s="1"/>
  <c r="K18" i="25"/>
  <c r="J34" i="14" s="1"/>
  <c r="J18" i="25"/>
  <c r="G34" i="14" s="1"/>
  <c r="I18" i="25"/>
  <c r="D34" i="14" s="1"/>
  <c r="H20" i="25"/>
  <c r="H19" i="25"/>
  <c r="H34" i="25" l="1"/>
  <c r="G109" i="14"/>
  <c r="D118" i="14"/>
  <c r="C118" i="14" s="1"/>
  <c r="D119" i="14"/>
  <c r="C119" i="14" s="1"/>
  <c r="J40" i="14"/>
  <c r="I40" i="14" s="1"/>
  <c r="C43" i="14"/>
  <c r="D56" i="14"/>
  <c r="C56" i="14" s="1"/>
  <c r="D38" i="14"/>
  <c r="C38" i="14" s="1"/>
  <c r="D40" i="14"/>
  <c r="C40" i="14" s="1"/>
  <c r="G40" i="14"/>
  <c r="F40" i="14" s="1"/>
  <c r="C34" i="14"/>
  <c r="F34" i="14"/>
  <c r="G38" i="14"/>
  <c r="F38" i="14" s="1"/>
  <c r="G43" i="14"/>
  <c r="J43" i="14"/>
  <c r="I34" i="14"/>
  <c r="J38" i="14"/>
  <c r="I38" i="14" s="1"/>
  <c r="C109" i="14"/>
  <c r="I271" i="14"/>
  <c r="B271" i="14" s="1"/>
  <c r="J267" i="14"/>
  <c r="I45" i="14"/>
  <c r="I53" i="14" s="1"/>
  <c r="J53" i="14"/>
  <c r="F46" i="14"/>
  <c r="F54" i="14" s="1"/>
  <c r="G54" i="14"/>
  <c r="F45" i="14"/>
  <c r="F53" i="14" s="1"/>
  <c r="G53" i="14"/>
  <c r="I46" i="14"/>
  <c r="I54" i="14" s="1"/>
  <c r="J54" i="14"/>
  <c r="G44" i="14"/>
  <c r="J44" i="14"/>
  <c r="C45" i="14"/>
  <c r="D53" i="14"/>
  <c r="C53" i="14" s="1"/>
  <c r="D44" i="14"/>
  <c r="D52" i="14" s="1"/>
  <c r="H18" i="25"/>
  <c r="H28" i="25"/>
  <c r="G118" i="14" l="1"/>
  <c r="F118" i="14" s="1"/>
  <c r="G119" i="14"/>
  <c r="F109" i="14"/>
  <c r="F119" i="14"/>
  <c r="I43" i="14"/>
  <c r="J56" i="14"/>
  <c r="I56" i="14" s="1"/>
  <c r="F43" i="14"/>
  <c r="G56" i="14"/>
  <c r="F56" i="14" s="1"/>
  <c r="B34" i="14"/>
  <c r="F44" i="14"/>
  <c r="F52" i="14" s="1"/>
  <c r="G52" i="14"/>
  <c r="I44" i="14"/>
  <c r="I52" i="14" s="1"/>
  <c r="J52" i="14"/>
  <c r="C44" i="14"/>
  <c r="C52" i="14"/>
  <c r="I325" i="25"/>
  <c r="H359" i="25"/>
  <c r="H305" i="25"/>
  <c r="H358" i="25" s="1"/>
  <c r="I291" i="25"/>
  <c r="H296" i="25"/>
  <c r="B43" i="14" l="1"/>
  <c r="I230" i="25"/>
  <c r="I342" i="25" l="1"/>
  <c r="I341" i="25" s="1"/>
  <c r="I229" i="25"/>
  <c r="H61" i="25"/>
  <c r="H172" i="25"/>
  <c r="H162" i="25"/>
  <c r="I130" i="25"/>
  <c r="D230" i="14" s="1"/>
  <c r="D243" i="14" s="1"/>
  <c r="H133" i="25"/>
  <c r="I126" i="25"/>
  <c r="H129" i="25"/>
  <c r="I41" i="25"/>
  <c r="I75" i="25" s="1"/>
  <c r="H46" i="25"/>
  <c r="H87" i="25" s="1"/>
  <c r="H93" i="25"/>
  <c r="H54" i="25"/>
  <c r="H51" i="25" s="1"/>
  <c r="H47" i="25"/>
  <c r="H26" i="25"/>
  <c r="H25" i="25"/>
  <c r="I12" i="25"/>
  <c r="J12" i="25"/>
  <c r="H275" i="25"/>
  <c r="H269" i="25"/>
  <c r="H45" i="25"/>
  <c r="H86" i="25" l="1"/>
  <c r="I74" i="25"/>
  <c r="I102" i="25"/>
  <c r="I101" i="25" s="1"/>
  <c r="H208" i="25"/>
  <c r="D221" i="14"/>
  <c r="C230" i="14"/>
  <c r="C243" i="14"/>
  <c r="D60" i="14"/>
  <c r="J357" i="25"/>
  <c r="H145" i="25"/>
  <c r="H24" i="25"/>
  <c r="K238" i="25"/>
  <c r="I238" i="25"/>
  <c r="I237" i="25" s="1"/>
  <c r="K239" i="25"/>
  <c r="K357" i="25" s="1"/>
  <c r="J126" i="25"/>
  <c r="G221" i="14" s="1"/>
  <c r="K130" i="25"/>
  <c r="J230" i="14" s="1"/>
  <c r="K126" i="25"/>
  <c r="J221" i="14" s="1"/>
  <c r="J130" i="25"/>
  <c r="G230" i="14" s="1"/>
  <c r="G243" i="14" s="1"/>
  <c r="J109" i="14"/>
  <c r="J15" i="25"/>
  <c r="G24" i="14" s="1"/>
  <c r="H121" i="25" l="1"/>
  <c r="H120" i="25" s="1"/>
  <c r="J237" i="25"/>
  <c r="K237" i="25"/>
  <c r="H239" i="25"/>
  <c r="H357" i="25" s="1"/>
  <c r="K356" i="25"/>
  <c r="K355" i="25" s="1"/>
  <c r="G15" i="14"/>
  <c r="O15" i="14"/>
  <c r="D227" i="14"/>
  <c r="C227" i="14" s="1"/>
  <c r="G28" i="14"/>
  <c r="I218" i="25"/>
  <c r="I321" i="25" s="1"/>
  <c r="C221" i="14"/>
  <c r="C225" i="14" s="1"/>
  <c r="G227" i="14"/>
  <c r="F227" i="14" s="1"/>
  <c r="D225" i="14"/>
  <c r="J227" i="14"/>
  <c r="I227" i="14" s="1"/>
  <c r="F230" i="14"/>
  <c r="F243" i="14"/>
  <c r="I230" i="14"/>
  <c r="J243" i="14"/>
  <c r="I243" i="14" s="1"/>
  <c r="D64" i="14"/>
  <c r="D67" i="14"/>
  <c r="C67" i="14" s="1"/>
  <c r="G67" i="14"/>
  <c r="F67" i="14" s="1"/>
  <c r="C60" i="14"/>
  <c r="C64" i="14" s="1"/>
  <c r="F24" i="14"/>
  <c r="I221" i="14"/>
  <c r="I225" i="14" s="1"/>
  <c r="J225" i="14"/>
  <c r="J119" i="14"/>
  <c r="I119" i="14" s="1"/>
  <c r="I109" i="14"/>
  <c r="B109" i="14" s="1"/>
  <c r="J118" i="14"/>
  <c r="I118" i="14" s="1"/>
  <c r="F221" i="14"/>
  <c r="F225" i="14" s="1"/>
  <c r="G225" i="14"/>
  <c r="J356" i="25"/>
  <c r="J355" i="25" s="1"/>
  <c r="I356" i="25"/>
  <c r="I355" i="25" s="1"/>
  <c r="K31" i="25"/>
  <c r="H59" i="25"/>
  <c r="H58" i="25" s="1"/>
  <c r="H238" i="25" l="1"/>
  <c r="H237" i="25" s="1"/>
  <c r="F15" i="14"/>
  <c r="N15" i="14"/>
  <c r="F28" i="14"/>
  <c r="B230" i="14"/>
  <c r="B221" i="14"/>
  <c r="H43" i="25"/>
  <c r="H356" i="25" l="1"/>
  <c r="H355" i="25" s="1"/>
  <c r="H42" i="25"/>
  <c r="K41" i="25"/>
  <c r="K75" i="25" l="1"/>
  <c r="K74" i="25" s="1"/>
  <c r="H79" i="25"/>
  <c r="H105" i="25" s="1"/>
  <c r="J60" i="14"/>
  <c r="J67" i="14" s="1"/>
  <c r="I67" i="14" s="1"/>
  <c r="F304" i="14"/>
  <c r="C304" i="14"/>
  <c r="I265" i="14"/>
  <c r="F265" i="14"/>
  <c r="D241" i="14"/>
  <c r="J64" i="14" l="1"/>
  <c r="I60" i="14"/>
  <c r="I64" i="14" s="1"/>
  <c r="H44" i="25"/>
  <c r="B60" i="14" l="1"/>
  <c r="H83" i="25"/>
  <c r="H82" i="25" s="1"/>
  <c r="H41" i="25"/>
  <c r="J224" i="25"/>
  <c r="J107" i="25"/>
  <c r="J331" i="25" l="1"/>
  <c r="J330" i="25" s="1"/>
  <c r="J227" i="25"/>
  <c r="J337" i="25" s="1"/>
  <c r="H50" i="25"/>
  <c r="H85" i="25" s="1"/>
  <c r="J113" i="25"/>
  <c r="J243" i="25" s="1"/>
  <c r="J364" i="25" s="1"/>
  <c r="H84" i="25" l="1"/>
  <c r="H111" i="25"/>
  <c r="J219" i="25"/>
  <c r="J322" i="25" s="1"/>
  <c r="J246" i="25"/>
  <c r="J369" i="25" s="1"/>
  <c r="J134" i="25"/>
  <c r="H92" i="25"/>
  <c r="H96" i="25" s="1"/>
  <c r="H110" i="25" l="1"/>
  <c r="J138" i="25"/>
  <c r="G246" i="14"/>
  <c r="G218" i="14" s="1"/>
  <c r="H95" i="25"/>
  <c r="H49" i="25"/>
  <c r="I107" i="25"/>
  <c r="H75" i="25" l="1"/>
  <c r="H74" i="25" s="1"/>
  <c r="I227" i="25"/>
  <c r="I337" i="25" s="1"/>
  <c r="I336" i="25" s="1"/>
  <c r="F246" i="14"/>
  <c r="G250" i="14"/>
  <c r="F250" i="14" s="1"/>
  <c r="H81" i="25"/>
  <c r="H80" i="25" s="1"/>
  <c r="F218" i="14" l="1"/>
  <c r="G18" i="14"/>
  <c r="J261" i="25"/>
  <c r="G20" i="14" l="1"/>
  <c r="H268" i="25" l="1"/>
  <c r="H297" i="25" l="1"/>
  <c r="H169" i="25"/>
  <c r="H290" i="25" l="1"/>
  <c r="K289" i="25"/>
  <c r="J289" i="25"/>
  <c r="I289" i="25"/>
  <c r="H178" i="25" l="1"/>
  <c r="C337" i="14" s="1"/>
  <c r="B337" i="14" s="1"/>
  <c r="H289" i="25"/>
  <c r="H14" i="25"/>
  <c r="H33" i="25" s="1"/>
  <c r="I134" i="25"/>
  <c r="I138" i="25" s="1"/>
  <c r="I217" i="25" l="1"/>
  <c r="I320" i="25" s="1"/>
  <c r="D246" i="14"/>
  <c r="E302" i="14"/>
  <c r="E298" i="14" s="1"/>
  <c r="E12" i="14" s="1"/>
  <c r="G252" i="14" l="1"/>
  <c r="F252" i="14" s="1"/>
  <c r="D218" i="14"/>
  <c r="C218" i="14" s="1"/>
  <c r="C298" i="14"/>
  <c r="E306" i="14"/>
  <c r="D252" i="14"/>
  <c r="C252" i="14" s="1"/>
  <c r="C246" i="14"/>
  <c r="D250" i="14"/>
  <c r="C250" i="14" s="1"/>
  <c r="K302" i="14"/>
  <c r="K306" i="14" s="1"/>
  <c r="H302" i="14"/>
  <c r="C302" i="14"/>
  <c r="H306" i="14" l="1"/>
  <c r="H298" i="14"/>
  <c r="H12" i="14" s="1"/>
  <c r="K298" i="14"/>
  <c r="K12" i="14" s="1"/>
  <c r="F302" i="14"/>
  <c r="I302" i="14"/>
  <c r="B302" i="14" l="1"/>
  <c r="I267" i="14" l="1"/>
  <c r="B267" i="14" s="1"/>
  <c r="F18" i="14" l="1"/>
  <c r="K261" i="25" l="1"/>
  <c r="H264" i="25"/>
  <c r="H265" i="25"/>
  <c r="H266" i="25"/>
  <c r="H262" i="25"/>
  <c r="H294" i="25" l="1"/>
  <c r="H295" i="25"/>
  <c r="H293" i="25"/>
  <c r="J235" i="25"/>
  <c r="J349" i="25" s="1"/>
  <c r="K235" i="25"/>
  <c r="K349" i="25" s="1"/>
  <c r="H155" i="25"/>
  <c r="H292" i="25" l="1"/>
  <c r="H291" i="25" s="1"/>
  <c r="K219" i="25"/>
  <c r="K322" i="25" s="1"/>
  <c r="H263" i="25"/>
  <c r="J142" i="25"/>
  <c r="K142" i="25"/>
  <c r="H141" i="25"/>
  <c r="K134" i="25"/>
  <c r="K115" i="25"/>
  <c r="I252" i="25"/>
  <c r="K138" i="25" l="1"/>
  <c r="J246" i="14"/>
  <c r="J252" i="14" s="1"/>
  <c r="I252" i="14" s="1"/>
  <c r="H261" i="25"/>
  <c r="I251" i="25"/>
  <c r="J115" i="25"/>
  <c r="J114" i="25" s="1"/>
  <c r="J106" i="25"/>
  <c r="K114" i="25"/>
  <c r="K246" i="25"/>
  <c r="K369" i="25" s="1"/>
  <c r="I246" i="14" l="1"/>
  <c r="B246" i="14" s="1"/>
  <c r="B218" i="14" s="1"/>
  <c r="J250" i="14"/>
  <c r="I250" i="14" s="1"/>
  <c r="J218" i="14"/>
  <c r="I218" i="14" s="1"/>
  <c r="J384" i="25"/>
  <c r="J291" i="25"/>
  <c r="K291" i="25"/>
  <c r="H136" i="25"/>
  <c r="H142" i="25" s="1"/>
  <c r="H135" i="25"/>
  <c r="H140" i="25" s="1"/>
  <c r="H128" i="25"/>
  <c r="H127" i="25"/>
  <c r="H126" i="25" l="1"/>
  <c r="H134" i="25"/>
  <c r="I15" i="25"/>
  <c r="K15" i="25"/>
  <c r="J24" i="14" s="1"/>
  <c r="R15" i="14" s="1"/>
  <c r="J119" i="25"/>
  <c r="J117" i="25"/>
  <c r="H281" i="25"/>
  <c r="H327" i="25" s="1"/>
  <c r="H353" i="25" s="1"/>
  <c r="H280" i="25"/>
  <c r="H279" i="25"/>
  <c r="H278" i="25"/>
  <c r="K211" i="25"/>
  <c r="K247" i="25" s="1"/>
  <c r="J211" i="25"/>
  <c r="K210" i="25"/>
  <c r="K244" i="25" s="1"/>
  <c r="K365" i="25" s="1"/>
  <c r="J210" i="25"/>
  <c r="K231" i="25"/>
  <c r="K343" i="25" s="1"/>
  <c r="K228" i="25"/>
  <c r="K338" i="25" s="1"/>
  <c r="J228" i="25"/>
  <c r="J338" i="25" s="1"/>
  <c r="J336" i="25" s="1"/>
  <c r="H174" i="25"/>
  <c r="H173" i="25"/>
  <c r="H171" i="25"/>
  <c r="H170" i="25"/>
  <c r="H168" i="25"/>
  <c r="H164" i="25"/>
  <c r="H163" i="25"/>
  <c r="H161" i="25"/>
  <c r="H160" i="25"/>
  <c r="H159" i="25"/>
  <c r="H158" i="25"/>
  <c r="H147" i="25"/>
  <c r="K12" i="25"/>
  <c r="J18" i="14" s="1"/>
  <c r="I6" i="25"/>
  <c r="H166" i="25" l="1"/>
  <c r="H200" i="25"/>
  <c r="H199" i="25" s="1"/>
  <c r="H202" i="25"/>
  <c r="H151" i="25"/>
  <c r="H150" i="25"/>
  <c r="H255" i="25"/>
  <c r="H206" i="25"/>
  <c r="H204" i="25"/>
  <c r="H154" i="25"/>
  <c r="J31" i="14"/>
  <c r="I31" i="14" s="1"/>
  <c r="J28" i="14"/>
  <c r="D24" i="14"/>
  <c r="J15" i="14"/>
  <c r="I24" i="14"/>
  <c r="H267" i="25"/>
  <c r="I18" i="14"/>
  <c r="H256" i="25"/>
  <c r="J244" i="25"/>
  <c r="H210" i="25"/>
  <c r="J247" i="25"/>
  <c r="J370" i="25" s="1"/>
  <c r="J368" i="25" s="1"/>
  <c r="H211" i="25"/>
  <c r="J252" i="25"/>
  <c r="J118" i="25"/>
  <c r="J249" i="25"/>
  <c r="J116" i="25"/>
  <c r="J231" i="25"/>
  <c r="J343" i="25" s="1"/>
  <c r="H13" i="25"/>
  <c r="H32" i="25" s="1"/>
  <c r="H31" i="25" s="1"/>
  <c r="I117" i="25"/>
  <c r="K256" i="25"/>
  <c r="J256" i="25"/>
  <c r="J254" i="25" s="1"/>
  <c r="K245" i="25"/>
  <c r="K370" i="25"/>
  <c r="K368" i="25" s="1"/>
  <c r="I115" i="25"/>
  <c r="I113" i="25"/>
  <c r="J325" i="25"/>
  <c r="H131" i="25"/>
  <c r="H143" i="25" s="1"/>
  <c r="K117" i="25"/>
  <c r="K119" i="25"/>
  <c r="K118" i="25" s="1"/>
  <c r="H308" i="25"/>
  <c r="H317" i="25"/>
  <c r="H372" i="25" s="1"/>
  <c r="H225" i="25" l="1"/>
  <c r="H332" i="25" s="1"/>
  <c r="H235" i="25"/>
  <c r="H349" i="25" s="1"/>
  <c r="K385" i="25"/>
  <c r="K383" i="25" s="1"/>
  <c r="K254" i="25"/>
  <c r="H101" i="25"/>
  <c r="H102" i="25"/>
  <c r="H254" i="25"/>
  <c r="H247" i="25"/>
  <c r="H370" i="25" s="1"/>
  <c r="H244" i="25"/>
  <c r="H365" i="25" s="1"/>
  <c r="H231" i="25"/>
  <c r="H343" i="25" s="1"/>
  <c r="J365" i="25"/>
  <c r="J363" i="25" s="1"/>
  <c r="M216" i="25"/>
  <c r="D15" i="14"/>
  <c r="D12" i="14" s="1"/>
  <c r="L15" i="14"/>
  <c r="I28" i="14"/>
  <c r="Q15" i="14"/>
  <c r="I249" i="25"/>
  <c r="H219" i="25"/>
  <c r="H322" i="25" s="1"/>
  <c r="D28" i="14"/>
  <c r="D31" i="14"/>
  <c r="C31" i="14" s="1"/>
  <c r="G31" i="14"/>
  <c r="F31" i="14" s="1"/>
  <c r="I15" i="14"/>
  <c r="C24" i="14"/>
  <c r="J245" i="25"/>
  <c r="H385" i="25"/>
  <c r="J374" i="25"/>
  <c r="J373" i="25" s="1"/>
  <c r="J248" i="25"/>
  <c r="J379" i="25"/>
  <c r="J378" i="25" s="1"/>
  <c r="J251" i="25"/>
  <c r="H228" i="25"/>
  <c r="H12" i="25"/>
  <c r="K249" i="25"/>
  <c r="K248" i="25" s="1"/>
  <c r="K116" i="25"/>
  <c r="I116" i="25"/>
  <c r="K78" i="25"/>
  <c r="K252" i="25"/>
  <c r="K251" i="25" s="1"/>
  <c r="H303" i="25"/>
  <c r="H366" i="25" s="1"/>
  <c r="I243" i="25"/>
  <c r="H384" i="25"/>
  <c r="I370" i="25"/>
  <c r="J218" i="25"/>
  <c r="J321" i="25" s="1"/>
  <c r="J226" i="25"/>
  <c r="J223" i="25"/>
  <c r="J385" i="25"/>
  <c r="J383" i="25" s="1"/>
  <c r="D18" i="14"/>
  <c r="J324" i="25"/>
  <c r="H311" i="25"/>
  <c r="J112" i="25"/>
  <c r="I114" i="25"/>
  <c r="I246" i="25"/>
  <c r="I369" i="25" s="1"/>
  <c r="I368" i="25" s="1"/>
  <c r="I112" i="25"/>
  <c r="J109" i="25"/>
  <c r="J111" i="25"/>
  <c r="H113" i="25"/>
  <c r="K113" i="25"/>
  <c r="K243" i="25" s="1"/>
  <c r="K364" i="25" s="1"/>
  <c r="K363" i="25" s="1"/>
  <c r="H115" i="25"/>
  <c r="H119" i="25"/>
  <c r="K325" i="25"/>
  <c r="H309" i="25"/>
  <c r="H302" i="25"/>
  <c r="H300" i="25"/>
  <c r="H307" i="25"/>
  <c r="H304" i="25"/>
  <c r="H371" i="25" s="1"/>
  <c r="H301" i="25"/>
  <c r="H344" i="25" s="1"/>
  <c r="H313" i="25"/>
  <c r="H345" i="25" s="1"/>
  <c r="H312" i="25"/>
  <c r="H340" i="25" s="1"/>
  <c r="H383" i="25" l="1"/>
  <c r="H246" i="25"/>
  <c r="H245" i="25" s="1"/>
  <c r="H243" i="25"/>
  <c r="H364" i="25" s="1"/>
  <c r="I248" i="25"/>
  <c r="H339" i="25"/>
  <c r="J230" i="25"/>
  <c r="H381" i="25"/>
  <c r="C15" i="14"/>
  <c r="H334" i="25"/>
  <c r="H335" i="25"/>
  <c r="H351" i="25"/>
  <c r="H338" i="25"/>
  <c r="C28" i="14"/>
  <c r="B24" i="14"/>
  <c r="B15" i="14" s="1"/>
  <c r="I242" i="25"/>
  <c r="I364" i="25"/>
  <c r="I363" i="25" s="1"/>
  <c r="D20" i="14"/>
  <c r="H118" i="25"/>
  <c r="K374" i="25"/>
  <c r="K373" i="25" s="1"/>
  <c r="H78" i="25"/>
  <c r="J234" i="25"/>
  <c r="I374" i="25"/>
  <c r="I373" i="25" s="1"/>
  <c r="J110" i="25"/>
  <c r="K379" i="25"/>
  <c r="K378" i="25" s="1"/>
  <c r="H117" i="25"/>
  <c r="K242" i="25"/>
  <c r="I245" i="25"/>
  <c r="C18" i="14"/>
  <c r="B18" i="14" s="1"/>
  <c r="J242" i="25"/>
  <c r="K298" i="25"/>
  <c r="K324" i="25" s="1"/>
  <c r="H112" i="25"/>
  <c r="I108" i="25"/>
  <c r="J104" i="25"/>
  <c r="H114" i="25"/>
  <c r="I104" i="25"/>
  <c r="I106" i="25"/>
  <c r="J108" i="25"/>
  <c r="K112" i="25"/>
  <c r="K111" i="25"/>
  <c r="K107" i="25"/>
  <c r="H107" i="25"/>
  <c r="H306" i="25"/>
  <c r="H376" i="25" s="1"/>
  <c r="H242" i="25" l="1"/>
  <c r="H369" i="25"/>
  <c r="H368" i="25" s="1"/>
  <c r="J348" i="25"/>
  <c r="J347" i="25" s="1"/>
  <c r="J233" i="25"/>
  <c r="H116" i="25"/>
  <c r="J342" i="25"/>
  <c r="J341" i="25" s="1"/>
  <c r="J229" i="25"/>
  <c r="C12" i="14"/>
  <c r="L11" i="14"/>
  <c r="H298" i="25"/>
  <c r="H324" i="25" s="1"/>
  <c r="K224" i="25"/>
  <c r="H234" i="25"/>
  <c r="H233" i="25" s="1"/>
  <c r="H227" i="25"/>
  <c r="H249" i="25"/>
  <c r="H374" i="25" s="1"/>
  <c r="H373" i="25" s="1"/>
  <c r="K227" i="25"/>
  <c r="K337" i="25" s="1"/>
  <c r="K336" i="25" s="1"/>
  <c r="K234" i="25"/>
  <c r="I226" i="25"/>
  <c r="C20" i="14"/>
  <c r="K102" i="25"/>
  <c r="K101" i="25" s="1"/>
  <c r="I223" i="25"/>
  <c r="K106" i="25"/>
  <c r="K110" i="25"/>
  <c r="K104" i="25"/>
  <c r="H106" i="25"/>
  <c r="K109" i="25"/>
  <c r="K230" i="25" s="1"/>
  <c r="K342" i="25" l="1"/>
  <c r="K341" i="25" s="1"/>
  <c r="K229" i="25"/>
  <c r="K331" i="25"/>
  <c r="K330" i="25" s="1"/>
  <c r="K348" i="25"/>
  <c r="K347" i="25" s="1"/>
  <c r="K233" i="25"/>
  <c r="K217" i="25"/>
  <c r="K320" i="25" s="1"/>
  <c r="K218" i="25"/>
  <c r="K321" i="25" s="1"/>
  <c r="H226" i="25"/>
  <c r="H337" i="25"/>
  <c r="H336" i="25" s="1"/>
  <c r="H348" i="25"/>
  <c r="H347" i="25" s="1"/>
  <c r="K223" i="25"/>
  <c r="H224" i="25"/>
  <c r="J217" i="25"/>
  <c r="J320" i="25" s="1"/>
  <c r="K226" i="25"/>
  <c r="H104" i="25"/>
  <c r="K108" i="25"/>
  <c r="H109" i="25"/>
  <c r="G298" i="14"/>
  <c r="G12" i="14" s="1"/>
  <c r="J298" i="14"/>
  <c r="H331" i="25" l="1"/>
  <c r="H330" i="25" s="1"/>
  <c r="H230" i="25"/>
  <c r="H342" i="25" s="1"/>
  <c r="H341" i="25" s="1"/>
  <c r="I298" i="14"/>
  <c r="I12" i="14" s="1"/>
  <c r="J12" i="14"/>
  <c r="H223" i="25"/>
  <c r="F298" i="14"/>
  <c r="F12" i="14" s="1"/>
  <c r="H108" i="25"/>
  <c r="H229" i="25" l="1"/>
  <c r="C309" i="14"/>
  <c r="B309" i="14" s="1"/>
  <c r="B298" i="14" s="1"/>
  <c r="B12" i="14" s="1"/>
  <c r="F257" i="14" l="1"/>
  <c r="I257" i="14" s="1"/>
  <c r="L267" i="14" l="1"/>
  <c r="H132" i="25" l="1"/>
  <c r="H139" i="25" l="1"/>
  <c r="H218" i="25" s="1"/>
  <c r="H321" i="25" s="1"/>
  <c r="H144" i="25"/>
  <c r="H130" i="25"/>
  <c r="H138" i="25" s="1"/>
  <c r="H217" i="25" s="1"/>
  <c r="H248" i="25" l="1"/>
  <c r="H252" i="25"/>
  <c r="I379" i="25"/>
  <c r="I378" i="25" s="1"/>
  <c r="H251" i="25" l="1"/>
  <c r="H379" i="25"/>
  <c r="H378" i="25" s="1"/>
  <c r="H316" i="25" l="1"/>
  <c r="H310" i="25" s="1"/>
  <c r="H367" i="25" l="1"/>
  <c r="H320" i="25"/>
  <c r="L218" i="14"/>
  <c r="H363" i="25" l="1"/>
  <c r="H325" i="25"/>
</calcChain>
</file>

<file path=xl/sharedStrings.xml><?xml version="1.0" encoding="utf-8"?>
<sst xmlns="http://schemas.openxmlformats.org/spreadsheetml/2006/main" count="1195" uniqueCount="471">
  <si>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</si>
  <si>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</si>
  <si>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</si>
  <si>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</si>
  <si>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</si>
  <si>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</si>
  <si>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</si>
  <si>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</si>
  <si>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</si>
  <si>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</si>
  <si>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</si>
  <si>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</si>
  <si>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</si>
  <si>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</si>
  <si>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</si>
  <si>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</si>
  <si>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</si>
  <si>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</si>
  <si>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</si>
  <si>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</si>
  <si>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</si>
  <si>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</si>
  <si>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</si>
  <si>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</si>
  <si>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</si>
  <si>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</si>
  <si>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</si>
  <si>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</si>
  <si>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</si>
  <si>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</si>
  <si>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</si>
  <si>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</si>
  <si>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</si>
  <si>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</si>
  <si>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</si>
  <si>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</si>
  <si>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</si>
  <si>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</si>
  <si>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</si>
  <si>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</si>
  <si>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</si>
  <si>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</si>
  <si>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</si>
  <si>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</si>
  <si>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</si>
  <si>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КПКВК</t>
  </si>
  <si>
    <t>Запобігання виникнення захворювання у людини у разі контакту із хворою або ж підозрілою на сказ твариною</t>
  </si>
  <si>
    <t>Покращення умов перебування пацієнтів та працівників у закладі охорони здоров'я</t>
  </si>
  <si>
    <t>УСЬОГО по підпрограмі 1</t>
  </si>
  <si>
    <t>УСЬОГО по підпрограмі 2</t>
  </si>
  <si>
    <t>0717361</t>
  </si>
  <si>
    <t>УСЬОГО по підпрограмі 3</t>
  </si>
  <si>
    <t>УСЬОГО по підпрограмі 4</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</si>
  <si>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</si>
  <si>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</si>
  <si>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</si>
  <si>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</si>
  <si>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</si>
  <si>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</si>
  <si>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</si>
  <si>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</si>
  <si>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</si>
  <si>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</si>
  <si>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</si>
  <si>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</si>
  <si>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РАЗОМ по сфері охорона здоров'я</t>
  </si>
  <si>
    <t>ВСЬОГО</t>
  </si>
  <si>
    <t>Власні надходження КНП</t>
  </si>
  <si>
    <t xml:space="preserve">з них по </t>
  </si>
  <si>
    <t>РАЗОМ</t>
  </si>
  <si>
    <t>Разом</t>
  </si>
  <si>
    <t>РАЗОМ ПО ПРОГРАМІ</t>
  </si>
  <si>
    <t>Кошти ДФРР (спеціальний фонд)</t>
  </si>
  <si>
    <t>Збільшення переліку послуг, що надають заклади охорони здоров'я</t>
  </si>
  <si>
    <t>Мета, КПКВК, завдання та результативні показники Програми</t>
  </si>
  <si>
    <t>в тому числі</t>
  </si>
  <si>
    <t>Загальний фонд</t>
  </si>
  <si>
    <t>Спеціальний фонд</t>
  </si>
  <si>
    <t xml:space="preserve">Мета: </t>
  </si>
  <si>
    <t>Показник затрат:</t>
  </si>
  <si>
    <t>кількість  установ, од.</t>
  </si>
  <si>
    <t>Показник продукту:</t>
  </si>
  <si>
    <t>Показник ефективності:</t>
  </si>
  <si>
    <t>Показник якості:</t>
  </si>
  <si>
    <t>КПКВК 0712111</t>
  </si>
  <si>
    <t>Первинна медична допомога населенню, що надається центрами первинної медичної (медико-санітарної) допомоги</t>
  </si>
  <si>
    <t>кількість осіб, яким встановлені/будуть встановлені до кінця року слухові апарати</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</si>
  <si>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</si>
  <si>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</si>
  <si>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</si>
  <si>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</si>
  <si>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заклади</t>
  </si>
  <si>
    <t>1.1.</t>
  </si>
  <si>
    <t xml:space="preserve">1.1.1. Сприяння в утриманні закладів первинного рівня  </t>
  </si>
  <si>
    <t xml:space="preserve">1.2.1. Забезпечення надання вторинної медичної допомоги </t>
  </si>
  <si>
    <t>2.1.</t>
  </si>
  <si>
    <t>1.2.</t>
  </si>
  <si>
    <t>1.3.</t>
  </si>
  <si>
    <t>1.3.1. Забезпечення надання лікарсько-акушерської допомоги вагітним, роділлям, породіллям та новонародженим</t>
  </si>
  <si>
    <t>1.4.</t>
  </si>
  <si>
    <t>1.4.2. Покриття вартості комунальних послуг та енергоносіїв</t>
  </si>
  <si>
    <t>3.1.</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</si>
  <si>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</si>
  <si>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</si>
  <si>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</si>
  <si>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</si>
  <si>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</si>
  <si>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1.</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</si>
  <si>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</si>
  <si>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</si>
  <si>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</si>
  <si>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</si>
  <si>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</si>
  <si>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ПІДПРОГРАМА 1.  Покращення надання медичної допомоги населенню</t>
  </si>
  <si>
    <t>Всього по напряму 1.1. , у тому числі:</t>
  </si>
  <si>
    <t xml:space="preserve">Збереження стоматологічного здоров'я населення </t>
  </si>
  <si>
    <t>Всього по напряму 1.2, у тому числі</t>
  </si>
  <si>
    <t>В розрізі КНП</t>
  </si>
  <si>
    <t>2.</t>
  </si>
  <si>
    <t>3.</t>
  </si>
  <si>
    <t>4.</t>
  </si>
  <si>
    <t>5.</t>
  </si>
  <si>
    <t xml:space="preserve">Сприяння в утриманні закладів первинного рівня  </t>
  </si>
  <si>
    <t xml:space="preserve">Показник ефективності: </t>
  </si>
  <si>
    <t xml:space="preserve">Показник продукту: </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</si>
  <si>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</si>
  <si>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</si>
  <si>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</si>
  <si>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</si>
  <si>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</si>
  <si>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</si>
  <si>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</si>
  <si>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</si>
  <si>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</si>
  <si>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</si>
  <si>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</si>
  <si>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t>Інші джерела коштів (кредитні кошти НЕФКО)</t>
  </si>
  <si>
    <t>ПІДПРОГРАМА 3. Інші заходи та заклади у сфері охорони здоров'я</t>
  </si>
  <si>
    <t>ПІДПРОГРАМА 3.  Інші заходи та заклади у сфері охорони здоров'я</t>
  </si>
  <si>
    <t>Субвенція з державного бюджету місцевим бюджетам (спеціальний фонд)</t>
  </si>
  <si>
    <t xml:space="preserve">Розвиток лікарсько-акушерської допомоги </t>
  </si>
  <si>
    <t>Управління охорони здоров’я СМР</t>
  </si>
  <si>
    <t>Управління охорони здоров’я Сумської міської ради</t>
  </si>
  <si>
    <t>Управління охорони здоров'я Сумської міської ради</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</si>
  <si>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</si>
  <si>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</si>
  <si>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</si>
  <si>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Кошти бюджету ТГ (загальний фонд)</t>
  </si>
  <si>
    <t>КНП "Клінічна лікарня Святого Пантлеймона" СМР</t>
  </si>
  <si>
    <t>Придбання судинних протезів для проведення органозберігаючих реконструктивних операцій на артеріях у пацієнтів з критичним порушенням артеріального кровообігу кінцівок та мозкового кровообігу</t>
  </si>
  <si>
    <t>Кошти бюджету ТГ(загальний фонд)</t>
  </si>
  <si>
    <t>Кошти бюджету ТГ (спеціальний фонд)</t>
  </si>
  <si>
    <t>Забезпечення гарантованого рівня медичної допомоги населенню Сумської міської ТГ</t>
  </si>
  <si>
    <t>1.2.1. Покриття вартості комунальних послуг та енергоносіїв</t>
  </si>
  <si>
    <t>Напрями діяльності (пріоритетні завдання) та заходи комплексної Програми Cумської міської територіальної  громади "Охорона здоров'я" на 2022-2024 роки"</t>
  </si>
  <si>
    <t>Разом по заходу 4.1.3.</t>
  </si>
  <si>
    <t xml:space="preserve">Попередження розвитку ускладнень та продовження тривалості і якості життя                       </t>
  </si>
  <si>
    <t>у т. ч. по роках</t>
  </si>
  <si>
    <t xml:space="preserve">Сприяння забезпеченню пільгової категорії громадян медичними послугами згідно з чинним законодавством </t>
  </si>
  <si>
    <t>2022 (план)</t>
  </si>
  <si>
    <t>2023 (план)</t>
  </si>
  <si>
    <t>2024 (план)</t>
  </si>
  <si>
    <t xml:space="preserve">3.1.1. Забезпечення діяльності централізованої бухгалтерії  та інформаційно-аналітичного центру медичної статистики управління охорони здоров'я СМР                   </t>
  </si>
  <si>
    <t>2.1.3. Сприяння забезпеченню надання громадянам  послуг по зубопротезуванню на пільгових умовах</t>
  </si>
  <si>
    <t xml:space="preserve">Покращення показників здоров'я дітей хворих на церебральний параліч </t>
  </si>
  <si>
    <t>Покращення показників здоров'я  дітей хворих  на вроджений імунодифіцит</t>
  </si>
  <si>
    <t>Кошти бюджету СМТГ (загальний фонд)</t>
  </si>
  <si>
    <t xml:space="preserve">Кошти бюджету СМТГ (загальний фонд) </t>
  </si>
  <si>
    <t>Кошти  бюджету СМТГ (загальний фонд)</t>
  </si>
  <si>
    <t>Кошти бюджету СМТГ (спеціальний фонд)</t>
  </si>
  <si>
    <t>Забезпечення надання спеціалізованої медичної допомоги вагітним, роділлям, породіллям та новонародженим відповідно до галузевих стандартів.</t>
  </si>
  <si>
    <t>1.1.1. Покриття вартості комунальних послуг та енергоносіїв</t>
  </si>
  <si>
    <t>1.2.2. Сприяння забезпеченню надання антирабічної допомоги</t>
  </si>
  <si>
    <t xml:space="preserve">Сприяння  навчанню та підготовки нових спеціалістів </t>
  </si>
  <si>
    <t>2022 рік (план)</t>
  </si>
  <si>
    <t>2023 рік (план)</t>
  </si>
  <si>
    <t>2024рік (план)</t>
  </si>
  <si>
    <t>у тому числі по:</t>
  </si>
  <si>
    <t>з них по:</t>
  </si>
  <si>
    <t>у тому числі:</t>
  </si>
  <si>
    <t xml:space="preserve">Показник затрат: </t>
  </si>
  <si>
    <t>обсяг видатків, грн.</t>
  </si>
  <si>
    <t>кількість дітей   віком від 0-2 років з малозабезпечених  сімей, осіб</t>
  </si>
  <si>
    <t>кількість дітей, народжених від ВІЛ-інфікованих матерів, осіб</t>
  </si>
  <si>
    <t>рівень охоплення, %</t>
  </si>
  <si>
    <t xml:space="preserve">Обсяг видатків, грн. </t>
  </si>
  <si>
    <t>кількість установ, од.</t>
  </si>
  <si>
    <t>кількість лікарських відвідувань, од.</t>
  </si>
  <si>
    <t>ліфтове господарство</t>
  </si>
  <si>
    <t>протипожежні заходи</t>
  </si>
  <si>
    <t>капітальний ремонт приміщень</t>
  </si>
  <si>
    <t xml:space="preserve">водопостачання </t>
  </si>
  <si>
    <t xml:space="preserve">благоустрій території </t>
  </si>
  <si>
    <t xml:space="preserve">Результативні показники виконання завдань комплексної  Програми Cумської міської територіальної  громади "Охорона здоров'я" на 2022-2024 роки"
</t>
  </si>
  <si>
    <t>кількість штатних одиниць, од.</t>
  </si>
  <si>
    <t>кількість лікарських відвідувань,осіб</t>
  </si>
  <si>
    <t>1.1.2. Сприяння забезпеченню проведення туберкулінодіагностики (закупівля туберкуліну)</t>
  </si>
  <si>
    <t>витрати на одного пацієнта, грн</t>
  </si>
  <si>
    <t>кількість дітей  з орфанними захворюваннями, осіб</t>
  </si>
  <si>
    <t>чисельність осіб, яким проведена  санація, од.</t>
  </si>
  <si>
    <t>динамика обсягу витрат на забезпечення поккриття вартості дороговартістних медичних препаратів до попереднього року, %</t>
  </si>
  <si>
    <t>кількість установ:</t>
  </si>
  <si>
    <t>Мета програми: поліпшення фінансового забезпечення закладів охорони здоров'я  для  збереження і відновлення здоров’я населення шляхом надання медичних послуг та лікарських засобів належної якості</t>
  </si>
  <si>
    <t>1.1.2. Сприяння забезпеченню проведення туберкулінодіагностики (закупівля туберкуліну), КПКВК 0712152</t>
  </si>
  <si>
    <t xml:space="preserve"> 1.1.  Розвиток первинної медико-санітарної допомоги</t>
  </si>
  <si>
    <t>рівень забезпечення, %</t>
  </si>
  <si>
    <t>рівень забезпечення видатками, %</t>
  </si>
  <si>
    <t>динаміка забезпечення надання антирабічної допомоги порівняно до попереднього року, %</t>
  </si>
  <si>
    <t>кількість лікарських відвідувань на одну штатну посаду лікаря, осіб</t>
  </si>
  <si>
    <t>кількість осіб пільгової категорії  населення, які отримають ліки на пільгових умовах, осіб</t>
  </si>
  <si>
    <t>динамика обсягу витрат на забезпечення пільгової категорії населення лікарськими засобами за безкоштовними рецептами порвняно до попереднього року, %</t>
  </si>
  <si>
    <t>динамика обсягу витрат на забезпечення надання громадянам послуг по зубопротезуванню на пільгових умовах порвняно до попереднього року, %</t>
  </si>
  <si>
    <t>середня вартість зубопротезування на одного пацієнта, грн</t>
  </si>
  <si>
    <t>кількість осіб, які отримають послуги з зубного протезування, осіб</t>
  </si>
  <si>
    <t>кількість аналітичних довідок, письмових роз`яснень, іншої інформації працівників інформаційно-аналітичного центру медичної статистики, од.</t>
  </si>
  <si>
    <t>кількість рахунків на одного працівника централізованої бухгалтерії, од.</t>
  </si>
  <si>
    <t>кількість звітних форм на одного працівника централізованої бухгалтерії, од.</t>
  </si>
  <si>
    <t>кількість аналітичних довідок, письмових роз`яснень, іншої інформації наданих інформаційно-аналітичного центру медичної статистики, од.</t>
  </si>
  <si>
    <t xml:space="preserve">системи водопостачання </t>
  </si>
  <si>
    <t>кількість  обладнання, од.</t>
  </si>
  <si>
    <t>кількість інвестиційних проєктів,од.</t>
  </si>
  <si>
    <t xml:space="preserve"> 1.1.1. Покриття вартості комунальних послуг та енергоносіїв, КПКВК 0712111</t>
  </si>
  <si>
    <t>1.1.3.  Сприяння забезпеченню лікувальним харчуванням  дітей хворих на орфанні  рідкісні захворювання</t>
  </si>
  <si>
    <t xml:space="preserve"> 1.2.1. Покриття вартості комунальних послуг та енергоносіїв, КПКВК 0712010</t>
  </si>
  <si>
    <t xml:space="preserve">2.1.1.Сприяння забезпеченню пільгової категорії населення лікарськими засобами за безкоштовними рецептами </t>
  </si>
  <si>
    <t xml:space="preserve">2.1.1 Сприяння забезпеченню пільгової категорії населення лікарськими засобами за безкоштовними рецептами, КПКВК 0712152 </t>
  </si>
  <si>
    <t xml:space="preserve">2.1.2. Забезпечення осіб з інвалідністю, дітей з інвалідністю технічними та іншими засобами для догляду у домашніх умовах </t>
  </si>
  <si>
    <t xml:space="preserve">3.1.1 Забезпечення діяльності централізованої бухгалтерії  та інформаційно-аналітичного центру медичної статистики відділу охорони здоров'я СМР, КПКВК 0712151                   </t>
  </si>
  <si>
    <t xml:space="preserve"> 1.2. Розвиток вторинної (спеціалізованої) медичної допомоги</t>
  </si>
  <si>
    <t>кількість штатних одиниць лікарів-інтернів, од.</t>
  </si>
  <si>
    <t>в т.ч. лікарі, од.</t>
  </si>
  <si>
    <t>кількість пролікованих пацієнтів, од.</t>
  </si>
  <si>
    <t xml:space="preserve"> централізованої бухгалтерії,од.</t>
  </si>
  <si>
    <t xml:space="preserve"> інформаційно-аналітичного центру, од.</t>
  </si>
  <si>
    <t>середня вартість інвестиційного проєкту, грн.</t>
  </si>
  <si>
    <t>середні видатки на придбання одиниці обладнання ,грн.</t>
  </si>
  <si>
    <t>Забезпечення проведення якісного та своєчасного медичного освідчення  військовозобов’язаних громадян, які підлягають призову на військову службу до Збройних Сил України протягом року</t>
  </si>
  <si>
    <t xml:space="preserve">Покращення показників здоров'я   дітей хворих на ревматоїдний артрит </t>
  </si>
  <si>
    <t>Забезпечення  інформаційно-аналітичними матеріалами та стабільним фінансуванням, здійснення контролю за складанням звітності комунальних некомерційних підприємств</t>
  </si>
  <si>
    <t xml:space="preserve">Завершення проекту "Капітальний ремонт будівлі за адресою: м.Суми, вул.Троїцька,28 (стаціонар двохповерхова будівля)" та придбання сучасного медичного реабілітаційного обладнання для покращення умов перебування пацієнтів і медичних працівників у закладі охорони здоров'я та отримання якісних медичних послуг                  </t>
  </si>
  <si>
    <t>Завершення проекту "Капітальний ремонт будівлі за адресою: м.Суми, вул.Троїцька,28 (стаціонар двохповерхова будівля)" та придбання сучасного медичного реабілітаційного обладнання для покращення умов перебування пацієнтів та медичних працівників у закладі охорони здоров'я та отримання якісних медичних послуг</t>
  </si>
  <si>
    <t xml:space="preserve">Поліпшення якості життя пацієнтів відповідного контингенту та
рівня їхньої соціальної реабілітації
</t>
  </si>
  <si>
    <t>Забезпечення  сталого функціонування медичних закладів та установ та комфортних умов перебування пацієнтів та медичного персоналу</t>
  </si>
  <si>
    <r>
      <t xml:space="preserve">Всього на виконання програми </t>
    </r>
    <r>
      <rPr>
        <sz val="22"/>
        <rFont val="Times New Roman"/>
        <family val="1"/>
        <charset val="204"/>
      </rPr>
      <t>(без коштів на виконання інших цільових програм)</t>
    </r>
    <r>
      <rPr>
        <b/>
        <sz val="22"/>
        <rFont val="Times New Roman"/>
        <family val="1"/>
        <charset val="204"/>
      </rPr>
      <t>, грн</t>
    </r>
  </si>
  <si>
    <t>Всього на виконання підпрограми 1, грн</t>
  </si>
  <si>
    <t>обсяг видатків, грн</t>
  </si>
  <si>
    <t>середні витрати на 1 заклад, грн</t>
  </si>
  <si>
    <t>динамика обсягу витрат на забезпечення покриття вартості комунальних послуг та енергоносіїв порівняно до попереднього року, %</t>
  </si>
  <si>
    <t>кількість дітей, яким планується  провести туберкулінодіагностику, осіб</t>
  </si>
  <si>
    <t>динамика обсягу витрат на проведення туберкулінодіагностики (придбання туберкуліну) порівняно до попереднього року, %</t>
  </si>
  <si>
    <t>обсяг видатків, грн :</t>
  </si>
  <si>
    <t>середні витрати  на одну дитину з орфанними захворюваннями, грн</t>
  </si>
  <si>
    <t>динамика обсягу витрат на забезпечення  лікувальним харчуванням  дітей хворих на орфанні  рідкісні захворювання,   продуктами харчування дітей віком від 0-2 років з малозабезпечених сімей та дітей народжених від ВІЛ -  інфікованих матерів порівняно до попереднього року , %</t>
  </si>
  <si>
    <t>середні витрати  на одну дитину від 0-2 років з малозабезпечених  сімей, грн</t>
  </si>
  <si>
    <t>середні витрати на одну дитину народжену від ВІЛ - інфікованої матері, грн</t>
  </si>
  <si>
    <t xml:space="preserve"> середні витрати на 1 заклад , грн</t>
  </si>
  <si>
    <t>середні витрати на одну особу, грн</t>
  </si>
  <si>
    <t>витрати на утримання 1 посади лікаря - інтерна, грн</t>
  </si>
  <si>
    <t>середня вартість проведеного медичного огляду однієї особи, грн</t>
  </si>
  <si>
    <t>зниження рівня захворюваності порівнянно з попереднім роком, %</t>
  </si>
  <si>
    <t>зниження незапланованої вагітності у неповнолітніх, %</t>
  </si>
  <si>
    <t>середні витрати на 1 обстеження, грн</t>
  </si>
  <si>
    <t>рівень охоплення  медичними оглядами , %</t>
  </si>
  <si>
    <t>обсяг видатків, грн:</t>
  </si>
  <si>
    <t>кількість медичних працівників, що входять до складу комісії, осіб</t>
  </si>
  <si>
    <t>Обсяг видатків, грн:</t>
  </si>
  <si>
    <t xml:space="preserve">Обсяг видатків, грн </t>
  </si>
  <si>
    <t>середня вартість 1 лікарського відвідування (враховані видатки на комунальні послуги та енергоносії), грн</t>
  </si>
  <si>
    <t>кількість відвідувань на одну штатну посаду лікаря, осіб</t>
  </si>
  <si>
    <t>Всього на виконання підпрограми 2, грн</t>
  </si>
  <si>
    <t>придбання підгузків, грн</t>
  </si>
  <si>
    <t>придбання калоприймачів, катетерів, уропрезервативи, грн</t>
  </si>
  <si>
    <t>придбання прокладок урологічних, грн</t>
  </si>
  <si>
    <t>витрати на одну особу, які отримали підгузки, грн</t>
  </si>
  <si>
    <t>витрати на одну особу, які отримали калоприймачи, катетери, уропрезервативи, грн</t>
  </si>
  <si>
    <t>витрати на одну особу, які отримали прокладки урологічної, грн</t>
  </si>
  <si>
    <t xml:space="preserve">обсяг видатків, грн </t>
  </si>
  <si>
    <t>Всього на виконання підпрограми 3, грн</t>
  </si>
  <si>
    <t>обсяг витрат, грн</t>
  </si>
  <si>
    <t>кількість штатних одиниць, од.:</t>
  </si>
  <si>
    <t>Всього на виконання підпрограми 4, грн</t>
  </si>
  <si>
    <r>
      <t xml:space="preserve">середня вартість об'єкту, </t>
    </r>
    <r>
      <rPr>
        <i/>
        <sz val="18"/>
        <rFont val="Times New Roman"/>
        <family val="1"/>
        <charset val="204"/>
      </rPr>
      <t>за напрямами</t>
    </r>
    <r>
      <rPr>
        <sz val="18"/>
        <rFont val="Times New Roman"/>
        <family val="1"/>
        <charset val="204"/>
      </rPr>
      <t xml:space="preserve"> грн.:</t>
    </r>
  </si>
  <si>
    <r>
      <t xml:space="preserve">кількість об'єктів капітального ремонту, </t>
    </r>
    <r>
      <rPr>
        <i/>
        <sz val="18"/>
        <rFont val="Times New Roman"/>
        <family val="1"/>
        <charset val="204"/>
      </rPr>
      <t>за напрямами</t>
    </r>
    <r>
      <rPr>
        <sz val="18"/>
        <rFont val="Times New Roman"/>
        <family val="1"/>
        <charset val="204"/>
      </rPr>
      <t>, од.:</t>
    </r>
  </si>
  <si>
    <t>КНП "Клінічна лікарня № 4"СМР</t>
  </si>
  <si>
    <t>КНП "Клінічна лікарня № 5"СМР</t>
  </si>
  <si>
    <r>
      <t>КНП "Центр первинної медико-санітарної допомоги № 1" СМР</t>
    </r>
    <r>
      <rPr>
        <i/>
        <sz val="22"/>
        <rFont val="Times New Roman"/>
        <family val="1"/>
        <charset val="204"/>
      </rPr>
      <t xml:space="preserve"> </t>
    </r>
  </si>
  <si>
    <t xml:space="preserve">4.1.1. Придбання обладнання               </t>
  </si>
  <si>
    <t xml:space="preserve">Забезпечення доступності надання медичної допомоги хворим на орфанні захворювання </t>
  </si>
  <si>
    <t xml:space="preserve">Придбання колінних та кульшових протезів для надання ортопедичної допомоги хворим на артроз </t>
  </si>
  <si>
    <t>Завершення проекту "Капітальний ремонт будівель медичного закладу з утепленням стін, покрівлі, заміною покриття, заміною системи опалення за адресою м.Суми, вул. М.Вовчок ,2"</t>
  </si>
  <si>
    <t>1.2.3. Сприяння забезпеченню  первинного підвищення кваліфікації випускників вищих медичних закладів (інтернатура 3 рік навчання)</t>
  </si>
  <si>
    <t>1.2.4. Проведення обов'язкових  профілактичних оглядів  з видачею  особистих медичних книжок працівникам бюджетної сфери</t>
  </si>
  <si>
    <t>1.2.6. Сприяння організації призову громадян на військову службу</t>
  </si>
  <si>
    <t>1.2.7. Проведення ендопротезування в т.ч.:</t>
  </si>
  <si>
    <t>1.2.7.1. Ендопротезування великих суглобів</t>
  </si>
  <si>
    <t>1.2.8. Сприяння забезпеченню дороговартісними лікарськими засобами, в т.ч.:</t>
  </si>
  <si>
    <t>1.2.7.2. Ендопротезування судин</t>
  </si>
  <si>
    <t xml:space="preserve">1.2.8.1. Препарат "Диспорт" для дітей хворих на церебральний параліч </t>
  </si>
  <si>
    <t>1.2.8.2.  Препарат "Октогам" для дітей хворих  на вроджений імунодифіцит</t>
  </si>
  <si>
    <t>1.2.8.3. Препарат "Хуміра" , "Актембра","Методжект" для дітей хворих на ревматоїдний артрит</t>
  </si>
  <si>
    <t>1.3.1. Покриття вартості комунальних послуг та енергоносіїв</t>
  </si>
  <si>
    <t>1.3.2. Сприяння забезпеченню  первинного підвищення кваліфікації випускників вищих медичних закладів (інтернатура 3 рік навчання)</t>
  </si>
  <si>
    <t xml:space="preserve">1.4.1. Сприяння наданню амбулаторної стоматологічної допомоги  дорослому населенню пільгових категорій          </t>
  </si>
  <si>
    <t>Разом по заходу 1.1.1.</t>
  </si>
  <si>
    <t>Разом по заходу 1.1.2.</t>
  </si>
  <si>
    <t>Разом по заходу 1.1.3.</t>
  </si>
  <si>
    <t>Разом по заходу 1.1.4.</t>
  </si>
  <si>
    <t>Разом по заходу 1.1.5.</t>
  </si>
  <si>
    <t>Разом по заходу 1.2.1.</t>
  </si>
  <si>
    <t>Разом по заходу 1.2.7.</t>
  </si>
  <si>
    <t>Разом по заходу 1.2.6.</t>
  </si>
  <si>
    <t>Разом по заходу 1.2.8.</t>
  </si>
  <si>
    <t xml:space="preserve">Всього по напряму 1.3., у тому числі </t>
  </si>
  <si>
    <t>Всього по напряму 1.4., у тому числі</t>
  </si>
  <si>
    <t>Разом по заходу 2.1.1.</t>
  </si>
  <si>
    <t>Разом по заходу 2.1.2.</t>
  </si>
  <si>
    <t>Разом по заходу 2.1.3.</t>
  </si>
  <si>
    <t>1.1.3.; 1.1.4.; 1.1.5. Сприяння забезпеченню лікувальним харчуванням  дітей хворих на орфанні  рідкісні захворювання,   продуктами харчування дітей віком від 0-2 років з малозабезпечених сімей та дітей народжених від ВІЛ -  інфікованих матерів, КПКВК 0712152</t>
  </si>
  <si>
    <t>1.2.2. Сприяння забезпеченню надання антирабічної допомоги, КПКВК 0712010</t>
  </si>
  <si>
    <t xml:space="preserve">1.2.3.; 1.3.2.  Сприяння забезпеченню  первинного підвищення кваліфікації випускників вищих медичних закладів (інтернатура 3 рік навчання), КПКВК 0712010, КПКВК 0712030 </t>
  </si>
  <si>
    <t>1.2.4. Проведення обов'язкових  профілактичних оглядів  з видачею  особистих медичних книжок працівникам бюджетної сфери, КПКВК 0712152</t>
  </si>
  <si>
    <t>1.2.6. Сприяння організації призову громадян на військову службу, КПКВК 0712010, КПКВК 0712152</t>
  </si>
  <si>
    <t>1.2.7. Проведення ендопротезування, КПКВК 0712010</t>
  </si>
  <si>
    <t>1.3. Розвиток лікарсько-акушерської допомоги</t>
  </si>
  <si>
    <t>1.3.1. Покриття вартості комунальних послуг та енергоносіїв, КПКВК 0712030</t>
  </si>
  <si>
    <t>1.4. Збереження стоматологічного здоров'я населення</t>
  </si>
  <si>
    <t xml:space="preserve">1.4.1. Сприяння наданню амбулаторної стоматологічної допомоги  дорослому населенню пільгових категорій, КПКВК 0712100          </t>
  </si>
  <si>
    <t>1.4.2. Покриття вартості комунальних послуг та енергоносіїв, КПКВК 0712100</t>
  </si>
  <si>
    <t>2.1.2. Забезпечення осіб з інвалідністю, дітей з інвалідністю технічними та іншими засобами для догляду у домашніх умовах, КПКВК 0712152</t>
  </si>
  <si>
    <t>2.1.3. Сприяння забезпеченню надання громадянам послуг по зубопротезуванню на пільгових умовах, КПКВК 0712152</t>
  </si>
  <si>
    <t>3.1. Інші заклади</t>
  </si>
  <si>
    <t>4.1. Зміцнення та оновлення матеріально-технічної бази закладів охорони здоров'я</t>
  </si>
  <si>
    <t>4.1.1. Оновлення матеріально-технічної бази закладів охорони здоров'я, КПКВК 0712010, КПКВК 0712030, КПКВК 0712100, КПКВК 0712111, КПКВК 0712151, КПКВК 0712152, КПКВК 0717361</t>
  </si>
  <si>
    <t>кількість осіб, яким проводиться щеплення ( по медичним висновкам), осіб</t>
  </si>
  <si>
    <t>кількість працівників бюджетної сфери,  яким проводяться обов'язкові  профілактичні огляди  з видачею  особистих медичних книжок, осіб</t>
  </si>
  <si>
    <t>кількість  проведених бесід, семінарів, лекцій, од.</t>
  </si>
  <si>
    <t>кількість проведених лекцій, бесід, семінарів на 1 лікаря, од.</t>
  </si>
  <si>
    <t>кількість кандидатів на військову службу, осіб</t>
  </si>
  <si>
    <t>середні витрати на одного медичного працівника, грн</t>
  </si>
  <si>
    <t>витрати на закупівлю ендопротезів колінних і кульшових суглобів, од.</t>
  </si>
  <si>
    <t>витрати на закупівлю ендопротезів судин, од.</t>
  </si>
  <si>
    <t>кількість пацієнтів, яким проводиться ендопротезування колінних і кульшових суглобів, осіб</t>
  </si>
  <si>
    <t>кількість пацієнтів, яким проводиться ендопротезування судин, осіб</t>
  </si>
  <si>
    <t>середні витрати на одного пацієнта при  ендопротезвунні  колінних і кульшових суглобів, грн.</t>
  </si>
  <si>
    <t>середні витрати на одного пацієнта при ендопротезвунні  судин, грн.</t>
  </si>
  <si>
    <t>придбання медичного препарату "Диспорт" для дітей хворих на церебральний параліч, грн</t>
  </si>
  <si>
    <t>придбання  медичного  препарату  "Октогам" для дітей хворих  на вроджений імунодифіцит, грн</t>
  </si>
  <si>
    <t>придбання медичних препартів  "Хуміра" , "Актембра","Методжект" для дітей хворих на ревматоїдний артрит, грн</t>
  </si>
  <si>
    <t>кількість дітей, які отримають медичний препарат "Диспорт", осіб</t>
  </si>
  <si>
    <t>кількість дітей, які отримають медичний препарат "Октагам", осіб</t>
  </si>
  <si>
    <t>кількість дітей, які отримають медичний препарат "Хуміра" , "Актембра","Методжект", осіб</t>
  </si>
  <si>
    <t>Середні витрати на одну дитину хвору на церебральний параліч, грн.</t>
  </si>
  <si>
    <t>Середні витрати на одну дитину хвору на вроджений імунодифіцит, грн.</t>
  </si>
  <si>
    <t xml:space="preserve">Середні витрати на одну дитину хвору на ревматоїдний артрит та кістозний фіброз із легеневими симптомами, грн. </t>
  </si>
  <si>
    <t>кількість пролікованих пацієнтів на одного лікаря, осіб</t>
  </si>
  <si>
    <t>динамика обсягу витрат на забезпечення покриття вартості комунальних послуг та енергоносіїв порвняно до попереднього року, %</t>
  </si>
  <si>
    <t>ПІДПРОГРАМА 2. Забезпечення соціальних стандартів у сфері охорони здоров'я</t>
  </si>
  <si>
    <t>кількість осіб, які отримають підгузки, осіб</t>
  </si>
  <si>
    <t>кількість осіб, які отримають калоприймачі, катетери,уропрезервативи, осіб</t>
  </si>
  <si>
    <t>кількість осіб, які  отримають прокладок урологічних, осіб</t>
  </si>
  <si>
    <t>динамика обсягу витрат на забезпечення пільгової категорії населення  технічними та іншими засобами порівняно до попереднього року, %</t>
  </si>
  <si>
    <t>централізована бухгалтерія, од.</t>
  </si>
  <si>
    <t>інформаційно-аналітичний центр медичної статистик, од.</t>
  </si>
  <si>
    <t>кількість медичних закладів, які обслуговує централізована бухгалтерія, од.</t>
  </si>
  <si>
    <t>кількість звітних форм та інформацій працівників бухгалтерії, од.</t>
  </si>
  <si>
    <t>кількість рахунків, од.</t>
  </si>
  <si>
    <t xml:space="preserve">1.1.4. Сприяння забезпеченню продуктами харчування дітей віком від    0-2 років з малозабезпечених сімей </t>
  </si>
  <si>
    <t>1.1.5. Сприяння забезпеченню спеціальним харчуванням дітей народжених від ВІЛ-  інфікованих матерів</t>
  </si>
  <si>
    <t xml:space="preserve"> Програма Сумської міської  територіальної громади «Cоціальна підтримка захисників України та членів їх сімей» на 2022-2024 роки»</t>
  </si>
  <si>
    <t>Забезпечення  стоматологічними послугами учасників антитерористичної операції та членів сімей загиблих (померлих) учасників антитерористичної операції</t>
  </si>
  <si>
    <t>1.2.8. Сприяння забезпеченню дитячого населення дороговартісними медичними препаратами, КПКВК 0712010</t>
  </si>
  <si>
    <t>продукти дитячого харчування дітям, народженим від ВІЛ-інфікованих матерів, грн</t>
  </si>
  <si>
    <t>продукти дитячого харчування дітям перших двох років життя з малозабезпечених сімей, грн</t>
  </si>
  <si>
    <t>лікувальне харчування для  дітей  з орфанними захворюваннями, грн</t>
  </si>
  <si>
    <t>Олександр ЛИСЕНКО</t>
  </si>
  <si>
    <t>0712070</t>
  </si>
  <si>
    <t>КНП СОР "Сумський обласний центр екстренної медичної допомоги та медицини катастроф"</t>
  </si>
  <si>
    <t>Зміни до програми, тис.грн.</t>
  </si>
  <si>
    <t>Обгрунтування</t>
  </si>
  <si>
    <t>Разом по програмі</t>
  </si>
  <si>
    <t>О.М.Лисенко</t>
  </si>
  <si>
    <t>Обсяг коштів, передбачений діючою програмою (рішення СМР від 26.01.22 № 2713-МР)</t>
  </si>
  <si>
    <t>1.2.9. Сприяння наданню вторинної допомоги</t>
  </si>
  <si>
    <t>Капітальний ремонт будівель медичного закладу з утепленням стін, покрівлі, заміною покриття, заміною системи опалення за адресою м. Суми, вул. М. Вовчок, 2</t>
  </si>
  <si>
    <t>Обсяг видатків направлених на проведення ремонтних  робіт інженерних мереж , грн:</t>
  </si>
  <si>
    <t>«Субвенція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 бюджету, що утворився на початок бюджетного
періоду»</t>
  </si>
  <si>
    <t>Разом по заходу 4.1.4.</t>
  </si>
  <si>
    <t>Закупівля опорними закладами охорони здоров'я послуг щодо проектування та встановлення кисневих станцій</t>
  </si>
  <si>
    <t>4.1.2. Проведення капітальних ремонтів,КПКВК 0712010, КПКВК 0712151, КПКВК 0712030, КПКВК 0712100, КПКВК 0712111</t>
  </si>
  <si>
    <t>4.1.3. Участь у інвестиційних проєктах, що реалізуються за рахунок коштів державного фонду регіонального розвитку, КПКВК    0717361</t>
  </si>
  <si>
    <t>УСЬОГО по підпрограмі 4.  Приведення закладів охорони здоров'я у відповідність до сучасних потреб</t>
  </si>
  <si>
    <t>Порівняльна таблиця до комплексної  Програми Cумської міської територіальної  громади "Охорона здоров'я" на 2022-2024 роки (зі змінами)</t>
  </si>
  <si>
    <t>обсяг видатків направлених на закупівлю послуг щодо встановлення кисневих станцій,грн.</t>
  </si>
  <si>
    <t>кількість кисневих станцій для встановлення, од.:</t>
  </si>
  <si>
    <t>середні витрати для закупівлі послуг на встановлення кисневих станцій, грн.:</t>
  </si>
  <si>
    <t>питома вага використаних коштів щодо затверджених видатків,%</t>
  </si>
  <si>
    <t>4.1.5. Проведення капітальних ремонтів об'єктів тимчасових укриттів</t>
  </si>
  <si>
    <t>Разом по заходу 4.1.5.</t>
  </si>
  <si>
    <t>2.1.4. Сприяння забезпеченню слуховими апаратами та мовними процесорами дорослого населення з інвалідністю</t>
  </si>
  <si>
    <t>1.2.10. Забезпечення ортепедичними металоконструкціями для лікування військовослужбовців ЗСУ</t>
  </si>
  <si>
    <t>Разом по заходу 1.2.10.</t>
  </si>
  <si>
    <t>Забезпечення військовослужбовців ортопедичними металоконструкціями.</t>
  </si>
  <si>
    <t xml:space="preserve">Потреба для встановлення кисневих станцій </t>
  </si>
  <si>
    <t>Приведення у належний стан готовності об'єктів тимчасових укриттів в період воєнного часу</t>
  </si>
  <si>
    <t>кількість осіб, яким планується встановлення ортопедичних металоконструкцій</t>
  </si>
  <si>
    <t>середні видатки на одну особу, грн.</t>
  </si>
  <si>
    <t>кількість осіб, яким встановлені/будуть встановлені до кінця року мовні процесори</t>
  </si>
  <si>
    <t>середні видатки на одну особу,щодо встановлення мовного процесора</t>
  </si>
  <si>
    <t>середні видатки на одну особу,щодо встановлення слухового апарату</t>
  </si>
  <si>
    <t>питома вага використаних коштів до затверджених по слуховим апаратам, %</t>
  </si>
  <si>
    <t>кількість установ</t>
  </si>
  <si>
    <t>обсяг витрат для проведення капітальних ремонтів тимчасових укриттів,грн.</t>
  </si>
  <si>
    <t>середні витрати для проведення ремонтів об'єктів тимчасових укриттів,грн.</t>
  </si>
  <si>
    <t>обсяг видатків на придбання довгострокового обладнаня, грн</t>
  </si>
  <si>
    <r>
      <t xml:space="preserve">обсяг видатків на проведення капітальних ремонтів, </t>
    </r>
    <r>
      <rPr>
        <i/>
        <sz val="18"/>
        <rFont val="Times New Roman"/>
        <family val="1"/>
        <charset val="204"/>
      </rPr>
      <t>за напрямами</t>
    </r>
    <r>
      <rPr>
        <sz val="18"/>
        <rFont val="Times New Roman"/>
        <family val="1"/>
        <charset val="204"/>
      </rPr>
      <t>, грн:</t>
    </r>
  </si>
  <si>
    <t xml:space="preserve"> обсяг видатків на участь у інвестиційних проєктах, що реалізуються за рахунок коштів ДФРР, грн</t>
  </si>
  <si>
    <t xml:space="preserve">Сприяння забезпеченню компенсації функцій ушкоджених органів, з метою медичної та соціальної реабілітації осіб з інвалідністю з вираженими вадами слуху. Забезпечення дорослого населення з інвалідністю мовними процесорами </t>
  </si>
  <si>
    <t>4.1.4. Закупівля послуг щодо проектування та встановлення кисневих станцій, КПКВК 0712010</t>
  </si>
  <si>
    <t>4.1.4. Закупівля послуг щодо проектування та встановлення кисневих станцій.</t>
  </si>
  <si>
    <t xml:space="preserve">до рішення Сумської міської ради "Про внесення змін до рішення Сумської міської ради від 26 січня 2022 року № 2713-МР "Про затвердження комплексної Програми Cумської міської територіальної громади «Охорона здоров'я» на 2022-2024 роки (зі змінами)""                                                                                                        </t>
  </si>
  <si>
    <t>2.1.4. Сприяння забезпеченню слуховими апаратами та мовними процесорами дорослого населення з інвалідністю, КПКВК 0712010</t>
  </si>
  <si>
    <t>Забезпечення послуг з комп'ютерної томографії призовників,які призиваються до  лав зброїних сил України</t>
  </si>
  <si>
    <t>1.2.11. Забезпечення безпребійного функціонування інфекційного відділення №3 КНП "Дитяча клінічна лікарня Святої Зінаїди" СМР</t>
  </si>
  <si>
    <t>Забезпечення заробітною платою з нарахуваннями штатної чисельності інфекційного боксованого відділення №3 КНП "Дитяча клінічна лікарня Святої Зінаїди"СМР та медикаментами і виробами медичного призначення.</t>
  </si>
  <si>
    <t>кількість штатних посад,од.</t>
  </si>
  <si>
    <t>кількість пролікованих хворих, од.</t>
  </si>
  <si>
    <t>кількість лікарських відвідувань на одну лікарську посаду</t>
  </si>
  <si>
    <t>відсоток осіб, що отримали лікування потребуючих, %</t>
  </si>
  <si>
    <t>у т.ч.</t>
  </si>
  <si>
    <t>лікарів</t>
  </si>
  <si>
    <t>жінки</t>
  </si>
  <si>
    <t>чоловіки</t>
  </si>
  <si>
    <t>Поточний ремонт 200тис.грн., придбання предметів,матеріалів, облад. та інвентар 50тис.грн.</t>
  </si>
  <si>
    <t>1.2.9. Сприяння наданню вторинної допомоги, КПКВК 0712010</t>
  </si>
  <si>
    <t>1.2.10. Забезпечення ортепедичними металоконструкціями для лікування військовослужбовців ЗСУ, КПКВК 0712010</t>
  </si>
  <si>
    <t>1.2.11.  Забезпечення безпребійного функціонування інфекційного відділення №3 КНП "Дитяча клінічна лікарня Святої Зінаїди" СМР, КПКВК 0712010</t>
  </si>
  <si>
    <t>ремонт водолікувального комплексу</t>
  </si>
  <si>
    <t>4.1.5. Проведення капітальних ремонтів об'єктів тимчасових укриттів, КПКВК 0712010, КПКВК 0712151, КПКВК 0712030, КПКВК 0712100, КПКВК 0712111</t>
  </si>
  <si>
    <t>кількість осіб,яким планується проведення комп'ютерної томографії зубів,осіб</t>
  </si>
  <si>
    <t>Програма підвищення енергоефективності в бюджетній сфері Сумської міської  територіальної громади на 2022-2024 роки</t>
  </si>
  <si>
    <t>Забезпечення  сталого функціонування медичних закладів та установ та комфортних умов перебування пацієнтів та медичного персоналу (поточні ремонти, придбання предметів, матеріалів, обладнаня та інвентар,  тощо.)</t>
  </si>
  <si>
    <t>1.2.5. Забезпечення функціонування відділення медико-соціальної допомоги дітям та молоді "Клініка, дружня до молоді" та утримання лікарів логопедів</t>
  </si>
  <si>
    <t>Сприяння забезпеченню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Утримання лікарів логопедів.</t>
  </si>
  <si>
    <t>забезпечення послугами з комп'ютерної томографії призовників,які призиваються до  лав зброїних сил України, грн</t>
  </si>
  <si>
    <t>організація призову громадян на військову службу, грн</t>
  </si>
  <si>
    <t>в т.ч. :</t>
  </si>
  <si>
    <t>3.1.2. Придбання обладнання</t>
  </si>
  <si>
    <t xml:space="preserve">3.1.2. Придбання обладнання, КПКВК 0712152  </t>
  </si>
  <si>
    <t>кількість обладнання, од.</t>
  </si>
  <si>
    <t>Придбання симуляторів "поранених"</t>
  </si>
  <si>
    <t>1.2.5. Забезпеченню функціонування відділення медико-соціальної допомоги дітям та молоді "Клініка, дружня до молоді" та утримання лікарів логопедів, КПКВК 0712010</t>
  </si>
  <si>
    <t xml:space="preserve">4.1.1. Придбання обладнання    </t>
  </si>
  <si>
    <t>Інша субвенція з бюджету Миколаївської селищної ТГ</t>
  </si>
  <si>
    <t>Разом по заходу 1.2.9.</t>
  </si>
  <si>
    <t>Забезпечення надання якісної вторинної спеціалізованої медичної допомоги мешканцям громади.</t>
  </si>
  <si>
    <t>до рішення Сумської міської ради "Про внесення змін до рішення Сумської міської ради від 26 січня 2022 року        № 2713 - МР "Про затвердження комплексної Програми Cумської міської  територіальної громади «Охорона здоров'я» на 2022-2024 роки" (зі змінами)"</t>
  </si>
  <si>
    <t>3.1.3. Сприяння закладам охорони здоров'я за рахунок надходження благодійної допомоги</t>
  </si>
  <si>
    <t>Інші надходження (спеціальний фонд)</t>
  </si>
  <si>
    <t>Отримання благодійної допомоги у вигляді натуральної форми.</t>
  </si>
  <si>
    <t xml:space="preserve">3.1.3. Сприяння закладам охорони здоров'я за рахунок надходження благодійної допомоги, КПКВК 0712152  </t>
  </si>
  <si>
    <t>виготовлення ПКД</t>
  </si>
  <si>
    <t>ПКД</t>
  </si>
  <si>
    <t>1512010</t>
  </si>
  <si>
    <t>Управління капітального будівництва Сумської міської ради</t>
  </si>
  <si>
    <r>
      <t xml:space="preserve">Обсяг коштів програми, передбачений проектом рішення, тис.грн. </t>
    </r>
    <r>
      <rPr>
        <b/>
        <sz val="16"/>
        <rFont val="Times New Roman"/>
        <family val="1"/>
        <charset val="204"/>
      </rPr>
      <t>2023 рік</t>
    </r>
  </si>
  <si>
    <t xml:space="preserve">обсяг надходжень в натуральній формі, грн </t>
  </si>
  <si>
    <t xml:space="preserve">від                     № </t>
  </si>
  <si>
    <t xml:space="preserve">від                                № </t>
  </si>
  <si>
    <t>Перерозподіл видатків. Придбання аналізатора бактеріологічного для КНП "Дитяча клінічна лікарня Святої Зінаїди" СМР - 3500,0 тис.грн, за рахунок зменшення видатків по управлінню охорони здоров'я СМР  - (-3500,0тис.грн).</t>
  </si>
  <si>
    <t xml:space="preserve">Додаток 2   </t>
  </si>
  <si>
    <t>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створення комфортних умов перебування у закладах охорони здоров'я.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</si>
</sst>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36" x14ac:knownFonts="1">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i/>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sz val="36"/>
      <name val="Times New Roman"/>
      <family val="1"/>
      <charset val="204"/>
    </font>
    <font>
      <sz val="48"/>
      <name val="Times New Roman"/>
      <family val="1"/>
      <charset val="204"/>
    </font>
    <font>
      <i/>
      <sz val="18"/>
      <name val="Times New Roman"/>
      <family val="1"/>
      <charset val="204"/>
    </font>
    <font>
      <sz val="10"/>
      <name val="Arial Cyr"/>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5" fillId="0" borderId="0"/>
    <xf numFmtId="0" fontId="34" fillId="0" borderId="0"/>
  </cellStyleXfs>
  <cellXfs count="51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3" fontId="3" fillId="2" borderId="0" xfId="0" applyNumberFormat="1" applyFont="1" applyFill="1"/>
    <xf numFmtId="0" fontId="3" fillId="2" borderId="1" xfId="0" applyFont="1" applyFill="1" applyBorder="1" applyAlignment="1">
      <alignment horizontal="center"/>
    </xf>
    <xf numFmtId="164" fontId="3" fillId="2" borderId="0" xfId="0" applyNumberFormat="1" applyFont="1" applyFill="1"/>
    <xf numFmtId="166" fontId="1" fillId="2" borderId="1" xfId="0" applyNumberFormat="1" applyFont="1" applyFill="1" applyBorder="1" applyAlignment="1">
      <alignment horizontal="center"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166" fontId="3" fillId="2" borderId="0" xfId="0" applyNumberFormat="1" applyFont="1" applyFill="1" applyAlignment="1">
      <alignment wrapText="1"/>
    </xf>
    <xf numFmtId="166" fontId="3" fillId="2" borderId="0" xfId="0" applyNumberFormat="1" applyFont="1" applyFill="1"/>
    <xf numFmtId="0" fontId="35" fillId="2" borderId="1" xfId="0" applyFont="1" applyFill="1" applyBorder="1" applyAlignment="1">
      <alignment vertical="top" wrapText="1"/>
    </xf>
    <xf numFmtId="0" fontId="3" fillId="2" borderId="1" xfId="0" applyFont="1" applyFill="1" applyBorder="1" applyAlignment="1">
      <alignment horizontal="center" vertical="center" wrapText="1"/>
    </xf>
    <xf numFmtId="166" fontId="3" fillId="2" borderId="9" xfId="0" applyNumberFormat="1" applyFont="1" applyFill="1" applyBorder="1" applyAlignment="1">
      <alignment horizontal="center" vertical="top"/>
    </xf>
    <xf numFmtId="0" fontId="3" fillId="2" borderId="6" xfId="0" applyFont="1" applyFill="1" applyBorder="1" applyAlignment="1">
      <alignment horizontal="center" vertical="top" wrapText="1"/>
    </xf>
    <xf numFmtId="166" fontId="3" fillId="2" borderId="1" xfId="0" applyNumberFormat="1" applyFont="1" applyFill="1" applyBorder="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9" fillId="2" borderId="13" xfId="0"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xf numFmtId="0" fontId="22" fillId="0" borderId="0" xfId="0" applyFont="1" applyFill="1" applyAlignment="1">
      <alignment vertical="top"/>
    </xf>
    <xf numFmtId="0" fontId="13" fillId="0" borderId="0" xfId="0" applyFont="1" applyFill="1" applyAlignment="1">
      <alignment horizontal="center" vertical="center"/>
    </xf>
    <xf numFmtId="0" fontId="22" fillId="0" borderId="0" xfId="0" applyFont="1" applyFill="1" applyAlignment="1">
      <alignment horizontal="center" vertical="center"/>
    </xf>
    <xf numFmtId="0" fontId="13" fillId="0" borderId="0" xfId="0" applyFont="1" applyFill="1" applyAlignment="1">
      <alignment horizontal="center"/>
    </xf>
    <xf numFmtId="0" fontId="13" fillId="0" borderId="0" xfId="3" applyFont="1" applyFill="1" applyAlignment="1">
      <alignment horizontal="center" wrapText="1"/>
    </xf>
    <xf numFmtId="0" fontId="22" fillId="0" borderId="0" xfId="3" applyFont="1" applyFill="1" applyAlignment="1">
      <alignment horizontal="center" wrapText="1"/>
    </xf>
    <xf numFmtId="0" fontId="22" fillId="0" borderId="0" xfId="0" applyFont="1" applyFill="1" applyAlignment="1">
      <alignment horizontal="left" wrapText="1"/>
    </xf>
    <xf numFmtId="0" fontId="13" fillId="0" borderId="0" xfId="0" applyFont="1" applyFill="1" applyAlignment="1">
      <alignment horizontal="center" wrapText="1"/>
    </xf>
    <xf numFmtId="0" fontId="22" fillId="0" borderId="0" xfId="0" applyFont="1" applyFill="1" applyAlignment="1">
      <alignment horizontal="center" wrapText="1"/>
    </xf>
    <xf numFmtId="0" fontId="22" fillId="0" borderId="0" xfId="0" applyFont="1" applyFill="1" applyAlignment="1">
      <alignment horizontal="justify" wrapText="1"/>
    </xf>
    <xf numFmtId="0" fontId="28" fillId="0" borderId="0" xfId="0" applyFont="1" applyFill="1" applyAlignment="1">
      <alignment horizontal="center"/>
    </xf>
    <xf numFmtId="0" fontId="29" fillId="0" borderId="0" xfId="0" applyFont="1" applyFill="1"/>
    <xf numFmtId="0" fontId="27" fillId="0" borderId="0" xfId="0" applyFont="1" applyFill="1" applyAlignment="1">
      <alignment vertical="top"/>
    </xf>
    <xf numFmtId="0" fontId="30" fillId="0" borderId="0" xfId="0" applyFont="1" applyFill="1" applyAlignment="1">
      <alignment horizontal="center" vertical="center"/>
    </xf>
    <xf numFmtId="0" fontId="27" fillId="0" borderId="0" xfId="0" applyFont="1" applyFill="1" applyAlignment="1">
      <alignment horizontal="center" vertical="center"/>
    </xf>
    <xf numFmtId="0" fontId="30" fillId="0" borderId="0" xfId="0" applyFont="1" applyFill="1" applyAlignment="1">
      <alignment horizontal="center"/>
    </xf>
    <xf numFmtId="0" fontId="30" fillId="0" borderId="0" xfId="0" applyFont="1" applyFill="1" applyAlignment="1">
      <alignment horizontal="center" wrapText="1"/>
    </xf>
    <xf numFmtId="0" fontId="27" fillId="0" borderId="0" xfId="0" applyFont="1" applyFill="1" applyAlignment="1">
      <alignment horizontal="center" wrapText="1"/>
    </xf>
    <xf numFmtId="0" fontId="1" fillId="0" borderId="0" xfId="0" applyFont="1" applyFill="1" applyAlignment="1">
      <alignment horizontal="center"/>
    </xf>
    <xf numFmtId="0" fontId="17" fillId="0" borderId="0" xfId="0" applyFont="1" applyFill="1" applyAlignment="1">
      <alignment vertical="top" wrapText="1"/>
    </xf>
    <xf numFmtId="165" fontId="22" fillId="0" borderId="0" xfId="0" applyNumberFormat="1" applyFont="1" applyFill="1" applyAlignment="1">
      <alignment horizontal="center" wrapText="1"/>
    </xf>
    <xf numFmtId="0" fontId="19" fillId="0" borderId="1" xfId="0" applyFont="1" applyFill="1" applyBorder="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66" fontId="19" fillId="0" borderId="1" xfId="0" applyNumberFormat="1" applyFont="1" applyFill="1" applyBorder="1" applyAlignment="1">
      <alignment horizontal="center" vertical="top" wrapText="1"/>
    </xf>
    <xf numFmtId="0" fontId="9" fillId="0" borderId="0" xfId="0" applyFont="1" applyFill="1"/>
    <xf numFmtId="49" fontId="13" fillId="0" borderId="1" xfId="0" applyNumberFormat="1" applyFont="1" applyFill="1" applyBorder="1" applyAlignment="1">
      <alignment vertical="center" wrapText="1"/>
    </xf>
    <xf numFmtId="0" fontId="22" fillId="0" borderId="1" xfId="0" applyFont="1" applyFill="1" applyBorder="1" applyAlignment="1">
      <alignment horizontal="left" vertical="top" wrapText="1"/>
    </xf>
    <xf numFmtId="166" fontId="22" fillId="0" borderId="1" xfId="0" applyNumberFormat="1" applyFont="1" applyFill="1" applyBorder="1" applyAlignment="1">
      <alignment horizontal="center" vertical="top" wrapText="1"/>
    </xf>
    <xf numFmtId="166" fontId="19"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166" fontId="19" fillId="0" borderId="3" xfId="0" applyNumberFormat="1" applyFont="1" applyFill="1" applyBorder="1" applyAlignment="1">
      <alignment horizontal="center" vertical="top" wrapText="1"/>
    </xf>
    <xf numFmtId="166" fontId="22" fillId="0" borderId="3" xfId="0" applyNumberFormat="1" applyFont="1" applyFill="1" applyBorder="1" applyAlignment="1">
      <alignment horizontal="center" vertical="top" wrapText="1"/>
    </xf>
    <xf numFmtId="0" fontId="22" fillId="0" borderId="6" xfId="0" applyFont="1" applyFill="1" applyBorder="1" applyAlignment="1">
      <alignment horizontal="left" vertical="center" wrapText="1"/>
    </xf>
    <xf numFmtId="0" fontId="14" fillId="0" borderId="5" xfId="0" applyFont="1" applyFill="1" applyBorder="1" applyAlignment="1">
      <alignment vertical="top"/>
    </xf>
    <xf numFmtId="0" fontId="14" fillId="0" borderId="10" xfId="0" applyFont="1" applyFill="1" applyBorder="1" applyAlignment="1">
      <alignment vertical="top"/>
    </xf>
    <xf numFmtId="0" fontId="1" fillId="0" borderId="0" xfId="0" applyFont="1" applyFill="1" applyAlignment="1">
      <alignment horizontal="center" vertical="center"/>
    </xf>
    <xf numFmtId="0" fontId="22" fillId="0" borderId="2" xfId="0"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center" vertical="top" wrapText="1"/>
    </xf>
    <xf numFmtId="0" fontId="22" fillId="0" borderId="1" xfId="0" applyFont="1" applyFill="1" applyBorder="1" applyAlignment="1">
      <alignment vertical="top" wrapText="1"/>
    </xf>
    <xf numFmtId="49" fontId="22" fillId="0" borderId="2" xfId="0" applyNumberFormat="1" applyFont="1" applyFill="1" applyBorder="1" applyAlignment="1">
      <alignment vertical="top" wrapText="1"/>
    </xf>
    <xf numFmtId="0" fontId="22" fillId="0" borderId="2" xfId="0" applyFont="1" applyFill="1" applyBorder="1" applyAlignment="1">
      <alignment vertical="top" wrapText="1"/>
    </xf>
    <xf numFmtId="166" fontId="22" fillId="0" borderId="1" xfId="0" applyNumberFormat="1" applyFont="1" applyFill="1" applyBorder="1" applyAlignment="1">
      <alignment horizontal="center" vertical="top"/>
    </xf>
    <xf numFmtId="0" fontId="22" fillId="0" borderId="2" xfId="3" applyFont="1" applyFill="1" applyBorder="1" applyAlignment="1">
      <alignment vertical="top" wrapText="1"/>
    </xf>
    <xf numFmtId="0" fontId="22" fillId="0" borderId="1" xfId="3" applyFont="1" applyFill="1" applyBorder="1" applyAlignment="1">
      <alignment vertical="top" wrapText="1"/>
    </xf>
    <xf numFmtId="0" fontId="22" fillId="0" borderId="9" xfId="3" applyFont="1" applyFill="1" applyBorder="1" applyAlignment="1">
      <alignment horizontal="left" vertical="top" wrapText="1"/>
    </xf>
    <xf numFmtId="0" fontId="22" fillId="0" borderId="1" xfId="3" applyFont="1" applyFill="1" applyBorder="1" applyAlignment="1">
      <alignment horizontal="left" vertical="top" wrapText="1"/>
    </xf>
    <xf numFmtId="0" fontId="13" fillId="0" borderId="6" xfId="0" applyFont="1" applyFill="1" applyBorder="1" applyAlignment="1">
      <alignment vertical="top" wrapText="1"/>
    </xf>
    <xf numFmtId="0" fontId="13" fillId="0" borderId="12" xfId="0" applyFont="1" applyFill="1" applyBorder="1" applyAlignment="1">
      <alignment vertical="top" wrapText="1"/>
    </xf>
    <xf numFmtId="166" fontId="19" fillId="0" borderId="9" xfId="0" applyNumberFormat="1" applyFont="1" applyFill="1" applyBorder="1" applyAlignment="1">
      <alignment horizontal="center" vertical="top" wrapText="1"/>
    </xf>
    <xf numFmtId="166" fontId="22" fillId="0" borderId="9" xfId="0" applyNumberFormat="1" applyFont="1" applyFill="1" applyBorder="1" applyAlignment="1">
      <alignment horizontal="center" vertical="top" wrapText="1"/>
    </xf>
    <xf numFmtId="0" fontId="22" fillId="0" borderId="6" xfId="3" applyFont="1" applyFill="1" applyBorder="1" applyAlignment="1">
      <alignment vertical="top" wrapText="1"/>
    </xf>
    <xf numFmtId="0" fontId="13" fillId="0" borderId="9" xfId="0" applyFont="1" applyFill="1" applyBorder="1" applyAlignment="1">
      <alignment vertical="top" wrapText="1"/>
    </xf>
    <xf numFmtId="0" fontId="13" fillId="0" borderId="9" xfId="0" applyFont="1" applyFill="1" applyBorder="1" applyAlignment="1">
      <alignment horizontal="center" vertical="top" wrapText="1"/>
    </xf>
    <xf numFmtId="0" fontId="22" fillId="0" borderId="12" xfId="3" applyFont="1" applyFill="1" applyBorder="1" applyAlignment="1">
      <alignment horizontal="left" vertical="top" wrapText="1"/>
    </xf>
    <xf numFmtId="166" fontId="13"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4" fillId="0" borderId="12" xfId="0" applyFont="1" applyFill="1" applyBorder="1" applyAlignment="1">
      <alignment vertical="top"/>
    </xf>
    <xf numFmtId="0" fontId="22" fillId="0" borderId="12" xfId="0" applyFont="1" applyFill="1" applyBorder="1" applyAlignment="1">
      <alignment vertical="top" wrapText="1"/>
    </xf>
    <xf numFmtId="49" fontId="13" fillId="0" borderId="12" xfId="0" applyNumberFormat="1" applyFont="1" applyFill="1" applyBorder="1" applyAlignment="1">
      <alignment horizontal="left" vertical="top" wrapText="1"/>
    </xf>
    <xf numFmtId="0" fontId="22" fillId="0" borderId="6" xfId="0" applyFont="1" applyFill="1" applyBorder="1" applyAlignment="1">
      <alignment horizontal="left" vertical="top" wrapText="1"/>
    </xf>
    <xf numFmtId="0" fontId="17" fillId="0" borderId="6" xfId="0" applyFont="1" applyFill="1" applyBorder="1" applyAlignment="1">
      <alignment vertical="top" wrapText="1"/>
    </xf>
    <xf numFmtId="16" fontId="14" fillId="0" borderId="12" xfId="0" applyNumberFormat="1" applyFont="1" applyFill="1" applyBorder="1" applyAlignment="1">
      <alignment vertical="top"/>
    </xf>
    <xf numFmtId="49" fontId="13" fillId="0" borderId="6" xfId="0" applyNumberFormat="1" applyFont="1" applyFill="1" applyBorder="1" applyAlignment="1">
      <alignment vertical="top" wrapText="1"/>
    </xf>
    <xf numFmtId="0" fontId="22" fillId="0" borderId="6" xfId="0" applyFont="1" applyFill="1" applyBorder="1" applyAlignment="1">
      <alignment vertical="top" wrapText="1"/>
    </xf>
    <xf numFmtId="0" fontId="14" fillId="0" borderId="6" xfId="0" applyFont="1" applyFill="1" applyBorder="1" applyAlignment="1">
      <alignment vertical="top"/>
    </xf>
    <xf numFmtId="49" fontId="13" fillId="0" borderId="6" xfId="0" applyNumberFormat="1" applyFont="1" applyFill="1" applyBorder="1" applyAlignment="1">
      <alignment horizontal="left" vertical="top" wrapText="1"/>
    </xf>
    <xf numFmtId="0" fontId="14" fillId="0" borderId="9" xfId="0" applyFont="1" applyFill="1" applyBorder="1" applyAlignment="1">
      <alignment vertical="top"/>
    </xf>
    <xf numFmtId="0" fontId="16"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top" wrapText="1"/>
    </xf>
    <xf numFmtId="49" fontId="13" fillId="0" borderId="1" xfId="0" applyNumberFormat="1" applyFont="1" applyFill="1" applyBorder="1" applyAlignment="1">
      <alignment vertical="top" wrapText="1"/>
    </xf>
    <xf numFmtId="0" fontId="13" fillId="0" borderId="6" xfId="3" applyFont="1" applyFill="1" applyBorder="1" applyAlignment="1">
      <alignment horizontal="center" vertical="top" wrapText="1"/>
    </xf>
    <xf numFmtId="0" fontId="13" fillId="0" borderId="6"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66" fontId="10" fillId="0" borderId="0" xfId="0" applyNumberFormat="1" applyFont="1" applyFill="1" applyBorder="1" applyAlignment="1">
      <alignment horizontal="center" vertical="center" wrapText="1"/>
    </xf>
    <xf numFmtId="0" fontId="22" fillId="0" borderId="1" xfId="0" applyNumberFormat="1" applyFont="1" applyFill="1" applyBorder="1" applyAlignment="1">
      <alignment horizontal="left" vertical="top" wrapText="1"/>
    </xf>
    <xf numFmtId="0" fontId="22" fillId="0" borderId="8" xfId="0" applyFont="1" applyFill="1" applyBorder="1" applyAlignment="1">
      <alignment horizontal="left" vertical="top" wrapText="1"/>
    </xf>
    <xf numFmtId="166" fontId="13" fillId="0" borderId="6"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13" fillId="0" borderId="2" xfId="0" applyNumberFormat="1" applyFont="1" applyFill="1" applyBorder="1" applyAlignment="1">
      <alignment horizontal="left" vertical="top" wrapText="1"/>
    </xf>
    <xf numFmtId="49" fontId="13" fillId="0" borderId="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13" fillId="0" borderId="1" xfId="0" applyNumberFormat="1" applyFont="1" applyFill="1" applyBorder="1" applyAlignment="1">
      <alignment horizontal="center" vertical="top" wrapText="1"/>
    </xf>
    <xf numFmtId="166" fontId="19" fillId="0" borderId="6" xfId="0" applyNumberFormat="1" applyFont="1" applyFill="1" applyBorder="1" applyAlignment="1">
      <alignment horizontal="center" vertical="top" wrapText="1"/>
    </xf>
    <xf numFmtId="166" fontId="22" fillId="0" borderId="12" xfId="0" applyNumberFormat="1" applyFont="1" applyFill="1" applyBorder="1" applyAlignment="1">
      <alignment horizontal="center" vertical="top" wrapText="1"/>
    </xf>
    <xf numFmtId="166" fontId="22" fillId="0" borderId="6" xfId="0" applyNumberFormat="1" applyFont="1" applyFill="1" applyBorder="1" applyAlignment="1">
      <alignment horizontal="center" vertical="top" wrapText="1"/>
    </xf>
    <xf numFmtId="4" fontId="22" fillId="0" borderId="1" xfId="0" applyNumberFormat="1" applyFont="1" applyFill="1" applyBorder="1" applyAlignment="1">
      <alignment horizontal="center" vertical="top" wrapText="1"/>
    </xf>
    <xf numFmtId="0" fontId="22" fillId="0" borderId="9" xfId="0" applyFont="1" applyFill="1" applyBorder="1" applyAlignment="1">
      <alignment horizontal="left" vertical="top" wrapText="1"/>
    </xf>
    <xf numFmtId="4" fontId="19" fillId="0" borderId="1"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8" xfId="0" applyFont="1" applyFill="1" applyBorder="1" applyAlignment="1">
      <alignment horizontal="left" vertical="top" wrapText="1"/>
    </xf>
    <xf numFmtId="0" fontId="10" fillId="0" borderId="6" xfId="0" applyFont="1" applyFill="1" applyBorder="1" applyAlignment="1">
      <alignment horizontal="center" vertical="top" wrapText="1"/>
    </xf>
    <xf numFmtId="0" fontId="17" fillId="0" borderId="6" xfId="0" applyFont="1" applyFill="1" applyBorder="1" applyAlignment="1">
      <alignment horizontal="center" vertical="top" wrapText="1"/>
    </xf>
    <xf numFmtId="166" fontId="17" fillId="0" borderId="0" xfId="0" applyNumberFormat="1" applyFont="1" applyFill="1"/>
    <xf numFmtId="166" fontId="10" fillId="0" borderId="1" xfId="0" applyNumberFormat="1" applyFont="1" applyFill="1" applyBorder="1" applyAlignment="1">
      <alignment horizontal="center" vertical="top" wrapText="1"/>
    </xf>
    <xf numFmtId="0" fontId="17" fillId="0" borderId="12" xfId="0" applyFont="1" applyFill="1" applyBorder="1" applyAlignment="1">
      <alignment horizontal="center" vertical="top" wrapText="1"/>
    </xf>
    <xf numFmtId="166" fontId="17" fillId="0" borderId="6" xfId="0" applyNumberFormat="1" applyFont="1" applyFill="1" applyBorder="1" applyAlignment="1">
      <alignment horizontal="center" vertical="top" wrapText="1"/>
    </xf>
    <xf numFmtId="166" fontId="17" fillId="0" borderId="12"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0" fontId="17" fillId="0" borderId="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9" fillId="0" borderId="9" xfId="0" applyFont="1" applyFill="1" applyBorder="1" applyAlignment="1">
      <alignment horizontal="left" vertical="top" wrapText="1"/>
    </xf>
    <xf numFmtId="0" fontId="19"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6"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3" fillId="0" borderId="0" xfId="0" applyFont="1" applyFill="1" applyBorder="1"/>
    <xf numFmtId="0" fontId="10" fillId="0" borderId="0" xfId="0" applyFont="1" applyFill="1" applyBorder="1" applyAlignment="1">
      <alignment horizontal="left" vertical="top" wrapText="1"/>
    </xf>
    <xf numFmtId="0" fontId="10" fillId="0" borderId="6" xfId="0" applyFont="1" applyFill="1" applyBorder="1" applyAlignment="1">
      <alignment horizontal="center" vertical="center" wrapText="1"/>
    </xf>
    <xf numFmtId="0" fontId="22" fillId="0" borderId="9" xfId="0" applyFont="1" applyFill="1" applyBorder="1" applyAlignment="1">
      <alignment vertical="top" wrapText="1"/>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4" xfId="0" applyFont="1" applyFill="1" applyBorder="1" applyAlignment="1">
      <alignment horizontal="center" vertical="top" wrapText="1"/>
    </xf>
    <xf numFmtId="0" fontId="22" fillId="0" borderId="12" xfId="0" applyFont="1" applyFill="1" applyBorder="1" applyAlignment="1">
      <alignment horizontal="left" vertical="top" wrapText="1"/>
    </xf>
    <xf numFmtId="164" fontId="22" fillId="0" borderId="1" xfId="0" applyNumberFormat="1" applyFont="1" applyFill="1" applyBorder="1" applyAlignment="1">
      <alignment horizontal="center" vertical="top" wrapText="1"/>
    </xf>
    <xf numFmtId="0" fontId="14"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4" xfId="0" applyFont="1" applyFill="1" applyBorder="1" applyAlignment="1">
      <alignment vertical="center"/>
    </xf>
    <xf numFmtId="0" fontId="14" fillId="0" borderId="4" xfId="0" applyFont="1" applyFill="1" applyBorder="1" applyAlignment="1">
      <alignment vertical="center"/>
    </xf>
    <xf numFmtId="166" fontId="19" fillId="0" borderId="1" xfId="0" applyNumberFormat="1" applyFont="1" applyFill="1" applyBorder="1" applyAlignment="1">
      <alignment horizontal="center" vertical="top"/>
    </xf>
    <xf numFmtId="166" fontId="19" fillId="0" borderId="2" xfId="0" applyNumberFormat="1" applyFont="1" applyFill="1" applyBorder="1" applyAlignment="1">
      <alignment horizontal="center" vertical="top" wrapText="1"/>
    </xf>
    <xf numFmtId="0" fontId="13" fillId="0" borderId="1" xfId="0" applyFont="1" applyFill="1" applyBorder="1" applyAlignment="1">
      <alignment vertical="top" wrapText="1"/>
    </xf>
    <xf numFmtId="0" fontId="20" fillId="0" borderId="3" xfId="0" applyFont="1" applyFill="1" applyBorder="1" applyAlignment="1">
      <alignment vertical="center"/>
    </xf>
    <xf numFmtId="0" fontId="17" fillId="0" borderId="0" xfId="0" applyFont="1" applyFill="1" applyBorder="1" applyAlignment="1">
      <alignment horizontal="center" vertical="top" wrapText="1"/>
    </xf>
    <xf numFmtId="0" fontId="31" fillId="0" borderId="0" xfId="0" applyFont="1" applyFill="1" applyAlignment="1">
      <alignment horizontal="center"/>
    </xf>
    <xf numFmtId="0" fontId="31" fillId="0" borderId="0" xfId="0" applyFont="1" applyFill="1"/>
    <xf numFmtId="0" fontId="31" fillId="0" borderId="0" xfId="0" applyFont="1" applyFill="1" applyAlignment="1">
      <alignment vertical="top"/>
    </xf>
    <xf numFmtId="0" fontId="31" fillId="0" borderId="0" xfId="0" applyFont="1" applyFill="1" applyAlignment="1">
      <alignment horizontal="center" vertical="center"/>
    </xf>
    <xf numFmtId="0" fontId="31" fillId="0" borderId="0" xfId="0" applyFont="1" applyFill="1" applyAlignment="1">
      <alignment horizontal="center" wrapText="1"/>
    </xf>
    <xf numFmtId="0" fontId="22" fillId="0" borderId="0" xfId="0" applyFont="1" applyFill="1" applyAlignment="1">
      <alignment horizontal="center"/>
    </xf>
    <xf numFmtId="0" fontId="31" fillId="0" borderId="0" xfId="0" applyFont="1" applyFill="1" applyAlignment="1">
      <alignment vertical="top" wrapText="1"/>
    </xf>
    <xf numFmtId="0" fontId="26" fillId="0" borderId="0" xfId="0" applyFont="1" applyFill="1" applyAlignment="1">
      <alignment horizontal="left"/>
    </xf>
    <xf numFmtId="0" fontId="32" fillId="0" borderId="0" xfId="0" applyFont="1" applyFill="1"/>
    <xf numFmtId="166" fontId="22" fillId="0" borderId="0" xfId="0" applyNumberFormat="1" applyFont="1" applyFill="1" applyAlignment="1">
      <alignment horizontal="center" wrapText="1"/>
    </xf>
    <xf numFmtId="0" fontId="26" fillId="0" borderId="0" xfId="0" applyFont="1" applyFill="1"/>
    <xf numFmtId="0" fontId="26" fillId="0" borderId="0" xfId="0" applyFont="1" applyFill="1" applyAlignment="1">
      <alignment horizontal="right"/>
    </xf>
    <xf numFmtId="0" fontId="26" fillId="0" borderId="0" xfId="0" applyFont="1" applyFill="1" applyAlignment="1">
      <alignment horizontal="center" vertical="center"/>
    </xf>
    <xf numFmtId="0" fontId="26" fillId="0" borderId="0" xfId="0" applyFont="1" applyFill="1" applyAlignment="1">
      <alignment wrapText="1"/>
    </xf>
    <xf numFmtId="0" fontId="22" fillId="0" borderId="0" xfId="0" applyFont="1" applyFill="1" applyAlignment="1">
      <alignment wrapText="1"/>
    </xf>
    <xf numFmtId="0" fontId="26" fillId="0" borderId="0" xfId="0" applyFont="1" applyFill="1" applyAlignment="1">
      <alignment vertical="top" wrapText="1"/>
    </xf>
    <xf numFmtId="0" fontId="17" fillId="0" borderId="0" xfId="0" applyFont="1" applyFill="1"/>
    <xf numFmtId="0" fontId="22" fillId="0" borderId="0" xfId="0" applyFont="1" applyFill="1" applyAlignment="1">
      <alignment horizontal="right"/>
    </xf>
    <xf numFmtId="0" fontId="17" fillId="0" borderId="0" xfId="0" applyFont="1" applyFill="1" applyAlignment="1">
      <alignment horizontal="center" vertical="center"/>
    </xf>
    <xf numFmtId="0" fontId="22" fillId="0" borderId="0" xfId="0" applyFont="1" applyFill="1"/>
    <xf numFmtId="0" fontId="17" fillId="0" borderId="0" xfId="0" applyFont="1" applyFill="1" applyAlignment="1">
      <alignment wrapText="1"/>
    </xf>
    <xf numFmtId="0" fontId="13" fillId="0" borderId="0" xfId="0" applyFont="1" applyFill="1" applyAlignment="1">
      <alignment wrapText="1"/>
    </xf>
    <xf numFmtId="0" fontId="22" fillId="0" borderId="0" xfId="0" applyFont="1" applyFill="1" applyAlignment="1">
      <alignment horizontal="left"/>
    </xf>
    <xf numFmtId="3" fontId="9" fillId="0" borderId="0" xfId="0" applyNumberFormat="1" applyFont="1" applyFill="1"/>
    <xf numFmtId="3" fontId="22" fillId="0" borderId="0" xfId="0" applyNumberFormat="1" applyFont="1" applyFill="1" applyAlignment="1">
      <alignment horizontal="left"/>
    </xf>
    <xf numFmtId="3" fontId="9" fillId="0" borderId="0" xfId="0" applyNumberFormat="1" applyFont="1" applyFill="1" applyBorder="1"/>
    <xf numFmtId="3" fontId="22" fillId="0" borderId="0" xfId="0" applyNumberFormat="1" applyFont="1" applyFill="1"/>
    <xf numFmtId="3" fontId="9" fillId="0" borderId="0" xfId="0" applyNumberFormat="1" applyFont="1" applyFill="1" applyAlignment="1">
      <alignment horizontal="center"/>
    </xf>
    <xf numFmtId="3" fontId="11" fillId="0" borderId="1" xfId="0" applyNumberFormat="1" applyFont="1" applyFill="1" applyBorder="1" applyAlignment="1">
      <alignment horizontal="center" wrapText="1"/>
    </xf>
    <xf numFmtId="3"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top" wrapText="1"/>
    </xf>
    <xf numFmtId="3" fontId="19" fillId="0" borderId="1" xfId="0" applyNumberFormat="1" applyFont="1" applyFill="1" applyBorder="1" applyAlignment="1">
      <alignment horizontal="left" vertical="top" wrapText="1"/>
    </xf>
    <xf numFmtId="3" fontId="14" fillId="0" borderId="1" xfId="0" applyNumberFormat="1" applyFont="1" applyFill="1" applyBorder="1" applyAlignment="1">
      <alignment horizontal="center" vertical="top" wrapText="1"/>
    </xf>
    <xf numFmtId="3" fontId="10" fillId="0" borderId="1" xfId="6" applyNumberFormat="1" applyFont="1" applyFill="1" applyBorder="1" applyAlignment="1">
      <alignment horizontal="left" vertical="top" wrapText="1"/>
    </xf>
    <xf numFmtId="3" fontId="10" fillId="0" borderId="1" xfId="0" applyNumberFormat="1" applyFont="1" applyFill="1" applyBorder="1" applyAlignment="1">
      <alignment horizontal="center" vertical="top" wrapText="1"/>
    </xf>
    <xf numFmtId="3" fontId="13" fillId="0" borderId="1" xfId="0" applyNumberFormat="1" applyFont="1" applyFill="1" applyBorder="1" applyAlignment="1">
      <alignment horizontal="left" vertical="top" wrapText="1"/>
    </xf>
    <xf numFmtId="3" fontId="10" fillId="0" borderId="1" xfId="0" applyNumberFormat="1" applyFont="1" applyFill="1" applyBorder="1" applyAlignment="1">
      <alignment horizontal="left" vertical="top"/>
    </xf>
    <xf numFmtId="3" fontId="10" fillId="0" borderId="1" xfId="0" applyNumberFormat="1" applyFont="1" applyFill="1" applyBorder="1" applyAlignment="1">
      <alignment horizontal="left" vertical="top" wrapText="1"/>
    </xf>
    <xf numFmtId="3" fontId="13" fillId="0" borderId="1" xfId="0" applyNumberFormat="1" applyFont="1" applyFill="1" applyBorder="1" applyAlignment="1">
      <alignment horizontal="center" vertical="top" wrapText="1"/>
    </xf>
    <xf numFmtId="3" fontId="13" fillId="0" borderId="1" xfId="0" applyNumberFormat="1" applyFont="1" applyFill="1" applyBorder="1" applyAlignment="1">
      <alignment horizontal="left" vertical="top"/>
    </xf>
    <xf numFmtId="3" fontId="10" fillId="0" borderId="1" xfId="0" applyNumberFormat="1" applyFont="1" applyFill="1" applyBorder="1" applyAlignment="1">
      <alignment horizontal="center" vertical="top"/>
    </xf>
    <xf numFmtId="0" fontId="13" fillId="0" borderId="1" xfId="0" applyFont="1" applyFill="1" applyBorder="1" applyAlignment="1">
      <alignment horizontal="left" vertical="top" wrapText="1"/>
    </xf>
    <xf numFmtId="3" fontId="13" fillId="0" borderId="1" xfId="0" applyNumberFormat="1" applyFont="1" applyFill="1" applyBorder="1" applyAlignment="1">
      <alignment horizontal="center" vertical="top"/>
    </xf>
    <xf numFmtId="3" fontId="13" fillId="0" borderId="1" xfId="7" applyNumberFormat="1" applyFont="1" applyFill="1" applyBorder="1" applyAlignment="1">
      <alignment horizontal="left" vertical="top" wrapText="1"/>
    </xf>
    <xf numFmtId="3" fontId="13" fillId="0" borderId="0" xfId="0" applyNumberFormat="1" applyFont="1" applyFill="1" applyAlignment="1">
      <alignment horizontal="left" vertical="top" wrapText="1"/>
    </xf>
    <xf numFmtId="3" fontId="13" fillId="0" borderId="1" xfId="8" applyNumberFormat="1" applyFont="1" applyFill="1" applyBorder="1" applyAlignment="1">
      <alignment horizontal="left" vertical="top" wrapText="1"/>
    </xf>
    <xf numFmtId="0" fontId="13" fillId="0" borderId="1" xfId="7" applyFont="1" applyFill="1" applyBorder="1" applyAlignment="1">
      <alignment horizontal="left" vertical="top" wrapText="1"/>
    </xf>
    <xf numFmtId="4" fontId="13" fillId="0" borderId="1" xfId="0" applyNumberFormat="1" applyFont="1" applyFill="1" applyBorder="1" applyAlignment="1">
      <alignment horizontal="center" vertical="top" wrapText="1"/>
    </xf>
    <xf numFmtId="3" fontId="10" fillId="0" borderId="0" xfId="0" applyNumberFormat="1" applyFont="1" applyFill="1" applyBorder="1" applyAlignment="1">
      <alignment horizontal="center" vertical="top" wrapText="1"/>
    </xf>
    <xf numFmtId="0" fontId="13" fillId="0" borderId="3" xfId="0" applyFont="1" applyFill="1" applyBorder="1" applyAlignment="1">
      <alignment horizontal="left" vertical="top" wrapText="1"/>
    </xf>
    <xf numFmtId="3" fontId="13" fillId="0" borderId="1" xfId="0" applyNumberFormat="1" applyFont="1" applyFill="1" applyBorder="1" applyAlignment="1">
      <alignment vertical="top" wrapText="1"/>
    </xf>
    <xf numFmtId="3" fontId="10" fillId="0" borderId="1" xfId="0" applyNumberFormat="1" applyFont="1" applyFill="1" applyBorder="1" applyAlignment="1">
      <alignment vertical="top" wrapText="1"/>
    </xf>
    <xf numFmtId="4" fontId="13" fillId="0" borderId="1" xfId="0" applyNumberFormat="1" applyFont="1" applyFill="1" applyBorder="1" applyAlignment="1">
      <alignment vertical="top" wrapText="1"/>
    </xf>
    <xf numFmtId="3" fontId="9" fillId="0" borderId="1" xfId="0" applyNumberFormat="1" applyFont="1" applyFill="1" applyBorder="1" applyAlignment="1">
      <alignment horizontal="center" vertical="top"/>
    </xf>
    <xf numFmtId="3" fontId="9" fillId="0" borderId="0" xfId="0" applyNumberFormat="1" applyFont="1" applyFill="1" applyAlignment="1">
      <alignment horizontal="center" vertical="top"/>
    </xf>
    <xf numFmtId="3" fontId="10" fillId="0" borderId="1" xfId="7" applyNumberFormat="1" applyFont="1" applyFill="1" applyBorder="1" applyAlignment="1">
      <alignment horizontal="left" vertical="top" wrapText="1"/>
    </xf>
    <xf numFmtId="3" fontId="10" fillId="0" borderId="1" xfId="0" applyNumberFormat="1" applyFont="1" applyFill="1" applyBorder="1" applyAlignment="1">
      <alignment horizontal="left" vertical="top" wrapText="1" shrinkToFit="1"/>
    </xf>
    <xf numFmtId="3" fontId="10" fillId="0" borderId="3" xfId="6" applyNumberFormat="1" applyFont="1" applyFill="1" applyBorder="1" applyAlignment="1">
      <alignment horizontal="left" vertical="top" wrapText="1"/>
    </xf>
    <xf numFmtId="3" fontId="10" fillId="0" borderId="4" xfId="0" applyNumberFormat="1" applyFont="1" applyFill="1" applyBorder="1" applyAlignment="1">
      <alignment horizontal="left" vertical="top" wrapText="1"/>
    </xf>
    <xf numFmtId="3" fontId="10" fillId="0" borderId="2" xfId="0" applyNumberFormat="1" applyFont="1" applyFill="1" applyBorder="1" applyAlignment="1">
      <alignment horizontal="left" vertical="top" wrapText="1"/>
    </xf>
    <xf numFmtId="3" fontId="33" fillId="0" borderId="1" xfId="0" applyNumberFormat="1" applyFont="1" applyFill="1" applyBorder="1" applyAlignment="1">
      <alignment horizontal="left" vertical="top" wrapText="1"/>
    </xf>
    <xf numFmtId="3" fontId="32" fillId="0" borderId="0" xfId="0" applyNumberFormat="1" applyFont="1" applyFill="1" applyAlignment="1">
      <alignment horizontal="center" wrapText="1"/>
    </xf>
    <xf numFmtId="3" fontId="9" fillId="0" borderId="1" xfId="0" applyNumberFormat="1" applyFont="1" applyFill="1" applyBorder="1"/>
    <xf numFmtId="3" fontId="9" fillId="0" borderId="1" xfId="0" applyNumberFormat="1" applyFont="1" applyFill="1" applyBorder="1" applyAlignment="1">
      <alignment horizontal="center"/>
    </xf>
    <xf numFmtId="3" fontId="13" fillId="0" borderId="6" xfId="7" applyNumberFormat="1" applyFont="1" applyFill="1" applyBorder="1" applyAlignment="1">
      <alignment horizontal="left" vertical="top" wrapText="1"/>
    </xf>
    <xf numFmtId="3" fontId="13" fillId="0" borderId="0" xfId="0" applyNumberFormat="1" applyFont="1" applyFill="1" applyBorder="1" applyAlignment="1">
      <alignment wrapText="1"/>
    </xf>
    <xf numFmtId="3" fontId="10" fillId="0" borderId="0" xfId="0" applyNumberFormat="1" applyFont="1" applyFill="1" applyBorder="1"/>
    <xf numFmtId="3" fontId="13" fillId="0" borderId="0" xfId="0" applyNumberFormat="1" applyFont="1" applyFill="1" applyBorder="1"/>
    <xf numFmtId="3" fontId="3" fillId="0" borderId="0" xfId="0" applyNumberFormat="1" applyFont="1" applyFill="1"/>
    <xf numFmtId="3" fontId="17" fillId="0" borderId="0" xfId="0" applyNumberFormat="1" applyFont="1" applyFill="1"/>
    <xf numFmtId="3" fontId="17" fillId="0" borderId="0" xfId="0" applyNumberFormat="1" applyFont="1" applyFill="1" applyAlignment="1">
      <alignment horizontal="center"/>
    </xf>
    <xf numFmtId="3" fontId="13" fillId="0" borderId="0" xfId="0" applyNumberFormat="1" applyFont="1" applyFill="1" applyAlignment="1">
      <alignment horizontal="left"/>
    </xf>
    <xf numFmtId="3" fontId="17" fillId="0" borderId="0" xfId="0" applyNumberFormat="1" applyFont="1" applyFill="1" applyAlignment="1">
      <alignment horizontal="right"/>
    </xf>
    <xf numFmtId="3" fontId="17" fillId="0" borderId="0" xfId="0" applyNumberFormat="1" applyFont="1" applyFill="1" applyAlignment="1">
      <alignment horizontal="center" vertical="center"/>
    </xf>
    <xf numFmtId="3" fontId="17" fillId="0" borderId="0" xfId="0" applyNumberFormat="1" applyFont="1" applyFill="1" applyAlignment="1">
      <alignment wrapText="1"/>
    </xf>
    <xf numFmtId="3" fontId="13" fillId="0" borderId="0" xfId="0" applyNumberFormat="1" applyFont="1" applyFill="1" applyAlignment="1">
      <alignment wrapText="1"/>
    </xf>
    <xf numFmtId="3" fontId="3" fillId="0" borderId="0" xfId="0" applyNumberFormat="1" applyFont="1" applyFill="1" applyAlignment="1">
      <alignment vertical="top" wrapText="1"/>
    </xf>
    <xf numFmtId="3" fontId="13" fillId="0" borderId="0" xfId="0" applyNumberFormat="1" applyFont="1" applyFill="1"/>
    <xf numFmtId="3" fontId="13" fillId="0" borderId="0" xfId="0" applyNumberFormat="1" applyFont="1" applyFill="1" applyAlignment="1">
      <alignment horizontal="right"/>
    </xf>
    <xf numFmtId="3" fontId="13" fillId="0" borderId="0" xfId="0" applyNumberFormat="1" applyFont="1" applyFill="1" applyAlignment="1">
      <alignment horizontal="center" vertical="center"/>
    </xf>
    <xf numFmtId="3" fontId="13" fillId="0" borderId="0" xfId="0" applyNumberFormat="1" applyFont="1" applyFill="1" applyAlignment="1">
      <alignment horizontal="center"/>
    </xf>
    <xf numFmtId="3" fontId="13" fillId="0" borderId="0" xfId="0" applyNumberFormat="1" applyFont="1" applyFill="1" applyAlignment="1">
      <alignment vertical="top"/>
    </xf>
    <xf numFmtId="3" fontId="9" fillId="0" borderId="0" xfId="0" applyNumberFormat="1" applyFont="1" applyFill="1" applyAlignment="1">
      <alignment vertical="top"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2" fillId="0" borderId="1" xfId="0" applyFont="1" applyFill="1" applyBorder="1" applyAlignment="1">
      <alignment horizontal="left" vertical="top" wrapText="1"/>
    </xf>
    <xf numFmtId="0" fontId="22" fillId="0" borderId="6" xfId="3" applyFont="1" applyFill="1" applyBorder="1" applyAlignment="1">
      <alignment horizontal="left" vertical="top" wrapText="1"/>
    </xf>
    <xf numFmtId="0" fontId="22" fillId="0" borderId="9" xfId="3"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9"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top"/>
    </xf>
    <xf numFmtId="0" fontId="19" fillId="0" borderId="10" xfId="0" applyFont="1" applyFill="1" applyBorder="1" applyAlignment="1">
      <alignment horizontal="left" vertical="top"/>
    </xf>
    <xf numFmtId="0" fontId="19" fillId="0" borderId="0" xfId="0" applyFont="1" applyFill="1" applyBorder="1" applyAlignment="1">
      <alignment horizontal="left" vertical="top"/>
    </xf>
    <xf numFmtId="0" fontId="19" fillId="0" borderId="11" xfId="0" applyFont="1" applyFill="1" applyBorder="1" applyAlignment="1">
      <alignment horizontal="left" vertical="top"/>
    </xf>
    <xf numFmtId="0" fontId="19" fillId="0" borderId="7" xfId="0" applyFont="1" applyFill="1" applyBorder="1" applyAlignment="1">
      <alignment horizontal="left" vertical="top"/>
    </xf>
    <xf numFmtId="0" fontId="19" fillId="0" borderId="15" xfId="0" applyFont="1" applyFill="1" applyBorder="1" applyAlignment="1">
      <alignment horizontal="left" vertical="top"/>
    </xf>
    <xf numFmtId="0" fontId="19" fillId="0" borderId="8" xfId="0" applyFont="1" applyFill="1" applyBorder="1" applyAlignment="1">
      <alignment horizontal="left" vertical="top"/>
    </xf>
    <xf numFmtId="0" fontId="13" fillId="0" borderId="6"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9" xfId="0" applyFont="1" applyFill="1" applyBorder="1" applyAlignment="1">
      <alignment horizontal="center" vertical="top" wrapText="1"/>
    </xf>
    <xf numFmtId="0" fontId="11" fillId="0" borderId="1"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8" xfId="0" applyFont="1" applyFill="1" applyBorder="1" applyAlignment="1">
      <alignment horizontal="center" vertical="top" wrapText="1"/>
    </xf>
    <xf numFmtId="0" fontId="22" fillId="0" borderId="12" xfId="0" applyFont="1" applyFill="1" applyBorder="1" applyAlignment="1">
      <alignment horizontal="left" vertical="top" wrapText="1"/>
    </xf>
    <xf numFmtId="0" fontId="14" fillId="0" borderId="12" xfId="0" applyFont="1" applyFill="1" applyBorder="1" applyAlignment="1">
      <alignment horizontal="center" vertical="top"/>
    </xf>
    <xf numFmtId="0" fontId="14" fillId="0" borderId="9" xfId="0" applyFont="1" applyFill="1" applyBorder="1" applyAlignment="1">
      <alignment horizontal="center" vertical="top"/>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2" xfId="0" applyFont="1" applyFill="1" applyBorder="1" applyAlignment="1">
      <alignment horizontal="left" vertical="center" wrapText="1"/>
    </xf>
    <xf numFmtId="49" fontId="22" fillId="0" borderId="6"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22" fillId="0" borderId="9" xfId="0" applyNumberFormat="1" applyFont="1" applyFill="1" applyBorder="1" applyAlignment="1">
      <alignment horizontal="left" vertical="top" wrapText="1"/>
    </xf>
    <xf numFmtId="0" fontId="13" fillId="0" borderId="6" xfId="3" applyFont="1" applyFill="1" applyBorder="1" applyAlignment="1">
      <alignment horizontal="center" vertical="top" wrapText="1"/>
    </xf>
    <xf numFmtId="0" fontId="13" fillId="0" borderId="12" xfId="3" applyFont="1" applyFill="1" applyBorder="1" applyAlignment="1">
      <alignment horizontal="center" vertical="top" wrapText="1"/>
    </xf>
    <xf numFmtId="0" fontId="13" fillId="0" borderId="9" xfId="3" applyFont="1" applyFill="1" applyBorder="1" applyAlignment="1">
      <alignment horizontal="center" vertical="top"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4" fillId="0" borderId="6"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9" xfId="0" applyFont="1" applyFill="1" applyBorder="1" applyAlignment="1">
      <alignment horizontal="center" vertical="top" wrapText="1"/>
    </xf>
    <xf numFmtId="0" fontId="19" fillId="0" borderId="1" xfId="0" applyFont="1" applyFill="1" applyBorder="1" applyAlignment="1">
      <alignment horizontal="center" vertical="top" wrapText="1"/>
    </xf>
    <xf numFmtId="0" fontId="19" fillId="0" borderId="6"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9" xfId="0" applyFont="1" applyFill="1" applyBorder="1" applyAlignment="1">
      <alignment horizontal="left" vertical="top" wrapText="1"/>
    </xf>
    <xf numFmtId="0" fontId="10" fillId="0" borderId="6" xfId="0" applyFont="1" applyFill="1" applyBorder="1" applyAlignment="1">
      <alignment horizontal="center" vertical="top"/>
    </xf>
    <xf numFmtId="0" fontId="10" fillId="0" borderId="12" xfId="0" applyFont="1" applyFill="1" applyBorder="1" applyAlignment="1">
      <alignment horizontal="center" vertical="top"/>
    </xf>
    <xf numFmtId="0" fontId="10" fillId="0" borderId="9" xfId="0" applyFont="1" applyFill="1" applyBorder="1" applyAlignment="1">
      <alignment horizontal="center" vertical="top"/>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top"/>
    </xf>
    <xf numFmtId="0" fontId="10" fillId="0" borderId="6"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9" xfId="0" applyFont="1" applyFill="1" applyBorder="1" applyAlignment="1">
      <alignment horizontal="center" vertical="top" wrapText="1"/>
    </xf>
    <xf numFmtId="0" fontId="14" fillId="0" borderId="5" xfId="0" applyFont="1" applyFill="1" applyBorder="1" applyAlignment="1">
      <alignment horizontal="center" vertical="top"/>
    </xf>
    <xf numFmtId="0" fontId="14" fillId="0" borderId="14" xfId="0" applyFont="1" applyFill="1" applyBorder="1" applyAlignment="1">
      <alignment horizontal="center" vertical="top"/>
    </xf>
    <xf numFmtId="0" fontId="14" fillId="0" borderId="13" xfId="0" applyFont="1" applyFill="1" applyBorder="1" applyAlignment="1">
      <alignment horizontal="center" vertical="top"/>
    </xf>
    <xf numFmtId="0" fontId="14" fillId="0" borderId="10" xfId="0" applyFont="1" applyFill="1" applyBorder="1" applyAlignment="1">
      <alignment horizontal="center" vertical="top"/>
    </xf>
    <xf numFmtId="0" fontId="14" fillId="0" borderId="0" xfId="0" applyFont="1" applyFill="1" applyBorder="1" applyAlignment="1">
      <alignment horizontal="center" vertical="top"/>
    </xf>
    <xf numFmtId="0" fontId="14" fillId="0" borderId="11" xfId="0" applyFont="1" applyFill="1" applyBorder="1" applyAlignment="1">
      <alignment horizontal="center" vertical="top"/>
    </xf>
    <xf numFmtId="0" fontId="14" fillId="0" borderId="7" xfId="0" applyFont="1" applyFill="1" applyBorder="1" applyAlignment="1">
      <alignment horizontal="center" vertical="top"/>
    </xf>
    <xf numFmtId="0" fontId="14" fillId="0" borderId="15" xfId="0" applyFont="1" applyFill="1" applyBorder="1" applyAlignment="1">
      <alignment horizontal="center" vertical="top"/>
    </xf>
    <xf numFmtId="0" fontId="14" fillId="0" borderId="8" xfId="0" applyFont="1" applyFill="1" applyBorder="1" applyAlignment="1">
      <alignment horizontal="center" vertical="top"/>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19" fillId="0" borderId="1"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0" fontId="13" fillId="0" borderId="1"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9" xfId="0" applyFont="1" applyFill="1" applyBorder="1" applyAlignment="1">
      <alignment horizontal="center" vertical="top" wrapText="1"/>
    </xf>
    <xf numFmtId="0" fontId="14" fillId="0" borderId="5"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3" xfId="0" applyFont="1" applyFill="1" applyBorder="1" applyAlignment="1">
      <alignment horizontal="left" vertical="top" wrapText="1"/>
    </xf>
    <xf numFmtId="0" fontId="18" fillId="0" borderId="4" xfId="0" applyFont="1" applyFill="1" applyBorder="1" applyAlignment="1">
      <alignment horizontal="center" vertical="top"/>
    </xf>
    <xf numFmtId="0" fontId="18" fillId="0" borderId="2" xfId="0" applyFont="1" applyFill="1" applyBorder="1" applyAlignment="1">
      <alignment horizontal="center" vertical="top"/>
    </xf>
    <xf numFmtId="0" fontId="22" fillId="0" borderId="12" xfId="3" applyFont="1" applyFill="1" applyBorder="1" applyAlignment="1">
      <alignment horizontal="left" vertical="top" wrapText="1"/>
    </xf>
    <xf numFmtId="0" fontId="17" fillId="0" borderId="6"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2" fillId="0" borderId="5"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11" fillId="0" borderId="1" xfId="0" applyFont="1" applyFill="1" applyBorder="1" applyAlignment="1">
      <alignment horizontal="center" vertical="top"/>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left" vertical="top"/>
    </xf>
    <xf numFmtId="0" fontId="10" fillId="0" borderId="14" xfId="0" applyFont="1" applyFill="1" applyBorder="1" applyAlignment="1">
      <alignment horizontal="left" vertical="top"/>
    </xf>
    <xf numFmtId="0" fontId="10" fillId="0" borderId="13" xfId="0" applyFont="1" applyFill="1" applyBorder="1" applyAlignment="1">
      <alignment horizontal="left" vertical="top"/>
    </xf>
    <xf numFmtId="0" fontId="10" fillId="0" borderId="10" xfId="0" applyFont="1" applyFill="1" applyBorder="1" applyAlignment="1">
      <alignment horizontal="left" vertical="top"/>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0" fillId="0" borderId="7" xfId="0" applyFont="1" applyFill="1" applyBorder="1" applyAlignment="1">
      <alignment horizontal="left" vertical="top"/>
    </xf>
    <xf numFmtId="0" fontId="10" fillId="0" borderId="15" xfId="0" applyFont="1" applyFill="1" applyBorder="1" applyAlignment="1">
      <alignment horizontal="left" vertical="top"/>
    </xf>
    <xf numFmtId="0" fontId="10" fillId="0" borderId="8" xfId="0" applyFont="1" applyFill="1" applyBorder="1" applyAlignment="1">
      <alignment horizontal="left" vertical="top"/>
    </xf>
    <xf numFmtId="0" fontId="19" fillId="0" borderId="5"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8" xfId="0" applyFont="1" applyFill="1" applyBorder="1" applyAlignment="1">
      <alignment horizontal="left" vertical="top" wrapText="1"/>
    </xf>
    <xf numFmtId="0" fontId="17" fillId="0" borderId="9" xfId="0" applyFont="1" applyFill="1" applyBorder="1" applyAlignment="1">
      <alignment horizontal="center" vertical="top" wrapText="1"/>
    </xf>
    <xf numFmtId="0" fontId="19" fillId="0" borderId="3" xfId="0" applyFont="1" applyFill="1" applyBorder="1" applyAlignment="1">
      <alignment horizontal="left" vertical="top"/>
    </xf>
    <xf numFmtId="0" fontId="19" fillId="0" borderId="4" xfId="0" applyFont="1" applyFill="1" applyBorder="1" applyAlignment="1">
      <alignment horizontal="left" vertical="top"/>
    </xf>
    <xf numFmtId="0" fontId="19" fillId="0" borderId="2" xfId="0" applyFont="1" applyFill="1" applyBorder="1" applyAlignment="1">
      <alignment horizontal="left" vertical="top"/>
    </xf>
    <xf numFmtId="0" fontId="22" fillId="0" borderId="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9" fillId="0" borderId="14" xfId="0" applyFont="1" applyFill="1" applyBorder="1" applyAlignment="1">
      <alignment horizontal="center" vertical="top"/>
    </xf>
    <xf numFmtId="0" fontId="19" fillId="0" borderId="13" xfId="0" applyFont="1" applyFill="1" applyBorder="1" applyAlignment="1">
      <alignment horizontal="center" vertical="top"/>
    </xf>
    <xf numFmtId="0" fontId="19" fillId="0" borderId="0" xfId="0" applyFont="1" applyFill="1" applyBorder="1" applyAlignment="1">
      <alignment horizontal="center" vertical="top"/>
    </xf>
    <xf numFmtId="0" fontId="19" fillId="0" borderId="11" xfId="0" applyFont="1" applyFill="1" applyBorder="1" applyAlignment="1">
      <alignment horizontal="center" vertical="top"/>
    </xf>
    <xf numFmtId="0" fontId="19" fillId="0" borderId="15" xfId="0" applyFont="1" applyFill="1" applyBorder="1" applyAlignment="1">
      <alignment horizontal="center" vertical="top"/>
    </xf>
    <xf numFmtId="0" fontId="19" fillId="0" borderId="8" xfId="0" applyFont="1" applyFill="1" applyBorder="1" applyAlignment="1">
      <alignment horizontal="center" vertical="top"/>
    </xf>
    <xf numFmtId="0" fontId="10" fillId="0" borderId="5" xfId="0" applyFont="1" applyFill="1" applyBorder="1" applyAlignment="1">
      <alignment horizontal="center" vertical="center" wrapText="1"/>
    </xf>
    <xf numFmtId="0" fontId="11" fillId="0" borderId="5"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0" fontId="20" fillId="0" borderId="3" xfId="0" applyFont="1" applyFill="1" applyBorder="1" applyAlignment="1">
      <alignment horizontal="left" vertical="top"/>
    </xf>
    <xf numFmtId="0" fontId="20" fillId="0" borderId="4" xfId="0" applyFont="1" applyFill="1" applyBorder="1" applyAlignment="1">
      <alignment horizontal="left" vertical="top"/>
    </xf>
    <xf numFmtId="0" fontId="20" fillId="0" borderId="2" xfId="0" applyFont="1" applyFill="1" applyBorder="1" applyAlignment="1">
      <alignment horizontal="left" vertical="top"/>
    </xf>
    <xf numFmtId="0" fontId="14" fillId="0" borderId="4" xfId="0" applyFont="1" applyFill="1" applyBorder="1" applyAlignment="1">
      <alignment horizontal="left" vertical="top" wrapText="1"/>
    </xf>
    <xf numFmtId="0" fontId="14" fillId="0" borderId="2"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0" xfId="0" applyFont="1" applyFill="1" applyBorder="1" applyAlignment="1">
      <alignment horizontal="left" vertical="top" wrapText="1"/>
    </xf>
    <xf numFmtId="0" fontId="13" fillId="0" borderId="1" xfId="3" applyFont="1" applyFill="1" applyBorder="1" applyAlignment="1">
      <alignment horizontal="center" vertical="top" wrapText="1"/>
    </xf>
    <xf numFmtId="0" fontId="22"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2" fillId="0" borderId="1" xfId="3" applyFont="1" applyFill="1" applyBorder="1" applyAlignment="1">
      <alignment horizontal="left" vertical="top" wrapText="1"/>
    </xf>
    <xf numFmtId="0" fontId="14" fillId="0" borderId="6" xfId="0" applyFont="1" applyFill="1" applyBorder="1" applyAlignment="1">
      <alignment horizontal="center" vertical="top"/>
    </xf>
    <xf numFmtId="0" fontId="17" fillId="0" borderId="1"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9" xfId="0" applyFont="1" applyFill="1" applyBorder="1" applyAlignment="1">
      <alignment horizontal="center" vertical="top" wrapText="1"/>
    </xf>
    <xf numFmtId="0" fontId="10" fillId="0" borderId="1" xfId="0" applyFont="1" applyFill="1" applyBorder="1" applyAlignment="1">
      <alignment horizontal="center" vertical="top" wrapText="1"/>
    </xf>
    <xf numFmtId="0" fontId="22" fillId="0" borderId="1" xfId="0" applyFont="1" applyFill="1" applyBorder="1" applyAlignment="1">
      <alignment vertical="top" wrapText="1"/>
    </xf>
    <xf numFmtId="0" fontId="22" fillId="0" borderId="6"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0" xfId="0" applyFont="1" applyFill="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3" xfId="0" applyFont="1" applyFill="1" applyBorder="1" applyAlignment="1">
      <alignment horizontal="center" wrapText="1"/>
    </xf>
    <xf numFmtId="0" fontId="19" fillId="0" borderId="4" xfId="0" applyFont="1" applyFill="1" applyBorder="1" applyAlignment="1">
      <alignment horizontal="center" wrapText="1"/>
    </xf>
    <xf numFmtId="0" fontId="19" fillId="0" borderId="2" xfId="0" applyFont="1" applyFill="1" applyBorder="1" applyAlignment="1">
      <alignment horizontal="center" wrapText="1"/>
    </xf>
    <xf numFmtId="0" fontId="19" fillId="0" borderId="1" xfId="0" applyFont="1" applyFill="1" applyBorder="1" applyAlignment="1">
      <alignment horizontal="center" wrapText="1"/>
    </xf>
    <xf numFmtId="0" fontId="19" fillId="0" borderId="3" xfId="0" applyFont="1" applyFill="1" applyBorder="1" applyAlignment="1">
      <alignment horizontal="left" vertical="top" wrapText="1"/>
    </xf>
    <xf numFmtId="0" fontId="19" fillId="0" borderId="2" xfId="0" applyFont="1" applyFill="1" applyBorder="1" applyAlignment="1">
      <alignment horizontal="left" vertical="top" wrapText="1"/>
    </xf>
    <xf numFmtId="0" fontId="22" fillId="0" borderId="11" xfId="0" applyFont="1" applyFill="1" applyBorder="1" applyAlignment="1">
      <alignment horizontal="left" vertical="top" wrapText="1"/>
    </xf>
    <xf numFmtId="0" fontId="14" fillId="0" borderId="1" xfId="0" applyFont="1" applyFill="1" applyBorder="1" applyAlignment="1">
      <alignment horizontal="center" vertical="top"/>
    </xf>
    <xf numFmtId="0" fontId="19" fillId="0" borderId="4"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1" xfId="0" applyFont="1" applyFill="1" applyBorder="1" applyAlignment="1">
      <alignment horizontal="center" vertical="top" wrapText="1"/>
    </xf>
    <xf numFmtId="49" fontId="19" fillId="0" borderId="1" xfId="0" applyNumberFormat="1" applyFont="1" applyFill="1" applyBorder="1" applyAlignment="1">
      <alignment horizontal="left" vertical="top" wrapText="1"/>
    </xf>
    <xf numFmtId="0" fontId="22" fillId="0" borderId="14" xfId="3" applyFont="1" applyFill="1" applyBorder="1" applyAlignment="1">
      <alignment horizontal="left" vertical="top" wrapText="1"/>
    </xf>
    <xf numFmtId="0" fontId="22" fillId="0" borderId="0" xfId="3" applyFont="1" applyFill="1" applyBorder="1" applyAlignment="1">
      <alignment horizontal="left" vertical="top" wrapText="1"/>
    </xf>
    <xf numFmtId="0" fontId="22" fillId="0" borderId="15" xfId="3" applyFont="1" applyFill="1" applyBorder="1" applyAlignment="1">
      <alignment horizontal="left" vertical="top" wrapText="1"/>
    </xf>
    <xf numFmtId="0" fontId="22" fillId="0" borderId="6" xfId="3" applyFont="1" applyFill="1" applyBorder="1" applyAlignment="1">
      <alignment horizontal="center" vertical="top" wrapText="1"/>
    </xf>
    <xf numFmtId="0" fontId="22" fillId="0" borderId="12" xfId="3" applyFont="1" applyFill="1" applyBorder="1" applyAlignment="1">
      <alignment horizontal="center" vertical="top" wrapText="1"/>
    </xf>
    <xf numFmtId="0" fontId="22" fillId="0" borderId="9" xfId="3"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49" fontId="19" fillId="0" borderId="6"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9" xfId="0" applyNumberFormat="1" applyFont="1" applyFill="1" applyBorder="1" applyAlignment="1">
      <alignment horizontal="center" vertical="top" wrapText="1"/>
    </xf>
    <xf numFmtId="0" fontId="20" fillId="0" borderId="1" xfId="0" applyFont="1" applyFill="1" applyBorder="1" applyAlignment="1">
      <alignment horizontal="left" vertical="top"/>
    </xf>
    <xf numFmtId="0" fontId="20" fillId="0" borderId="5" xfId="0" applyFont="1" applyFill="1" applyBorder="1" applyAlignment="1">
      <alignment horizontal="left" vertical="top"/>
    </xf>
    <xf numFmtId="0" fontId="20" fillId="0" borderId="14" xfId="0" applyFont="1" applyFill="1" applyBorder="1" applyAlignment="1">
      <alignment horizontal="left" vertical="top"/>
    </xf>
    <xf numFmtId="0" fontId="20" fillId="0" borderId="13" xfId="0" applyFont="1" applyFill="1" applyBorder="1" applyAlignment="1">
      <alignment horizontal="left" vertical="top"/>
    </xf>
    <xf numFmtId="0" fontId="20" fillId="0" borderId="7" xfId="0" applyFont="1" applyFill="1" applyBorder="1" applyAlignment="1">
      <alignment horizontal="left" vertical="top"/>
    </xf>
    <xf numFmtId="0" fontId="20" fillId="0" borderId="15" xfId="0" applyFont="1" applyFill="1" applyBorder="1" applyAlignment="1">
      <alignment horizontal="left" vertical="top"/>
    </xf>
    <xf numFmtId="0" fontId="20" fillId="0" borderId="8" xfId="0" applyFont="1" applyFill="1" applyBorder="1" applyAlignment="1">
      <alignment horizontal="left" vertical="top"/>
    </xf>
    <xf numFmtId="3" fontId="10" fillId="0" borderId="1" xfId="0" applyNumberFormat="1" applyFont="1" applyFill="1" applyBorder="1" applyAlignment="1">
      <alignment horizontal="left" vertical="top" wrapText="1"/>
    </xf>
    <xf numFmtId="3" fontId="10" fillId="0" borderId="1" xfId="0" applyNumberFormat="1" applyFont="1" applyFill="1" applyBorder="1" applyAlignment="1">
      <alignment horizontal="left" vertical="top"/>
    </xf>
    <xf numFmtId="3" fontId="10" fillId="0" borderId="1" xfId="6" applyNumberFormat="1" applyFont="1" applyFill="1" applyBorder="1" applyAlignment="1">
      <alignment horizontal="left" vertical="top" wrapText="1"/>
    </xf>
    <xf numFmtId="3" fontId="10" fillId="0" borderId="3" xfId="0" applyNumberFormat="1" applyFont="1" applyFill="1" applyBorder="1" applyAlignment="1">
      <alignment horizontal="left" vertical="top" wrapText="1"/>
    </xf>
    <xf numFmtId="3" fontId="10" fillId="0" borderId="4" xfId="0" applyNumberFormat="1" applyFont="1" applyFill="1" applyBorder="1" applyAlignment="1">
      <alignment horizontal="left" vertical="top" wrapText="1"/>
    </xf>
    <xf numFmtId="3" fontId="10" fillId="0" borderId="2" xfId="0" applyNumberFormat="1" applyFont="1" applyFill="1" applyBorder="1" applyAlignment="1">
      <alignment horizontal="left" vertical="top" wrapText="1"/>
    </xf>
    <xf numFmtId="3" fontId="10" fillId="0" borderId="3" xfId="0" applyNumberFormat="1" applyFont="1" applyFill="1" applyBorder="1" applyAlignment="1">
      <alignment horizontal="left" vertical="top"/>
    </xf>
    <xf numFmtId="3" fontId="10" fillId="0" borderId="4" xfId="0" applyNumberFormat="1" applyFont="1" applyFill="1" applyBorder="1" applyAlignment="1">
      <alignment horizontal="left" vertical="top"/>
    </xf>
    <xf numFmtId="3" fontId="10" fillId="0" borderId="2" xfId="0" applyNumberFormat="1" applyFont="1" applyFill="1" applyBorder="1" applyAlignment="1">
      <alignment horizontal="left" vertical="top"/>
    </xf>
    <xf numFmtId="3" fontId="10" fillId="0" borderId="14" xfId="0" applyNumberFormat="1" applyFont="1" applyFill="1" applyBorder="1" applyAlignment="1">
      <alignment horizontal="center" vertical="top" wrapText="1"/>
    </xf>
    <xf numFmtId="3" fontId="10" fillId="0" borderId="0" xfId="0" applyNumberFormat="1" applyFont="1" applyFill="1" applyBorder="1" applyAlignment="1">
      <alignment horizontal="center" vertical="top" wrapText="1"/>
    </xf>
    <xf numFmtId="3" fontId="32" fillId="0" borderId="0" xfId="0" applyNumberFormat="1" applyFont="1" applyFill="1" applyAlignment="1">
      <alignment horizontal="center" wrapText="1"/>
    </xf>
    <xf numFmtId="0" fontId="22" fillId="0" borderId="0" xfId="0" applyFont="1" applyFill="1" applyBorder="1" applyAlignment="1">
      <alignment horizontal="justify" wrapText="1"/>
    </xf>
    <xf numFmtId="3" fontId="14" fillId="0" borderId="1" xfId="0" applyNumberFormat="1" applyFont="1" applyFill="1" applyBorder="1" applyAlignment="1">
      <alignment horizontal="left" vertical="top" wrapText="1"/>
    </xf>
    <xf numFmtId="3" fontId="22" fillId="0" borderId="0" xfId="0" applyNumberFormat="1" applyFont="1" applyFill="1" applyAlignment="1">
      <alignment horizontal="left" wrapText="1"/>
    </xf>
    <xf numFmtId="3" fontId="21" fillId="0" borderId="0" xfId="0" applyNumberFormat="1" applyFont="1" applyFill="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wrapText="1"/>
    </xf>
    <xf numFmtId="3" fontId="13" fillId="0" borderId="1" xfId="0" applyNumberFormat="1" applyFont="1" applyFill="1" applyBorder="1" applyAlignment="1">
      <alignment horizontal="left" vertical="top"/>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11" fillId="2" borderId="3" xfId="0" applyFont="1" applyFill="1" applyBorder="1" applyAlignment="1">
      <alignment horizontal="center" vertical="top"/>
    </xf>
    <xf numFmtId="0" fontId="11" fillId="2" borderId="4" xfId="0" applyFont="1" applyFill="1" applyBorder="1" applyAlignment="1">
      <alignment horizontal="center" vertical="top"/>
    </xf>
    <xf numFmtId="0" fontId="11" fillId="2" borderId="2" xfId="0" applyFont="1" applyFill="1" applyBorder="1" applyAlignment="1">
      <alignment horizontal="center" vertical="top"/>
    </xf>
    <xf numFmtId="0" fontId="9" fillId="2"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3" fillId="2" borderId="3" xfId="0" applyFont="1" applyFill="1" applyBorder="1" applyAlignment="1">
      <alignment horizontal="center"/>
    </xf>
    <xf numFmtId="0" fontId="3" fillId="2" borderId="2" xfId="0" applyFont="1" applyFill="1" applyBorder="1" applyAlignment="1">
      <alignment horizontal="center"/>
    </xf>
    <xf numFmtId="0" fontId="14" fillId="2" borderId="0" xfId="0" applyFont="1" applyFill="1" applyAlignment="1">
      <alignment horizontal="center" wrapText="1"/>
    </xf>
    <xf numFmtId="0" fontId="14" fillId="2" borderId="15" xfId="0" applyFont="1" applyFill="1" applyBorder="1" applyAlignment="1">
      <alignment horizont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cellXfs>
  <cellStyles count="11">
    <cellStyle name="Обычный" xfId="0" builtinId="0"/>
    <cellStyle name="Обычный 2" xfId="1"/>
    <cellStyle name="Обычный 2 3" xfId="9"/>
    <cellStyle name="Обычный 3" xfId="2"/>
    <cellStyle name="Обычный 4" xfId="8"/>
    <cellStyle name="Обычный 7" xfId="10"/>
    <cellStyle name="Обычный_Dnepr" xfId="6"/>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x14ac:dyDescent="0.3"/>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x14ac:dyDescent="0.3">
      <c r="C1" s="1" t="s">
        <v>0</v>
      </c>
    </row>
    <row r="2" spans="1:13" ht="114" customHeight="1" x14ac:dyDescent="0.3">
      <c r="C2" s="4" t="s">
        <v>37</v>
      </c>
      <c r="F2" s="264"/>
      <c r="G2" s="264"/>
      <c r="H2" s="264"/>
      <c r="I2" s="2"/>
      <c r="J2" s="2"/>
      <c r="K2" s="2"/>
      <c r="L2" s="15"/>
      <c r="M2" s="15"/>
    </row>
    <row r="3" spans="1:13" ht="24" customHeight="1" x14ac:dyDescent="0.3">
      <c r="C3" s="4" t="s">
        <v>40</v>
      </c>
      <c r="E3" s="17"/>
      <c r="F3" s="265"/>
      <c r="G3" s="265"/>
      <c r="H3" s="265"/>
      <c r="J3" s="15"/>
      <c r="K3" s="15"/>
      <c r="L3" s="15"/>
      <c r="M3" s="15"/>
    </row>
    <row r="4" spans="1:13" ht="30" customHeight="1" x14ac:dyDescent="0.3">
      <c r="C4" s="4"/>
      <c r="E4" s="17"/>
      <c r="F4" s="16"/>
      <c r="G4" s="16"/>
      <c r="H4" s="16"/>
      <c r="J4" s="15"/>
      <c r="K4" s="15"/>
      <c r="L4" s="15"/>
      <c r="M4" s="15"/>
    </row>
    <row r="5" spans="1:13" ht="17.25" customHeight="1" x14ac:dyDescent="0.3">
      <c r="A5" s="261" t="s">
        <v>7</v>
      </c>
      <c r="B5" s="261"/>
      <c r="C5" s="261"/>
      <c r="F5" s="266"/>
      <c r="G5" s="266"/>
      <c r="H5" s="266"/>
      <c r="I5" s="266"/>
      <c r="J5" s="266"/>
      <c r="K5" s="266"/>
      <c r="L5" s="266"/>
      <c r="M5" s="266"/>
    </row>
    <row r="6" spans="1:13" ht="17.25" customHeight="1" x14ac:dyDescent="0.3">
      <c r="A6" s="261" t="s">
        <v>16</v>
      </c>
      <c r="B6" s="261"/>
      <c r="C6" s="261"/>
    </row>
    <row r="7" spans="1:13" ht="17.25" customHeight="1" x14ac:dyDescent="0.3">
      <c r="A7" s="261" t="s">
        <v>14</v>
      </c>
      <c r="B7" s="261"/>
      <c r="C7" s="261"/>
    </row>
    <row r="8" spans="1:13" ht="22.5" customHeight="1" x14ac:dyDescent="0.3"/>
    <row r="9" spans="1:13" ht="37.5" customHeight="1" x14ac:dyDescent="0.3">
      <c r="A9" s="262" t="s">
        <v>6</v>
      </c>
      <c r="B9" s="269" t="s">
        <v>8</v>
      </c>
      <c r="C9" s="270"/>
    </row>
    <row r="10" spans="1:13" ht="37.5" customHeight="1" x14ac:dyDescent="0.3">
      <c r="A10" s="263"/>
      <c r="B10" s="258" t="s">
        <v>9</v>
      </c>
      <c r="C10" s="259"/>
    </row>
    <row r="11" spans="1:13" x14ac:dyDescent="0.3">
      <c r="A11" s="7">
        <v>1</v>
      </c>
      <c r="B11" s="267">
        <v>2</v>
      </c>
      <c r="C11" s="268"/>
    </row>
    <row r="12" spans="1:13" ht="49.5" customHeight="1" x14ac:dyDescent="0.3">
      <c r="A12" s="20" t="s">
        <v>26</v>
      </c>
      <c r="B12" s="260" t="s">
        <v>10</v>
      </c>
      <c r="C12" s="260"/>
    </row>
    <row r="13" spans="1:13" ht="49.5" customHeight="1" x14ac:dyDescent="0.3">
      <c r="A13" s="20" t="s">
        <v>27</v>
      </c>
      <c r="B13" s="260" t="s">
        <v>13</v>
      </c>
      <c r="C13" s="260"/>
    </row>
    <row r="14" spans="1:13" ht="49.5" customHeight="1" x14ac:dyDescent="0.3">
      <c r="A14" s="20" t="s">
        <v>28</v>
      </c>
      <c r="B14" s="260" t="s">
        <v>11</v>
      </c>
      <c r="C14" s="260"/>
    </row>
    <row r="15" spans="1:13" ht="49.5" customHeight="1" x14ac:dyDescent="0.3">
      <c r="A15" s="20" t="s">
        <v>29</v>
      </c>
      <c r="B15" s="260" t="s">
        <v>19</v>
      </c>
      <c r="C15" s="260"/>
    </row>
    <row r="16" spans="1:13" ht="49.5" customHeight="1" x14ac:dyDescent="0.3">
      <c r="A16" s="20" t="s">
        <v>30</v>
      </c>
      <c r="B16" s="260" t="s">
        <v>18</v>
      </c>
      <c r="C16" s="260"/>
    </row>
    <row r="17" spans="1:11" ht="49.5" customHeight="1" x14ac:dyDescent="0.3">
      <c r="A17" s="20" t="s">
        <v>31</v>
      </c>
      <c r="B17" s="257" t="s">
        <v>39</v>
      </c>
      <c r="C17" s="257"/>
    </row>
    <row r="18" spans="1:11" ht="55.5" customHeight="1" x14ac:dyDescent="0.3">
      <c r="A18" s="20" t="s">
        <v>32</v>
      </c>
      <c r="B18" s="257" t="s">
        <v>38</v>
      </c>
      <c r="C18" s="257"/>
    </row>
    <row r="19" spans="1:11" ht="57" customHeight="1" x14ac:dyDescent="0.3">
      <c r="A19" s="20" t="s">
        <v>33</v>
      </c>
      <c r="B19" s="260" t="s">
        <v>12</v>
      </c>
      <c r="C19" s="260"/>
    </row>
    <row r="20" spans="1:11" ht="41.25" customHeight="1" x14ac:dyDescent="0.3">
      <c r="A20" s="20" t="s">
        <v>34</v>
      </c>
      <c r="B20" s="257" t="s">
        <v>20</v>
      </c>
      <c r="C20" s="257"/>
    </row>
    <row r="21" spans="1:11" ht="41.25" customHeight="1" x14ac:dyDescent="0.3">
      <c r="A21" s="20" t="s">
        <v>35</v>
      </c>
      <c r="B21" s="257" t="s">
        <v>21</v>
      </c>
      <c r="C21" s="257"/>
    </row>
    <row r="22" spans="1:11" ht="41.25" customHeight="1" x14ac:dyDescent="0.3">
      <c r="A22" s="20" t="s">
        <v>36</v>
      </c>
      <c r="B22" s="257" t="s">
        <v>22</v>
      </c>
      <c r="C22" s="257"/>
    </row>
    <row r="23" spans="1:11" ht="14.25" customHeight="1" x14ac:dyDescent="0.3">
      <c r="A23" s="19"/>
      <c r="B23" s="11"/>
      <c r="C23" s="11"/>
    </row>
    <row r="24" spans="1:11" ht="14.25" customHeight="1" x14ac:dyDescent="0.3">
      <c r="A24" s="19"/>
      <c r="B24" s="11"/>
      <c r="C24" s="11"/>
    </row>
    <row r="25" spans="1:11" ht="14.25" customHeight="1" x14ac:dyDescent="0.3">
      <c r="A25" s="19"/>
      <c r="B25" s="11"/>
      <c r="C25" s="11"/>
    </row>
    <row r="26" spans="1:11" ht="14.25" customHeight="1" x14ac:dyDescent="0.3"/>
    <row r="27" spans="1:11" ht="22.5" customHeight="1" x14ac:dyDescent="0.3">
      <c r="A27" s="8" t="s">
        <v>23</v>
      </c>
      <c r="B27" s="10"/>
      <c r="C27" s="9" t="s">
        <v>24</v>
      </c>
      <c r="D27" s="10"/>
      <c r="E27" s="12"/>
      <c r="F27" s="10"/>
      <c r="G27" s="13"/>
      <c r="H27" s="13"/>
      <c r="I27" s="13"/>
      <c r="J27" s="14"/>
      <c r="K27" s="13"/>
    </row>
    <row r="28" spans="1:11" ht="20.25" customHeight="1" x14ac:dyDescent="0.3">
      <c r="A28" s="18" t="s">
        <v>25</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97"/>
  <sheetViews>
    <sheetView tabSelected="1" view="pageBreakPreview" zoomScale="30" zoomScaleNormal="30" zoomScaleSheetLayoutView="30" workbookViewId="0">
      <pane ySplit="9" topLeftCell="A149" activePane="bottomLeft" state="frozen"/>
      <selection pane="bottomLeft" activeCell="K162" sqref="K162"/>
    </sheetView>
  </sheetViews>
  <sheetFormatPr defaultColWidth="9.140625" defaultRowHeight="75" customHeight="1" x14ac:dyDescent="0.4"/>
  <cols>
    <col min="1" max="1" width="8.42578125" style="41" customWidth="1"/>
    <col min="2" max="2" width="38.85546875" style="42" customWidth="1"/>
    <col min="3" max="3" width="51.28515625" style="43" customWidth="1"/>
    <col min="4" max="4" width="18.28515625" style="44" customWidth="1"/>
    <col min="5" max="5" width="69.42578125" style="45" customWidth="1"/>
    <col min="6" max="6" width="22.7109375" style="46" customWidth="1"/>
    <col min="7" max="7" width="43" style="50" customWidth="1"/>
    <col min="8" max="8" width="32.28515625" style="51" customWidth="1"/>
    <col min="9" max="9" width="28" style="51" customWidth="1"/>
    <col min="10" max="10" width="29.28515625" style="51" customWidth="1"/>
    <col min="11" max="11" width="30.7109375" style="51" customWidth="1"/>
    <col min="12" max="12" width="75.85546875" style="62" customWidth="1"/>
    <col min="13" max="13" width="18.28515625" style="42" bestFit="1" customWidth="1"/>
    <col min="14" max="16384" width="9.140625" style="42"/>
  </cols>
  <sheetData>
    <row r="1" spans="1:12" ht="33" customHeight="1" x14ac:dyDescent="0.4">
      <c r="G1" s="47"/>
      <c r="H1" s="48"/>
      <c r="I1" s="48"/>
      <c r="J1" s="48"/>
      <c r="K1" s="48"/>
      <c r="L1" s="49" t="s">
        <v>0</v>
      </c>
    </row>
    <row r="2" spans="1:12" ht="225.75" customHeight="1" x14ac:dyDescent="0.4">
      <c r="L2" s="52" t="s">
        <v>419</v>
      </c>
    </row>
    <row r="3" spans="1:12" s="54" customFormat="1" ht="29.25" customHeight="1" x14ac:dyDescent="0.4">
      <c r="A3" s="53"/>
      <c r="C3" s="55"/>
      <c r="D3" s="56"/>
      <c r="E3" s="57"/>
      <c r="F3" s="58"/>
      <c r="G3" s="59"/>
      <c r="H3" s="60"/>
      <c r="I3" s="60"/>
      <c r="J3" s="60"/>
      <c r="K3" s="60"/>
      <c r="L3" s="49" t="s">
        <v>466</v>
      </c>
    </row>
    <row r="4" spans="1:12" ht="42" customHeight="1" x14ac:dyDescent="0.4">
      <c r="A4" s="61"/>
    </row>
    <row r="5" spans="1:12" ht="75" customHeight="1" x14ac:dyDescent="0.3">
      <c r="A5" s="428" t="s">
        <v>154</v>
      </c>
      <c r="B5" s="428"/>
      <c r="C5" s="428"/>
      <c r="D5" s="428"/>
      <c r="E5" s="428"/>
      <c r="F5" s="428"/>
      <c r="G5" s="428"/>
      <c r="H5" s="428"/>
      <c r="I5" s="428"/>
      <c r="J5" s="428"/>
      <c r="K5" s="428"/>
      <c r="L5" s="428"/>
    </row>
    <row r="6" spans="1:12" ht="2.25" customHeight="1" x14ac:dyDescent="0.4">
      <c r="H6" s="51" t="s">
        <v>17</v>
      </c>
      <c r="I6" s="63" t="e">
        <f>#REF!+#REF!+#REF!+#REF!</f>
        <v>#REF!</v>
      </c>
    </row>
    <row r="7" spans="1:12" ht="75" customHeight="1" x14ac:dyDescent="0.35">
      <c r="A7" s="429" t="s">
        <v>1</v>
      </c>
      <c r="B7" s="430" t="s">
        <v>2</v>
      </c>
      <c r="C7" s="430" t="s">
        <v>3</v>
      </c>
      <c r="D7" s="429" t="s">
        <v>45</v>
      </c>
      <c r="E7" s="431" t="s">
        <v>44</v>
      </c>
      <c r="F7" s="434" t="s">
        <v>41</v>
      </c>
      <c r="G7" s="430" t="s">
        <v>4</v>
      </c>
      <c r="H7" s="435" t="s">
        <v>15</v>
      </c>
      <c r="I7" s="436"/>
      <c r="J7" s="436"/>
      <c r="K7" s="437"/>
      <c r="L7" s="430" t="s">
        <v>5</v>
      </c>
    </row>
    <row r="8" spans="1:12" ht="75" customHeight="1" x14ac:dyDescent="0.35">
      <c r="A8" s="429"/>
      <c r="B8" s="430"/>
      <c r="C8" s="430"/>
      <c r="D8" s="429"/>
      <c r="E8" s="432"/>
      <c r="F8" s="434"/>
      <c r="G8" s="430"/>
      <c r="H8" s="429" t="s">
        <v>62</v>
      </c>
      <c r="I8" s="438" t="s">
        <v>157</v>
      </c>
      <c r="J8" s="438"/>
      <c r="K8" s="438"/>
      <c r="L8" s="430"/>
    </row>
    <row r="9" spans="1:12" s="65" customFormat="1" ht="102.75" customHeight="1" x14ac:dyDescent="0.2">
      <c r="A9" s="429"/>
      <c r="B9" s="430"/>
      <c r="C9" s="430"/>
      <c r="D9" s="429"/>
      <c r="E9" s="433"/>
      <c r="F9" s="434"/>
      <c r="G9" s="430"/>
      <c r="H9" s="429"/>
      <c r="I9" s="64" t="s">
        <v>159</v>
      </c>
      <c r="J9" s="64" t="s">
        <v>160</v>
      </c>
      <c r="K9" s="64" t="s">
        <v>161</v>
      </c>
      <c r="L9" s="430"/>
    </row>
    <row r="10" spans="1:12" s="65" customFormat="1" ht="26.25" customHeight="1" x14ac:dyDescent="0.2">
      <c r="A10" s="66">
        <v>1</v>
      </c>
      <c r="B10" s="66">
        <v>2</v>
      </c>
      <c r="C10" s="64">
        <v>3</v>
      </c>
      <c r="D10" s="67">
        <v>4</v>
      </c>
      <c r="E10" s="64">
        <v>5</v>
      </c>
      <c r="F10" s="67">
        <v>6</v>
      </c>
      <c r="G10" s="67">
        <v>7</v>
      </c>
      <c r="H10" s="64">
        <v>8</v>
      </c>
      <c r="I10" s="64">
        <v>9</v>
      </c>
      <c r="J10" s="64">
        <v>10</v>
      </c>
      <c r="K10" s="64">
        <v>11</v>
      </c>
      <c r="L10" s="68">
        <v>12</v>
      </c>
    </row>
    <row r="11" spans="1:12" s="65" customFormat="1" ht="61.5" customHeight="1" x14ac:dyDescent="0.2">
      <c r="A11" s="301" t="s">
        <v>113</v>
      </c>
      <c r="B11" s="302"/>
      <c r="C11" s="302"/>
      <c r="D11" s="302"/>
      <c r="E11" s="302"/>
      <c r="F11" s="302"/>
      <c r="G11" s="302"/>
      <c r="H11" s="302"/>
      <c r="I11" s="302"/>
      <c r="J11" s="302"/>
      <c r="K11" s="302"/>
      <c r="L11" s="303"/>
    </row>
    <row r="12" spans="1:12" s="70" customFormat="1" ht="92.25" hidden="1" customHeight="1" x14ac:dyDescent="0.3">
      <c r="A12" s="363" t="s">
        <v>92</v>
      </c>
      <c r="B12" s="316" t="s">
        <v>87</v>
      </c>
      <c r="C12" s="424" t="s">
        <v>93</v>
      </c>
      <c r="D12" s="439" t="s">
        <v>125</v>
      </c>
      <c r="E12" s="443"/>
      <c r="F12" s="443"/>
      <c r="G12" s="440"/>
      <c r="H12" s="69">
        <f>H13+H14</f>
        <v>0</v>
      </c>
      <c r="I12" s="69">
        <f>I13+I14</f>
        <v>0</v>
      </c>
      <c r="J12" s="69">
        <f>J13+J14</f>
        <v>0</v>
      </c>
      <c r="K12" s="69">
        <f>K13+K14</f>
        <v>0</v>
      </c>
      <c r="L12" s="274" t="s">
        <v>242</v>
      </c>
    </row>
    <row r="13" spans="1:12" ht="92.25" hidden="1" customHeight="1" x14ac:dyDescent="0.3">
      <c r="A13" s="363"/>
      <c r="B13" s="316"/>
      <c r="C13" s="424"/>
      <c r="D13" s="71" t="s">
        <v>33</v>
      </c>
      <c r="E13" s="72" t="s">
        <v>58</v>
      </c>
      <c r="F13" s="344" t="s">
        <v>141</v>
      </c>
      <c r="G13" s="344" t="s">
        <v>147</v>
      </c>
      <c r="H13" s="69">
        <f>I13+J13+K13</f>
        <v>0</v>
      </c>
      <c r="I13" s="73"/>
      <c r="J13" s="73"/>
      <c r="K13" s="73"/>
      <c r="L13" s="298"/>
    </row>
    <row r="14" spans="1:12" ht="92.25" hidden="1" customHeight="1" x14ac:dyDescent="0.3">
      <c r="A14" s="363"/>
      <c r="B14" s="316"/>
      <c r="C14" s="424"/>
      <c r="D14" s="71" t="s">
        <v>33</v>
      </c>
      <c r="E14" s="72" t="s">
        <v>59</v>
      </c>
      <c r="F14" s="344"/>
      <c r="G14" s="344"/>
      <c r="H14" s="69">
        <f>I14+J14+K14</f>
        <v>0</v>
      </c>
      <c r="I14" s="73"/>
      <c r="J14" s="73"/>
      <c r="K14" s="73"/>
      <c r="L14" s="298"/>
    </row>
    <row r="15" spans="1:12" ht="75" customHeight="1" x14ac:dyDescent="0.3">
      <c r="A15" s="363"/>
      <c r="B15" s="316"/>
      <c r="C15" s="424" t="s">
        <v>171</v>
      </c>
      <c r="D15" s="439" t="s">
        <v>303</v>
      </c>
      <c r="E15" s="443"/>
      <c r="F15" s="443"/>
      <c r="G15" s="440"/>
      <c r="H15" s="69">
        <f>H16+H17</f>
        <v>16965.900000000001</v>
      </c>
      <c r="I15" s="69">
        <f>I16+I17</f>
        <v>5307.1</v>
      </c>
      <c r="J15" s="69">
        <f>J16+J17</f>
        <v>5707</v>
      </c>
      <c r="K15" s="69">
        <f>K16+K17</f>
        <v>5951.7999999999993</v>
      </c>
      <c r="L15" s="298"/>
    </row>
    <row r="16" spans="1:12" ht="61.5" customHeight="1" x14ac:dyDescent="0.3">
      <c r="A16" s="363"/>
      <c r="B16" s="316"/>
      <c r="C16" s="424"/>
      <c r="D16" s="71" t="s">
        <v>33</v>
      </c>
      <c r="E16" s="72" t="s">
        <v>58</v>
      </c>
      <c r="F16" s="344" t="s">
        <v>141</v>
      </c>
      <c r="G16" s="344" t="s">
        <v>166</v>
      </c>
      <c r="H16" s="69">
        <f>I16+J16+K16</f>
        <v>9141.7000000000007</v>
      </c>
      <c r="I16" s="73">
        <f>1567.4+1189</f>
        <v>2756.4</v>
      </c>
      <c r="J16" s="73">
        <v>3294.1</v>
      </c>
      <c r="K16" s="73">
        <v>3091.2</v>
      </c>
      <c r="L16" s="298"/>
    </row>
    <row r="17" spans="1:12" ht="61.5" customHeight="1" x14ac:dyDescent="0.3">
      <c r="A17" s="363"/>
      <c r="B17" s="316"/>
      <c r="C17" s="424"/>
      <c r="D17" s="71" t="s">
        <v>33</v>
      </c>
      <c r="E17" s="72" t="s">
        <v>59</v>
      </c>
      <c r="F17" s="344"/>
      <c r="G17" s="344"/>
      <c r="H17" s="69">
        <f>I17+J17+K17</f>
        <v>7824.2000000000007</v>
      </c>
      <c r="I17" s="73">
        <f>1484.3+1066.4</f>
        <v>2550.6999999999998</v>
      </c>
      <c r="J17" s="73">
        <v>2412.9</v>
      </c>
      <c r="K17" s="73">
        <v>2860.6</v>
      </c>
      <c r="L17" s="275"/>
    </row>
    <row r="18" spans="1:12" ht="75" customHeight="1" x14ac:dyDescent="0.3">
      <c r="A18" s="363"/>
      <c r="B18" s="316"/>
      <c r="C18" s="424" t="s">
        <v>196</v>
      </c>
      <c r="D18" s="439" t="s">
        <v>304</v>
      </c>
      <c r="E18" s="443"/>
      <c r="F18" s="443"/>
      <c r="G18" s="440"/>
      <c r="H18" s="74">
        <f>H19+H20</f>
        <v>1908.6</v>
      </c>
      <c r="I18" s="74">
        <f>I19+I20</f>
        <v>535.6</v>
      </c>
      <c r="J18" s="74">
        <f>J19+J20</f>
        <v>0</v>
      </c>
      <c r="K18" s="74">
        <f>K19+K20</f>
        <v>1373</v>
      </c>
      <c r="L18" s="271" t="s">
        <v>43</v>
      </c>
    </row>
    <row r="19" spans="1:12" ht="75" customHeight="1" x14ac:dyDescent="0.3">
      <c r="A19" s="363"/>
      <c r="B19" s="316"/>
      <c r="C19" s="424"/>
      <c r="D19" s="71" t="s">
        <v>30</v>
      </c>
      <c r="E19" s="72" t="s">
        <v>58</v>
      </c>
      <c r="F19" s="344" t="s">
        <v>141</v>
      </c>
      <c r="G19" s="344" t="s">
        <v>166</v>
      </c>
      <c r="H19" s="69">
        <f>I19+J19+K19</f>
        <v>741.3</v>
      </c>
      <c r="I19" s="73">
        <v>65.8</v>
      </c>
      <c r="J19" s="73">
        <v>0</v>
      </c>
      <c r="K19" s="73">
        <v>675.5</v>
      </c>
      <c r="L19" s="271"/>
    </row>
    <row r="20" spans="1:12" ht="75" customHeight="1" x14ac:dyDescent="0.3">
      <c r="A20" s="363"/>
      <c r="B20" s="316"/>
      <c r="C20" s="424"/>
      <c r="D20" s="71" t="s">
        <v>30</v>
      </c>
      <c r="E20" s="75" t="s">
        <v>59</v>
      </c>
      <c r="F20" s="344"/>
      <c r="G20" s="344"/>
      <c r="H20" s="69">
        <f>I20+J20+K20</f>
        <v>1167.3</v>
      </c>
      <c r="I20" s="73">
        <v>469.8</v>
      </c>
      <c r="J20" s="73">
        <v>0</v>
      </c>
      <c r="K20" s="73">
        <v>697.5</v>
      </c>
      <c r="L20" s="274"/>
    </row>
    <row r="21" spans="1:12" ht="72.75" customHeight="1" x14ac:dyDescent="0.3">
      <c r="A21" s="363"/>
      <c r="B21" s="316"/>
      <c r="C21" s="274" t="s">
        <v>222</v>
      </c>
      <c r="D21" s="439" t="s">
        <v>305</v>
      </c>
      <c r="E21" s="443"/>
      <c r="F21" s="443"/>
      <c r="G21" s="440"/>
      <c r="H21" s="69">
        <f>H22+H23</f>
        <v>2174</v>
      </c>
      <c r="I21" s="69">
        <f>I22+I23</f>
        <v>700</v>
      </c>
      <c r="J21" s="69">
        <f>J22+J23</f>
        <v>700</v>
      </c>
      <c r="K21" s="76">
        <f>K22+K23</f>
        <v>774</v>
      </c>
      <c r="L21" s="425" t="s">
        <v>287</v>
      </c>
    </row>
    <row r="22" spans="1:12" ht="92.25" hidden="1" customHeight="1" x14ac:dyDescent="0.3">
      <c r="A22" s="363"/>
      <c r="B22" s="316"/>
      <c r="C22" s="298"/>
      <c r="D22" s="71" t="s">
        <v>30</v>
      </c>
      <c r="E22" s="72" t="s">
        <v>58</v>
      </c>
      <c r="F22" s="344" t="s">
        <v>141</v>
      </c>
      <c r="G22" s="344" t="s">
        <v>166</v>
      </c>
      <c r="H22" s="69">
        <f>I22+J22+K22</f>
        <v>0</v>
      </c>
      <c r="I22" s="73"/>
      <c r="J22" s="73"/>
      <c r="K22" s="77"/>
      <c r="L22" s="426"/>
    </row>
    <row r="23" spans="1:12" ht="78.75" customHeight="1" x14ac:dyDescent="0.3">
      <c r="A23" s="363"/>
      <c r="B23" s="316"/>
      <c r="C23" s="275"/>
      <c r="D23" s="71" t="s">
        <v>30</v>
      </c>
      <c r="E23" s="75" t="s">
        <v>59</v>
      </c>
      <c r="F23" s="344"/>
      <c r="G23" s="344"/>
      <c r="H23" s="69">
        <f>I23+J23+K23</f>
        <v>2174</v>
      </c>
      <c r="I23" s="73">
        <v>700</v>
      </c>
      <c r="J23" s="73">
        <v>700</v>
      </c>
      <c r="K23" s="77">
        <v>774</v>
      </c>
      <c r="L23" s="426"/>
    </row>
    <row r="24" spans="1:12" ht="75" customHeight="1" x14ac:dyDescent="0.3">
      <c r="A24" s="363"/>
      <c r="B24" s="316"/>
      <c r="C24" s="274" t="s">
        <v>366</v>
      </c>
      <c r="D24" s="439" t="s">
        <v>306</v>
      </c>
      <c r="E24" s="443"/>
      <c r="F24" s="443"/>
      <c r="G24" s="440"/>
      <c r="H24" s="69">
        <f>H25+H26+H27</f>
        <v>757.40000000000009</v>
      </c>
      <c r="I24" s="69">
        <f>I25+I26+I27</f>
        <v>218.1</v>
      </c>
      <c r="J24" s="69">
        <f>J25+J26+J27</f>
        <v>300</v>
      </c>
      <c r="K24" s="69">
        <f>K25+K26+K27</f>
        <v>239.3</v>
      </c>
      <c r="L24" s="426"/>
    </row>
    <row r="25" spans="1:12" ht="77.25" customHeight="1" x14ac:dyDescent="0.3">
      <c r="A25" s="363"/>
      <c r="B25" s="316"/>
      <c r="C25" s="298"/>
      <c r="D25" s="71" t="s">
        <v>30</v>
      </c>
      <c r="E25" s="72" t="s">
        <v>58</v>
      </c>
      <c r="F25" s="344" t="s">
        <v>141</v>
      </c>
      <c r="G25" s="344" t="s">
        <v>147</v>
      </c>
      <c r="H25" s="69">
        <f>I25+J25+K25</f>
        <v>150</v>
      </c>
      <c r="I25" s="73">
        <v>0</v>
      </c>
      <c r="J25" s="73">
        <v>150</v>
      </c>
      <c r="K25" s="73">
        <v>0</v>
      </c>
      <c r="L25" s="426"/>
    </row>
    <row r="26" spans="1:12" ht="75" customHeight="1" x14ac:dyDescent="0.3">
      <c r="A26" s="363"/>
      <c r="B26" s="316"/>
      <c r="C26" s="298"/>
      <c r="D26" s="71" t="s">
        <v>30</v>
      </c>
      <c r="E26" s="75" t="s">
        <v>59</v>
      </c>
      <c r="F26" s="344"/>
      <c r="G26" s="344"/>
      <c r="H26" s="69">
        <f>I26+J26+K26</f>
        <v>607.40000000000009</v>
      </c>
      <c r="I26" s="73">
        <v>218.1</v>
      </c>
      <c r="J26" s="73">
        <v>150</v>
      </c>
      <c r="K26" s="73">
        <v>239.3</v>
      </c>
      <c r="L26" s="426"/>
    </row>
    <row r="27" spans="1:12" ht="112.5" hidden="1" customHeight="1" x14ac:dyDescent="0.3">
      <c r="A27" s="363"/>
      <c r="B27" s="316"/>
      <c r="C27" s="275"/>
      <c r="D27" s="71" t="s">
        <v>30</v>
      </c>
      <c r="E27" s="75" t="s">
        <v>148</v>
      </c>
      <c r="F27" s="344"/>
      <c r="G27" s="344"/>
      <c r="H27" s="69">
        <f>I27+J27+K27</f>
        <v>0</v>
      </c>
      <c r="I27" s="73"/>
      <c r="J27" s="73"/>
      <c r="K27" s="73"/>
      <c r="L27" s="426"/>
    </row>
    <row r="28" spans="1:12" ht="69.75" customHeight="1" x14ac:dyDescent="0.3">
      <c r="A28" s="363"/>
      <c r="B28" s="316"/>
      <c r="C28" s="274" t="s">
        <v>367</v>
      </c>
      <c r="D28" s="439" t="s">
        <v>307</v>
      </c>
      <c r="E28" s="443"/>
      <c r="F28" s="443"/>
      <c r="G28" s="440"/>
      <c r="H28" s="69">
        <f>H29+H30</f>
        <v>135.19999999999999</v>
      </c>
      <c r="I28" s="69">
        <f>I29+I30</f>
        <v>42.5</v>
      </c>
      <c r="J28" s="69">
        <f>J29+J30</f>
        <v>42.5</v>
      </c>
      <c r="K28" s="69">
        <f>K29+K30</f>
        <v>50.2</v>
      </c>
      <c r="L28" s="426"/>
    </row>
    <row r="29" spans="1:12" ht="75" customHeight="1" x14ac:dyDescent="0.3">
      <c r="A29" s="363"/>
      <c r="B29" s="316"/>
      <c r="C29" s="298"/>
      <c r="D29" s="71" t="s">
        <v>30</v>
      </c>
      <c r="E29" s="72" t="s">
        <v>58</v>
      </c>
      <c r="F29" s="344" t="s">
        <v>141</v>
      </c>
      <c r="G29" s="344" t="s">
        <v>166</v>
      </c>
      <c r="H29" s="69">
        <f>I29+J29+K29</f>
        <v>51.9</v>
      </c>
      <c r="I29" s="73">
        <v>12.6</v>
      </c>
      <c r="J29" s="73">
        <v>12.6</v>
      </c>
      <c r="K29" s="73">
        <v>26.7</v>
      </c>
      <c r="L29" s="426"/>
    </row>
    <row r="30" spans="1:12" ht="94.5" customHeight="1" x14ac:dyDescent="0.3">
      <c r="A30" s="363"/>
      <c r="B30" s="316"/>
      <c r="C30" s="275"/>
      <c r="D30" s="71" t="s">
        <v>30</v>
      </c>
      <c r="E30" s="75" t="s">
        <v>59</v>
      </c>
      <c r="F30" s="344"/>
      <c r="G30" s="344"/>
      <c r="H30" s="69">
        <f>I30+J30+K30</f>
        <v>83.3</v>
      </c>
      <c r="I30" s="73">
        <v>29.9</v>
      </c>
      <c r="J30" s="73">
        <v>29.9</v>
      </c>
      <c r="K30" s="73">
        <v>23.5</v>
      </c>
      <c r="L30" s="426"/>
    </row>
    <row r="31" spans="1:12" s="65" customFormat="1" ht="75" customHeight="1" x14ac:dyDescent="0.2">
      <c r="A31" s="423"/>
      <c r="B31" s="423"/>
      <c r="C31" s="423"/>
      <c r="D31" s="423"/>
      <c r="E31" s="301" t="s">
        <v>114</v>
      </c>
      <c r="F31" s="302"/>
      <c r="G31" s="303"/>
      <c r="H31" s="74">
        <f>H32+H33+H34</f>
        <v>21941.1</v>
      </c>
      <c r="I31" s="74">
        <f>I32+I33+I34</f>
        <v>6803.3</v>
      </c>
      <c r="J31" s="74">
        <f>J32+J33+J34</f>
        <v>6749.5</v>
      </c>
      <c r="K31" s="74">
        <f>K32+K33+K34</f>
        <v>8388.2999999999993</v>
      </c>
      <c r="L31" s="426"/>
    </row>
    <row r="32" spans="1:12" s="65" customFormat="1" ht="75" customHeight="1" x14ac:dyDescent="0.2">
      <c r="A32" s="423"/>
      <c r="B32" s="423"/>
      <c r="C32" s="423"/>
      <c r="D32" s="423"/>
      <c r="E32" s="72" t="s">
        <v>58</v>
      </c>
      <c r="F32" s="344" t="s">
        <v>141</v>
      </c>
      <c r="G32" s="423" t="s">
        <v>166</v>
      </c>
      <c r="H32" s="74">
        <f>H13+H16+H19+H25+H29+H22</f>
        <v>10084.9</v>
      </c>
      <c r="I32" s="74">
        <f t="shared" ref="I32:J33" si="0">I13+I16+I19+I25+I29+I22</f>
        <v>2834.8</v>
      </c>
      <c r="J32" s="74">
        <f t="shared" si="0"/>
        <v>3456.7</v>
      </c>
      <c r="K32" s="74">
        <f>K13+K16+K19+K25+K29+K22</f>
        <v>3793.3999999999996</v>
      </c>
      <c r="L32" s="426"/>
    </row>
    <row r="33" spans="1:12" s="65" customFormat="1" ht="75" customHeight="1" x14ac:dyDescent="0.2">
      <c r="A33" s="423"/>
      <c r="B33" s="423"/>
      <c r="C33" s="423"/>
      <c r="D33" s="423"/>
      <c r="E33" s="78" t="s">
        <v>59</v>
      </c>
      <c r="F33" s="344"/>
      <c r="G33" s="423"/>
      <c r="H33" s="74">
        <f>H14+H17+H20+H26+H30+H23</f>
        <v>11856.199999999999</v>
      </c>
      <c r="I33" s="74">
        <f t="shared" si="0"/>
        <v>3968.5</v>
      </c>
      <c r="J33" s="74">
        <f t="shared" si="0"/>
        <v>3292.8</v>
      </c>
      <c r="K33" s="74">
        <f>K14+K17+K20+K26+K30+K23</f>
        <v>4594.8999999999996</v>
      </c>
      <c r="L33" s="426"/>
    </row>
    <row r="34" spans="1:12" s="65" customFormat="1" ht="75" hidden="1" customHeight="1" x14ac:dyDescent="0.2">
      <c r="A34" s="423"/>
      <c r="B34" s="423"/>
      <c r="C34" s="423"/>
      <c r="D34" s="423"/>
      <c r="E34" s="75" t="s">
        <v>148</v>
      </c>
      <c r="F34" s="344"/>
      <c r="G34" s="423"/>
      <c r="H34" s="74">
        <f>H27</f>
        <v>0</v>
      </c>
      <c r="I34" s="74">
        <f>I27</f>
        <v>0</v>
      </c>
      <c r="J34" s="74">
        <f>J27</f>
        <v>0</v>
      </c>
      <c r="K34" s="74">
        <f>K27</f>
        <v>0</v>
      </c>
      <c r="L34" s="427"/>
    </row>
    <row r="35" spans="1:12" s="65" customFormat="1" ht="92.25" hidden="1" customHeight="1" x14ac:dyDescent="0.2">
      <c r="A35" s="79" t="s">
        <v>96</v>
      </c>
      <c r="B35" s="316" t="s">
        <v>88</v>
      </c>
      <c r="C35" s="413" t="s">
        <v>94</v>
      </c>
      <c r="D35" s="340" t="s">
        <v>126</v>
      </c>
      <c r="E35" s="340"/>
      <c r="F35" s="340"/>
      <c r="G35" s="340"/>
      <c r="H35" s="74">
        <f>H36+H37+H38+H39+H40</f>
        <v>0</v>
      </c>
      <c r="I35" s="74">
        <f>I36+I37+I38+I39+I40</f>
        <v>0</v>
      </c>
      <c r="J35" s="74">
        <f>J36+J37+J38+J39+J40</f>
        <v>0</v>
      </c>
      <c r="K35" s="74">
        <f>K36+K37+K38+K39+K40</f>
        <v>0</v>
      </c>
      <c r="L35" s="271" t="s">
        <v>127</v>
      </c>
    </row>
    <row r="36" spans="1:12" s="65" customFormat="1" ht="92.25" hidden="1" customHeight="1" x14ac:dyDescent="0.2">
      <c r="A36" s="80"/>
      <c r="B36" s="316"/>
      <c r="C36" s="413"/>
      <c r="D36" s="71" t="s">
        <v>26</v>
      </c>
      <c r="E36" s="72" t="s">
        <v>60</v>
      </c>
      <c r="F36" s="411" t="s">
        <v>141</v>
      </c>
      <c r="G36" s="344" t="s">
        <v>147</v>
      </c>
      <c r="H36" s="73">
        <f>I36+J36+K36</f>
        <v>0</v>
      </c>
      <c r="I36" s="73"/>
      <c r="J36" s="73"/>
      <c r="K36" s="73"/>
      <c r="L36" s="271"/>
    </row>
    <row r="37" spans="1:12" s="65" customFormat="1" ht="92.25" hidden="1" customHeight="1" x14ac:dyDescent="0.2">
      <c r="A37" s="80"/>
      <c r="B37" s="316"/>
      <c r="C37" s="413"/>
      <c r="D37" s="71" t="s">
        <v>26</v>
      </c>
      <c r="E37" s="72" t="s">
        <v>54</v>
      </c>
      <c r="F37" s="411"/>
      <c r="G37" s="344"/>
      <c r="H37" s="73">
        <f>I37+J37+K37</f>
        <v>0</v>
      </c>
      <c r="I37" s="73"/>
      <c r="J37" s="73"/>
      <c r="K37" s="73"/>
      <c r="L37" s="271"/>
    </row>
    <row r="38" spans="1:12" s="65" customFormat="1" ht="92.25" hidden="1" customHeight="1" x14ac:dyDescent="0.2">
      <c r="A38" s="80"/>
      <c r="B38" s="316"/>
      <c r="C38" s="413"/>
      <c r="D38" s="71" t="s">
        <v>26</v>
      </c>
      <c r="E38" s="72" t="s">
        <v>55</v>
      </c>
      <c r="F38" s="411"/>
      <c r="G38" s="344"/>
      <c r="H38" s="73">
        <f>I38+J38+K38</f>
        <v>0</v>
      </c>
      <c r="I38" s="73"/>
      <c r="J38" s="73"/>
      <c r="K38" s="73"/>
      <c r="L38" s="271"/>
    </row>
    <row r="39" spans="1:12" s="65" customFormat="1" ht="92.25" hidden="1" customHeight="1" x14ac:dyDescent="0.2">
      <c r="A39" s="80"/>
      <c r="B39" s="316"/>
      <c r="C39" s="413"/>
      <c r="D39" s="71" t="s">
        <v>26</v>
      </c>
      <c r="E39" s="72" t="s">
        <v>53</v>
      </c>
      <c r="F39" s="411"/>
      <c r="G39" s="344"/>
      <c r="H39" s="73">
        <f>I39+J39+K39</f>
        <v>0</v>
      </c>
      <c r="I39" s="73"/>
      <c r="J39" s="73"/>
      <c r="K39" s="73"/>
      <c r="L39" s="271"/>
    </row>
    <row r="40" spans="1:12" s="65" customFormat="1" ht="92.25" hidden="1" customHeight="1" x14ac:dyDescent="0.2">
      <c r="A40" s="80"/>
      <c r="B40" s="316"/>
      <c r="C40" s="413"/>
      <c r="D40" s="71" t="s">
        <v>26</v>
      </c>
      <c r="E40" s="72" t="s">
        <v>148</v>
      </c>
      <c r="F40" s="411"/>
      <c r="G40" s="344"/>
      <c r="H40" s="73">
        <f>I40+J40+K40</f>
        <v>0</v>
      </c>
      <c r="I40" s="73"/>
      <c r="J40" s="73"/>
      <c r="K40" s="73"/>
      <c r="L40" s="72"/>
    </row>
    <row r="41" spans="1:12" s="81" customFormat="1" ht="75" customHeight="1" x14ac:dyDescent="0.2">
      <c r="A41" s="442"/>
      <c r="B41" s="316"/>
      <c r="C41" s="413" t="s">
        <v>153</v>
      </c>
      <c r="D41" s="340" t="s">
        <v>308</v>
      </c>
      <c r="E41" s="340"/>
      <c r="F41" s="340"/>
      <c r="G41" s="340"/>
      <c r="H41" s="69">
        <f>SUM(H42:H46)</f>
        <v>136695.69999999998</v>
      </c>
      <c r="I41" s="69">
        <f>SUM(I42:I46)</f>
        <v>42367.7</v>
      </c>
      <c r="J41" s="69">
        <f>SUM(J42:J46)</f>
        <v>46813.700000000004</v>
      </c>
      <c r="K41" s="69">
        <f>SUM(K42:K46)</f>
        <v>47514.3</v>
      </c>
      <c r="L41" s="271" t="s">
        <v>242</v>
      </c>
    </row>
    <row r="42" spans="1:12" ht="75" customHeight="1" x14ac:dyDescent="0.3">
      <c r="A42" s="442"/>
      <c r="B42" s="316"/>
      <c r="C42" s="413"/>
      <c r="D42" s="71" t="s">
        <v>26</v>
      </c>
      <c r="E42" s="72" t="s">
        <v>60</v>
      </c>
      <c r="F42" s="344" t="s">
        <v>141</v>
      </c>
      <c r="G42" s="344" t="s">
        <v>166</v>
      </c>
      <c r="H42" s="69">
        <f t="shared" ref="H42:H50" si="1">I42+J42+K42</f>
        <v>25397.300000000003</v>
      </c>
      <c r="I42" s="73">
        <v>7485</v>
      </c>
      <c r="J42" s="73">
        <v>8818.7000000000007</v>
      </c>
      <c r="K42" s="73">
        <v>9093.6</v>
      </c>
      <c r="L42" s="271"/>
    </row>
    <row r="43" spans="1:12" ht="75" customHeight="1" x14ac:dyDescent="0.3">
      <c r="A43" s="442"/>
      <c r="B43" s="316"/>
      <c r="C43" s="413"/>
      <c r="D43" s="71" t="s">
        <v>26</v>
      </c>
      <c r="E43" s="72" t="s">
        <v>54</v>
      </c>
      <c r="F43" s="344"/>
      <c r="G43" s="344"/>
      <c r="H43" s="69">
        <f t="shared" si="1"/>
        <v>29086.799999999999</v>
      </c>
      <c r="I43" s="73">
        <v>9899.7000000000007</v>
      </c>
      <c r="J43" s="73">
        <v>10433.299999999999</v>
      </c>
      <c r="K43" s="73">
        <v>8753.7999999999993</v>
      </c>
      <c r="L43" s="271"/>
    </row>
    <row r="44" spans="1:12" s="65" customFormat="1" ht="75" customHeight="1" x14ac:dyDescent="0.2">
      <c r="A44" s="442"/>
      <c r="B44" s="316"/>
      <c r="C44" s="413"/>
      <c r="D44" s="71" t="s">
        <v>26</v>
      </c>
      <c r="E44" s="72" t="s">
        <v>55</v>
      </c>
      <c r="F44" s="344"/>
      <c r="G44" s="344"/>
      <c r="H44" s="69">
        <f t="shared" si="1"/>
        <v>39592.199999999997</v>
      </c>
      <c r="I44" s="73">
        <v>11953.3</v>
      </c>
      <c r="J44" s="73">
        <v>13128.7</v>
      </c>
      <c r="K44" s="73">
        <v>14510.2</v>
      </c>
      <c r="L44" s="271"/>
    </row>
    <row r="45" spans="1:12" s="65" customFormat="1" ht="75" customHeight="1" x14ac:dyDescent="0.2">
      <c r="A45" s="442"/>
      <c r="B45" s="316"/>
      <c r="C45" s="413"/>
      <c r="D45" s="71" t="s">
        <v>26</v>
      </c>
      <c r="E45" s="72" t="s">
        <v>53</v>
      </c>
      <c r="F45" s="344"/>
      <c r="G45" s="344"/>
      <c r="H45" s="69">
        <f t="shared" si="1"/>
        <v>28245.899999999998</v>
      </c>
      <c r="I45" s="73">
        <v>8736</v>
      </c>
      <c r="J45" s="73">
        <v>9426.6</v>
      </c>
      <c r="K45" s="73">
        <v>10083.299999999999</v>
      </c>
      <c r="L45" s="271"/>
    </row>
    <row r="46" spans="1:12" s="65" customFormat="1" ht="75" customHeight="1" x14ac:dyDescent="0.2">
      <c r="A46" s="442"/>
      <c r="B46" s="316"/>
      <c r="C46" s="413"/>
      <c r="D46" s="71" t="s">
        <v>26</v>
      </c>
      <c r="E46" s="72" t="s">
        <v>148</v>
      </c>
      <c r="F46" s="344"/>
      <c r="G46" s="344"/>
      <c r="H46" s="69">
        <f t="shared" si="1"/>
        <v>14373.499999999998</v>
      </c>
      <c r="I46" s="73">
        <v>4293.7</v>
      </c>
      <c r="J46" s="73">
        <v>5006.3999999999996</v>
      </c>
      <c r="K46" s="73">
        <v>5073.3999999999996</v>
      </c>
      <c r="L46" s="271"/>
    </row>
    <row r="47" spans="1:12" ht="107.25" customHeight="1" x14ac:dyDescent="0.3">
      <c r="A47" s="442"/>
      <c r="B47" s="316"/>
      <c r="C47" s="82" t="s">
        <v>172</v>
      </c>
      <c r="D47" s="83" t="s">
        <v>26</v>
      </c>
      <c r="E47" s="72" t="s">
        <v>60</v>
      </c>
      <c r="F47" s="84" t="s">
        <v>141</v>
      </c>
      <c r="G47" s="84" t="s">
        <v>166</v>
      </c>
      <c r="H47" s="69">
        <f t="shared" si="1"/>
        <v>989.7</v>
      </c>
      <c r="I47" s="73">
        <v>318.7</v>
      </c>
      <c r="J47" s="73">
        <v>318.7</v>
      </c>
      <c r="K47" s="73">
        <v>352.3</v>
      </c>
      <c r="L47" s="85" t="s">
        <v>46</v>
      </c>
    </row>
    <row r="48" spans="1:12" s="65" customFormat="1" ht="197.25" customHeight="1" x14ac:dyDescent="0.2">
      <c r="A48" s="442"/>
      <c r="B48" s="316"/>
      <c r="C48" s="86" t="s">
        <v>290</v>
      </c>
      <c r="D48" s="71" t="s">
        <v>26</v>
      </c>
      <c r="E48" s="72" t="s">
        <v>55</v>
      </c>
      <c r="F48" s="84" t="s">
        <v>141</v>
      </c>
      <c r="G48" s="84" t="s">
        <v>166</v>
      </c>
      <c r="H48" s="69">
        <f t="shared" si="1"/>
        <v>201.7</v>
      </c>
      <c r="I48" s="73">
        <v>201.7</v>
      </c>
      <c r="J48" s="73">
        <v>0</v>
      </c>
      <c r="K48" s="73">
        <v>0</v>
      </c>
      <c r="L48" s="85" t="s">
        <v>173</v>
      </c>
    </row>
    <row r="49" spans="1:12" ht="300" customHeight="1" x14ac:dyDescent="0.3">
      <c r="A49" s="442"/>
      <c r="B49" s="316"/>
      <c r="C49" s="87" t="s">
        <v>291</v>
      </c>
      <c r="D49" s="83" t="s">
        <v>30</v>
      </c>
      <c r="E49" s="72" t="s">
        <v>54</v>
      </c>
      <c r="F49" s="84" t="s">
        <v>141</v>
      </c>
      <c r="G49" s="84" t="s">
        <v>167</v>
      </c>
      <c r="H49" s="69">
        <f t="shared" si="1"/>
        <v>6596.4</v>
      </c>
      <c r="I49" s="88">
        <v>2124</v>
      </c>
      <c r="J49" s="73">
        <v>2124</v>
      </c>
      <c r="K49" s="88">
        <v>2348.4</v>
      </c>
      <c r="L49" s="85" t="s">
        <v>130</v>
      </c>
    </row>
    <row r="50" spans="1:12" ht="254.25" customHeight="1" x14ac:dyDescent="0.3">
      <c r="A50" s="442"/>
      <c r="B50" s="316"/>
      <c r="C50" s="89" t="s">
        <v>441</v>
      </c>
      <c r="D50" s="83" t="s">
        <v>26</v>
      </c>
      <c r="E50" s="72" t="s">
        <v>53</v>
      </c>
      <c r="F50" s="84" t="s">
        <v>141</v>
      </c>
      <c r="G50" s="84" t="s">
        <v>168</v>
      </c>
      <c r="H50" s="69">
        <f t="shared" si="1"/>
        <v>6331.9</v>
      </c>
      <c r="I50" s="73">
        <f>2138.5+50.4</f>
        <v>2188.9</v>
      </c>
      <c r="J50" s="73">
        <f>2480.4+8.5</f>
        <v>2488.9</v>
      </c>
      <c r="K50" s="73">
        <v>1654.1</v>
      </c>
      <c r="L50" s="90" t="s">
        <v>442</v>
      </c>
    </row>
    <row r="51" spans="1:12" ht="47.25" customHeight="1" x14ac:dyDescent="0.3">
      <c r="A51" s="442"/>
      <c r="B51" s="316"/>
      <c r="C51" s="272" t="s">
        <v>292</v>
      </c>
      <c r="D51" s="340" t="s">
        <v>310</v>
      </c>
      <c r="E51" s="340"/>
      <c r="F51" s="340"/>
      <c r="G51" s="340"/>
      <c r="H51" s="69">
        <f>SUM(H52:H57)</f>
        <v>9512.7999999999993</v>
      </c>
      <c r="I51" s="69">
        <f>SUM(I52:I57)</f>
        <v>4107.6000000000004</v>
      </c>
      <c r="J51" s="69">
        <f>SUM(J52:J57)</f>
        <v>5305.2</v>
      </c>
      <c r="K51" s="69">
        <f>SUM(K52:K57)</f>
        <v>100</v>
      </c>
      <c r="L51" s="272" t="s">
        <v>236</v>
      </c>
    </row>
    <row r="52" spans="1:12" ht="60" hidden="1" customHeight="1" x14ac:dyDescent="0.3">
      <c r="A52" s="442"/>
      <c r="B52" s="316"/>
      <c r="C52" s="353"/>
      <c r="D52" s="71" t="s">
        <v>26</v>
      </c>
      <c r="E52" s="72" t="s">
        <v>53</v>
      </c>
      <c r="F52" s="285" t="s">
        <v>141</v>
      </c>
      <c r="G52" s="285" t="s">
        <v>168</v>
      </c>
      <c r="H52" s="69">
        <f t="shared" ref="H52:H57" si="2">I52+J52+K52</f>
        <v>0</v>
      </c>
      <c r="I52" s="73"/>
      <c r="J52" s="73">
        <v>0</v>
      </c>
      <c r="K52" s="73">
        <v>0</v>
      </c>
      <c r="L52" s="353"/>
    </row>
    <row r="53" spans="1:12" ht="43.5" customHeight="1" x14ac:dyDescent="0.3">
      <c r="A53" s="442"/>
      <c r="B53" s="316"/>
      <c r="C53" s="353"/>
      <c r="D53" s="71" t="s">
        <v>26</v>
      </c>
      <c r="E53" s="72" t="s">
        <v>54</v>
      </c>
      <c r="F53" s="286"/>
      <c r="G53" s="286"/>
      <c r="H53" s="69">
        <f t="shared" si="2"/>
        <v>3838.4</v>
      </c>
      <c r="I53" s="73">
        <v>3838.4</v>
      </c>
      <c r="J53" s="73">
        <v>0</v>
      </c>
      <c r="K53" s="73">
        <v>0</v>
      </c>
      <c r="L53" s="353"/>
    </row>
    <row r="54" spans="1:12" ht="57" customHeight="1" x14ac:dyDescent="0.3">
      <c r="A54" s="442"/>
      <c r="B54" s="316"/>
      <c r="C54" s="353"/>
      <c r="D54" s="71" t="s">
        <v>30</v>
      </c>
      <c r="E54" s="72" t="s">
        <v>60</v>
      </c>
      <c r="F54" s="286"/>
      <c r="G54" s="286"/>
      <c r="H54" s="69">
        <f t="shared" si="2"/>
        <v>300</v>
      </c>
      <c r="I54" s="73">
        <v>100</v>
      </c>
      <c r="J54" s="73">
        <v>100</v>
      </c>
      <c r="K54" s="73">
        <v>100</v>
      </c>
      <c r="L54" s="353"/>
    </row>
    <row r="55" spans="1:12" ht="57" customHeight="1" x14ac:dyDescent="0.3">
      <c r="A55" s="442"/>
      <c r="B55" s="316"/>
      <c r="C55" s="353"/>
      <c r="D55" s="71" t="s">
        <v>26</v>
      </c>
      <c r="E55" s="72" t="s">
        <v>60</v>
      </c>
      <c r="F55" s="286"/>
      <c r="G55" s="286"/>
      <c r="H55" s="69">
        <f t="shared" si="2"/>
        <v>3985.6</v>
      </c>
      <c r="I55" s="73">
        <v>0</v>
      </c>
      <c r="J55" s="73">
        <v>3985.6</v>
      </c>
      <c r="K55" s="73">
        <v>0</v>
      </c>
      <c r="L55" s="353"/>
    </row>
    <row r="56" spans="1:12" ht="57" customHeight="1" x14ac:dyDescent="0.3">
      <c r="A56" s="442"/>
      <c r="B56" s="316"/>
      <c r="C56" s="353"/>
      <c r="D56" s="71" t="s">
        <v>26</v>
      </c>
      <c r="E56" s="72" t="s">
        <v>148</v>
      </c>
      <c r="F56" s="286"/>
      <c r="G56" s="286"/>
      <c r="H56" s="69">
        <f t="shared" si="2"/>
        <v>388.79999999999995</v>
      </c>
      <c r="I56" s="73">
        <f>219.6-50.4</f>
        <v>169.2</v>
      </c>
      <c r="J56" s="73">
        <v>219.6</v>
      </c>
      <c r="K56" s="73">
        <v>0</v>
      </c>
      <c r="L56" s="273"/>
    </row>
    <row r="57" spans="1:12" ht="119.25" customHeight="1" x14ac:dyDescent="0.3">
      <c r="A57" s="442"/>
      <c r="B57" s="316"/>
      <c r="C57" s="273"/>
      <c r="D57" s="71" t="s">
        <v>30</v>
      </c>
      <c r="E57" s="72" t="s">
        <v>143</v>
      </c>
      <c r="F57" s="287"/>
      <c r="G57" s="287"/>
      <c r="H57" s="69">
        <f t="shared" si="2"/>
        <v>1000</v>
      </c>
      <c r="I57" s="73">
        <v>0</v>
      </c>
      <c r="J57" s="73">
        <v>1000</v>
      </c>
      <c r="K57" s="73">
        <v>0</v>
      </c>
      <c r="L57" s="91" t="s">
        <v>421</v>
      </c>
    </row>
    <row r="58" spans="1:12" ht="106.5" customHeight="1" x14ac:dyDescent="0.3">
      <c r="A58" s="442"/>
      <c r="B58" s="316"/>
      <c r="C58" s="89" t="s">
        <v>293</v>
      </c>
      <c r="D58" s="340" t="s">
        <v>309</v>
      </c>
      <c r="E58" s="340"/>
      <c r="F58" s="340"/>
      <c r="G58" s="340"/>
      <c r="H58" s="69">
        <f>H59+H61+H60</f>
        <v>3400</v>
      </c>
      <c r="I58" s="69">
        <f>I59+I61+I60</f>
        <v>1200</v>
      </c>
      <c r="J58" s="69">
        <f t="shared" ref="J58:K58" si="3">J59+J61+J60</f>
        <v>2200</v>
      </c>
      <c r="K58" s="69">
        <f t="shared" si="3"/>
        <v>0</v>
      </c>
      <c r="L58" s="92" t="s">
        <v>241</v>
      </c>
    </row>
    <row r="59" spans="1:12" ht="117" customHeight="1" x14ac:dyDescent="0.3">
      <c r="A59" s="442"/>
      <c r="B59" s="316"/>
      <c r="C59" s="272" t="s">
        <v>294</v>
      </c>
      <c r="D59" s="83" t="s">
        <v>26</v>
      </c>
      <c r="E59" s="72" t="s">
        <v>60</v>
      </c>
      <c r="F59" s="344" t="s">
        <v>141</v>
      </c>
      <c r="G59" s="84" t="s">
        <v>168</v>
      </c>
      <c r="H59" s="69">
        <f>I59+J59+K59</f>
        <v>2000</v>
      </c>
      <c r="I59" s="73">
        <v>1000</v>
      </c>
      <c r="J59" s="73">
        <v>1000</v>
      </c>
      <c r="K59" s="73">
        <v>0</v>
      </c>
      <c r="L59" s="272" t="s">
        <v>288</v>
      </c>
    </row>
    <row r="60" spans="1:12" ht="117" customHeight="1" x14ac:dyDescent="0.3">
      <c r="A60" s="442"/>
      <c r="B60" s="316"/>
      <c r="C60" s="273"/>
      <c r="D60" s="83" t="s">
        <v>26</v>
      </c>
      <c r="E60" s="72" t="s">
        <v>148</v>
      </c>
      <c r="F60" s="344"/>
      <c r="G60" s="84" t="s">
        <v>168</v>
      </c>
      <c r="H60" s="69">
        <f>I60+J60+K60</f>
        <v>1000</v>
      </c>
      <c r="I60" s="73">
        <v>0</v>
      </c>
      <c r="J60" s="73">
        <v>1000</v>
      </c>
      <c r="K60" s="73">
        <v>0</v>
      </c>
      <c r="L60" s="273"/>
    </row>
    <row r="61" spans="1:12" ht="175.5" customHeight="1" x14ac:dyDescent="0.3">
      <c r="A61" s="442"/>
      <c r="B61" s="316"/>
      <c r="C61" s="89" t="s">
        <v>296</v>
      </c>
      <c r="D61" s="83" t="s">
        <v>26</v>
      </c>
      <c r="E61" s="72" t="s">
        <v>55</v>
      </c>
      <c r="F61" s="344"/>
      <c r="G61" s="84" t="s">
        <v>168</v>
      </c>
      <c r="H61" s="69">
        <f>I61+J61+K61</f>
        <v>400</v>
      </c>
      <c r="I61" s="73">
        <v>200</v>
      </c>
      <c r="J61" s="73">
        <v>200</v>
      </c>
      <c r="K61" s="73">
        <v>0</v>
      </c>
      <c r="L61" s="92" t="s">
        <v>149</v>
      </c>
    </row>
    <row r="62" spans="1:12" ht="163.5" customHeight="1" x14ac:dyDescent="0.3">
      <c r="A62" s="442"/>
      <c r="B62" s="316"/>
      <c r="C62" s="89" t="s">
        <v>295</v>
      </c>
      <c r="D62" s="449" t="s">
        <v>311</v>
      </c>
      <c r="E62" s="449"/>
      <c r="F62" s="449"/>
      <c r="G62" s="449"/>
      <c r="H62" s="69">
        <f>SUM(H63:H65)</f>
        <v>4007.6</v>
      </c>
      <c r="I62" s="69">
        <f>SUM(I63:I65)</f>
        <v>653.29999999999995</v>
      </c>
      <c r="J62" s="69">
        <f>SUM(J63:J65)</f>
        <v>1593</v>
      </c>
      <c r="K62" s="69">
        <f>SUM(K63:K65)</f>
        <v>1761.3</v>
      </c>
      <c r="L62" s="92"/>
    </row>
    <row r="63" spans="1:12" ht="118.5" customHeight="1" x14ac:dyDescent="0.3">
      <c r="A63" s="442"/>
      <c r="B63" s="316"/>
      <c r="C63" s="89" t="s">
        <v>297</v>
      </c>
      <c r="D63" s="83" t="s">
        <v>26</v>
      </c>
      <c r="E63" s="72" t="s">
        <v>53</v>
      </c>
      <c r="F63" s="93" t="s">
        <v>141</v>
      </c>
      <c r="G63" s="84" t="s">
        <v>168</v>
      </c>
      <c r="H63" s="69">
        <f t="shared" ref="H63:H69" si="4">I63+J63+K63</f>
        <v>321</v>
      </c>
      <c r="I63" s="73">
        <v>93.6</v>
      </c>
      <c r="J63" s="73">
        <v>110</v>
      </c>
      <c r="K63" s="73">
        <v>117.4</v>
      </c>
      <c r="L63" s="90" t="s">
        <v>164</v>
      </c>
    </row>
    <row r="64" spans="1:12" ht="118.5" customHeight="1" x14ac:dyDescent="0.3">
      <c r="A64" s="442"/>
      <c r="B64" s="316"/>
      <c r="C64" s="89" t="s">
        <v>298</v>
      </c>
      <c r="D64" s="83" t="s">
        <v>26</v>
      </c>
      <c r="E64" s="72" t="s">
        <v>53</v>
      </c>
      <c r="F64" s="94"/>
      <c r="G64" s="84" t="s">
        <v>168</v>
      </c>
      <c r="H64" s="69">
        <f t="shared" si="4"/>
        <v>1221.0999999999999</v>
      </c>
      <c r="I64" s="73">
        <v>106.8</v>
      </c>
      <c r="J64" s="73">
        <v>527.20000000000005</v>
      </c>
      <c r="K64" s="73">
        <v>587.1</v>
      </c>
      <c r="L64" s="90" t="s">
        <v>165</v>
      </c>
    </row>
    <row r="65" spans="1:12" ht="154.5" customHeight="1" x14ac:dyDescent="0.3">
      <c r="A65" s="442"/>
      <c r="B65" s="316"/>
      <c r="C65" s="89" t="s">
        <v>299</v>
      </c>
      <c r="D65" s="83" t="s">
        <v>26</v>
      </c>
      <c r="E65" s="72" t="s">
        <v>53</v>
      </c>
      <c r="F65" s="94"/>
      <c r="G65" s="84" t="s">
        <v>168</v>
      </c>
      <c r="H65" s="69">
        <f t="shared" si="4"/>
        <v>2465.5</v>
      </c>
      <c r="I65" s="73">
        <f>504.2-51.3</f>
        <v>452.9</v>
      </c>
      <c r="J65" s="73">
        <v>955.8</v>
      </c>
      <c r="K65" s="73">
        <v>1056.8</v>
      </c>
      <c r="L65" s="90" t="s">
        <v>237</v>
      </c>
    </row>
    <row r="66" spans="1:12" ht="94.5" customHeight="1" x14ac:dyDescent="0.3">
      <c r="A66" s="442"/>
      <c r="B66" s="316"/>
      <c r="C66" s="272" t="s">
        <v>382</v>
      </c>
      <c r="D66" s="449" t="s">
        <v>453</v>
      </c>
      <c r="E66" s="449"/>
      <c r="F66" s="449"/>
      <c r="G66" s="449"/>
      <c r="H66" s="69">
        <f>SUM(H67:H69)</f>
        <v>5363.4</v>
      </c>
      <c r="I66" s="69">
        <f>SUM(I67:I69)</f>
        <v>1748.4</v>
      </c>
      <c r="J66" s="69">
        <f t="shared" ref="J66:K66" si="5">SUM(J67:J69)</f>
        <v>3615</v>
      </c>
      <c r="K66" s="69">
        <f t="shared" si="5"/>
        <v>0</v>
      </c>
      <c r="L66" s="90"/>
    </row>
    <row r="67" spans="1:12" ht="212.25" customHeight="1" x14ac:dyDescent="0.3">
      <c r="A67" s="442"/>
      <c r="B67" s="316"/>
      <c r="C67" s="353"/>
      <c r="D67" s="83" t="s">
        <v>26</v>
      </c>
      <c r="E67" s="72" t="s">
        <v>53</v>
      </c>
      <c r="F67" s="94"/>
      <c r="G67" s="285" t="s">
        <v>168</v>
      </c>
      <c r="H67" s="69">
        <f t="shared" si="4"/>
        <v>4618.3999999999996</v>
      </c>
      <c r="I67" s="73">
        <f>50+199.9+50+688.5+15</f>
        <v>1003.4</v>
      </c>
      <c r="J67" s="73">
        <f>600+15+3000</f>
        <v>3615</v>
      </c>
      <c r="K67" s="73">
        <v>0</v>
      </c>
      <c r="L67" s="90" t="s">
        <v>440</v>
      </c>
    </row>
    <row r="68" spans="1:12" ht="124.5" customHeight="1" x14ac:dyDescent="0.3">
      <c r="A68" s="442"/>
      <c r="B68" s="316"/>
      <c r="C68" s="353"/>
      <c r="D68" s="83" t="s">
        <v>26</v>
      </c>
      <c r="E68" s="72" t="s">
        <v>148</v>
      </c>
      <c r="F68" s="94"/>
      <c r="G68" s="287"/>
      <c r="H68" s="95">
        <f t="shared" si="4"/>
        <v>250</v>
      </c>
      <c r="I68" s="96">
        <f>200+50</f>
        <v>250</v>
      </c>
      <c r="J68" s="96">
        <v>0</v>
      </c>
      <c r="K68" s="96">
        <v>0</v>
      </c>
      <c r="L68" s="97" t="s">
        <v>432</v>
      </c>
    </row>
    <row r="69" spans="1:12" ht="124.5" customHeight="1" x14ac:dyDescent="0.3">
      <c r="A69" s="442"/>
      <c r="B69" s="316"/>
      <c r="C69" s="273"/>
      <c r="D69" s="83" t="s">
        <v>26</v>
      </c>
      <c r="E69" s="72" t="s">
        <v>148</v>
      </c>
      <c r="F69" s="98"/>
      <c r="G69" s="99" t="s">
        <v>452</v>
      </c>
      <c r="H69" s="95">
        <f t="shared" si="4"/>
        <v>495</v>
      </c>
      <c r="I69" s="96">
        <v>495</v>
      </c>
      <c r="J69" s="96">
        <v>0</v>
      </c>
      <c r="K69" s="96">
        <v>0</v>
      </c>
      <c r="L69" s="97" t="s">
        <v>454</v>
      </c>
    </row>
    <row r="70" spans="1:12" ht="69.75" customHeight="1" x14ac:dyDescent="0.3">
      <c r="A70" s="442"/>
      <c r="B70" s="316"/>
      <c r="C70" s="450" t="s">
        <v>399</v>
      </c>
      <c r="D70" s="340" t="s">
        <v>400</v>
      </c>
      <c r="E70" s="340"/>
      <c r="F70" s="340"/>
      <c r="G70" s="340"/>
      <c r="H70" s="95">
        <f>H71+H72</f>
        <v>2000</v>
      </c>
      <c r="I70" s="95">
        <f t="shared" ref="I70:K70" si="6">I71+I72</f>
        <v>1000</v>
      </c>
      <c r="J70" s="95">
        <f t="shared" si="6"/>
        <v>1000</v>
      </c>
      <c r="K70" s="95">
        <f t="shared" si="6"/>
        <v>0</v>
      </c>
      <c r="L70" s="97"/>
    </row>
    <row r="71" spans="1:12" ht="154.5" customHeight="1" x14ac:dyDescent="0.3">
      <c r="A71" s="442"/>
      <c r="B71" s="316"/>
      <c r="C71" s="451"/>
      <c r="D71" s="83" t="s">
        <v>26</v>
      </c>
      <c r="E71" s="72" t="s">
        <v>60</v>
      </c>
      <c r="F71" s="285" t="s">
        <v>141</v>
      </c>
      <c r="G71" s="84" t="s">
        <v>168</v>
      </c>
      <c r="H71" s="95">
        <f>I71+J71+K71</f>
        <v>1600</v>
      </c>
      <c r="I71" s="96">
        <v>800</v>
      </c>
      <c r="J71" s="96">
        <v>800</v>
      </c>
      <c r="K71" s="96">
        <v>0</v>
      </c>
      <c r="L71" s="272" t="s">
        <v>401</v>
      </c>
    </row>
    <row r="72" spans="1:12" ht="154.5" customHeight="1" x14ac:dyDescent="0.3">
      <c r="A72" s="442"/>
      <c r="B72" s="316"/>
      <c r="C72" s="452"/>
      <c r="D72" s="83" t="s">
        <v>26</v>
      </c>
      <c r="E72" s="72" t="s">
        <v>148</v>
      </c>
      <c r="F72" s="287"/>
      <c r="G72" s="84" t="s">
        <v>168</v>
      </c>
      <c r="H72" s="95">
        <f>I72+J72+K72</f>
        <v>400</v>
      </c>
      <c r="I72" s="96">
        <v>200</v>
      </c>
      <c r="J72" s="96">
        <v>200</v>
      </c>
      <c r="K72" s="96">
        <v>0</v>
      </c>
      <c r="L72" s="273"/>
    </row>
    <row r="73" spans="1:12" ht="209.25" customHeight="1" x14ac:dyDescent="0.3">
      <c r="A73" s="442"/>
      <c r="B73" s="316"/>
      <c r="C73" s="92" t="s">
        <v>422</v>
      </c>
      <c r="D73" s="83" t="s">
        <v>26</v>
      </c>
      <c r="E73" s="72" t="s">
        <v>53</v>
      </c>
      <c r="F73" s="84" t="s">
        <v>141</v>
      </c>
      <c r="G73" s="84" t="s">
        <v>168</v>
      </c>
      <c r="H73" s="69">
        <f>I73+J73+K73</f>
        <v>8119.9</v>
      </c>
      <c r="I73" s="96">
        <v>0</v>
      </c>
      <c r="J73" s="96">
        <v>8119.9</v>
      </c>
      <c r="K73" s="96">
        <v>0</v>
      </c>
      <c r="L73" s="100" t="s">
        <v>423</v>
      </c>
    </row>
    <row r="74" spans="1:12" ht="42" customHeight="1" x14ac:dyDescent="0.3">
      <c r="A74" s="442"/>
      <c r="B74" s="442"/>
      <c r="C74" s="442"/>
      <c r="D74" s="442"/>
      <c r="E74" s="348" t="s">
        <v>116</v>
      </c>
      <c r="F74" s="350"/>
      <c r="G74" s="101"/>
      <c r="H74" s="95">
        <f>SUM(H75:H76)</f>
        <v>183219.09999999998</v>
      </c>
      <c r="I74" s="95">
        <f t="shared" ref="I74:K74" si="7">SUM(I75:I76)</f>
        <v>55910.299999999996</v>
      </c>
      <c r="J74" s="95">
        <f t="shared" si="7"/>
        <v>73578.399999999994</v>
      </c>
      <c r="K74" s="95">
        <f t="shared" si="7"/>
        <v>53730.400000000009</v>
      </c>
      <c r="L74" s="453"/>
    </row>
    <row r="75" spans="1:12" ht="52.5" customHeight="1" x14ac:dyDescent="0.3">
      <c r="A75" s="442"/>
      <c r="B75" s="442"/>
      <c r="C75" s="442"/>
      <c r="D75" s="442"/>
      <c r="E75" s="444"/>
      <c r="F75" s="445"/>
      <c r="G75" s="84" t="s">
        <v>168</v>
      </c>
      <c r="H75" s="69">
        <f>H35+H41+H47+H49+H50+H51+H58+H48+H62+H67+H71+H72+H73+H68</f>
        <v>182724.09999999998</v>
      </c>
      <c r="I75" s="69">
        <f>I35+I41+I47+I49+I50+I51+I58+I48+I62+I67+I71+I72+I73+I68</f>
        <v>55415.299999999996</v>
      </c>
      <c r="J75" s="69">
        <f>J35+J41+J47+J49+J50+J51+J58+J48+J62+J67+J71+J72+J73+J68</f>
        <v>73578.399999999994</v>
      </c>
      <c r="K75" s="69">
        <f>K35+K41+K47+K49+K50+K51+K58+K48+K62+K67+K71+K72+K73+K68</f>
        <v>53730.400000000009</v>
      </c>
      <c r="L75" s="454"/>
    </row>
    <row r="76" spans="1:12" ht="52.5" customHeight="1" x14ac:dyDescent="0.3">
      <c r="A76" s="442"/>
      <c r="B76" s="442"/>
      <c r="C76" s="442"/>
      <c r="D76" s="442"/>
      <c r="E76" s="446"/>
      <c r="F76" s="447"/>
      <c r="G76" s="84" t="s">
        <v>452</v>
      </c>
      <c r="H76" s="95">
        <f>H69</f>
        <v>495</v>
      </c>
      <c r="I76" s="95">
        <f>I69</f>
        <v>495</v>
      </c>
      <c r="J76" s="95">
        <f t="shared" ref="J76:K76" si="8">J69</f>
        <v>0</v>
      </c>
      <c r="K76" s="95">
        <f t="shared" si="8"/>
        <v>0</v>
      </c>
      <c r="L76" s="454"/>
    </row>
    <row r="77" spans="1:12" ht="42" customHeight="1" x14ac:dyDescent="0.3">
      <c r="A77" s="442"/>
      <c r="B77" s="442"/>
      <c r="C77" s="442"/>
      <c r="D77" s="442"/>
      <c r="E77" s="439" t="s">
        <v>117</v>
      </c>
      <c r="F77" s="440"/>
      <c r="G77" s="84"/>
      <c r="H77" s="69"/>
      <c r="I77" s="96"/>
      <c r="J77" s="73"/>
      <c r="K77" s="73"/>
      <c r="L77" s="454"/>
    </row>
    <row r="78" spans="1:12" ht="57.75" customHeight="1" x14ac:dyDescent="0.3">
      <c r="A78" s="442"/>
      <c r="B78" s="442"/>
      <c r="C78" s="442"/>
      <c r="D78" s="442"/>
      <c r="E78" s="359" t="s">
        <v>60</v>
      </c>
      <c r="F78" s="360"/>
      <c r="G78" s="102" t="s">
        <v>70</v>
      </c>
      <c r="H78" s="69">
        <f>H79</f>
        <v>34272.600000000006</v>
      </c>
      <c r="I78" s="69">
        <f>I79</f>
        <v>9703.7000000000007</v>
      </c>
      <c r="J78" s="69">
        <f>J79</f>
        <v>15023.000000000002</v>
      </c>
      <c r="K78" s="69">
        <f>K79</f>
        <v>9545.9</v>
      </c>
      <c r="L78" s="454"/>
    </row>
    <row r="79" spans="1:12" ht="52.5" customHeight="1" x14ac:dyDescent="0.3">
      <c r="A79" s="442"/>
      <c r="B79" s="442"/>
      <c r="C79" s="442"/>
      <c r="D79" s="442"/>
      <c r="E79" s="410"/>
      <c r="F79" s="441"/>
      <c r="G79" s="84" t="s">
        <v>168</v>
      </c>
      <c r="H79" s="69">
        <f>H36+H42+H47+H54+H59+H71+H55</f>
        <v>34272.600000000006</v>
      </c>
      <c r="I79" s="69">
        <f>I36+I42+I47+I54+I59+I71+I55</f>
        <v>9703.7000000000007</v>
      </c>
      <c r="J79" s="69">
        <f>J36+J42+J47+J54+J59+J71+J55</f>
        <v>15023.000000000002</v>
      </c>
      <c r="K79" s="69">
        <f>K36+K42+K47+K54+K59+K71+K55</f>
        <v>9545.9</v>
      </c>
      <c r="L79" s="454"/>
    </row>
    <row r="80" spans="1:12" ht="51.75" customHeight="1" x14ac:dyDescent="0.3">
      <c r="A80" s="442"/>
      <c r="B80" s="442"/>
      <c r="C80" s="442"/>
      <c r="D80" s="442"/>
      <c r="E80" s="359" t="s">
        <v>54</v>
      </c>
      <c r="F80" s="360"/>
      <c r="G80" s="102" t="s">
        <v>70</v>
      </c>
      <c r="H80" s="69">
        <f>H81</f>
        <v>39521.599999999999</v>
      </c>
      <c r="I80" s="69">
        <f>I81</f>
        <v>15862.1</v>
      </c>
      <c r="J80" s="69">
        <f>J81</f>
        <v>12557.3</v>
      </c>
      <c r="K80" s="69">
        <f>K81</f>
        <v>11102.199999999999</v>
      </c>
      <c r="L80" s="454"/>
    </row>
    <row r="81" spans="1:12" ht="60.75" customHeight="1" x14ac:dyDescent="0.3">
      <c r="A81" s="442"/>
      <c r="B81" s="442"/>
      <c r="C81" s="442"/>
      <c r="D81" s="442"/>
      <c r="E81" s="410"/>
      <c r="F81" s="441"/>
      <c r="G81" s="84" t="s">
        <v>168</v>
      </c>
      <c r="H81" s="69">
        <f>H37+H43+H49+H53</f>
        <v>39521.599999999999</v>
      </c>
      <c r="I81" s="69">
        <f>I37+I43+I49+I53</f>
        <v>15862.1</v>
      </c>
      <c r="J81" s="69">
        <f>J37+J43+J49+J53</f>
        <v>12557.3</v>
      </c>
      <c r="K81" s="69">
        <f>K37+K43+K49+K53</f>
        <v>11102.199999999999</v>
      </c>
      <c r="L81" s="454"/>
    </row>
    <row r="82" spans="1:12" ht="55.5" customHeight="1" x14ac:dyDescent="0.3">
      <c r="A82" s="442"/>
      <c r="B82" s="442"/>
      <c r="C82" s="442"/>
      <c r="D82" s="442"/>
      <c r="E82" s="359" t="s">
        <v>55</v>
      </c>
      <c r="F82" s="360"/>
      <c r="G82" s="102" t="s">
        <v>70</v>
      </c>
      <c r="H82" s="69">
        <f>H83</f>
        <v>40193.899999999994</v>
      </c>
      <c r="I82" s="69">
        <f>I83</f>
        <v>12355</v>
      </c>
      <c r="J82" s="69">
        <f>J83</f>
        <v>13328.7</v>
      </c>
      <c r="K82" s="69">
        <f>K83</f>
        <v>14510.2</v>
      </c>
      <c r="L82" s="454"/>
    </row>
    <row r="83" spans="1:12" ht="57.75" customHeight="1" x14ac:dyDescent="0.3">
      <c r="A83" s="442"/>
      <c r="B83" s="442"/>
      <c r="C83" s="442"/>
      <c r="D83" s="442"/>
      <c r="E83" s="410"/>
      <c r="F83" s="441"/>
      <c r="G83" s="84" t="s">
        <v>168</v>
      </c>
      <c r="H83" s="69">
        <f>H38+H44+H48+H61</f>
        <v>40193.899999999994</v>
      </c>
      <c r="I83" s="69">
        <f>I38+I44+I48+I61</f>
        <v>12355</v>
      </c>
      <c r="J83" s="69">
        <f>J38+J44+J48+J61</f>
        <v>13328.7</v>
      </c>
      <c r="K83" s="69">
        <f>K38+K44+K48+K61</f>
        <v>14510.2</v>
      </c>
      <c r="L83" s="454"/>
    </row>
    <row r="84" spans="1:12" ht="53.25" customHeight="1" x14ac:dyDescent="0.3">
      <c r="A84" s="442"/>
      <c r="B84" s="442"/>
      <c r="C84" s="442"/>
      <c r="D84" s="442"/>
      <c r="E84" s="359" t="s">
        <v>53</v>
      </c>
      <c r="F84" s="360"/>
      <c r="G84" s="102" t="s">
        <v>70</v>
      </c>
      <c r="H84" s="69">
        <f>H85</f>
        <v>51323.7</v>
      </c>
      <c r="I84" s="69">
        <f>I85</f>
        <v>12581.599999999999</v>
      </c>
      <c r="J84" s="69">
        <f>J85</f>
        <v>25243.4</v>
      </c>
      <c r="K84" s="69">
        <f>K85</f>
        <v>13498.699999999999</v>
      </c>
      <c r="L84" s="454"/>
    </row>
    <row r="85" spans="1:12" ht="75" customHeight="1" x14ac:dyDescent="0.3">
      <c r="A85" s="442"/>
      <c r="B85" s="442"/>
      <c r="C85" s="442"/>
      <c r="D85" s="442"/>
      <c r="E85" s="361"/>
      <c r="F85" s="362"/>
      <c r="G85" s="84" t="s">
        <v>168</v>
      </c>
      <c r="H85" s="69">
        <f>H39+H45+H50+H52+H63+H64+H65+H67+H73</f>
        <v>51323.7</v>
      </c>
      <c r="I85" s="69">
        <f>I39+I45+I50+I52+I63+I64+I65+I67+I73</f>
        <v>12581.599999999999</v>
      </c>
      <c r="J85" s="69">
        <f>J39+J45+J50+J52+J63+J64+J65+J67+J73</f>
        <v>25243.4</v>
      </c>
      <c r="K85" s="69">
        <f>K39+K45+K50+K52+K63+K64+K65+K67+K73</f>
        <v>13498.699999999999</v>
      </c>
      <c r="L85" s="454"/>
    </row>
    <row r="86" spans="1:12" ht="52.5" customHeight="1" x14ac:dyDescent="0.3">
      <c r="A86" s="442"/>
      <c r="B86" s="442"/>
      <c r="C86" s="442"/>
      <c r="D86" s="442"/>
      <c r="E86" s="359" t="s">
        <v>148</v>
      </c>
      <c r="F86" s="360"/>
      <c r="G86" s="102" t="s">
        <v>70</v>
      </c>
      <c r="H86" s="69">
        <f>SUM(H87:H88)</f>
        <v>16907.299999999996</v>
      </c>
      <c r="I86" s="69">
        <f>SUM(I87:I88)</f>
        <v>5407.9</v>
      </c>
      <c r="J86" s="69">
        <f>SUM(J87:J88)</f>
        <v>6426</v>
      </c>
      <c r="K86" s="69">
        <f>SUM(K87:K88)</f>
        <v>5073.3999999999996</v>
      </c>
      <c r="L86" s="454"/>
    </row>
    <row r="87" spans="1:12" ht="59.25" customHeight="1" x14ac:dyDescent="0.3">
      <c r="A87" s="442"/>
      <c r="B87" s="442"/>
      <c r="C87" s="442"/>
      <c r="D87" s="442"/>
      <c r="E87" s="410"/>
      <c r="F87" s="441"/>
      <c r="G87" s="84" t="s">
        <v>168</v>
      </c>
      <c r="H87" s="69">
        <f>H46+H40+H27+H72+H56+H68+H60</f>
        <v>16412.299999999996</v>
      </c>
      <c r="I87" s="69">
        <f>I46+I40+I27+I72+I56+I68+I60</f>
        <v>4912.8999999999996</v>
      </c>
      <c r="J87" s="69">
        <f t="shared" ref="J87:K87" si="9">J46+J40+J27+J72+J56+J68+J60</f>
        <v>6426</v>
      </c>
      <c r="K87" s="69">
        <f t="shared" si="9"/>
        <v>5073.3999999999996</v>
      </c>
      <c r="L87" s="454"/>
    </row>
    <row r="88" spans="1:12" ht="59.25" customHeight="1" x14ac:dyDescent="0.3">
      <c r="A88" s="442"/>
      <c r="B88" s="442"/>
      <c r="C88" s="442"/>
      <c r="D88" s="442"/>
      <c r="E88" s="361"/>
      <c r="F88" s="362"/>
      <c r="G88" s="84" t="s">
        <v>452</v>
      </c>
      <c r="H88" s="69">
        <f>H69</f>
        <v>495</v>
      </c>
      <c r="I88" s="69">
        <f>I69</f>
        <v>495</v>
      </c>
      <c r="J88" s="69">
        <f t="shared" ref="J88:K88" si="10">J69</f>
        <v>0</v>
      </c>
      <c r="K88" s="69">
        <f t="shared" si="10"/>
        <v>0</v>
      </c>
      <c r="L88" s="454"/>
    </row>
    <row r="89" spans="1:12" ht="59.25" customHeight="1" x14ac:dyDescent="0.3">
      <c r="A89" s="442"/>
      <c r="B89" s="442"/>
      <c r="C89" s="442"/>
      <c r="D89" s="442"/>
      <c r="E89" s="359" t="s">
        <v>143</v>
      </c>
      <c r="F89" s="360"/>
      <c r="G89" s="102" t="s">
        <v>70</v>
      </c>
      <c r="H89" s="69">
        <f>H90</f>
        <v>1000</v>
      </c>
      <c r="I89" s="69">
        <f t="shared" ref="I89:K89" si="11">I90</f>
        <v>0</v>
      </c>
      <c r="J89" s="69">
        <f t="shared" si="11"/>
        <v>1000</v>
      </c>
      <c r="K89" s="69">
        <f t="shared" si="11"/>
        <v>0</v>
      </c>
      <c r="L89" s="454"/>
    </row>
    <row r="90" spans="1:12" ht="59.25" customHeight="1" x14ac:dyDescent="0.3">
      <c r="A90" s="442"/>
      <c r="B90" s="442"/>
      <c r="C90" s="442"/>
      <c r="D90" s="442"/>
      <c r="E90" s="361"/>
      <c r="F90" s="362"/>
      <c r="G90" s="84" t="s">
        <v>168</v>
      </c>
      <c r="H90" s="69">
        <f>H57</f>
        <v>1000</v>
      </c>
      <c r="I90" s="69">
        <f>I57</f>
        <v>0</v>
      </c>
      <c r="J90" s="69">
        <f>J57</f>
        <v>1000</v>
      </c>
      <c r="K90" s="69">
        <f>K57</f>
        <v>0</v>
      </c>
      <c r="L90" s="455"/>
    </row>
    <row r="91" spans="1:12" s="65" customFormat="1" ht="82.5" hidden="1" customHeight="1" x14ac:dyDescent="0.2">
      <c r="A91" s="103" t="s">
        <v>97</v>
      </c>
      <c r="B91" s="347" t="s">
        <v>140</v>
      </c>
      <c r="C91" s="104" t="s">
        <v>98</v>
      </c>
      <c r="D91" s="105" t="s">
        <v>27</v>
      </c>
      <c r="E91" s="106" t="s">
        <v>57</v>
      </c>
      <c r="F91" s="307" t="s">
        <v>141</v>
      </c>
      <c r="G91" s="84" t="s">
        <v>150</v>
      </c>
      <c r="H91" s="69">
        <f>I91+J91+K91</f>
        <v>0</v>
      </c>
      <c r="I91" s="73"/>
      <c r="J91" s="73"/>
      <c r="K91" s="73"/>
      <c r="L91" s="107" t="s">
        <v>170</v>
      </c>
    </row>
    <row r="92" spans="1:12" s="65" customFormat="1" ht="93.75" customHeight="1" x14ac:dyDescent="0.2">
      <c r="A92" s="108" t="s">
        <v>97</v>
      </c>
      <c r="B92" s="316"/>
      <c r="C92" s="72" t="s">
        <v>300</v>
      </c>
      <c r="D92" s="109" t="s">
        <v>27</v>
      </c>
      <c r="E92" s="110" t="s">
        <v>57</v>
      </c>
      <c r="F92" s="308"/>
      <c r="G92" s="84" t="s">
        <v>166</v>
      </c>
      <c r="H92" s="69">
        <f>I92+J92+K92</f>
        <v>16243.099999999999</v>
      </c>
      <c r="I92" s="73">
        <f>3473.5+1584.8</f>
        <v>5058.3</v>
      </c>
      <c r="J92" s="73">
        <v>5512</v>
      </c>
      <c r="K92" s="73">
        <v>5672.8</v>
      </c>
      <c r="L92" s="274" t="s">
        <v>242</v>
      </c>
    </row>
    <row r="93" spans="1:12" s="65" customFormat="1" ht="221.25" customHeight="1" x14ac:dyDescent="0.2">
      <c r="A93" s="299"/>
      <c r="B93" s="316"/>
      <c r="C93" s="274" t="s">
        <v>301</v>
      </c>
      <c r="D93" s="109" t="s">
        <v>27</v>
      </c>
      <c r="E93" s="110" t="s">
        <v>57</v>
      </c>
      <c r="F93" s="308"/>
      <c r="G93" s="285" t="s">
        <v>166</v>
      </c>
      <c r="H93" s="69">
        <f>I93+J93+K93</f>
        <v>67.3</v>
      </c>
      <c r="I93" s="73">
        <v>67.3</v>
      </c>
      <c r="J93" s="73">
        <v>0</v>
      </c>
      <c r="K93" s="73">
        <v>0</v>
      </c>
      <c r="L93" s="298"/>
    </row>
    <row r="94" spans="1:12" s="65" customFormat="1" ht="69" hidden="1" customHeight="1" x14ac:dyDescent="0.2">
      <c r="A94" s="300"/>
      <c r="B94" s="316"/>
      <c r="C94" s="275"/>
      <c r="D94" s="109"/>
      <c r="E94" s="110"/>
      <c r="F94" s="309"/>
      <c r="G94" s="287"/>
      <c r="H94" s="69">
        <f>I94+J94+K94</f>
        <v>0</v>
      </c>
      <c r="I94" s="73"/>
      <c r="J94" s="73">
        <v>0</v>
      </c>
      <c r="K94" s="73">
        <v>0</v>
      </c>
      <c r="L94" s="298"/>
    </row>
    <row r="95" spans="1:12" s="65" customFormat="1" ht="54" customHeight="1" x14ac:dyDescent="0.2">
      <c r="A95" s="442"/>
      <c r="B95" s="442"/>
      <c r="C95" s="442"/>
      <c r="D95" s="442"/>
      <c r="E95" s="317" t="s">
        <v>312</v>
      </c>
      <c r="F95" s="448"/>
      <c r="G95" s="84"/>
      <c r="H95" s="69">
        <f>H96</f>
        <v>16310.399999999998</v>
      </c>
      <c r="I95" s="69">
        <f>I96</f>
        <v>5125.6000000000004</v>
      </c>
      <c r="J95" s="69">
        <f>J96</f>
        <v>5512</v>
      </c>
      <c r="K95" s="69">
        <f>K96</f>
        <v>5672.8</v>
      </c>
      <c r="L95" s="298"/>
    </row>
    <row r="96" spans="1:12" s="65" customFormat="1" ht="51" customHeight="1" x14ac:dyDescent="0.2">
      <c r="A96" s="442"/>
      <c r="B96" s="442"/>
      <c r="C96" s="442"/>
      <c r="D96" s="442"/>
      <c r="E96" s="318"/>
      <c r="F96" s="448"/>
      <c r="G96" s="84" t="s">
        <v>166</v>
      </c>
      <c r="H96" s="69">
        <f>H92+H93+H94</f>
        <v>16310.399999999998</v>
      </c>
      <c r="I96" s="69">
        <f>I92+I93+I94</f>
        <v>5125.6000000000004</v>
      </c>
      <c r="J96" s="69">
        <f>J92+J93+J94</f>
        <v>5512</v>
      </c>
      <c r="K96" s="69">
        <f>K92+K93+K94</f>
        <v>5672.8</v>
      </c>
      <c r="L96" s="298"/>
    </row>
    <row r="97" spans="1:12" s="65" customFormat="1" ht="177" customHeight="1" x14ac:dyDescent="0.2">
      <c r="A97" s="111" t="s">
        <v>99</v>
      </c>
      <c r="B97" s="317" t="s">
        <v>115</v>
      </c>
      <c r="C97" s="110" t="s">
        <v>302</v>
      </c>
      <c r="D97" s="112" t="s">
        <v>28</v>
      </c>
      <c r="E97" s="106" t="s">
        <v>56</v>
      </c>
      <c r="F97" s="411" t="s">
        <v>141</v>
      </c>
      <c r="G97" s="84" t="s">
        <v>166</v>
      </c>
      <c r="H97" s="69">
        <f>I97+J97+K97</f>
        <v>31633.300000000003</v>
      </c>
      <c r="I97" s="73">
        <v>11493.1</v>
      </c>
      <c r="J97" s="73">
        <v>11836.1</v>
      </c>
      <c r="K97" s="73">
        <v>8304.1</v>
      </c>
      <c r="L97" s="298"/>
    </row>
    <row r="98" spans="1:12" s="65" customFormat="1" ht="101.25" customHeight="1" x14ac:dyDescent="0.2">
      <c r="A98" s="113"/>
      <c r="B98" s="319"/>
      <c r="C98" s="72" t="s">
        <v>100</v>
      </c>
      <c r="D98" s="109" t="s">
        <v>28</v>
      </c>
      <c r="E98" s="110" t="s">
        <v>56</v>
      </c>
      <c r="F98" s="411"/>
      <c r="G98" s="84" t="s">
        <v>166</v>
      </c>
      <c r="H98" s="69">
        <f>I98+J98+K98</f>
        <v>2910.7</v>
      </c>
      <c r="I98" s="73">
        <f>612.4+283.2</f>
        <v>895.59999999999991</v>
      </c>
      <c r="J98" s="73">
        <v>1010.7</v>
      </c>
      <c r="K98" s="73">
        <v>1004.4</v>
      </c>
      <c r="L98" s="275"/>
    </row>
    <row r="99" spans="1:12" s="65" customFormat="1" ht="75" customHeight="1" x14ac:dyDescent="0.2">
      <c r="A99" s="363"/>
      <c r="B99" s="363"/>
      <c r="C99" s="363"/>
      <c r="D99" s="363"/>
      <c r="E99" s="317" t="s">
        <v>313</v>
      </c>
      <c r="F99" s="411"/>
      <c r="G99" s="84"/>
      <c r="H99" s="69">
        <f>H100</f>
        <v>34544</v>
      </c>
      <c r="I99" s="69">
        <f>I100</f>
        <v>12388.7</v>
      </c>
      <c r="J99" s="69">
        <f>J100</f>
        <v>12846.800000000001</v>
      </c>
      <c r="K99" s="69">
        <f>K100</f>
        <v>9308.5</v>
      </c>
      <c r="L99" s="354"/>
    </row>
    <row r="100" spans="1:12" s="65" customFormat="1" ht="75" customHeight="1" x14ac:dyDescent="0.2">
      <c r="A100" s="363"/>
      <c r="B100" s="363"/>
      <c r="C100" s="363"/>
      <c r="D100" s="363"/>
      <c r="E100" s="318"/>
      <c r="F100" s="411"/>
      <c r="G100" s="84" t="s">
        <v>166</v>
      </c>
      <c r="H100" s="69">
        <f>H98+H97</f>
        <v>34544</v>
      </c>
      <c r="I100" s="69">
        <f>I98+I97</f>
        <v>12388.7</v>
      </c>
      <c r="J100" s="69">
        <f>J98+J97</f>
        <v>12846.800000000001</v>
      </c>
      <c r="K100" s="69">
        <f>K98+K97</f>
        <v>9308.5</v>
      </c>
      <c r="L100" s="355"/>
    </row>
    <row r="101" spans="1:12" ht="75" customHeight="1" x14ac:dyDescent="0.3">
      <c r="A101" s="301" t="s">
        <v>48</v>
      </c>
      <c r="B101" s="302"/>
      <c r="C101" s="302"/>
      <c r="D101" s="302"/>
      <c r="E101" s="302"/>
      <c r="F101" s="302"/>
      <c r="G101" s="303"/>
      <c r="H101" s="74">
        <f>H31+H74+H95+H99</f>
        <v>256014.59999999998</v>
      </c>
      <c r="I101" s="74">
        <f t="shared" ref="I101:K101" si="12">SUM(I102:I103)</f>
        <v>80227.899999999994</v>
      </c>
      <c r="J101" s="74">
        <f t="shared" si="12"/>
        <v>98686.7</v>
      </c>
      <c r="K101" s="74">
        <f t="shared" si="12"/>
        <v>77100.000000000015</v>
      </c>
      <c r="L101" s="356"/>
    </row>
    <row r="102" spans="1:12" s="65" customFormat="1" ht="75" customHeight="1" x14ac:dyDescent="0.2">
      <c r="A102" s="377" t="s">
        <v>179</v>
      </c>
      <c r="B102" s="377"/>
      <c r="C102" s="377"/>
      <c r="D102" s="377"/>
      <c r="E102" s="377"/>
      <c r="F102" s="378"/>
      <c r="G102" s="114" t="s">
        <v>166</v>
      </c>
      <c r="H102" s="74">
        <f>H31+H75+H96+H100</f>
        <v>255519.59999999998</v>
      </c>
      <c r="I102" s="115">
        <f>I31+I75+I96+I100</f>
        <v>79732.899999999994</v>
      </c>
      <c r="J102" s="74">
        <f>J31+J75+J96+J100</f>
        <v>98686.7</v>
      </c>
      <c r="K102" s="74">
        <f>K31+K75+K96+K100</f>
        <v>77100.000000000015</v>
      </c>
      <c r="L102" s="357"/>
    </row>
    <row r="103" spans="1:12" s="65" customFormat="1" ht="75" customHeight="1" x14ac:dyDescent="0.2">
      <c r="A103" s="383"/>
      <c r="B103" s="383"/>
      <c r="C103" s="383"/>
      <c r="D103" s="383"/>
      <c r="E103" s="383"/>
      <c r="F103" s="384"/>
      <c r="G103" s="84" t="s">
        <v>452</v>
      </c>
      <c r="H103" s="115">
        <f>H88</f>
        <v>495</v>
      </c>
      <c r="I103" s="115">
        <f>I88</f>
        <v>495</v>
      </c>
      <c r="J103" s="115">
        <f t="shared" ref="J103:K103" si="13">J88</f>
        <v>0</v>
      </c>
      <c r="K103" s="115">
        <f t="shared" si="13"/>
        <v>0</v>
      </c>
      <c r="L103" s="357"/>
    </row>
    <row r="104" spans="1:12" s="65" customFormat="1" ht="75" customHeight="1" x14ac:dyDescent="0.2">
      <c r="A104" s="289" t="s">
        <v>178</v>
      </c>
      <c r="B104" s="290"/>
      <c r="C104" s="290"/>
      <c r="D104" s="291"/>
      <c r="E104" s="271" t="s">
        <v>60</v>
      </c>
      <c r="F104" s="310"/>
      <c r="G104" s="102" t="s">
        <v>69</v>
      </c>
      <c r="H104" s="74">
        <f>SUM(H105:H105)</f>
        <v>34272.600000000006</v>
      </c>
      <c r="I104" s="74">
        <f>SUM(I105:I105)</f>
        <v>9703.7000000000007</v>
      </c>
      <c r="J104" s="74">
        <f>SUM(J105:J105)</f>
        <v>15023.000000000002</v>
      </c>
      <c r="K104" s="74">
        <f>SUM(K105:K105)</f>
        <v>9545.9</v>
      </c>
      <c r="L104" s="357"/>
    </row>
    <row r="105" spans="1:12" ht="75" customHeight="1" x14ac:dyDescent="0.3">
      <c r="A105" s="292"/>
      <c r="B105" s="293"/>
      <c r="C105" s="293"/>
      <c r="D105" s="294"/>
      <c r="E105" s="271"/>
      <c r="F105" s="311"/>
      <c r="G105" s="84" t="s">
        <v>166</v>
      </c>
      <c r="H105" s="116">
        <f>H79+H94</f>
        <v>34272.600000000006</v>
      </c>
      <c r="I105" s="116">
        <f>I79+I94</f>
        <v>9703.7000000000007</v>
      </c>
      <c r="J105" s="116">
        <f>J79+J94</f>
        <v>15023.000000000002</v>
      </c>
      <c r="K105" s="116">
        <f>K79+K94</f>
        <v>9545.9</v>
      </c>
      <c r="L105" s="357"/>
    </row>
    <row r="106" spans="1:12" ht="75" customHeight="1" x14ac:dyDescent="0.3">
      <c r="A106" s="292"/>
      <c r="B106" s="293"/>
      <c r="C106" s="293"/>
      <c r="D106" s="294"/>
      <c r="E106" s="274" t="s">
        <v>54</v>
      </c>
      <c r="F106" s="311"/>
      <c r="G106" s="102" t="s">
        <v>69</v>
      </c>
      <c r="H106" s="74">
        <f>SUM(H107:H107)</f>
        <v>39521.599999999999</v>
      </c>
      <c r="I106" s="74">
        <f>SUM(I107:I107)</f>
        <v>15862.1</v>
      </c>
      <c r="J106" s="74">
        <f>SUM(J107:J107)</f>
        <v>12557.3</v>
      </c>
      <c r="K106" s="74">
        <f>SUM(K107:K107)</f>
        <v>11102.199999999999</v>
      </c>
      <c r="L106" s="357"/>
    </row>
    <row r="107" spans="1:12" ht="75" customHeight="1" x14ac:dyDescent="0.3">
      <c r="A107" s="292"/>
      <c r="B107" s="293"/>
      <c r="C107" s="293"/>
      <c r="D107" s="294"/>
      <c r="E107" s="298"/>
      <c r="F107" s="311"/>
      <c r="G107" s="84" t="s">
        <v>166</v>
      </c>
      <c r="H107" s="116">
        <f>H81</f>
        <v>39521.599999999999</v>
      </c>
      <c r="I107" s="116">
        <f>I81</f>
        <v>15862.1</v>
      </c>
      <c r="J107" s="116">
        <f>J81</f>
        <v>12557.3</v>
      </c>
      <c r="K107" s="116">
        <f>K81</f>
        <v>11102.199999999999</v>
      </c>
      <c r="L107" s="357"/>
    </row>
    <row r="108" spans="1:12" ht="75" customHeight="1" x14ac:dyDescent="0.3">
      <c r="A108" s="292"/>
      <c r="B108" s="293"/>
      <c r="C108" s="293"/>
      <c r="D108" s="294"/>
      <c r="E108" s="274" t="s">
        <v>55</v>
      </c>
      <c r="F108" s="311"/>
      <c r="G108" s="102" t="s">
        <v>69</v>
      </c>
      <c r="H108" s="74">
        <f>SUM(H109:H109)</f>
        <v>40193.899999999994</v>
      </c>
      <c r="I108" s="74">
        <f>SUM(I109:I109)</f>
        <v>12355</v>
      </c>
      <c r="J108" s="74">
        <f>SUM(J109:J109)</f>
        <v>13328.7</v>
      </c>
      <c r="K108" s="74">
        <f>SUM(K109:K109)</f>
        <v>14510.2</v>
      </c>
      <c r="L108" s="357"/>
    </row>
    <row r="109" spans="1:12" ht="75" customHeight="1" x14ac:dyDescent="0.3">
      <c r="A109" s="292"/>
      <c r="B109" s="293"/>
      <c r="C109" s="293"/>
      <c r="D109" s="294"/>
      <c r="E109" s="298"/>
      <c r="F109" s="311"/>
      <c r="G109" s="84" t="s">
        <v>166</v>
      </c>
      <c r="H109" s="116">
        <f>H83</f>
        <v>40193.899999999994</v>
      </c>
      <c r="I109" s="116">
        <f>I83</f>
        <v>12355</v>
      </c>
      <c r="J109" s="116">
        <f>J83</f>
        <v>13328.7</v>
      </c>
      <c r="K109" s="116">
        <f>K83</f>
        <v>14510.2</v>
      </c>
      <c r="L109" s="357"/>
    </row>
    <row r="110" spans="1:12" ht="75" customHeight="1" x14ac:dyDescent="0.3">
      <c r="A110" s="292"/>
      <c r="B110" s="293"/>
      <c r="C110" s="293"/>
      <c r="D110" s="294"/>
      <c r="E110" s="274" t="s">
        <v>53</v>
      </c>
      <c r="F110" s="311"/>
      <c r="G110" s="102" t="s">
        <v>69</v>
      </c>
      <c r="H110" s="74">
        <f>SUM(H111:H111)</f>
        <v>51323.7</v>
      </c>
      <c r="I110" s="74">
        <f>SUM(I111:I111)</f>
        <v>12581.599999999999</v>
      </c>
      <c r="J110" s="74">
        <f>SUM(J111:J111)</f>
        <v>25243.4</v>
      </c>
      <c r="K110" s="74">
        <f>SUM(K111:K111)</f>
        <v>13498.699999999999</v>
      </c>
      <c r="L110" s="357"/>
    </row>
    <row r="111" spans="1:12" ht="75" customHeight="1" x14ac:dyDescent="0.3">
      <c r="A111" s="292"/>
      <c r="B111" s="293"/>
      <c r="C111" s="293"/>
      <c r="D111" s="294"/>
      <c r="E111" s="298"/>
      <c r="F111" s="311"/>
      <c r="G111" s="84" t="s">
        <v>166</v>
      </c>
      <c r="H111" s="116">
        <f>H85</f>
        <v>51323.7</v>
      </c>
      <c r="I111" s="116">
        <f>I85</f>
        <v>12581.599999999999</v>
      </c>
      <c r="J111" s="116">
        <f>J85</f>
        <v>25243.4</v>
      </c>
      <c r="K111" s="116">
        <f>K85</f>
        <v>13498.699999999999</v>
      </c>
      <c r="L111" s="357"/>
    </row>
    <row r="112" spans="1:12" ht="75" customHeight="1" x14ac:dyDescent="0.3">
      <c r="A112" s="292"/>
      <c r="B112" s="293"/>
      <c r="C112" s="293"/>
      <c r="D112" s="294"/>
      <c r="E112" s="274" t="s">
        <v>57</v>
      </c>
      <c r="F112" s="311"/>
      <c r="G112" s="102" t="s">
        <v>69</v>
      </c>
      <c r="H112" s="74">
        <f>SUM(H113:H113)</f>
        <v>16310.399999999998</v>
      </c>
      <c r="I112" s="74">
        <f>SUM(I113:I113)</f>
        <v>5125.6000000000004</v>
      </c>
      <c r="J112" s="74">
        <f>SUM(J113:J113)</f>
        <v>5512</v>
      </c>
      <c r="K112" s="74">
        <f>SUM(K113:K113)</f>
        <v>5672.8</v>
      </c>
      <c r="L112" s="357"/>
    </row>
    <row r="113" spans="1:12" ht="75" customHeight="1" x14ac:dyDescent="0.3">
      <c r="A113" s="292"/>
      <c r="B113" s="293"/>
      <c r="C113" s="293"/>
      <c r="D113" s="294"/>
      <c r="E113" s="298"/>
      <c r="F113" s="311"/>
      <c r="G113" s="84" t="s">
        <v>166</v>
      </c>
      <c r="H113" s="116">
        <f>H96</f>
        <v>16310.399999999998</v>
      </c>
      <c r="I113" s="116">
        <f>I96</f>
        <v>5125.6000000000004</v>
      </c>
      <c r="J113" s="116">
        <f>J96</f>
        <v>5512</v>
      </c>
      <c r="K113" s="116">
        <f>K96</f>
        <v>5672.8</v>
      </c>
      <c r="L113" s="357"/>
    </row>
    <row r="114" spans="1:12" ht="75" customHeight="1" x14ac:dyDescent="0.3">
      <c r="A114" s="292"/>
      <c r="B114" s="293"/>
      <c r="C114" s="293"/>
      <c r="D114" s="294"/>
      <c r="E114" s="274" t="s">
        <v>56</v>
      </c>
      <c r="F114" s="311"/>
      <c r="G114" s="102" t="s">
        <v>69</v>
      </c>
      <c r="H114" s="74">
        <f>SUM(H115:H115)</f>
        <v>34544</v>
      </c>
      <c r="I114" s="74">
        <f>SUM(I115:I115)</f>
        <v>12388.7</v>
      </c>
      <c r="J114" s="74">
        <f>SUM(J115:J115)</f>
        <v>12846.800000000001</v>
      </c>
      <c r="K114" s="74">
        <f>SUM(K115:K115)</f>
        <v>9308.5</v>
      </c>
      <c r="L114" s="357"/>
    </row>
    <row r="115" spans="1:12" ht="75" customHeight="1" x14ac:dyDescent="0.3">
      <c r="A115" s="292"/>
      <c r="B115" s="293"/>
      <c r="C115" s="293"/>
      <c r="D115" s="294"/>
      <c r="E115" s="298"/>
      <c r="F115" s="311"/>
      <c r="G115" s="84" t="s">
        <v>166</v>
      </c>
      <c r="H115" s="116">
        <f>H100</f>
        <v>34544</v>
      </c>
      <c r="I115" s="116">
        <f>I100</f>
        <v>12388.7</v>
      </c>
      <c r="J115" s="116">
        <f>J100</f>
        <v>12846.800000000001</v>
      </c>
      <c r="K115" s="116">
        <f>K100</f>
        <v>9308.5</v>
      </c>
      <c r="L115" s="357"/>
    </row>
    <row r="116" spans="1:12" ht="75" customHeight="1" x14ac:dyDescent="0.3">
      <c r="A116" s="292"/>
      <c r="B116" s="293"/>
      <c r="C116" s="293"/>
      <c r="D116" s="294"/>
      <c r="E116" s="271" t="s">
        <v>58</v>
      </c>
      <c r="F116" s="311"/>
      <c r="G116" s="102" t="s">
        <v>69</v>
      </c>
      <c r="H116" s="74">
        <f>H117</f>
        <v>10084.9</v>
      </c>
      <c r="I116" s="74">
        <f>I117</f>
        <v>2834.8</v>
      </c>
      <c r="J116" s="74">
        <f>J117</f>
        <v>3456.7</v>
      </c>
      <c r="K116" s="74">
        <f>K117</f>
        <v>3793.3999999999996</v>
      </c>
      <c r="L116" s="357"/>
    </row>
    <row r="117" spans="1:12" ht="75" customHeight="1" x14ac:dyDescent="0.3">
      <c r="A117" s="292"/>
      <c r="B117" s="293"/>
      <c r="C117" s="293"/>
      <c r="D117" s="294"/>
      <c r="E117" s="271"/>
      <c r="F117" s="311"/>
      <c r="G117" s="84" t="s">
        <v>166</v>
      </c>
      <c r="H117" s="116">
        <f>H32</f>
        <v>10084.9</v>
      </c>
      <c r="I117" s="116">
        <f>I32</f>
        <v>2834.8</v>
      </c>
      <c r="J117" s="116">
        <f>J32</f>
        <v>3456.7</v>
      </c>
      <c r="K117" s="116">
        <f>K32</f>
        <v>3793.3999999999996</v>
      </c>
      <c r="L117" s="357"/>
    </row>
    <row r="118" spans="1:12" ht="75" customHeight="1" x14ac:dyDescent="0.3">
      <c r="A118" s="292"/>
      <c r="B118" s="293"/>
      <c r="C118" s="293"/>
      <c r="D118" s="294"/>
      <c r="E118" s="274" t="s">
        <v>59</v>
      </c>
      <c r="F118" s="311"/>
      <c r="G118" s="102" t="s">
        <v>69</v>
      </c>
      <c r="H118" s="74">
        <f>H119</f>
        <v>11856.199999999999</v>
      </c>
      <c r="I118" s="74">
        <f>I119</f>
        <v>3968.5</v>
      </c>
      <c r="J118" s="74">
        <f>J119</f>
        <v>3292.8</v>
      </c>
      <c r="K118" s="74">
        <f>K119</f>
        <v>4594.8999999999996</v>
      </c>
      <c r="L118" s="357"/>
    </row>
    <row r="119" spans="1:12" ht="63.75" customHeight="1" x14ac:dyDescent="0.3">
      <c r="A119" s="292"/>
      <c r="B119" s="293"/>
      <c r="C119" s="293"/>
      <c r="D119" s="294"/>
      <c r="E119" s="275"/>
      <c r="F119" s="311"/>
      <c r="G119" s="84" t="s">
        <v>166</v>
      </c>
      <c r="H119" s="116">
        <f>H33</f>
        <v>11856.199999999999</v>
      </c>
      <c r="I119" s="116">
        <f>I33</f>
        <v>3968.5</v>
      </c>
      <c r="J119" s="116">
        <f>J33</f>
        <v>3292.8</v>
      </c>
      <c r="K119" s="116">
        <f>K33</f>
        <v>4594.8999999999996</v>
      </c>
      <c r="L119" s="357"/>
    </row>
    <row r="120" spans="1:12" ht="66" customHeight="1" x14ac:dyDescent="0.3">
      <c r="A120" s="292"/>
      <c r="B120" s="293"/>
      <c r="C120" s="293"/>
      <c r="D120" s="294"/>
      <c r="E120" s="274" t="s">
        <v>148</v>
      </c>
      <c r="F120" s="311"/>
      <c r="G120" s="102" t="s">
        <v>69</v>
      </c>
      <c r="H120" s="74">
        <f>SUM(H121:H122)</f>
        <v>16907.299999999996</v>
      </c>
      <c r="I120" s="74">
        <f t="shared" ref="I120:K120" si="14">SUM(I121:I122)</f>
        <v>5407.9</v>
      </c>
      <c r="J120" s="74">
        <f t="shared" si="14"/>
        <v>6426</v>
      </c>
      <c r="K120" s="74">
        <f t="shared" si="14"/>
        <v>5073.3999999999996</v>
      </c>
      <c r="L120" s="357"/>
    </row>
    <row r="121" spans="1:12" ht="47.25" customHeight="1" x14ac:dyDescent="0.3">
      <c r="A121" s="292"/>
      <c r="B121" s="293"/>
      <c r="C121" s="293"/>
      <c r="D121" s="294"/>
      <c r="E121" s="298"/>
      <c r="F121" s="311"/>
      <c r="G121" s="84" t="s">
        <v>166</v>
      </c>
      <c r="H121" s="116">
        <f>H87</f>
        <v>16412.299999999996</v>
      </c>
      <c r="I121" s="116">
        <f>I87</f>
        <v>4912.8999999999996</v>
      </c>
      <c r="J121" s="116">
        <f>J87</f>
        <v>6426</v>
      </c>
      <c r="K121" s="116">
        <f>K87</f>
        <v>5073.3999999999996</v>
      </c>
      <c r="L121" s="357"/>
    </row>
    <row r="122" spans="1:12" ht="47.25" customHeight="1" x14ac:dyDescent="0.3">
      <c r="A122" s="292"/>
      <c r="B122" s="293"/>
      <c r="C122" s="293"/>
      <c r="D122" s="294"/>
      <c r="E122" s="275"/>
      <c r="F122" s="311"/>
      <c r="G122" s="84" t="s">
        <v>452</v>
      </c>
      <c r="H122" s="116">
        <f>H88</f>
        <v>495</v>
      </c>
      <c r="I122" s="116">
        <f t="shared" ref="I122:K122" si="15">I88</f>
        <v>495</v>
      </c>
      <c r="J122" s="116">
        <f t="shared" si="15"/>
        <v>0</v>
      </c>
      <c r="K122" s="116">
        <f t="shared" si="15"/>
        <v>0</v>
      </c>
      <c r="L122" s="357"/>
    </row>
    <row r="123" spans="1:12" ht="47.25" customHeight="1" x14ac:dyDescent="0.3">
      <c r="A123" s="292"/>
      <c r="B123" s="293"/>
      <c r="C123" s="293"/>
      <c r="D123" s="294"/>
      <c r="E123" s="274" t="s">
        <v>143</v>
      </c>
      <c r="F123" s="311"/>
      <c r="G123" s="102" t="s">
        <v>69</v>
      </c>
      <c r="H123" s="74">
        <f>H124</f>
        <v>1000</v>
      </c>
      <c r="I123" s="74">
        <f t="shared" ref="I123:K123" si="16">I124</f>
        <v>0</v>
      </c>
      <c r="J123" s="74">
        <f t="shared" si="16"/>
        <v>1000</v>
      </c>
      <c r="K123" s="74">
        <f t="shared" si="16"/>
        <v>0</v>
      </c>
      <c r="L123" s="357"/>
    </row>
    <row r="124" spans="1:12" ht="47.25" customHeight="1" x14ac:dyDescent="0.3">
      <c r="A124" s="295"/>
      <c r="B124" s="296"/>
      <c r="C124" s="296"/>
      <c r="D124" s="297"/>
      <c r="E124" s="275"/>
      <c r="F124" s="312"/>
      <c r="G124" s="84" t="s">
        <v>166</v>
      </c>
      <c r="H124" s="116">
        <f t="shared" ref="H124:I124" si="17">H90</f>
        <v>1000</v>
      </c>
      <c r="I124" s="116">
        <f t="shared" si="17"/>
        <v>0</v>
      </c>
      <c r="J124" s="116">
        <f>J90</f>
        <v>1000</v>
      </c>
      <c r="K124" s="116">
        <f>K90</f>
        <v>0</v>
      </c>
      <c r="L124" s="358"/>
    </row>
    <row r="125" spans="1:12" ht="48" customHeight="1" x14ac:dyDescent="0.3">
      <c r="A125" s="301" t="s">
        <v>89</v>
      </c>
      <c r="B125" s="302"/>
      <c r="C125" s="302"/>
      <c r="D125" s="302"/>
      <c r="E125" s="302"/>
      <c r="F125" s="302"/>
      <c r="G125" s="302"/>
      <c r="H125" s="302"/>
      <c r="I125" s="302"/>
      <c r="J125" s="302"/>
      <c r="K125" s="302"/>
      <c r="L125" s="303"/>
    </row>
    <row r="126" spans="1:12" ht="56.25" customHeight="1" x14ac:dyDescent="0.3">
      <c r="A126" s="418" t="s">
        <v>95</v>
      </c>
      <c r="B126" s="316" t="s">
        <v>90</v>
      </c>
      <c r="C126" s="274" t="s">
        <v>224</v>
      </c>
      <c r="D126" s="301" t="s">
        <v>314</v>
      </c>
      <c r="E126" s="302"/>
      <c r="F126" s="302"/>
      <c r="G126" s="303"/>
      <c r="H126" s="74">
        <f>SUM(H127:H129)</f>
        <v>40781.200000000004</v>
      </c>
      <c r="I126" s="74">
        <f>SUM(I127:I129)</f>
        <v>12542.2</v>
      </c>
      <c r="J126" s="74">
        <f>SUM(J127:J129)</f>
        <v>13799.4</v>
      </c>
      <c r="K126" s="74">
        <f>SUM(K127:K129)</f>
        <v>14439.6</v>
      </c>
      <c r="L126" s="272" t="s">
        <v>156</v>
      </c>
    </row>
    <row r="127" spans="1:12" ht="76.5" customHeight="1" x14ac:dyDescent="0.3">
      <c r="A127" s="299"/>
      <c r="B127" s="316"/>
      <c r="C127" s="298"/>
      <c r="D127" s="71" t="s">
        <v>30</v>
      </c>
      <c r="E127" s="117" t="s">
        <v>58</v>
      </c>
      <c r="F127" s="313" t="s">
        <v>141</v>
      </c>
      <c r="G127" s="313" t="s">
        <v>166</v>
      </c>
      <c r="H127" s="69">
        <f>I127+J127+K127</f>
        <v>18398.900000000001</v>
      </c>
      <c r="I127" s="73">
        <v>5647</v>
      </c>
      <c r="J127" s="73">
        <v>6244.4</v>
      </c>
      <c r="K127" s="73">
        <v>6507.5</v>
      </c>
      <c r="L127" s="353"/>
    </row>
    <row r="128" spans="1:12" ht="69.75" customHeight="1" x14ac:dyDescent="0.3">
      <c r="A128" s="299"/>
      <c r="B128" s="316"/>
      <c r="C128" s="298"/>
      <c r="D128" s="71" t="s">
        <v>30</v>
      </c>
      <c r="E128" s="117" t="s">
        <v>59</v>
      </c>
      <c r="F128" s="314"/>
      <c r="G128" s="314"/>
      <c r="H128" s="69">
        <f>I128+J128+K128</f>
        <v>22088.300000000003</v>
      </c>
      <c r="I128" s="73">
        <v>6815.2</v>
      </c>
      <c r="J128" s="73">
        <v>7471</v>
      </c>
      <c r="K128" s="73">
        <v>7802.1</v>
      </c>
      <c r="L128" s="353"/>
    </row>
    <row r="129" spans="1:12" ht="64.5" customHeight="1" x14ac:dyDescent="0.3">
      <c r="A129" s="299"/>
      <c r="B129" s="316"/>
      <c r="C129" s="275"/>
      <c r="D129" s="71" t="s">
        <v>30</v>
      </c>
      <c r="E129" s="117" t="s">
        <v>148</v>
      </c>
      <c r="F129" s="315"/>
      <c r="G129" s="315"/>
      <c r="H129" s="69">
        <f>I129+J129+K129</f>
        <v>294</v>
      </c>
      <c r="I129" s="73">
        <v>80</v>
      </c>
      <c r="J129" s="73">
        <v>84</v>
      </c>
      <c r="K129" s="73">
        <v>130</v>
      </c>
      <c r="L129" s="273"/>
    </row>
    <row r="130" spans="1:12" s="65" customFormat="1" ht="75" customHeight="1" x14ac:dyDescent="0.2">
      <c r="A130" s="299"/>
      <c r="B130" s="316"/>
      <c r="C130" s="359" t="s">
        <v>226</v>
      </c>
      <c r="D130" s="323" t="s">
        <v>315</v>
      </c>
      <c r="E130" s="323"/>
      <c r="F130" s="323"/>
      <c r="G130" s="323"/>
      <c r="H130" s="69">
        <f>H131+H132+H133</f>
        <v>5964.8</v>
      </c>
      <c r="I130" s="69">
        <f>I131+I132+I133</f>
        <v>2806.3</v>
      </c>
      <c r="J130" s="69">
        <f>J131+J132+J133</f>
        <v>1500</v>
      </c>
      <c r="K130" s="69">
        <f>K131+K132+K133</f>
        <v>1658.5</v>
      </c>
      <c r="L130" s="274" t="s">
        <v>42</v>
      </c>
    </row>
    <row r="131" spans="1:12" ht="75" customHeight="1" x14ac:dyDescent="0.3">
      <c r="A131" s="299"/>
      <c r="B131" s="316"/>
      <c r="C131" s="410"/>
      <c r="D131" s="71" t="s">
        <v>30</v>
      </c>
      <c r="E131" s="72" t="s">
        <v>58</v>
      </c>
      <c r="F131" s="285" t="s">
        <v>141</v>
      </c>
      <c r="G131" s="285" t="s">
        <v>166</v>
      </c>
      <c r="H131" s="69">
        <f>I131+J131+K131</f>
        <v>3441.3999999999996</v>
      </c>
      <c r="I131" s="73">
        <v>1680.2</v>
      </c>
      <c r="J131" s="73">
        <v>835</v>
      </c>
      <c r="K131" s="73">
        <v>926.2</v>
      </c>
      <c r="L131" s="298"/>
    </row>
    <row r="132" spans="1:12" ht="87.75" customHeight="1" x14ac:dyDescent="0.3">
      <c r="A132" s="299"/>
      <c r="B132" s="316"/>
      <c r="C132" s="410"/>
      <c r="D132" s="71" t="s">
        <v>30</v>
      </c>
      <c r="E132" s="75" t="s">
        <v>59</v>
      </c>
      <c r="F132" s="286"/>
      <c r="G132" s="286"/>
      <c r="H132" s="69">
        <f>I132+J132+K132</f>
        <v>2399.1</v>
      </c>
      <c r="I132" s="73">
        <v>1086.0999999999999</v>
      </c>
      <c r="J132" s="73">
        <v>625</v>
      </c>
      <c r="K132" s="73">
        <v>688</v>
      </c>
      <c r="L132" s="298"/>
    </row>
    <row r="133" spans="1:12" ht="87.75" customHeight="1" x14ac:dyDescent="0.3">
      <c r="A133" s="299"/>
      <c r="B133" s="316"/>
      <c r="C133" s="361"/>
      <c r="D133" s="71" t="s">
        <v>30</v>
      </c>
      <c r="E133" s="72" t="s">
        <v>148</v>
      </c>
      <c r="F133" s="287"/>
      <c r="G133" s="287"/>
      <c r="H133" s="69">
        <f>I133+J133+K133</f>
        <v>124.3</v>
      </c>
      <c r="I133" s="73">
        <v>40</v>
      </c>
      <c r="J133" s="73">
        <v>40</v>
      </c>
      <c r="K133" s="73">
        <v>44.3</v>
      </c>
      <c r="L133" s="275"/>
    </row>
    <row r="134" spans="1:12" ht="75" customHeight="1" x14ac:dyDescent="0.3">
      <c r="A134" s="299"/>
      <c r="B134" s="316"/>
      <c r="C134" s="417" t="s">
        <v>163</v>
      </c>
      <c r="D134" s="323" t="s">
        <v>316</v>
      </c>
      <c r="E134" s="323"/>
      <c r="F134" s="323"/>
      <c r="G134" s="323"/>
      <c r="H134" s="69">
        <f>H135+H136</f>
        <v>7193.7000000000007</v>
      </c>
      <c r="I134" s="69">
        <f>I135+I136</f>
        <v>2061.6</v>
      </c>
      <c r="J134" s="69">
        <f>J135+J136</f>
        <v>2196.6</v>
      </c>
      <c r="K134" s="69">
        <f>K135+K136</f>
        <v>2935.5</v>
      </c>
      <c r="L134" s="417" t="s">
        <v>158</v>
      </c>
    </row>
    <row r="135" spans="1:12" ht="52.5" customHeight="1" x14ac:dyDescent="0.3">
      <c r="A135" s="299"/>
      <c r="B135" s="316"/>
      <c r="C135" s="417"/>
      <c r="D135" s="403" t="s">
        <v>30</v>
      </c>
      <c r="E135" s="72" t="s">
        <v>54</v>
      </c>
      <c r="F135" s="411" t="s">
        <v>141</v>
      </c>
      <c r="G135" s="344" t="s">
        <v>166</v>
      </c>
      <c r="H135" s="69">
        <f>I135+J135+K135</f>
        <v>2119.4</v>
      </c>
      <c r="I135" s="73">
        <f>775-163.4</f>
        <v>611.6</v>
      </c>
      <c r="J135" s="73">
        <f>814-163.4</f>
        <v>650.6</v>
      </c>
      <c r="K135" s="73">
        <v>857.2</v>
      </c>
      <c r="L135" s="417"/>
    </row>
    <row r="136" spans="1:12" ht="75" customHeight="1" x14ac:dyDescent="0.3">
      <c r="A136" s="299"/>
      <c r="B136" s="316"/>
      <c r="C136" s="417"/>
      <c r="D136" s="403"/>
      <c r="E136" s="72" t="s">
        <v>56</v>
      </c>
      <c r="F136" s="411"/>
      <c r="G136" s="344"/>
      <c r="H136" s="69">
        <f>I136+J136+K136</f>
        <v>5074.3</v>
      </c>
      <c r="I136" s="73">
        <f>1880-430</f>
        <v>1450</v>
      </c>
      <c r="J136" s="73">
        <f>1976-430</f>
        <v>1546</v>
      </c>
      <c r="K136" s="73">
        <v>2078.3000000000002</v>
      </c>
      <c r="L136" s="417"/>
    </row>
    <row r="137" spans="1:12" ht="243" customHeight="1" x14ac:dyDescent="0.3">
      <c r="A137" s="299"/>
      <c r="B137" s="316"/>
      <c r="C137" s="72" t="s">
        <v>398</v>
      </c>
      <c r="D137" s="118" t="s">
        <v>26</v>
      </c>
      <c r="E137" s="72" t="s">
        <v>55</v>
      </c>
      <c r="F137" s="119" t="s">
        <v>141</v>
      </c>
      <c r="G137" s="120" t="s">
        <v>166</v>
      </c>
      <c r="H137" s="69">
        <f>I137+J137+K137</f>
        <v>996.5</v>
      </c>
      <c r="I137" s="73">
        <f>300+64.8</f>
        <v>364.8</v>
      </c>
      <c r="J137" s="73">
        <v>300</v>
      </c>
      <c r="K137" s="73">
        <v>331.7</v>
      </c>
      <c r="L137" s="97" t="s">
        <v>416</v>
      </c>
    </row>
    <row r="138" spans="1:12" ht="75" customHeight="1" x14ac:dyDescent="0.3">
      <c r="A138" s="404" t="s">
        <v>49</v>
      </c>
      <c r="B138" s="405"/>
      <c r="C138" s="405"/>
      <c r="D138" s="405"/>
      <c r="E138" s="405"/>
      <c r="F138" s="406"/>
      <c r="G138" s="102"/>
      <c r="H138" s="69">
        <f>H126+H130+H134+H137</f>
        <v>54936.200000000012</v>
      </c>
      <c r="I138" s="69">
        <f>I126+I130+I134+I137</f>
        <v>17774.899999999998</v>
      </c>
      <c r="J138" s="69">
        <f>J126+J130+J134+J137</f>
        <v>17796</v>
      </c>
      <c r="K138" s="69">
        <f>K126+K130+K134+K137</f>
        <v>19365.3</v>
      </c>
      <c r="L138" s="354"/>
    </row>
    <row r="139" spans="1:12" s="65" customFormat="1" ht="75" customHeight="1" x14ac:dyDescent="0.2">
      <c r="A139" s="377" t="s">
        <v>179</v>
      </c>
      <c r="B139" s="377"/>
      <c r="C139" s="45"/>
      <c r="D139" s="121"/>
      <c r="E139" s="122"/>
      <c r="F139" s="123"/>
      <c r="G139" s="67" t="s">
        <v>166</v>
      </c>
      <c r="H139" s="74">
        <f>H127+H128+H131+H132+H135+H136+H137+H133+H129</f>
        <v>54936.200000000012</v>
      </c>
      <c r="I139" s="74">
        <f>I127+I128+I131+I132+I135+I136+I137+I133+I129</f>
        <v>17774.900000000001</v>
      </c>
      <c r="J139" s="74">
        <f>J127+J128+J131+J132+J135+J136+J137+J133+J129</f>
        <v>17796</v>
      </c>
      <c r="K139" s="74">
        <f>K127+K128+K131+K132+K135+K136+K137+K133+K129</f>
        <v>19365.3</v>
      </c>
      <c r="L139" s="355"/>
    </row>
    <row r="140" spans="1:12" ht="75" customHeight="1" x14ac:dyDescent="0.3">
      <c r="A140" s="340" t="s">
        <v>178</v>
      </c>
      <c r="B140" s="340"/>
      <c r="C140" s="340"/>
      <c r="D140" s="340"/>
      <c r="E140" s="271" t="s">
        <v>54</v>
      </c>
      <c r="F140" s="271"/>
      <c r="G140" s="325" t="s">
        <v>166</v>
      </c>
      <c r="H140" s="74">
        <f>H135</f>
        <v>2119.4</v>
      </c>
      <c r="I140" s="74">
        <f>I135</f>
        <v>611.6</v>
      </c>
      <c r="J140" s="74">
        <f>J135</f>
        <v>650.6</v>
      </c>
      <c r="K140" s="74">
        <f>K135</f>
        <v>857.2</v>
      </c>
      <c r="L140" s="355"/>
    </row>
    <row r="141" spans="1:12" ht="75" customHeight="1" x14ac:dyDescent="0.3">
      <c r="A141" s="340"/>
      <c r="B141" s="340"/>
      <c r="C141" s="340"/>
      <c r="D141" s="340"/>
      <c r="E141" s="271" t="s">
        <v>55</v>
      </c>
      <c r="F141" s="271"/>
      <c r="G141" s="326"/>
      <c r="H141" s="74">
        <f>H137</f>
        <v>996.5</v>
      </c>
      <c r="I141" s="74">
        <f>I137</f>
        <v>364.8</v>
      </c>
      <c r="J141" s="74">
        <f>J137</f>
        <v>300</v>
      </c>
      <c r="K141" s="74">
        <f>K137</f>
        <v>331.7</v>
      </c>
      <c r="L141" s="355"/>
    </row>
    <row r="142" spans="1:12" ht="75" customHeight="1" x14ac:dyDescent="0.3">
      <c r="A142" s="340"/>
      <c r="B142" s="340"/>
      <c r="C142" s="340"/>
      <c r="D142" s="340"/>
      <c r="E142" s="412" t="s">
        <v>56</v>
      </c>
      <c r="F142" s="413"/>
      <c r="G142" s="326"/>
      <c r="H142" s="74">
        <f>H136</f>
        <v>5074.3</v>
      </c>
      <c r="I142" s="74">
        <f>I136</f>
        <v>1450</v>
      </c>
      <c r="J142" s="74">
        <f>J136</f>
        <v>1546</v>
      </c>
      <c r="K142" s="74">
        <f>K136</f>
        <v>2078.3000000000002</v>
      </c>
      <c r="L142" s="355"/>
    </row>
    <row r="143" spans="1:12" ht="75" customHeight="1" x14ac:dyDescent="0.3">
      <c r="A143" s="340"/>
      <c r="B143" s="340"/>
      <c r="C143" s="340"/>
      <c r="D143" s="340"/>
      <c r="E143" s="271" t="s">
        <v>58</v>
      </c>
      <c r="F143" s="271"/>
      <c r="G143" s="326"/>
      <c r="H143" s="74">
        <f t="shared" ref="H143:K144" si="18">H127+H131</f>
        <v>21840.300000000003</v>
      </c>
      <c r="I143" s="74">
        <f t="shared" si="18"/>
        <v>7327.2</v>
      </c>
      <c r="J143" s="74">
        <f t="shared" si="18"/>
        <v>7079.4</v>
      </c>
      <c r="K143" s="74">
        <f t="shared" si="18"/>
        <v>7433.7</v>
      </c>
      <c r="L143" s="355"/>
    </row>
    <row r="144" spans="1:12" ht="75" customHeight="1" x14ac:dyDescent="0.3">
      <c r="A144" s="340"/>
      <c r="B144" s="340"/>
      <c r="C144" s="340"/>
      <c r="D144" s="340"/>
      <c r="E144" s="271" t="s">
        <v>59</v>
      </c>
      <c r="F144" s="271"/>
      <c r="G144" s="326"/>
      <c r="H144" s="74">
        <f t="shared" si="18"/>
        <v>24487.4</v>
      </c>
      <c r="I144" s="74">
        <f t="shared" si="18"/>
        <v>7901.2999999999993</v>
      </c>
      <c r="J144" s="74">
        <f t="shared" si="18"/>
        <v>8096</v>
      </c>
      <c r="K144" s="74">
        <f t="shared" si="18"/>
        <v>8490.1</v>
      </c>
      <c r="L144" s="355"/>
    </row>
    <row r="145" spans="1:12" ht="75" customHeight="1" x14ac:dyDescent="0.3">
      <c r="A145" s="340"/>
      <c r="B145" s="340"/>
      <c r="C145" s="340"/>
      <c r="D145" s="340"/>
      <c r="E145" s="412" t="s">
        <v>148</v>
      </c>
      <c r="F145" s="413"/>
      <c r="G145" s="327"/>
      <c r="H145" s="74">
        <f>H133+H129</f>
        <v>418.3</v>
      </c>
      <c r="I145" s="74">
        <f>I133+I129</f>
        <v>120</v>
      </c>
      <c r="J145" s="74">
        <f>J133+J129</f>
        <v>124</v>
      </c>
      <c r="K145" s="74">
        <f>K133+K129</f>
        <v>174.3</v>
      </c>
      <c r="L145" s="355"/>
    </row>
    <row r="146" spans="1:12" ht="75" customHeight="1" x14ac:dyDescent="0.3">
      <c r="A146" s="414" t="s">
        <v>138</v>
      </c>
      <c r="B146" s="415"/>
      <c r="C146" s="415"/>
      <c r="D146" s="415"/>
      <c r="E146" s="415"/>
      <c r="F146" s="415"/>
      <c r="G146" s="415"/>
      <c r="H146" s="415"/>
      <c r="I146" s="415"/>
      <c r="J146" s="415"/>
      <c r="K146" s="415"/>
      <c r="L146" s="416"/>
    </row>
    <row r="147" spans="1:12" ht="264" customHeight="1" x14ac:dyDescent="0.3">
      <c r="A147" s="418" t="s">
        <v>101</v>
      </c>
      <c r="B147" s="459" t="s">
        <v>91</v>
      </c>
      <c r="C147" s="124" t="s">
        <v>162</v>
      </c>
      <c r="D147" s="83" t="s">
        <v>29</v>
      </c>
      <c r="E147" s="125" t="s">
        <v>143</v>
      </c>
      <c r="F147" s="285" t="s">
        <v>141</v>
      </c>
      <c r="G147" s="84" t="s">
        <v>147</v>
      </c>
      <c r="H147" s="95">
        <f>I147+J147+K147</f>
        <v>10639.5</v>
      </c>
      <c r="I147" s="73">
        <f>3357.2-424.1</f>
        <v>2933.1</v>
      </c>
      <c r="J147" s="73">
        <f>3507+6+200</f>
        <v>3713</v>
      </c>
      <c r="K147" s="73">
        <f>1566.4+2249.8+177.2</f>
        <v>3993.4</v>
      </c>
      <c r="L147" s="110" t="s">
        <v>238</v>
      </c>
    </row>
    <row r="148" spans="1:12" ht="136.5" customHeight="1" x14ac:dyDescent="0.3">
      <c r="A148" s="299"/>
      <c r="B148" s="460"/>
      <c r="C148" s="124" t="s">
        <v>446</v>
      </c>
      <c r="D148" s="83" t="s">
        <v>30</v>
      </c>
      <c r="E148" s="72" t="s">
        <v>143</v>
      </c>
      <c r="F148" s="286"/>
      <c r="G148" s="84" t="s">
        <v>147</v>
      </c>
      <c r="H148" s="95">
        <f>I148+J148+K148</f>
        <v>21.2</v>
      </c>
      <c r="I148" s="73">
        <v>21.2</v>
      </c>
      <c r="J148" s="73">
        <v>0</v>
      </c>
      <c r="K148" s="73">
        <v>0</v>
      </c>
      <c r="L148" s="110" t="s">
        <v>449</v>
      </c>
    </row>
    <row r="149" spans="1:12" ht="136.5" customHeight="1" x14ac:dyDescent="0.3">
      <c r="A149" s="300"/>
      <c r="B149" s="461"/>
      <c r="C149" s="124" t="s">
        <v>456</v>
      </c>
      <c r="D149" s="83" t="s">
        <v>30</v>
      </c>
      <c r="E149" s="72" t="s">
        <v>143</v>
      </c>
      <c r="F149" s="287"/>
      <c r="G149" s="120" t="s">
        <v>457</v>
      </c>
      <c r="H149" s="95">
        <f>I149+J149+K149</f>
        <v>16537.099999999999</v>
      </c>
      <c r="I149" s="73">
        <v>16537.099999999999</v>
      </c>
      <c r="J149" s="73">
        <v>0</v>
      </c>
      <c r="K149" s="73">
        <v>0</v>
      </c>
      <c r="L149" s="110" t="s">
        <v>458</v>
      </c>
    </row>
    <row r="150" spans="1:12" ht="60" customHeight="1" x14ac:dyDescent="0.3">
      <c r="A150" s="462" t="s">
        <v>51</v>
      </c>
      <c r="B150" s="462"/>
      <c r="C150" s="462"/>
      <c r="D150" s="462"/>
      <c r="E150" s="462"/>
      <c r="F150" s="462"/>
      <c r="G150" s="126"/>
      <c r="H150" s="69">
        <f>H147+H148+H149</f>
        <v>27197.8</v>
      </c>
      <c r="I150" s="69">
        <f>I147+I148+I149</f>
        <v>19491.399999999998</v>
      </c>
      <c r="J150" s="69">
        <f t="shared" ref="J150:K150" si="19">J147+J148+J149</f>
        <v>3713</v>
      </c>
      <c r="K150" s="69">
        <f t="shared" si="19"/>
        <v>3993.4</v>
      </c>
      <c r="L150" s="127"/>
    </row>
    <row r="151" spans="1:12" ht="80.25" customHeight="1" x14ac:dyDescent="0.3">
      <c r="A151" s="463" t="s">
        <v>179</v>
      </c>
      <c r="B151" s="464"/>
      <c r="C151" s="464"/>
      <c r="D151" s="464"/>
      <c r="E151" s="464"/>
      <c r="F151" s="465"/>
      <c r="G151" s="101" t="s">
        <v>147</v>
      </c>
      <c r="H151" s="69">
        <f>H147+H148</f>
        <v>10660.7</v>
      </c>
      <c r="I151" s="69">
        <f>I147+I148</f>
        <v>2954.2999999999997</v>
      </c>
      <c r="J151" s="69">
        <f t="shared" ref="J151:K151" si="20">J147+J148</f>
        <v>3713</v>
      </c>
      <c r="K151" s="69">
        <f t="shared" si="20"/>
        <v>3993.4</v>
      </c>
      <c r="L151" s="127"/>
    </row>
    <row r="152" spans="1:12" ht="80.25" customHeight="1" x14ac:dyDescent="0.3">
      <c r="A152" s="466"/>
      <c r="B152" s="467"/>
      <c r="C152" s="467"/>
      <c r="D152" s="467"/>
      <c r="E152" s="467"/>
      <c r="F152" s="468"/>
      <c r="G152" s="120" t="s">
        <v>457</v>
      </c>
      <c r="H152" s="69">
        <f>H149</f>
        <v>16537.099999999999</v>
      </c>
      <c r="I152" s="69">
        <f>I149</f>
        <v>16537.099999999999</v>
      </c>
      <c r="J152" s="69">
        <f>J149</f>
        <v>0</v>
      </c>
      <c r="K152" s="69">
        <f>K149</f>
        <v>0</v>
      </c>
      <c r="L152" s="127"/>
    </row>
    <row r="153" spans="1:12" ht="75" customHeight="1" x14ac:dyDescent="0.3">
      <c r="A153" s="301" t="s">
        <v>102</v>
      </c>
      <c r="B153" s="302"/>
      <c r="C153" s="302"/>
      <c r="D153" s="302"/>
      <c r="E153" s="302"/>
      <c r="F153" s="302"/>
      <c r="G153" s="302"/>
      <c r="H153" s="302"/>
      <c r="I153" s="302"/>
      <c r="J153" s="302"/>
      <c r="K153" s="302"/>
      <c r="L153" s="303"/>
    </row>
    <row r="154" spans="1:12" ht="69" customHeight="1" x14ac:dyDescent="0.3">
      <c r="A154" s="456" t="s">
        <v>103</v>
      </c>
      <c r="B154" s="459" t="s">
        <v>104</v>
      </c>
      <c r="C154" s="304" t="s">
        <v>286</v>
      </c>
      <c r="D154" s="301" t="s">
        <v>131</v>
      </c>
      <c r="E154" s="302"/>
      <c r="F154" s="302"/>
      <c r="G154" s="303"/>
      <c r="H154" s="74">
        <f>H155+H158+H159+H160+H161+H162+H163+H164+H165+H157+H156</f>
        <v>313269.59999999998</v>
      </c>
      <c r="I154" s="74">
        <f>I155+I158+I159+I160+I161+I162+I163+I164+I165+I157+I156</f>
        <v>80593</v>
      </c>
      <c r="J154" s="74">
        <f>J155+J158+J159+J160+J161+J162+J163+J164+J165+J157+J156</f>
        <v>152676.6</v>
      </c>
      <c r="K154" s="74">
        <f t="shared" ref="K154" si="21">K155+K158+K159+K160+K161+K162+K163+K164+K165+K157+K156</f>
        <v>80000</v>
      </c>
      <c r="L154" s="274" t="s">
        <v>470</v>
      </c>
    </row>
    <row r="155" spans="1:12" ht="75" customHeight="1" x14ac:dyDescent="0.3">
      <c r="A155" s="457"/>
      <c r="B155" s="460"/>
      <c r="C155" s="305"/>
      <c r="D155" s="128" t="s">
        <v>30</v>
      </c>
      <c r="E155" s="72" t="s">
        <v>143</v>
      </c>
      <c r="F155" s="411" t="s">
        <v>142</v>
      </c>
      <c r="G155" s="285" t="s">
        <v>169</v>
      </c>
      <c r="H155" s="95">
        <f t="shared" ref="H155:H165" si="22">I155+J155+K155</f>
        <v>206869.6</v>
      </c>
      <c r="I155" s="73">
        <f>80030-50000+163</f>
        <v>30193</v>
      </c>
      <c r="J155" s="73">
        <f>80000+176.6-5000+25000-3500</f>
        <v>96676.6</v>
      </c>
      <c r="K155" s="73">
        <v>80000</v>
      </c>
      <c r="L155" s="298"/>
    </row>
    <row r="156" spans="1:12" ht="97.5" customHeight="1" x14ac:dyDescent="0.3">
      <c r="A156" s="457"/>
      <c r="B156" s="460"/>
      <c r="C156" s="305"/>
      <c r="D156" s="128" t="s">
        <v>375</v>
      </c>
      <c r="E156" s="72" t="s">
        <v>376</v>
      </c>
      <c r="F156" s="411"/>
      <c r="G156" s="286"/>
      <c r="H156" s="95">
        <f t="shared" si="22"/>
        <v>400</v>
      </c>
      <c r="I156" s="73">
        <v>400</v>
      </c>
      <c r="J156" s="73">
        <v>0</v>
      </c>
      <c r="K156" s="73">
        <v>0</v>
      </c>
      <c r="L156" s="298"/>
    </row>
    <row r="157" spans="1:12" ht="77.25" hidden="1" customHeight="1" x14ac:dyDescent="0.3">
      <c r="A157" s="457"/>
      <c r="B157" s="460"/>
      <c r="C157" s="305"/>
      <c r="D157" s="83" t="s">
        <v>29</v>
      </c>
      <c r="E157" s="72" t="s">
        <v>143</v>
      </c>
      <c r="F157" s="411"/>
      <c r="G157" s="286"/>
      <c r="H157" s="95">
        <f t="shared" si="22"/>
        <v>0</v>
      </c>
      <c r="I157" s="73"/>
      <c r="J157" s="73"/>
      <c r="K157" s="73"/>
      <c r="L157" s="298"/>
    </row>
    <row r="158" spans="1:12" ht="92.25" customHeight="1" x14ac:dyDescent="0.3">
      <c r="A158" s="457"/>
      <c r="B158" s="460"/>
      <c r="C158" s="305"/>
      <c r="D158" s="128" t="s">
        <v>26</v>
      </c>
      <c r="E158" s="72" t="s">
        <v>60</v>
      </c>
      <c r="F158" s="411"/>
      <c r="G158" s="286"/>
      <c r="H158" s="69">
        <f t="shared" si="22"/>
        <v>18500</v>
      </c>
      <c r="I158" s="73">
        <v>18500</v>
      </c>
      <c r="J158" s="73">
        <v>0</v>
      </c>
      <c r="K158" s="73">
        <v>0</v>
      </c>
      <c r="L158" s="298"/>
    </row>
    <row r="159" spans="1:12" ht="92.25" hidden="1" customHeight="1" x14ac:dyDescent="0.3">
      <c r="A159" s="457"/>
      <c r="B159" s="460"/>
      <c r="C159" s="305"/>
      <c r="D159" s="129" t="s">
        <v>26</v>
      </c>
      <c r="E159" s="72" t="s">
        <v>54</v>
      </c>
      <c r="F159" s="411"/>
      <c r="G159" s="286"/>
      <c r="H159" s="69">
        <f t="shared" si="22"/>
        <v>0</v>
      </c>
      <c r="I159" s="73"/>
      <c r="J159" s="73"/>
      <c r="K159" s="73"/>
      <c r="L159" s="298"/>
    </row>
    <row r="160" spans="1:12" ht="92.25" hidden="1" customHeight="1" x14ac:dyDescent="0.3">
      <c r="A160" s="457"/>
      <c r="B160" s="460"/>
      <c r="C160" s="305"/>
      <c r="D160" s="129" t="s">
        <v>26</v>
      </c>
      <c r="E160" s="72" t="s">
        <v>55</v>
      </c>
      <c r="F160" s="411"/>
      <c r="G160" s="286"/>
      <c r="H160" s="69">
        <f t="shared" si="22"/>
        <v>0</v>
      </c>
      <c r="I160" s="73"/>
      <c r="J160" s="73"/>
      <c r="K160" s="73"/>
      <c r="L160" s="298"/>
    </row>
    <row r="161" spans="1:12" ht="92.25" customHeight="1" x14ac:dyDescent="0.3">
      <c r="A161" s="457"/>
      <c r="B161" s="460"/>
      <c r="C161" s="305"/>
      <c r="D161" s="129" t="s">
        <v>26</v>
      </c>
      <c r="E161" s="72" t="s">
        <v>53</v>
      </c>
      <c r="F161" s="411"/>
      <c r="G161" s="286"/>
      <c r="H161" s="69">
        <f t="shared" si="22"/>
        <v>3500</v>
      </c>
      <c r="I161" s="73">
        <v>0</v>
      </c>
      <c r="J161" s="73">
        <v>3500</v>
      </c>
      <c r="K161" s="73">
        <v>0</v>
      </c>
      <c r="L161" s="298"/>
    </row>
    <row r="162" spans="1:12" ht="92.25" customHeight="1" x14ac:dyDescent="0.3">
      <c r="A162" s="457"/>
      <c r="B162" s="460"/>
      <c r="C162" s="305"/>
      <c r="D162" s="71" t="s">
        <v>26</v>
      </c>
      <c r="E162" s="82" t="s">
        <v>148</v>
      </c>
      <c r="F162" s="411"/>
      <c r="G162" s="286"/>
      <c r="H162" s="69">
        <f t="shared" si="22"/>
        <v>84000</v>
      </c>
      <c r="I162" s="73">
        <v>31500</v>
      </c>
      <c r="J162" s="73">
        <f>22500+5000+25000</f>
        <v>52500</v>
      </c>
      <c r="K162" s="73">
        <v>0</v>
      </c>
      <c r="L162" s="275"/>
    </row>
    <row r="163" spans="1:12" ht="92.25" hidden="1" customHeight="1" x14ac:dyDescent="0.3">
      <c r="A163" s="457"/>
      <c r="B163" s="460"/>
      <c r="C163" s="305"/>
      <c r="D163" s="129" t="s">
        <v>27</v>
      </c>
      <c r="E163" s="106" t="s">
        <v>57</v>
      </c>
      <c r="F163" s="411"/>
      <c r="G163" s="286"/>
      <c r="H163" s="69">
        <f t="shared" si="22"/>
        <v>0</v>
      </c>
      <c r="I163" s="73"/>
      <c r="J163" s="73"/>
      <c r="K163" s="73"/>
      <c r="L163" s="85"/>
    </row>
    <row r="164" spans="1:12" ht="92.25" hidden="1" customHeight="1" x14ac:dyDescent="0.3">
      <c r="A164" s="457"/>
      <c r="B164" s="460"/>
      <c r="C164" s="305"/>
      <c r="D164" s="128" t="s">
        <v>28</v>
      </c>
      <c r="E164" s="106" t="s">
        <v>56</v>
      </c>
      <c r="F164" s="411"/>
      <c r="G164" s="286"/>
      <c r="H164" s="69">
        <f t="shared" si="22"/>
        <v>0</v>
      </c>
      <c r="I164" s="96"/>
      <c r="J164" s="73"/>
      <c r="K164" s="73"/>
      <c r="L164" s="85"/>
    </row>
    <row r="165" spans="1:12" ht="55.5" hidden="1" customHeight="1" x14ac:dyDescent="0.3">
      <c r="A165" s="457"/>
      <c r="B165" s="460"/>
      <c r="C165" s="130"/>
      <c r="D165" s="83" t="s">
        <v>33</v>
      </c>
      <c r="E165" s="72" t="s">
        <v>58</v>
      </c>
      <c r="F165" s="411"/>
      <c r="G165" s="287"/>
      <c r="H165" s="69">
        <f t="shared" si="22"/>
        <v>0</v>
      </c>
      <c r="I165" s="96"/>
      <c r="J165" s="73"/>
      <c r="K165" s="73"/>
      <c r="L165" s="85"/>
    </row>
    <row r="166" spans="1:12" ht="75" customHeight="1" x14ac:dyDescent="0.3">
      <c r="A166" s="457"/>
      <c r="B166" s="460"/>
      <c r="C166" s="304" t="s">
        <v>105</v>
      </c>
      <c r="D166" s="301" t="s">
        <v>132</v>
      </c>
      <c r="E166" s="302"/>
      <c r="F166" s="302"/>
      <c r="G166" s="303"/>
      <c r="H166" s="69">
        <f>SUM(H167:H177)</f>
        <v>65975</v>
      </c>
      <c r="I166" s="69">
        <f>SUM(I167:I177)</f>
        <v>5300</v>
      </c>
      <c r="J166" s="69">
        <f t="shared" ref="J166:K166" si="23">SUM(J167:J177)</f>
        <v>32375</v>
      </c>
      <c r="K166" s="69">
        <f t="shared" si="23"/>
        <v>28300</v>
      </c>
      <c r="L166" s="409"/>
    </row>
    <row r="167" spans="1:12" ht="75" customHeight="1" x14ac:dyDescent="0.3">
      <c r="A167" s="457"/>
      <c r="B167" s="460"/>
      <c r="C167" s="305"/>
      <c r="D167" s="83" t="s">
        <v>29</v>
      </c>
      <c r="E167" s="72" t="s">
        <v>143</v>
      </c>
      <c r="F167" s="307" t="s">
        <v>142</v>
      </c>
      <c r="G167" s="285" t="s">
        <v>169</v>
      </c>
      <c r="H167" s="69">
        <f t="shared" ref="H167:H177" si="24">I167+J167+K167</f>
        <v>600</v>
      </c>
      <c r="I167" s="73">
        <v>300</v>
      </c>
      <c r="J167" s="73">
        <v>0</v>
      </c>
      <c r="K167" s="73">
        <v>300</v>
      </c>
      <c r="L167" s="409"/>
    </row>
    <row r="168" spans="1:12" ht="75" customHeight="1" x14ac:dyDescent="0.3">
      <c r="A168" s="457"/>
      <c r="B168" s="460"/>
      <c r="C168" s="305"/>
      <c r="D168" s="129" t="s">
        <v>26</v>
      </c>
      <c r="E168" s="72" t="s">
        <v>60</v>
      </c>
      <c r="F168" s="308"/>
      <c r="G168" s="286"/>
      <c r="H168" s="69">
        <f t="shared" si="24"/>
        <v>7300</v>
      </c>
      <c r="I168" s="73">
        <v>0</v>
      </c>
      <c r="J168" s="73">
        <v>0</v>
      </c>
      <c r="K168" s="73">
        <v>7300</v>
      </c>
      <c r="L168" s="409"/>
    </row>
    <row r="169" spans="1:12" ht="75" customHeight="1" x14ac:dyDescent="0.3">
      <c r="A169" s="457"/>
      <c r="B169" s="460"/>
      <c r="C169" s="305"/>
      <c r="D169" s="129" t="s">
        <v>26</v>
      </c>
      <c r="E169" s="72" t="s">
        <v>54</v>
      </c>
      <c r="F169" s="308"/>
      <c r="G169" s="286"/>
      <c r="H169" s="69">
        <f t="shared" si="24"/>
        <v>2000</v>
      </c>
      <c r="I169" s="73">
        <v>0</v>
      </c>
      <c r="J169" s="73">
        <v>0</v>
      </c>
      <c r="K169" s="73">
        <v>2000</v>
      </c>
      <c r="L169" s="409"/>
    </row>
    <row r="170" spans="1:12" ht="75" customHeight="1" x14ac:dyDescent="0.3">
      <c r="A170" s="457"/>
      <c r="B170" s="460"/>
      <c r="C170" s="305"/>
      <c r="D170" s="129" t="s">
        <v>26</v>
      </c>
      <c r="E170" s="72" t="s">
        <v>55</v>
      </c>
      <c r="F170" s="308"/>
      <c r="G170" s="286"/>
      <c r="H170" s="69">
        <f t="shared" si="24"/>
        <v>2600</v>
      </c>
      <c r="I170" s="73">
        <v>0</v>
      </c>
      <c r="J170" s="73">
        <v>0</v>
      </c>
      <c r="K170" s="73">
        <v>2600</v>
      </c>
      <c r="L170" s="409"/>
    </row>
    <row r="171" spans="1:12" ht="75" customHeight="1" x14ac:dyDescent="0.3">
      <c r="A171" s="457"/>
      <c r="B171" s="460"/>
      <c r="C171" s="305"/>
      <c r="D171" s="129" t="s">
        <v>26</v>
      </c>
      <c r="E171" s="72" t="s">
        <v>53</v>
      </c>
      <c r="F171" s="308"/>
      <c r="G171" s="286"/>
      <c r="H171" s="69">
        <f t="shared" si="24"/>
        <v>36375</v>
      </c>
      <c r="I171" s="73">
        <v>0</v>
      </c>
      <c r="J171" s="73">
        <f>32000+375</f>
        <v>32375</v>
      </c>
      <c r="K171" s="73">
        <v>4000</v>
      </c>
      <c r="L171" s="409"/>
    </row>
    <row r="172" spans="1:12" ht="75" customHeight="1" x14ac:dyDescent="0.3">
      <c r="A172" s="457"/>
      <c r="B172" s="460"/>
      <c r="C172" s="305"/>
      <c r="D172" s="129" t="s">
        <v>26</v>
      </c>
      <c r="E172" s="82" t="s">
        <v>148</v>
      </c>
      <c r="F172" s="308"/>
      <c r="G172" s="286"/>
      <c r="H172" s="69">
        <f t="shared" si="24"/>
        <v>3000</v>
      </c>
      <c r="I172" s="96">
        <v>0</v>
      </c>
      <c r="J172" s="73">
        <v>0</v>
      </c>
      <c r="K172" s="73">
        <v>3000</v>
      </c>
      <c r="L172" s="409"/>
    </row>
    <row r="173" spans="1:12" ht="87.75" customHeight="1" x14ac:dyDescent="0.3">
      <c r="A173" s="457"/>
      <c r="B173" s="460"/>
      <c r="C173" s="305"/>
      <c r="D173" s="129" t="s">
        <v>27</v>
      </c>
      <c r="E173" s="106" t="s">
        <v>57</v>
      </c>
      <c r="F173" s="308"/>
      <c r="G173" s="286"/>
      <c r="H173" s="69">
        <f t="shared" si="24"/>
        <v>6600</v>
      </c>
      <c r="I173" s="73">
        <v>0</v>
      </c>
      <c r="J173" s="73">
        <v>0</v>
      </c>
      <c r="K173" s="73">
        <v>6600</v>
      </c>
      <c r="L173" s="409"/>
    </row>
    <row r="174" spans="1:12" ht="75" customHeight="1" x14ac:dyDescent="0.3">
      <c r="A174" s="457"/>
      <c r="B174" s="460"/>
      <c r="C174" s="305"/>
      <c r="D174" s="129" t="s">
        <v>28</v>
      </c>
      <c r="E174" s="106" t="s">
        <v>56</v>
      </c>
      <c r="F174" s="308"/>
      <c r="G174" s="286"/>
      <c r="H174" s="69">
        <f t="shared" si="24"/>
        <v>2500</v>
      </c>
      <c r="I174" s="96">
        <v>0</v>
      </c>
      <c r="J174" s="73">
        <v>0</v>
      </c>
      <c r="K174" s="73">
        <v>2500</v>
      </c>
      <c r="L174" s="409"/>
    </row>
    <row r="175" spans="1:12" ht="75" hidden="1" customHeight="1" x14ac:dyDescent="0.3">
      <c r="A175" s="457"/>
      <c r="B175" s="460"/>
      <c r="C175" s="305"/>
      <c r="D175" s="129" t="s">
        <v>33</v>
      </c>
      <c r="E175" s="72" t="s">
        <v>58</v>
      </c>
      <c r="F175" s="308"/>
      <c r="G175" s="286"/>
      <c r="H175" s="69">
        <f t="shared" si="24"/>
        <v>0</v>
      </c>
      <c r="I175" s="96">
        <v>0</v>
      </c>
      <c r="J175" s="73">
        <v>0</v>
      </c>
      <c r="K175" s="73">
        <v>0</v>
      </c>
      <c r="L175" s="409"/>
    </row>
    <row r="176" spans="1:12" ht="75" hidden="1" customHeight="1" x14ac:dyDescent="0.3">
      <c r="A176" s="457"/>
      <c r="B176" s="460"/>
      <c r="C176" s="305"/>
      <c r="D176" s="129" t="s">
        <v>33</v>
      </c>
      <c r="E176" s="72" t="s">
        <v>59</v>
      </c>
      <c r="F176" s="309"/>
      <c r="G176" s="287"/>
      <c r="H176" s="69">
        <f t="shared" si="24"/>
        <v>0</v>
      </c>
      <c r="I176" s="96">
        <v>0</v>
      </c>
      <c r="J176" s="73">
        <v>0</v>
      </c>
      <c r="K176" s="73">
        <v>0</v>
      </c>
      <c r="L176" s="409"/>
    </row>
    <row r="177" spans="1:12" ht="125.25" customHeight="1" x14ac:dyDescent="0.3">
      <c r="A177" s="457"/>
      <c r="B177" s="460"/>
      <c r="C177" s="306"/>
      <c r="D177" s="129" t="s">
        <v>462</v>
      </c>
      <c r="E177" s="72" t="s">
        <v>463</v>
      </c>
      <c r="F177" s="131" t="s">
        <v>463</v>
      </c>
      <c r="G177" s="118"/>
      <c r="H177" s="132">
        <f t="shared" si="24"/>
        <v>5000</v>
      </c>
      <c r="I177" s="133">
        <v>5000</v>
      </c>
      <c r="J177" s="134">
        <v>0</v>
      </c>
      <c r="K177" s="134">
        <v>0</v>
      </c>
      <c r="L177" s="409"/>
    </row>
    <row r="178" spans="1:12" ht="75" customHeight="1" x14ac:dyDescent="0.3">
      <c r="A178" s="457"/>
      <c r="B178" s="460"/>
      <c r="C178" s="304" t="s">
        <v>133</v>
      </c>
      <c r="D178" s="301" t="s">
        <v>155</v>
      </c>
      <c r="E178" s="302"/>
      <c r="F178" s="302"/>
      <c r="G178" s="303"/>
      <c r="H178" s="132">
        <f>SUM(H179:H181)</f>
        <v>16907.2</v>
      </c>
      <c r="I178" s="134">
        <f>SUM(I179:I181)</f>
        <v>16800</v>
      </c>
      <c r="J178" s="132">
        <f>SUM(J179:J181)</f>
        <v>107.2</v>
      </c>
      <c r="K178" s="132">
        <f>SUM(K179:K181)</f>
        <v>0</v>
      </c>
      <c r="L178" s="104"/>
    </row>
    <row r="179" spans="1:12" ht="294.75" customHeight="1" x14ac:dyDescent="0.3">
      <c r="A179" s="457"/>
      <c r="B179" s="460"/>
      <c r="C179" s="305"/>
      <c r="D179" s="112" t="s">
        <v>50</v>
      </c>
      <c r="E179" s="106" t="s">
        <v>53</v>
      </c>
      <c r="F179" s="307" t="s">
        <v>141</v>
      </c>
      <c r="G179" s="285" t="s">
        <v>169</v>
      </c>
      <c r="H179" s="132">
        <f>I179+J179+K179</f>
        <v>15807.2</v>
      </c>
      <c r="I179" s="134">
        <f>3100+12100+1600-1100</f>
        <v>15700</v>
      </c>
      <c r="J179" s="134">
        <v>107.2</v>
      </c>
      <c r="K179" s="134">
        <v>0</v>
      </c>
      <c r="L179" s="72" t="s">
        <v>239</v>
      </c>
    </row>
    <row r="180" spans="1:12" ht="92.25" hidden="1" customHeight="1" x14ac:dyDescent="0.3">
      <c r="A180" s="457"/>
      <c r="B180" s="460"/>
      <c r="C180" s="305"/>
      <c r="D180" s="112" t="s">
        <v>50</v>
      </c>
      <c r="E180" s="72" t="s">
        <v>60</v>
      </c>
      <c r="F180" s="308"/>
      <c r="G180" s="286"/>
      <c r="H180" s="69"/>
      <c r="I180" s="73"/>
      <c r="J180" s="73"/>
      <c r="K180" s="73"/>
      <c r="L180" s="72"/>
    </row>
    <row r="181" spans="1:12" ht="169.5" customHeight="1" x14ac:dyDescent="0.3">
      <c r="A181" s="457"/>
      <c r="B181" s="460"/>
      <c r="C181" s="306"/>
      <c r="D181" s="112" t="s">
        <v>50</v>
      </c>
      <c r="E181" s="106" t="s">
        <v>148</v>
      </c>
      <c r="F181" s="309"/>
      <c r="G181" s="287"/>
      <c r="H181" s="69">
        <f>I181+J181+K181</f>
        <v>1100</v>
      </c>
      <c r="I181" s="73">
        <v>1100</v>
      </c>
      <c r="J181" s="73">
        <v>0</v>
      </c>
      <c r="K181" s="73">
        <v>0</v>
      </c>
      <c r="L181" s="72" t="s">
        <v>383</v>
      </c>
    </row>
    <row r="182" spans="1:12" ht="87" customHeight="1" x14ac:dyDescent="0.3">
      <c r="A182" s="457"/>
      <c r="B182" s="460"/>
      <c r="C182" s="304" t="s">
        <v>418</v>
      </c>
      <c r="D182" s="301" t="s">
        <v>386</v>
      </c>
      <c r="E182" s="302"/>
      <c r="F182" s="302"/>
      <c r="G182" s="303"/>
      <c r="H182" s="135">
        <f>SUM(H183:H188)</f>
        <v>5693.82</v>
      </c>
      <c r="I182" s="135">
        <f>SUM(I183:I188)</f>
        <v>4498.92</v>
      </c>
      <c r="J182" s="135">
        <f t="shared" ref="J182:K182" si="25">SUM(J183:J188)</f>
        <v>1194.9000000000001</v>
      </c>
      <c r="K182" s="135">
        <f t="shared" si="25"/>
        <v>0</v>
      </c>
      <c r="L182" s="271" t="s">
        <v>387</v>
      </c>
    </row>
    <row r="183" spans="1:12" ht="87" customHeight="1" x14ac:dyDescent="0.3">
      <c r="A183" s="457"/>
      <c r="B183" s="460"/>
      <c r="C183" s="305"/>
      <c r="D183" s="129" t="s">
        <v>26</v>
      </c>
      <c r="E183" s="136" t="s">
        <v>55</v>
      </c>
      <c r="F183" s="307" t="s">
        <v>141</v>
      </c>
      <c r="G183" s="285" t="s">
        <v>385</v>
      </c>
      <c r="H183" s="137">
        <f t="shared" ref="H183:H198" si="26">I183+J183+K183</f>
        <v>612.24</v>
      </c>
      <c r="I183" s="135">
        <v>612.24</v>
      </c>
      <c r="J183" s="73">
        <v>0</v>
      </c>
      <c r="K183" s="73">
        <v>0</v>
      </c>
      <c r="L183" s="271"/>
    </row>
    <row r="184" spans="1:12" ht="99.75" customHeight="1" x14ac:dyDescent="0.3">
      <c r="A184" s="457"/>
      <c r="B184" s="460"/>
      <c r="C184" s="305"/>
      <c r="D184" s="129" t="s">
        <v>26</v>
      </c>
      <c r="E184" s="72" t="s">
        <v>53</v>
      </c>
      <c r="F184" s="308"/>
      <c r="G184" s="286"/>
      <c r="H184" s="137">
        <f t="shared" si="26"/>
        <v>612.24</v>
      </c>
      <c r="I184" s="135">
        <v>612.24</v>
      </c>
      <c r="J184" s="73">
        <v>0</v>
      </c>
      <c r="K184" s="73">
        <v>0</v>
      </c>
      <c r="L184" s="271"/>
    </row>
    <row r="185" spans="1:12" ht="99" customHeight="1" x14ac:dyDescent="0.3">
      <c r="A185" s="457"/>
      <c r="B185" s="460"/>
      <c r="C185" s="305"/>
      <c r="D185" s="129" t="s">
        <v>26</v>
      </c>
      <c r="E185" s="82" t="s">
        <v>148</v>
      </c>
      <c r="F185" s="309"/>
      <c r="G185" s="287"/>
      <c r="H185" s="137">
        <f t="shared" si="26"/>
        <v>612.24</v>
      </c>
      <c r="I185" s="135">
        <v>612.24</v>
      </c>
      <c r="J185" s="73">
        <v>0</v>
      </c>
      <c r="K185" s="73">
        <v>0</v>
      </c>
      <c r="L185" s="271"/>
    </row>
    <row r="186" spans="1:12" ht="99" customHeight="1" x14ac:dyDescent="0.3">
      <c r="A186" s="457"/>
      <c r="B186" s="460"/>
      <c r="C186" s="305"/>
      <c r="D186" s="129" t="s">
        <v>26</v>
      </c>
      <c r="E186" s="136" t="s">
        <v>55</v>
      </c>
      <c r="F186" s="307" t="s">
        <v>141</v>
      </c>
      <c r="G186" s="285" t="s">
        <v>169</v>
      </c>
      <c r="H186" s="137">
        <f t="shared" si="26"/>
        <v>1929.6</v>
      </c>
      <c r="I186" s="73">
        <f>1929.6</f>
        <v>1929.6</v>
      </c>
      <c r="J186" s="73">
        <v>0</v>
      </c>
      <c r="K186" s="73">
        <v>0</v>
      </c>
      <c r="L186" s="420" t="s">
        <v>402</v>
      </c>
    </row>
    <row r="187" spans="1:12" ht="99" customHeight="1" x14ac:dyDescent="0.3">
      <c r="A187" s="457"/>
      <c r="B187" s="460"/>
      <c r="C187" s="305"/>
      <c r="D187" s="129" t="s">
        <v>26</v>
      </c>
      <c r="E187" s="72" t="s">
        <v>53</v>
      </c>
      <c r="F187" s="308"/>
      <c r="G187" s="286"/>
      <c r="H187" s="137">
        <f t="shared" si="26"/>
        <v>51.3</v>
      </c>
      <c r="I187" s="135">
        <f>51.3</f>
        <v>51.3</v>
      </c>
      <c r="J187" s="73">
        <v>0</v>
      </c>
      <c r="K187" s="73">
        <v>0</v>
      </c>
      <c r="L187" s="421"/>
    </row>
    <row r="188" spans="1:12" ht="99" customHeight="1" x14ac:dyDescent="0.3">
      <c r="A188" s="457"/>
      <c r="B188" s="460"/>
      <c r="C188" s="306"/>
      <c r="D188" s="129" t="s">
        <v>26</v>
      </c>
      <c r="E188" s="82" t="s">
        <v>148</v>
      </c>
      <c r="F188" s="309"/>
      <c r="G188" s="287"/>
      <c r="H188" s="137">
        <f t="shared" si="26"/>
        <v>1876.2</v>
      </c>
      <c r="I188" s="73">
        <v>681.3</v>
      </c>
      <c r="J188" s="73">
        <f>590.2+604.7</f>
        <v>1194.9000000000001</v>
      </c>
      <c r="K188" s="73">
        <v>0</v>
      </c>
      <c r="L188" s="422"/>
    </row>
    <row r="189" spans="1:12" ht="71.25" customHeight="1" x14ac:dyDescent="0.3">
      <c r="A189" s="457"/>
      <c r="B189" s="460"/>
      <c r="C189" s="304" t="s">
        <v>396</v>
      </c>
      <c r="D189" s="301" t="s">
        <v>397</v>
      </c>
      <c r="E189" s="302"/>
      <c r="F189" s="302"/>
      <c r="G189" s="303"/>
      <c r="H189" s="137">
        <f t="shared" si="26"/>
        <v>35551.4</v>
      </c>
      <c r="I189" s="73">
        <f>I190+I191+I192+I193+I194+I195+I196+I197+I198</f>
        <v>360</v>
      </c>
      <c r="J189" s="73">
        <f t="shared" ref="J189:K189" si="27">J190+J191+J192+J193+J194+J195+J196+J197+J198</f>
        <v>35191.4</v>
      </c>
      <c r="K189" s="73">
        <f t="shared" si="27"/>
        <v>0</v>
      </c>
      <c r="L189" s="389" t="s">
        <v>403</v>
      </c>
    </row>
    <row r="190" spans="1:12" ht="63.75" customHeight="1" x14ac:dyDescent="0.3">
      <c r="A190" s="457"/>
      <c r="B190" s="460"/>
      <c r="C190" s="305"/>
      <c r="D190" s="129" t="s">
        <v>26</v>
      </c>
      <c r="E190" s="72" t="s">
        <v>60</v>
      </c>
      <c r="F190" s="307" t="s">
        <v>141</v>
      </c>
      <c r="G190" s="285" t="s">
        <v>169</v>
      </c>
      <c r="H190" s="137">
        <f t="shared" si="26"/>
        <v>13334.6</v>
      </c>
      <c r="I190" s="73">
        <v>0</v>
      </c>
      <c r="J190" s="73">
        <v>13334.6</v>
      </c>
      <c r="K190" s="73">
        <v>0</v>
      </c>
      <c r="L190" s="390"/>
    </row>
    <row r="191" spans="1:12" ht="58.5" hidden="1" customHeight="1" x14ac:dyDescent="0.3">
      <c r="A191" s="457"/>
      <c r="B191" s="460"/>
      <c r="C191" s="305"/>
      <c r="D191" s="129" t="s">
        <v>26</v>
      </c>
      <c r="E191" s="72" t="s">
        <v>54</v>
      </c>
      <c r="F191" s="308"/>
      <c r="G191" s="286"/>
      <c r="H191" s="137">
        <f t="shared" si="26"/>
        <v>0</v>
      </c>
      <c r="I191" s="73"/>
      <c r="J191" s="73">
        <v>0</v>
      </c>
      <c r="K191" s="73">
        <v>0</v>
      </c>
      <c r="L191" s="390"/>
    </row>
    <row r="192" spans="1:12" ht="58.5" customHeight="1" x14ac:dyDescent="0.3">
      <c r="A192" s="457"/>
      <c r="B192" s="460"/>
      <c r="C192" s="305"/>
      <c r="D192" s="129" t="s">
        <v>26</v>
      </c>
      <c r="E192" s="72" t="s">
        <v>55</v>
      </c>
      <c r="F192" s="308"/>
      <c r="G192" s="286"/>
      <c r="H192" s="137">
        <f t="shared" si="26"/>
        <v>6394.6</v>
      </c>
      <c r="I192" s="73">
        <v>0</v>
      </c>
      <c r="J192" s="73">
        <v>6394.6</v>
      </c>
      <c r="K192" s="73">
        <v>0</v>
      </c>
      <c r="L192" s="390"/>
    </row>
    <row r="193" spans="1:12" ht="69" customHeight="1" x14ac:dyDescent="0.3">
      <c r="A193" s="457"/>
      <c r="B193" s="460"/>
      <c r="C193" s="305"/>
      <c r="D193" s="129" t="s">
        <v>26</v>
      </c>
      <c r="E193" s="72" t="s">
        <v>53</v>
      </c>
      <c r="F193" s="308"/>
      <c r="G193" s="286"/>
      <c r="H193" s="137">
        <f t="shared" si="26"/>
        <v>8702.2000000000007</v>
      </c>
      <c r="I193" s="73">
        <v>360</v>
      </c>
      <c r="J193" s="73">
        <v>8342.2000000000007</v>
      </c>
      <c r="K193" s="73">
        <v>0</v>
      </c>
      <c r="L193" s="390"/>
    </row>
    <row r="194" spans="1:12" ht="66" customHeight="1" x14ac:dyDescent="0.3">
      <c r="A194" s="457"/>
      <c r="B194" s="460"/>
      <c r="C194" s="305"/>
      <c r="D194" s="129" t="s">
        <v>26</v>
      </c>
      <c r="E194" s="82" t="s">
        <v>148</v>
      </c>
      <c r="F194" s="308"/>
      <c r="G194" s="286"/>
      <c r="H194" s="137">
        <f t="shared" si="26"/>
        <v>7120</v>
      </c>
      <c r="I194" s="73">
        <v>0</v>
      </c>
      <c r="J194" s="73">
        <v>7120</v>
      </c>
      <c r="K194" s="73">
        <v>0</v>
      </c>
      <c r="L194" s="390"/>
    </row>
    <row r="195" spans="1:12" ht="96.75" hidden="1" customHeight="1" x14ac:dyDescent="0.3">
      <c r="A195" s="457"/>
      <c r="B195" s="460"/>
      <c r="C195" s="305"/>
      <c r="D195" s="129" t="s">
        <v>27</v>
      </c>
      <c r="E195" s="106" t="s">
        <v>57</v>
      </c>
      <c r="F195" s="308"/>
      <c r="G195" s="286"/>
      <c r="H195" s="137">
        <f t="shared" si="26"/>
        <v>0</v>
      </c>
      <c r="I195" s="73"/>
      <c r="J195" s="73">
        <v>0</v>
      </c>
      <c r="K195" s="73">
        <v>0</v>
      </c>
      <c r="L195" s="390"/>
    </row>
    <row r="196" spans="1:12" ht="63.75" hidden="1" customHeight="1" x14ac:dyDescent="0.3">
      <c r="A196" s="457"/>
      <c r="B196" s="460"/>
      <c r="C196" s="305"/>
      <c r="D196" s="129" t="s">
        <v>28</v>
      </c>
      <c r="E196" s="106" t="s">
        <v>56</v>
      </c>
      <c r="F196" s="308"/>
      <c r="G196" s="286"/>
      <c r="H196" s="137">
        <f t="shared" si="26"/>
        <v>0</v>
      </c>
      <c r="I196" s="73"/>
      <c r="J196" s="73">
        <v>0</v>
      </c>
      <c r="K196" s="73">
        <v>0</v>
      </c>
      <c r="L196" s="390"/>
    </row>
    <row r="197" spans="1:12" ht="69" hidden="1" customHeight="1" x14ac:dyDescent="0.3">
      <c r="A197" s="457"/>
      <c r="B197" s="460"/>
      <c r="C197" s="305"/>
      <c r="D197" s="129" t="s">
        <v>33</v>
      </c>
      <c r="E197" s="72" t="s">
        <v>58</v>
      </c>
      <c r="F197" s="308"/>
      <c r="G197" s="286"/>
      <c r="H197" s="137">
        <f t="shared" si="26"/>
        <v>0</v>
      </c>
      <c r="I197" s="73"/>
      <c r="J197" s="73">
        <v>0</v>
      </c>
      <c r="K197" s="73">
        <v>0</v>
      </c>
      <c r="L197" s="390"/>
    </row>
    <row r="198" spans="1:12" ht="82.5" hidden="1" customHeight="1" x14ac:dyDescent="0.3">
      <c r="A198" s="458"/>
      <c r="B198" s="461"/>
      <c r="C198" s="306"/>
      <c r="D198" s="129" t="s">
        <v>33</v>
      </c>
      <c r="E198" s="72" t="s">
        <v>59</v>
      </c>
      <c r="F198" s="309"/>
      <c r="G198" s="287"/>
      <c r="H198" s="137">
        <f t="shared" si="26"/>
        <v>0</v>
      </c>
      <c r="I198" s="73"/>
      <c r="J198" s="73">
        <v>0</v>
      </c>
      <c r="K198" s="73">
        <v>0</v>
      </c>
      <c r="L198" s="391"/>
    </row>
    <row r="199" spans="1:12" ht="75" customHeight="1" x14ac:dyDescent="0.3">
      <c r="A199" s="324" t="s">
        <v>52</v>
      </c>
      <c r="B199" s="324"/>
      <c r="C199" s="324"/>
      <c r="D199" s="324"/>
      <c r="E199" s="324"/>
      <c r="F199" s="324"/>
      <c r="G199" s="324"/>
      <c r="H199" s="69">
        <f>H200+H201</f>
        <v>437397.0199999999</v>
      </c>
      <c r="I199" s="69">
        <f>I200+I201</f>
        <v>107551.92000000001</v>
      </c>
      <c r="J199" s="69">
        <f t="shared" ref="J199:K199" si="28">J200+J201</f>
        <v>221545.10000000003</v>
      </c>
      <c r="K199" s="69">
        <f t="shared" si="28"/>
        <v>108300</v>
      </c>
      <c r="L199" s="419"/>
    </row>
    <row r="200" spans="1:12" ht="75" customHeight="1" x14ac:dyDescent="0.3">
      <c r="A200" s="407" t="s">
        <v>179</v>
      </c>
      <c r="B200" s="407"/>
      <c r="C200" s="407"/>
      <c r="D200" s="407"/>
      <c r="E200" s="407"/>
      <c r="F200" s="408"/>
      <c r="G200" s="102" t="s">
        <v>169</v>
      </c>
      <c r="H200" s="69">
        <f>H155+H158+H159+H160+H161+H162+H163+H164+H168+H169+H170+H171+H172+H173+H174+H179+H165+H167+H175+H176+H157+H180+H181+H156+H186+H187+H188+H190+H191+H192+H193+H194+H195+H196+H197+H198+H177</f>
        <v>435560.29999999993</v>
      </c>
      <c r="I200" s="69">
        <f>I155+I158+I159+I160+I161+I162+I163+I164+I168+I169+I170+I171+I172+I173+I174+I179+I165+I167+I175+I176+I157+I180+I181+I156+I186+I187+I188+I190+I191+I192+I193+I194+I195+I196+I197+I198+I177</f>
        <v>105715.20000000001</v>
      </c>
      <c r="J200" s="69">
        <f>J155+J158+J159+J160+J161+J162+J163+J164+J168+J169+J170+J171+J172+J173+J174+J179+J165+J167+J175+J176+J157+J180+J181+J156+J186+J187+J188+J190+J191+J192+J193+J194+J195+J196+J197+J198+J177</f>
        <v>221545.10000000003</v>
      </c>
      <c r="K200" s="69">
        <f>K155+K158+K159+K160+K161+K162+K163+K164+K168+K169+K170+K171+K172+K173+K174+K179+K165+K167+K175+K176+K157+K180+K181+K156+K186+K187+K188+K190+K191+K192+K193+K194+K195+K196+K197+K198+K177</f>
        <v>108300</v>
      </c>
      <c r="L200" s="419"/>
    </row>
    <row r="201" spans="1:12" ht="303" customHeight="1" x14ac:dyDescent="0.3">
      <c r="A201" s="138"/>
      <c r="B201" s="138"/>
      <c r="C201" s="138"/>
      <c r="D201" s="138"/>
      <c r="E201" s="138"/>
      <c r="F201" s="139"/>
      <c r="G201" s="102" t="s">
        <v>385</v>
      </c>
      <c r="H201" s="69">
        <f>H183+H184+H185</f>
        <v>1836.72</v>
      </c>
      <c r="I201" s="69">
        <f>I183+I184+I185</f>
        <v>1836.72</v>
      </c>
      <c r="J201" s="69">
        <f t="shared" ref="J201:K201" si="29">J183+J184+J185</f>
        <v>0</v>
      </c>
      <c r="K201" s="69">
        <f t="shared" si="29"/>
        <v>0</v>
      </c>
      <c r="L201" s="419"/>
    </row>
    <row r="202" spans="1:12" ht="75" customHeight="1" x14ac:dyDescent="0.3">
      <c r="A202" s="328" t="s">
        <v>178</v>
      </c>
      <c r="B202" s="329"/>
      <c r="C202" s="329"/>
      <c r="D202" s="330"/>
      <c r="E202" s="110" t="s">
        <v>60</v>
      </c>
      <c r="F202" s="325"/>
      <c r="G202" s="102" t="s">
        <v>169</v>
      </c>
      <c r="H202" s="74">
        <f>H158+H168+H180+H190</f>
        <v>39134.6</v>
      </c>
      <c r="I202" s="74">
        <f>I158+I168+I180+I190</f>
        <v>18500</v>
      </c>
      <c r="J202" s="74">
        <f>J158+J168+J180+J190</f>
        <v>13334.6</v>
      </c>
      <c r="K202" s="74">
        <f>K158+K168+K180+K190</f>
        <v>7300</v>
      </c>
      <c r="L202" s="419"/>
    </row>
    <row r="203" spans="1:12" ht="75" customHeight="1" x14ac:dyDescent="0.3">
      <c r="A203" s="331"/>
      <c r="B203" s="332"/>
      <c r="C203" s="332"/>
      <c r="D203" s="333"/>
      <c r="E203" s="72" t="s">
        <v>54</v>
      </c>
      <c r="F203" s="326"/>
      <c r="G203" s="140" t="s">
        <v>169</v>
      </c>
      <c r="H203" s="74">
        <f>I203+J203+K203</f>
        <v>2000</v>
      </c>
      <c r="I203" s="74">
        <f>I159+I169+I191</f>
        <v>0</v>
      </c>
      <c r="J203" s="74">
        <f>J159+J169</f>
        <v>0</v>
      </c>
      <c r="K203" s="74">
        <f>K159+K169</f>
        <v>2000</v>
      </c>
      <c r="L203" s="419"/>
    </row>
    <row r="204" spans="1:12" ht="75" customHeight="1" x14ac:dyDescent="0.3">
      <c r="A204" s="331"/>
      <c r="B204" s="332"/>
      <c r="C204" s="332"/>
      <c r="D204" s="333"/>
      <c r="E204" s="274" t="s">
        <v>55</v>
      </c>
      <c r="F204" s="326"/>
      <c r="G204" s="140" t="s">
        <v>169</v>
      </c>
      <c r="H204" s="74">
        <f>H160+H170+H186+H192</f>
        <v>10924.2</v>
      </c>
      <c r="I204" s="74">
        <f>I160+I170+I186+I192</f>
        <v>1929.6</v>
      </c>
      <c r="J204" s="74">
        <f>J160+J170+J186+J192</f>
        <v>6394.6</v>
      </c>
      <c r="K204" s="74">
        <f>K160+K170+K186+K192</f>
        <v>2600</v>
      </c>
      <c r="L204" s="419"/>
    </row>
    <row r="205" spans="1:12" ht="309.75" customHeight="1" x14ac:dyDescent="0.3">
      <c r="A205" s="331"/>
      <c r="B205" s="332"/>
      <c r="C205" s="332"/>
      <c r="D205" s="333"/>
      <c r="E205" s="275"/>
      <c r="F205" s="326"/>
      <c r="G205" s="102" t="s">
        <v>385</v>
      </c>
      <c r="H205" s="74">
        <f>H183</f>
        <v>612.24</v>
      </c>
      <c r="I205" s="74">
        <f>I183</f>
        <v>612.24</v>
      </c>
      <c r="J205" s="74">
        <f t="shared" ref="J205:K205" si="30">J183</f>
        <v>0</v>
      </c>
      <c r="K205" s="74">
        <f t="shared" si="30"/>
        <v>0</v>
      </c>
      <c r="L205" s="419"/>
    </row>
    <row r="206" spans="1:12" ht="75" customHeight="1" x14ac:dyDescent="0.3">
      <c r="A206" s="331"/>
      <c r="B206" s="332"/>
      <c r="C206" s="332"/>
      <c r="D206" s="333"/>
      <c r="E206" s="274" t="s">
        <v>53</v>
      </c>
      <c r="F206" s="326"/>
      <c r="G206" s="140" t="s">
        <v>169</v>
      </c>
      <c r="H206" s="74">
        <f>H161+H171+H179+H187+H193</f>
        <v>64435.7</v>
      </c>
      <c r="I206" s="74">
        <f>I161+I171+I179+I187+I193</f>
        <v>16111.3</v>
      </c>
      <c r="J206" s="74">
        <f>J161+J171+J179+J187+J193</f>
        <v>44324.399999999994</v>
      </c>
      <c r="K206" s="74">
        <f>K161+K171+K179+K187+K193</f>
        <v>4000</v>
      </c>
      <c r="L206" s="419"/>
    </row>
    <row r="207" spans="1:12" ht="319.5" customHeight="1" x14ac:dyDescent="0.3">
      <c r="A207" s="331"/>
      <c r="B207" s="332"/>
      <c r="C207" s="332"/>
      <c r="D207" s="333"/>
      <c r="E207" s="275"/>
      <c r="F207" s="326"/>
      <c r="G207" s="102" t="s">
        <v>385</v>
      </c>
      <c r="H207" s="74">
        <f>H184</f>
        <v>612.24</v>
      </c>
      <c r="I207" s="74">
        <f>I184</f>
        <v>612.24</v>
      </c>
      <c r="J207" s="74">
        <f t="shared" ref="J207:K207" si="31">J184</f>
        <v>0</v>
      </c>
      <c r="K207" s="74">
        <f t="shared" si="31"/>
        <v>0</v>
      </c>
      <c r="L207" s="419"/>
    </row>
    <row r="208" spans="1:12" ht="90.75" customHeight="1" x14ac:dyDescent="0.3">
      <c r="A208" s="331"/>
      <c r="B208" s="332"/>
      <c r="C208" s="332"/>
      <c r="D208" s="333"/>
      <c r="E208" s="274" t="s">
        <v>148</v>
      </c>
      <c r="F208" s="326"/>
      <c r="G208" s="140" t="s">
        <v>169</v>
      </c>
      <c r="H208" s="74">
        <f>H172+H162+H181+H188+H194</f>
        <v>97096.2</v>
      </c>
      <c r="I208" s="74">
        <f>I172+I162+I181+I188+I194</f>
        <v>33281.300000000003</v>
      </c>
      <c r="J208" s="74">
        <f>J172+J162+J181+J188+J194</f>
        <v>60814.9</v>
      </c>
      <c r="K208" s="74">
        <f>K172+K162+K181+K188+K194</f>
        <v>3000</v>
      </c>
      <c r="L208" s="419"/>
    </row>
    <row r="209" spans="1:13" ht="326.25" customHeight="1" x14ac:dyDescent="0.3">
      <c r="A209" s="331"/>
      <c r="B209" s="332"/>
      <c r="C209" s="332"/>
      <c r="D209" s="333"/>
      <c r="E209" s="275"/>
      <c r="F209" s="326"/>
      <c r="G209" s="102" t="s">
        <v>385</v>
      </c>
      <c r="H209" s="74">
        <f>H185</f>
        <v>612.24</v>
      </c>
      <c r="I209" s="74">
        <f>I185</f>
        <v>612.24</v>
      </c>
      <c r="J209" s="74">
        <f t="shared" ref="J209:K209" si="32">J185</f>
        <v>0</v>
      </c>
      <c r="K209" s="74">
        <f t="shared" si="32"/>
        <v>0</v>
      </c>
      <c r="L209" s="419"/>
    </row>
    <row r="210" spans="1:13" ht="112.5" customHeight="1" x14ac:dyDescent="0.3">
      <c r="A210" s="331"/>
      <c r="B210" s="332"/>
      <c r="C210" s="332"/>
      <c r="D210" s="333"/>
      <c r="E210" s="110" t="s">
        <v>57</v>
      </c>
      <c r="F210" s="326"/>
      <c r="G210" s="140" t="s">
        <v>169</v>
      </c>
      <c r="H210" s="74">
        <f t="shared" ref="H210:H216" si="33">I210+J210+K210</f>
        <v>6600</v>
      </c>
      <c r="I210" s="74">
        <f>I163+I173+I195</f>
        <v>0</v>
      </c>
      <c r="J210" s="74">
        <f t="shared" ref="J210:K212" si="34">J163+J173</f>
        <v>0</v>
      </c>
      <c r="K210" s="74">
        <f t="shared" si="34"/>
        <v>6600</v>
      </c>
      <c r="L210" s="419"/>
    </row>
    <row r="211" spans="1:13" ht="99.75" customHeight="1" x14ac:dyDescent="0.3">
      <c r="A211" s="331"/>
      <c r="B211" s="332"/>
      <c r="C211" s="332"/>
      <c r="D211" s="333"/>
      <c r="E211" s="72" t="s">
        <v>56</v>
      </c>
      <c r="F211" s="326"/>
      <c r="G211" s="140" t="s">
        <v>169</v>
      </c>
      <c r="H211" s="74">
        <f t="shared" si="33"/>
        <v>2500</v>
      </c>
      <c r="I211" s="74">
        <f>I164+I174+I196</f>
        <v>0</v>
      </c>
      <c r="J211" s="74">
        <f t="shared" si="34"/>
        <v>0</v>
      </c>
      <c r="K211" s="74">
        <f t="shared" si="34"/>
        <v>2500</v>
      </c>
      <c r="L211" s="419"/>
    </row>
    <row r="212" spans="1:13" ht="99.75" customHeight="1" x14ac:dyDescent="0.3">
      <c r="A212" s="331"/>
      <c r="B212" s="332"/>
      <c r="C212" s="332"/>
      <c r="D212" s="333"/>
      <c r="E212" s="72" t="s">
        <v>58</v>
      </c>
      <c r="F212" s="326"/>
      <c r="G212" s="140" t="s">
        <v>169</v>
      </c>
      <c r="H212" s="74">
        <f t="shared" si="33"/>
        <v>0</v>
      </c>
      <c r="I212" s="74">
        <f>I165+I175+I197</f>
        <v>0</v>
      </c>
      <c r="J212" s="74">
        <f t="shared" si="34"/>
        <v>0</v>
      </c>
      <c r="K212" s="74">
        <f t="shared" si="34"/>
        <v>0</v>
      </c>
      <c r="L212" s="419"/>
    </row>
    <row r="213" spans="1:13" ht="99.75" customHeight="1" x14ac:dyDescent="0.3">
      <c r="A213" s="331"/>
      <c r="B213" s="332"/>
      <c r="C213" s="332"/>
      <c r="D213" s="333"/>
      <c r="E213" s="72" t="s">
        <v>59</v>
      </c>
      <c r="F213" s="326"/>
      <c r="G213" s="140" t="s">
        <v>169</v>
      </c>
      <c r="H213" s="74">
        <f t="shared" si="33"/>
        <v>0</v>
      </c>
      <c r="I213" s="74">
        <f>I176+I198</f>
        <v>0</v>
      </c>
      <c r="J213" s="74">
        <f>J176</f>
        <v>0</v>
      </c>
      <c r="K213" s="74">
        <f>K176</f>
        <v>0</v>
      </c>
      <c r="L213" s="419"/>
    </row>
    <row r="214" spans="1:13" ht="75" customHeight="1" x14ac:dyDescent="0.3">
      <c r="A214" s="331"/>
      <c r="B214" s="332"/>
      <c r="C214" s="332"/>
      <c r="D214" s="333"/>
      <c r="E214" s="110" t="s">
        <v>143</v>
      </c>
      <c r="F214" s="326"/>
      <c r="G214" s="140" t="s">
        <v>169</v>
      </c>
      <c r="H214" s="74">
        <f t="shared" si="33"/>
        <v>207469.6</v>
      </c>
      <c r="I214" s="74">
        <f>I155+I167+I157</f>
        <v>30493</v>
      </c>
      <c r="J214" s="74">
        <f>J155+J167+J157</f>
        <v>96676.6</v>
      </c>
      <c r="K214" s="74">
        <f>K155+K167+K157</f>
        <v>80300</v>
      </c>
      <c r="L214" s="419"/>
    </row>
    <row r="215" spans="1:13" ht="75" customHeight="1" x14ac:dyDescent="0.3">
      <c r="A215" s="331"/>
      <c r="B215" s="332"/>
      <c r="C215" s="332"/>
      <c r="D215" s="333"/>
      <c r="E215" s="110" t="s">
        <v>463</v>
      </c>
      <c r="F215" s="326"/>
      <c r="G215" s="140" t="s">
        <v>169</v>
      </c>
      <c r="H215" s="74">
        <f>H177</f>
        <v>5000</v>
      </c>
      <c r="I215" s="74">
        <f>I177</f>
        <v>5000</v>
      </c>
      <c r="J215" s="74">
        <f>J177</f>
        <v>0</v>
      </c>
      <c r="K215" s="74">
        <f>K177</f>
        <v>0</v>
      </c>
      <c r="L215" s="141"/>
    </row>
    <row r="216" spans="1:13" ht="122.25" customHeight="1" x14ac:dyDescent="0.4">
      <c r="A216" s="334"/>
      <c r="B216" s="335"/>
      <c r="C216" s="335"/>
      <c r="D216" s="336"/>
      <c r="E216" s="72" t="s">
        <v>376</v>
      </c>
      <c r="F216" s="327"/>
      <c r="G216" s="140" t="s">
        <v>169</v>
      </c>
      <c r="H216" s="74">
        <f t="shared" si="33"/>
        <v>400</v>
      </c>
      <c r="I216" s="74">
        <f>I156</f>
        <v>400</v>
      </c>
      <c r="J216" s="74">
        <f>J156</f>
        <v>0</v>
      </c>
      <c r="K216" s="74">
        <f>K156</f>
        <v>0</v>
      </c>
      <c r="L216" s="141"/>
      <c r="M216" s="142">
        <f>J225+J228+J231+J235+J239+J244+J247+J250+J253+J256+J259</f>
        <v>221545.1</v>
      </c>
    </row>
    <row r="217" spans="1:13" ht="75" customHeight="1" x14ac:dyDescent="0.3">
      <c r="A217" s="386" t="s">
        <v>71</v>
      </c>
      <c r="B217" s="387"/>
      <c r="C217" s="387"/>
      <c r="D217" s="387"/>
      <c r="E217" s="387"/>
      <c r="F217" s="388"/>
      <c r="G217" s="143"/>
      <c r="H217" s="69">
        <f>H101+H138+H150+H199</f>
        <v>775545.61999999988</v>
      </c>
      <c r="I217" s="69">
        <f>I101+I138+I150+I199</f>
        <v>225046.12</v>
      </c>
      <c r="J217" s="69">
        <f>J101+J138+J150+J199</f>
        <v>341740.80000000005</v>
      </c>
      <c r="K217" s="69">
        <f>K101+K138+K150+K199</f>
        <v>208758.7</v>
      </c>
      <c r="L217" s="354"/>
    </row>
    <row r="218" spans="1:13" ht="75" customHeight="1" x14ac:dyDescent="0.3">
      <c r="A218" s="277" t="s">
        <v>179</v>
      </c>
      <c r="B218" s="277"/>
      <c r="C218" s="277"/>
      <c r="D218" s="277"/>
      <c r="E218" s="277"/>
      <c r="F218" s="278"/>
      <c r="G218" s="140" t="s">
        <v>167</v>
      </c>
      <c r="H218" s="69">
        <f>H102+H139+H151</f>
        <v>321116.5</v>
      </c>
      <c r="I218" s="69">
        <f>I102+I139+I151</f>
        <v>100462.09999999999</v>
      </c>
      <c r="J218" s="69">
        <f>J102+J139+J151</f>
        <v>120195.7</v>
      </c>
      <c r="K218" s="69">
        <f>K102+K139+K151</f>
        <v>100458.70000000001</v>
      </c>
      <c r="L218" s="355"/>
    </row>
    <row r="219" spans="1:13" ht="75" customHeight="1" x14ac:dyDescent="0.3">
      <c r="A219" s="280"/>
      <c r="B219" s="280"/>
      <c r="C219" s="280"/>
      <c r="D219" s="280"/>
      <c r="E219" s="280"/>
      <c r="F219" s="281"/>
      <c r="G219" s="140" t="s">
        <v>151</v>
      </c>
      <c r="H219" s="69">
        <f>H200</f>
        <v>435560.29999999993</v>
      </c>
      <c r="I219" s="69">
        <f>I200</f>
        <v>105715.20000000001</v>
      </c>
      <c r="J219" s="69">
        <f>J200</f>
        <v>221545.10000000003</v>
      </c>
      <c r="K219" s="69">
        <f>K200</f>
        <v>108300</v>
      </c>
      <c r="L219" s="355"/>
    </row>
    <row r="220" spans="1:13" ht="315" customHeight="1" x14ac:dyDescent="0.3">
      <c r="A220" s="280"/>
      <c r="B220" s="280"/>
      <c r="C220" s="280"/>
      <c r="D220" s="280"/>
      <c r="E220" s="280"/>
      <c r="F220" s="281"/>
      <c r="G220" s="102" t="s">
        <v>385</v>
      </c>
      <c r="H220" s="69">
        <f>H201</f>
        <v>1836.72</v>
      </c>
      <c r="I220" s="69">
        <f>I201</f>
        <v>1836.72</v>
      </c>
      <c r="J220" s="69">
        <f t="shared" ref="J220:K220" si="35">J201</f>
        <v>0</v>
      </c>
      <c r="K220" s="69">
        <f t="shared" si="35"/>
        <v>0</v>
      </c>
      <c r="L220" s="144"/>
    </row>
    <row r="221" spans="1:13" ht="77.25" customHeight="1" x14ac:dyDescent="0.3">
      <c r="A221" s="280"/>
      <c r="B221" s="280"/>
      <c r="C221" s="280"/>
      <c r="D221" s="280"/>
      <c r="E221" s="280"/>
      <c r="F221" s="281"/>
      <c r="G221" s="84" t="s">
        <v>452</v>
      </c>
      <c r="H221" s="69">
        <f>H103</f>
        <v>495</v>
      </c>
      <c r="I221" s="69">
        <f>I103</f>
        <v>495</v>
      </c>
      <c r="J221" s="69">
        <f>J103</f>
        <v>0</v>
      </c>
      <c r="K221" s="69">
        <f>K103</f>
        <v>0</v>
      </c>
      <c r="L221" s="144"/>
    </row>
    <row r="222" spans="1:13" ht="77.25" customHeight="1" x14ac:dyDescent="0.3">
      <c r="A222" s="283"/>
      <c r="B222" s="283"/>
      <c r="C222" s="283"/>
      <c r="D222" s="283"/>
      <c r="E222" s="283"/>
      <c r="F222" s="284"/>
      <c r="G222" s="120" t="s">
        <v>457</v>
      </c>
      <c r="H222" s="69">
        <f>H152</f>
        <v>16537.099999999999</v>
      </c>
      <c r="I222" s="69">
        <f>I152</f>
        <v>16537.099999999999</v>
      </c>
      <c r="J222" s="69">
        <f>J152</f>
        <v>0</v>
      </c>
      <c r="K222" s="69">
        <f>K152</f>
        <v>0</v>
      </c>
      <c r="L222" s="144"/>
    </row>
    <row r="223" spans="1:13" ht="75" customHeight="1" x14ac:dyDescent="0.3">
      <c r="A223" s="392" t="s">
        <v>68</v>
      </c>
      <c r="B223" s="392"/>
      <c r="C223" s="392"/>
      <c r="D223" s="393"/>
      <c r="E223" s="317" t="s">
        <v>60</v>
      </c>
      <c r="F223" s="320"/>
      <c r="G223" s="140" t="s">
        <v>66</v>
      </c>
      <c r="H223" s="69">
        <f>SUM(H224:H225)</f>
        <v>73407.200000000012</v>
      </c>
      <c r="I223" s="69">
        <f>SUM(I224:I225)</f>
        <v>28203.7</v>
      </c>
      <c r="J223" s="69">
        <f>SUM(J224:J225)</f>
        <v>28357.600000000002</v>
      </c>
      <c r="K223" s="69">
        <f>SUM(K224:K225)</f>
        <v>16845.900000000001</v>
      </c>
      <c r="L223" s="145"/>
    </row>
    <row r="224" spans="1:13" ht="75" customHeight="1" x14ac:dyDescent="0.3">
      <c r="A224" s="394"/>
      <c r="B224" s="394"/>
      <c r="C224" s="394"/>
      <c r="D224" s="395"/>
      <c r="E224" s="318"/>
      <c r="F224" s="321"/>
      <c r="G224" s="84" t="s">
        <v>166</v>
      </c>
      <c r="H224" s="73">
        <f>H105</f>
        <v>34272.600000000006</v>
      </c>
      <c r="I224" s="73">
        <f>I105</f>
        <v>9703.7000000000007</v>
      </c>
      <c r="J224" s="73">
        <f>J105</f>
        <v>15023.000000000002</v>
      </c>
      <c r="K224" s="73">
        <f>K105</f>
        <v>9545.9</v>
      </c>
      <c r="L224" s="146"/>
    </row>
    <row r="225" spans="1:12" ht="85.5" customHeight="1" x14ac:dyDescent="0.3">
      <c r="A225" s="394"/>
      <c r="B225" s="394"/>
      <c r="C225" s="394"/>
      <c r="D225" s="395"/>
      <c r="E225" s="319"/>
      <c r="F225" s="321"/>
      <c r="G225" s="84" t="s">
        <v>169</v>
      </c>
      <c r="H225" s="73">
        <f>H202</f>
        <v>39134.6</v>
      </c>
      <c r="I225" s="73">
        <f>I202</f>
        <v>18500</v>
      </c>
      <c r="J225" s="73">
        <f>J202</f>
        <v>13334.6</v>
      </c>
      <c r="K225" s="73">
        <f>K202</f>
        <v>7300</v>
      </c>
      <c r="L225" s="146"/>
    </row>
    <row r="226" spans="1:12" ht="75" customHeight="1" x14ac:dyDescent="0.3">
      <c r="A226" s="394"/>
      <c r="B226" s="394"/>
      <c r="C226" s="394"/>
      <c r="D226" s="395"/>
      <c r="E226" s="317" t="s">
        <v>54</v>
      </c>
      <c r="F226" s="321"/>
      <c r="G226" s="140" t="s">
        <v>66</v>
      </c>
      <c r="H226" s="69">
        <f>SUM(H227:H228)</f>
        <v>43641</v>
      </c>
      <c r="I226" s="69">
        <f>SUM(I227:I228)</f>
        <v>16473.7</v>
      </c>
      <c r="J226" s="69">
        <f>SUM(J227:J228)</f>
        <v>13207.9</v>
      </c>
      <c r="K226" s="69">
        <f>SUM(K227:K228)</f>
        <v>13959.4</v>
      </c>
      <c r="L226" s="146"/>
    </row>
    <row r="227" spans="1:12" ht="75" customHeight="1" x14ac:dyDescent="0.3">
      <c r="A227" s="394"/>
      <c r="B227" s="394"/>
      <c r="C227" s="394"/>
      <c r="D227" s="395"/>
      <c r="E227" s="318"/>
      <c r="F227" s="321"/>
      <c r="G227" s="84" t="s">
        <v>166</v>
      </c>
      <c r="H227" s="73">
        <f>H107+H140</f>
        <v>41641</v>
      </c>
      <c r="I227" s="73">
        <f>I107+I140</f>
        <v>16473.7</v>
      </c>
      <c r="J227" s="73">
        <f>J107+J140</f>
        <v>13207.9</v>
      </c>
      <c r="K227" s="73">
        <f>K107+K140</f>
        <v>11959.4</v>
      </c>
      <c r="L227" s="144"/>
    </row>
    <row r="228" spans="1:12" ht="75" customHeight="1" x14ac:dyDescent="0.3">
      <c r="A228" s="394"/>
      <c r="B228" s="394"/>
      <c r="C228" s="394"/>
      <c r="D228" s="395"/>
      <c r="E228" s="319"/>
      <c r="F228" s="321"/>
      <c r="G228" s="84" t="s">
        <v>169</v>
      </c>
      <c r="H228" s="73">
        <f>H203</f>
        <v>2000</v>
      </c>
      <c r="I228" s="73">
        <f>I203</f>
        <v>0</v>
      </c>
      <c r="J228" s="73">
        <f>J203</f>
        <v>0</v>
      </c>
      <c r="K228" s="73">
        <f>K203</f>
        <v>2000</v>
      </c>
      <c r="L228" s="144"/>
    </row>
    <row r="229" spans="1:12" ht="75" customHeight="1" x14ac:dyDescent="0.3">
      <c r="A229" s="394"/>
      <c r="B229" s="394"/>
      <c r="C229" s="394"/>
      <c r="D229" s="395"/>
      <c r="E229" s="317" t="s">
        <v>55</v>
      </c>
      <c r="F229" s="321"/>
      <c r="G229" s="140" t="s">
        <v>66</v>
      </c>
      <c r="H229" s="69">
        <f>SUM(H230:H232)</f>
        <v>52726.839999999989</v>
      </c>
      <c r="I229" s="69">
        <f>SUM(I230:I232)</f>
        <v>15261.64</v>
      </c>
      <c r="J229" s="69">
        <f t="shared" ref="J229:K229" si="36">SUM(J230:J232)</f>
        <v>20023.300000000003</v>
      </c>
      <c r="K229" s="69">
        <f t="shared" si="36"/>
        <v>17441.900000000001</v>
      </c>
      <c r="L229" s="144"/>
    </row>
    <row r="230" spans="1:12" ht="75" customHeight="1" x14ac:dyDescent="0.3">
      <c r="A230" s="394"/>
      <c r="B230" s="394"/>
      <c r="C230" s="394"/>
      <c r="D230" s="395"/>
      <c r="E230" s="318"/>
      <c r="F230" s="321"/>
      <c r="G230" s="84" t="s">
        <v>166</v>
      </c>
      <c r="H230" s="73">
        <f>H109+H141</f>
        <v>41190.399999999994</v>
      </c>
      <c r="I230" s="73">
        <f>I109+I141</f>
        <v>12719.8</v>
      </c>
      <c r="J230" s="73">
        <f>J109+J141</f>
        <v>13628.7</v>
      </c>
      <c r="K230" s="73">
        <f>K109+K141</f>
        <v>14841.900000000001</v>
      </c>
      <c r="L230" s="144"/>
    </row>
    <row r="231" spans="1:12" ht="75" customHeight="1" x14ac:dyDescent="0.3">
      <c r="A231" s="394"/>
      <c r="B231" s="394"/>
      <c r="C231" s="394"/>
      <c r="D231" s="395"/>
      <c r="E231" s="318"/>
      <c r="F231" s="321"/>
      <c r="G231" s="84" t="s">
        <v>169</v>
      </c>
      <c r="H231" s="73">
        <f>H204</f>
        <v>10924.2</v>
      </c>
      <c r="I231" s="73">
        <f>I204</f>
        <v>1929.6</v>
      </c>
      <c r="J231" s="73">
        <f>J204</f>
        <v>6394.6</v>
      </c>
      <c r="K231" s="73">
        <f>K204</f>
        <v>2600</v>
      </c>
      <c r="L231" s="144"/>
    </row>
    <row r="232" spans="1:12" ht="327.75" customHeight="1" x14ac:dyDescent="0.3">
      <c r="A232" s="394"/>
      <c r="B232" s="394"/>
      <c r="C232" s="394"/>
      <c r="D232" s="395"/>
      <c r="E232" s="319"/>
      <c r="F232" s="321"/>
      <c r="G232" s="102" t="s">
        <v>385</v>
      </c>
      <c r="H232" s="73">
        <f>H205</f>
        <v>612.24</v>
      </c>
      <c r="I232" s="73">
        <f>I205</f>
        <v>612.24</v>
      </c>
      <c r="J232" s="73">
        <f t="shared" ref="J232:K232" si="37">J205</f>
        <v>0</v>
      </c>
      <c r="K232" s="73">
        <f t="shared" si="37"/>
        <v>0</v>
      </c>
      <c r="L232" s="144"/>
    </row>
    <row r="233" spans="1:12" ht="42" customHeight="1" x14ac:dyDescent="0.3">
      <c r="A233" s="394"/>
      <c r="B233" s="394"/>
      <c r="C233" s="394"/>
      <c r="D233" s="395"/>
      <c r="E233" s="317" t="s">
        <v>53</v>
      </c>
      <c r="F233" s="321"/>
      <c r="G233" s="140" t="s">
        <v>66</v>
      </c>
      <c r="H233" s="69">
        <f>SUM(H234:H236)</f>
        <v>116371.64</v>
      </c>
      <c r="I233" s="69">
        <f>SUM(I234:I236)</f>
        <v>29305.14</v>
      </c>
      <c r="J233" s="69">
        <f t="shared" ref="J233:K233" si="38">SUM(J234:J236)</f>
        <v>69567.799999999988</v>
      </c>
      <c r="K233" s="69">
        <f t="shared" si="38"/>
        <v>17498.699999999997</v>
      </c>
      <c r="L233" s="144"/>
    </row>
    <row r="234" spans="1:12" ht="55.5" customHeight="1" x14ac:dyDescent="0.3">
      <c r="A234" s="394"/>
      <c r="B234" s="394"/>
      <c r="C234" s="394"/>
      <c r="D234" s="395"/>
      <c r="E234" s="318"/>
      <c r="F234" s="321"/>
      <c r="G234" s="147" t="s">
        <v>166</v>
      </c>
      <c r="H234" s="73">
        <f>H111</f>
        <v>51323.7</v>
      </c>
      <c r="I234" s="73">
        <f>I111</f>
        <v>12581.599999999999</v>
      </c>
      <c r="J234" s="73">
        <f>J111</f>
        <v>25243.4</v>
      </c>
      <c r="K234" s="73">
        <f>K111</f>
        <v>13498.699999999999</v>
      </c>
      <c r="L234" s="144"/>
    </row>
    <row r="235" spans="1:12" ht="58.5" customHeight="1" x14ac:dyDescent="0.3">
      <c r="A235" s="394"/>
      <c r="B235" s="394"/>
      <c r="C235" s="394"/>
      <c r="D235" s="395"/>
      <c r="E235" s="318"/>
      <c r="F235" s="321"/>
      <c r="G235" s="84" t="s">
        <v>169</v>
      </c>
      <c r="H235" s="73">
        <f>H206</f>
        <v>64435.7</v>
      </c>
      <c r="I235" s="73">
        <f>I206</f>
        <v>16111.3</v>
      </c>
      <c r="J235" s="73">
        <f>J206</f>
        <v>44324.399999999994</v>
      </c>
      <c r="K235" s="73">
        <f>K206</f>
        <v>4000</v>
      </c>
      <c r="L235" s="144"/>
    </row>
    <row r="236" spans="1:12" ht="303.75" customHeight="1" x14ac:dyDescent="0.3">
      <c r="A236" s="394"/>
      <c r="B236" s="394"/>
      <c r="C236" s="394"/>
      <c r="D236" s="395"/>
      <c r="E236" s="319"/>
      <c r="F236" s="321"/>
      <c r="G236" s="102" t="s">
        <v>385</v>
      </c>
      <c r="H236" s="73">
        <f>H207</f>
        <v>612.24</v>
      </c>
      <c r="I236" s="73">
        <f>I207</f>
        <v>612.24</v>
      </c>
      <c r="J236" s="73">
        <f t="shared" ref="J236:K236" si="39">J207</f>
        <v>0</v>
      </c>
      <c r="K236" s="73">
        <f t="shared" si="39"/>
        <v>0</v>
      </c>
      <c r="L236" s="144"/>
    </row>
    <row r="237" spans="1:12" ht="42" customHeight="1" x14ac:dyDescent="0.3">
      <c r="A237" s="394"/>
      <c r="B237" s="394"/>
      <c r="C237" s="394"/>
      <c r="D237" s="395"/>
      <c r="E237" s="317" t="s">
        <v>148</v>
      </c>
      <c r="F237" s="321"/>
      <c r="G237" s="140" t="s">
        <v>66</v>
      </c>
      <c r="H237" s="73">
        <f>SUM(H238:H241)</f>
        <v>115034.04</v>
      </c>
      <c r="I237" s="73">
        <f t="shared" ref="I237:K237" si="40">SUM(I238:I241)</f>
        <v>39421.440000000002</v>
      </c>
      <c r="J237" s="73">
        <f t="shared" si="40"/>
        <v>67364.899999999994</v>
      </c>
      <c r="K237" s="73">
        <f t="shared" si="40"/>
        <v>8247.7000000000007</v>
      </c>
      <c r="L237" s="144"/>
    </row>
    <row r="238" spans="1:12" ht="56.25" customHeight="1" x14ac:dyDescent="0.3">
      <c r="A238" s="394"/>
      <c r="B238" s="394"/>
      <c r="C238" s="394"/>
      <c r="D238" s="395"/>
      <c r="E238" s="318"/>
      <c r="F238" s="321"/>
      <c r="G238" s="147" t="s">
        <v>166</v>
      </c>
      <c r="H238" s="73">
        <f>H121+H145</f>
        <v>16830.599999999995</v>
      </c>
      <c r="I238" s="73">
        <f>I121+I145</f>
        <v>5032.8999999999996</v>
      </c>
      <c r="J238" s="73">
        <f>J121+J145</f>
        <v>6550</v>
      </c>
      <c r="K238" s="73">
        <f>K121+K145</f>
        <v>5247.7</v>
      </c>
      <c r="L238" s="144"/>
    </row>
    <row r="239" spans="1:12" ht="75" customHeight="1" x14ac:dyDescent="0.3">
      <c r="A239" s="394"/>
      <c r="B239" s="394"/>
      <c r="C239" s="394"/>
      <c r="D239" s="395"/>
      <c r="E239" s="318"/>
      <c r="F239" s="321"/>
      <c r="G239" s="84" t="s">
        <v>169</v>
      </c>
      <c r="H239" s="73">
        <f>H208</f>
        <v>97096.2</v>
      </c>
      <c r="I239" s="73">
        <f>I208</f>
        <v>33281.300000000003</v>
      </c>
      <c r="J239" s="73">
        <f>J208</f>
        <v>60814.9</v>
      </c>
      <c r="K239" s="73">
        <f>K208</f>
        <v>3000</v>
      </c>
      <c r="L239" s="144"/>
    </row>
    <row r="240" spans="1:12" ht="310.5" customHeight="1" x14ac:dyDescent="0.3">
      <c r="A240" s="394"/>
      <c r="B240" s="394"/>
      <c r="C240" s="394"/>
      <c r="D240" s="395"/>
      <c r="E240" s="318"/>
      <c r="F240" s="321"/>
      <c r="G240" s="102" t="s">
        <v>385</v>
      </c>
      <c r="H240" s="73">
        <f>H209</f>
        <v>612.24</v>
      </c>
      <c r="I240" s="73">
        <f>I209</f>
        <v>612.24</v>
      </c>
      <c r="J240" s="73">
        <f t="shared" ref="J240:K240" si="41">J209</f>
        <v>0</v>
      </c>
      <c r="K240" s="73">
        <f t="shared" si="41"/>
        <v>0</v>
      </c>
      <c r="L240" s="144"/>
    </row>
    <row r="241" spans="1:12" ht="110.25" customHeight="1" x14ac:dyDescent="0.3">
      <c r="A241" s="394"/>
      <c r="B241" s="394"/>
      <c r="C241" s="394"/>
      <c r="D241" s="395"/>
      <c r="E241" s="319"/>
      <c r="F241" s="321"/>
      <c r="G241" s="84" t="s">
        <v>452</v>
      </c>
      <c r="H241" s="73">
        <f>H122</f>
        <v>495</v>
      </c>
      <c r="I241" s="73">
        <f>I122</f>
        <v>495</v>
      </c>
      <c r="J241" s="73">
        <f>J122</f>
        <v>0</v>
      </c>
      <c r="K241" s="73">
        <f>K122</f>
        <v>0</v>
      </c>
      <c r="L241" s="144"/>
    </row>
    <row r="242" spans="1:12" ht="58.5" customHeight="1" x14ac:dyDescent="0.3">
      <c r="A242" s="394"/>
      <c r="B242" s="394"/>
      <c r="C242" s="394"/>
      <c r="D242" s="395"/>
      <c r="E242" s="317" t="s">
        <v>57</v>
      </c>
      <c r="F242" s="321"/>
      <c r="G242" s="140" t="s">
        <v>66</v>
      </c>
      <c r="H242" s="69">
        <f>SUM(H243:H244)</f>
        <v>22910.399999999998</v>
      </c>
      <c r="I242" s="69">
        <f>SUM(I243:I244)</f>
        <v>5125.6000000000004</v>
      </c>
      <c r="J242" s="69">
        <f>SUM(J243:J244)</f>
        <v>5512</v>
      </c>
      <c r="K242" s="69">
        <f>SUM(K243:K244)</f>
        <v>12272.8</v>
      </c>
      <c r="L242" s="144"/>
    </row>
    <row r="243" spans="1:12" ht="75" customHeight="1" x14ac:dyDescent="0.3">
      <c r="A243" s="394"/>
      <c r="B243" s="394"/>
      <c r="C243" s="394"/>
      <c r="D243" s="395"/>
      <c r="E243" s="318"/>
      <c r="F243" s="321"/>
      <c r="G243" s="147" t="s">
        <v>166</v>
      </c>
      <c r="H243" s="73">
        <f>H113</f>
        <v>16310.399999999998</v>
      </c>
      <c r="I243" s="73">
        <f>I113</f>
        <v>5125.6000000000004</v>
      </c>
      <c r="J243" s="73">
        <f>J113</f>
        <v>5512</v>
      </c>
      <c r="K243" s="73">
        <f>K113</f>
        <v>5672.8</v>
      </c>
      <c r="L243" s="144"/>
    </row>
    <row r="244" spans="1:12" ht="63" customHeight="1" x14ac:dyDescent="0.3">
      <c r="A244" s="394"/>
      <c r="B244" s="394"/>
      <c r="C244" s="394"/>
      <c r="D244" s="395"/>
      <c r="E244" s="319"/>
      <c r="F244" s="321"/>
      <c r="G244" s="84" t="s">
        <v>169</v>
      </c>
      <c r="H244" s="73">
        <f>H210</f>
        <v>6600</v>
      </c>
      <c r="I244" s="73">
        <f>I210</f>
        <v>0</v>
      </c>
      <c r="J244" s="73">
        <f>J210</f>
        <v>0</v>
      </c>
      <c r="K244" s="73">
        <f>K210</f>
        <v>6600</v>
      </c>
      <c r="L244" s="144"/>
    </row>
    <row r="245" spans="1:12" ht="64.5" customHeight="1" x14ac:dyDescent="0.3">
      <c r="A245" s="394"/>
      <c r="B245" s="394"/>
      <c r="C245" s="394"/>
      <c r="D245" s="395"/>
      <c r="E245" s="317" t="s">
        <v>56</v>
      </c>
      <c r="F245" s="321"/>
      <c r="G245" s="140" t="s">
        <v>66</v>
      </c>
      <c r="H245" s="69">
        <f>SUM(H246:H247)</f>
        <v>42118.3</v>
      </c>
      <c r="I245" s="69">
        <f>SUM(I246:I247)</f>
        <v>13838.7</v>
      </c>
      <c r="J245" s="69">
        <f>SUM(J246:J247)</f>
        <v>14392.800000000001</v>
      </c>
      <c r="K245" s="69">
        <f>SUM(K246:K247)</f>
        <v>13886.8</v>
      </c>
      <c r="L245" s="144"/>
    </row>
    <row r="246" spans="1:12" ht="75" customHeight="1" x14ac:dyDescent="0.3">
      <c r="A246" s="394"/>
      <c r="B246" s="394"/>
      <c r="C246" s="394"/>
      <c r="D246" s="395"/>
      <c r="E246" s="318"/>
      <c r="F246" s="321"/>
      <c r="G246" s="147" t="s">
        <v>166</v>
      </c>
      <c r="H246" s="73">
        <f>H115+H142</f>
        <v>39618.300000000003</v>
      </c>
      <c r="I246" s="73">
        <f>I115+I142</f>
        <v>13838.7</v>
      </c>
      <c r="J246" s="73">
        <f>J97+J98+J136</f>
        <v>14392.800000000001</v>
      </c>
      <c r="K246" s="73">
        <f>K115+K142</f>
        <v>11386.8</v>
      </c>
      <c r="L246" s="144"/>
    </row>
    <row r="247" spans="1:12" ht="75" customHeight="1" x14ac:dyDescent="0.3">
      <c r="A247" s="394"/>
      <c r="B247" s="394"/>
      <c r="C247" s="394"/>
      <c r="D247" s="395"/>
      <c r="E247" s="319"/>
      <c r="F247" s="321"/>
      <c r="G247" s="84" t="s">
        <v>169</v>
      </c>
      <c r="H247" s="73">
        <f>H211</f>
        <v>2500</v>
      </c>
      <c r="I247" s="73">
        <f>I211</f>
        <v>0</v>
      </c>
      <c r="J247" s="73">
        <f>J211</f>
        <v>0</v>
      </c>
      <c r="K247" s="73">
        <f>K211</f>
        <v>2500</v>
      </c>
      <c r="L247" s="144"/>
    </row>
    <row r="248" spans="1:12" ht="75" customHeight="1" x14ac:dyDescent="0.3">
      <c r="A248" s="394"/>
      <c r="B248" s="394"/>
      <c r="C248" s="394"/>
      <c r="D248" s="395"/>
      <c r="E248" s="317" t="s">
        <v>58</v>
      </c>
      <c r="F248" s="321"/>
      <c r="G248" s="140" t="s">
        <v>66</v>
      </c>
      <c r="H248" s="69">
        <f>SUM(H249:H250)</f>
        <v>31925.200000000004</v>
      </c>
      <c r="I248" s="69">
        <f>SUM(I249:I250)</f>
        <v>10162</v>
      </c>
      <c r="J248" s="69">
        <f>SUM(J249:J250)</f>
        <v>10536.099999999999</v>
      </c>
      <c r="K248" s="69">
        <f>SUM(K249:K250)</f>
        <v>11227.099999999999</v>
      </c>
      <c r="L248" s="144"/>
    </row>
    <row r="249" spans="1:12" ht="75" customHeight="1" x14ac:dyDescent="0.3">
      <c r="A249" s="394"/>
      <c r="B249" s="394"/>
      <c r="C249" s="394"/>
      <c r="D249" s="395"/>
      <c r="E249" s="318"/>
      <c r="F249" s="321"/>
      <c r="G249" s="147" t="s">
        <v>166</v>
      </c>
      <c r="H249" s="73">
        <f>H117+H143</f>
        <v>31925.200000000004</v>
      </c>
      <c r="I249" s="73">
        <f>I117+I143</f>
        <v>10162</v>
      </c>
      <c r="J249" s="73">
        <f>J117+J143</f>
        <v>10536.099999999999</v>
      </c>
      <c r="K249" s="73">
        <f>K117+K143</f>
        <v>11227.099999999999</v>
      </c>
      <c r="L249" s="144"/>
    </row>
    <row r="250" spans="1:12" ht="75" customHeight="1" x14ac:dyDescent="0.3">
      <c r="A250" s="394"/>
      <c r="B250" s="394"/>
      <c r="C250" s="394"/>
      <c r="D250" s="395"/>
      <c r="E250" s="319"/>
      <c r="F250" s="321"/>
      <c r="G250" s="84" t="s">
        <v>169</v>
      </c>
      <c r="H250" s="73">
        <f>H212</f>
        <v>0</v>
      </c>
      <c r="I250" s="73">
        <f>I212</f>
        <v>0</v>
      </c>
      <c r="J250" s="73">
        <f>J212</f>
        <v>0</v>
      </c>
      <c r="K250" s="73">
        <f>K212</f>
        <v>0</v>
      </c>
      <c r="L250" s="144"/>
    </row>
    <row r="251" spans="1:12" ht="75" customHeight="1" x14ac:dyDescent="0.3">
      <c r="A251" s="394"/>
      <c r="B251" s="394"/>
      <c r="C251" s="394"/>
      <c r="D251" s="395"/>
      <c r="E251" s="317" t="s">
        <v>59</v>
      </c>
      <c r="F251" s="321"/>
      <c r="G251" s="140" t="s">
        <v>66</v>
      </c>
      <c r="H251" s="69">
        <f>H252+H253</f>
        <v>36343.599999999999</v>
      </c>
      <c r="I251" s="69">
        <f>I252+I253</f>
        <v>11869.8</v>
      </c>
      <c r="J251" s="69">
        <f>J252+J253</f>
        <v>11388.8</v>
      </c>
      <c r="K251" s="69">
        <f>K252+K253</f>
        <v>13085</v>
      </c>
      <c r="L251" s="144"/>
    </row>
    <row r="252" spans="1:12" ht="75" customHeight="1" x14ac:dyDescent="0.3">
      <c r="A252" s="394"/>
      <c r="B252" s="394"/>
      <c r="C252" s="394"/>
      <c r="D252" s="395"/>
      <c r="E252" s="318"/>
      <c r="F252" s="321"/>
      <c r="G252" s="147" t="s">
        <v>166</v>
      </c>
      <c r="H252" s="73">
        <f>H119+H144</f>
        <v>36343.599999999999</v>
      </c>
      <c r="I252" s="73">
        <f>I119+I144</f>
        <v>11869.8</v>
      </c>
      <c r="J252" s="73">
        <f>J119+J144</f>
        <v>11388.8</v>
      </c>
      <c r="K252" s="73">
        <f>K119+K144</f>
        <v>13085</v>
      </c>
      <c r="L252" s="144"/>
    </row>
    <row r="253" spans="1:12" ht="75" customHeight="1" x14ac:dyDescent="0.3">
      <c r="A253" s="394"/>
      <c r="B253" s="394"/>
      <c r="C253" s="394"/>
      <c r="D253" s="395"/>
      <c r="E253" s="319"/>
      <c r="F253" s="321"/>
      <c r="G253" s="84" t="s">
        <v>169</v>
      </c>
      <c r="H253" s="73">
        <f>I253+J253+K253</f>
        <v>0</v>
      </c>
      <c r="I253" s="73">
        <f>I213</f>
        <v>0</v>
      </c>
      <c r="J253" s="73">
        <f>J213</f>
        <v>0</v>
      </c>
      <c r="K253" s="73">
        <f>K213</f>
        <v>0</v>
      </c>
      <c r="L253" s="144"/>
    </row>
    <row r="254" spans="1:12" ht="75" customHeight="1" x14ac:dyDescent="0.3">
      <c r="A254" s="394"/>
      <c r="B254" s="394"/>
      <c r="C254" s="394"/>
      <c r="D254" s="395"/>
      <c r="E254" s="317" t="s">
        <v>143</v>
      </c>
      <c r="F254" s="321"/>
      <c r="G254" s="140" t="s">
        <v>66</v>
      </c>
      <c r="H254" s="69">
        <f>SUM(H255:H257)</f>
        <v>235667.40000000002</v>
      </c>
      <c r="I254" s="69">
        <f t="shared" ref="I254:K254" si="42">SUM(I255:I257)</f>
        <v>49984.4</v>
      </c>
      <c r="J254" s="69">
        <f t="shared" si="42"/>
        <v>101389.6</v>
      </c>
      <c r="K254" s="69">
        <f t="shared" si="42"/>
        <v>84293.4</v>
      </c>
      <c r="L254" s="144"/>
    </row>
    <row r="255" spans="1:12" ht="75" customHeight="1" x14ac:dyDescent="0.3">
      <c r="A255" s="394"/>
      <c r="B255" s="394"/>
      <c r="C255" s="394"/>
      <c r="D255" s="395"/>
      <c r="E255" s="318"/>
      <c r="F255" s="321"/>
      <c r="G255" s="147" t="s">
        <v>166</v>
      </c>
      <c r="H255" s="73">
        <f>H151+H57</f>
        <v>11660.7</v>
      </c>
      <c r="I255" s="73">
        <f>I151+I57</f>
        <v>2954.2999999999997</v>
      </c>
      <c r="J255" s="73">
        <f>J151+J57</f>
        <v>4713</v>
      </c>
      <c r="K255" s="73">
        <f>K151+K57</f>
        <v>3993.4</v>
      </c>
      <c r="L255" s="144"/>
    </row>
    <row r="256" spans="1:12" ht="97.5" customHeight="1" x14ac:dyDescent="0.3">
      <c r="A256" s="394"/>
      <c r="B256" s="394"/>
      <c r="C256" s="394"/>
      <c r="D256" s="395"/>
      <c r="E256" s="318"/>
      <c r="F256" s="321"/>
      <c r="G256" s="84" t="s">
        <v>169</v>
      </c>
      <c r="H256" s="73">
        <f>H214</f>
        <v>207469.6</v>
      </c>
      <c r="I256" s="73">
        <f>I214</f>
        <v>30493</v>
      </c>
      <c r="J256" s="73">
        <f>J214</f>
        <v>96676.6</v>
      </c>
      <c r="K256" s="73">
        <f>K214</f>
        <v>80300</v>
      </c>
      <c r="L256" s="148"/>
    </row>
    <row r="257" spans="1:12" ht="97.5" customHeight="1" x14ac:dyDescent="0.3">
      <c r="A257" s="394"/>
      <c r="B257" s="394"/>
      <c r="C257" s="394"/>
      <c r="D257" s="395"/>
      <c r="E257" s="319"/>
      <c r="F257" s="321"/>
      <c r="G257" s="120" t="s">
        <v>457</v>
      </c>
      <c r="H257" s="73">
        <f>H149</f>
        <v>16537.099999999999</v>
      </c>
      <c r="I257" s="73">
        <f>I149</f>
        <v>16537.099999999999</v>
      </c>
      <c r="J257" s="73">
        <f>J149</f>
        <v>0</v>
      </c>
      <c r="K257" s="73">
        <f>K149</f>
        <v>0</v>
      </c>
      <c r="L257" s="149"/>
    </row>
    <row r="258" spans="1:12" ht="97.5" customHeight="1" x14ac:dyDescent="0.3">
      <c r="A258" s="394"/>
      <c r="B258" s="394"/>
      <c r="C258" s="394"/>
      <c r="D258" s="395"/>
      <c r="E258" s="150" t="s">
        <v>463</v>
      </c>
      <c r="F258" s="321"/>
      <c r="G258" s="84" t="s">
        <v>169</v>
      </c>
      <c r="H258" s="73">
        <f>H215</f>
        <v>5000</v>
      </c>
      <c r="I258" s="73">
        <f>I215</f>
        <v>5000</v>
      </c>
      <c r="J258" s="73">
        <f t="shared" ref="J258:K258" si="43">J215</f>
        <v>0</v>
      </c>
      <c r="K258" s="73">
        <f t="shared" si="43"/>
        <v>0</v>
      </c>
      <c r="L258" s="149"/>
    </row>
    <row r="259" spans="1:12" ht="112.5" customHeight="1" x14ac:dyDescent="0.3">
      <c r="A259" s="396"/>
      <c r="B259" s="396"/>
      <c r="C259" s="396"/>
      <c r="D259" s="397"/>
      <c r="E259" s="151" t="s">
        <v>376</v>
      </c>
      <c r="F259" s="322"/>
      <c r="G259" s="140" t="s">
        <v>169</v>
      </c>
      <c r="H259" s="73">
        <f>H216</f>
        <v>400</v>
      </c>
      <c r="I259" s="73">
        <f>I216</f>
        <v>400</v>
      </c>
      <c r="J259" s="73">
        <f t="shared" ref="J259:K259" si="44">J216</f>
        <v>0</v>
      </c>
      <c r="K259" s="73">
        <f t="shared" si="44"/>
        <v>0</v>
      </c>
      <c r="L259" s="149"/>
    </row>
    <row r="260" spans="1:12" ht="75" customHeight="1" x14ac:dyDescent="0.3">
      <c r="A260" s="351" t="s">
        <v>106</v>
      </c>
      <c r="B260" s="351"/>
      <c r="C260" s="351"/>
      <c r="D260" s="351"/>
      <c r="E260" s="351"/>
      <c r="F260" s="351"/>
      <c r="G260" s="351"/>
      <c r="H260" s="351"/>
      <c r="I260" s="351"/>
      <c r="J260" s="351"/>
      <c r="K260" s="351"/>
      <c r="L260" s="352"/>
    </row>
    <row r="261" spans="1:12" ht="88.5" customHeight="1" x14ac:dyDescent="0.3">
      <c r="A261" s="152" t="s">
        <v>107</v>
      </c>
      <c r="B261" s="341" t="s">
        <v>368</v>
      </c>
      <c r="C261" s="342"/>
      <c r="D261" s="342"/>
      <c r="E261" s="342"/>
      <c r="F261" s="343"/>
      <c r="G261" s="68" t="s">
        <v>62</v>
      </c>
      <c r="H261" s="69">
        <f>SUM(H262:H266)</f>
        <v>1960.2</v>
      </c>
      <c r="I261" s="69">
        <f>SUM(I262:I266)</f>
        <v>653.4</v>
      </c>
      <c r="J261" s="69">
        <f>SUM(J262:J266)</f>
        <v>653.4</v>
      </c>
      <c r="K261" s="69">
        <f>SUM(K262:K266)</f>
        <v>653.4</v>
      </c>
      <c r="L261" s="274" t="s">
        <v>369</v>
      </c>
    </row>
    <row r="262" spans="1:12" ht="92.25" hidden="1" customHeight="1" x14ac:dyDescent="0.3">
      <c r="A262" s="276" t="s">
        <v>109</v>
      </c>
      <c r="B262" s="277"/>
      <c r="C262" s="277"/>
      <c r="D262" s="278"/>
      <c r="E262" s="72" t="s">
        <v>60</v>
      </c>
      <c r="F262" s="310"/>
      <c r="G262" s="285" t="s">
        <v>166</v>
      </c>
      <c r="H262" s="69">
        <f>I262+J262+K262</f>
        <v>0</v>
      </c>
      <c r="I262" s="73"/>
      <c r="J262" s="73"/>
      <c r="K262" s="73"/>
      <c r="L262" s="298"/>
    </row>
    <row r="263" spans="1:12" ht="82.5" customHeight="1" x14ac:dyDescent="0.3">
      <c r="A263" s="279"/>
      <c r="B263" s="280"/>
      <c r="C263" s="280"/>
      <c r="D263" s="281"/>
      <c r="E263" s="72" t="s">
        <v>54</v>
      </c>
      <c r="F263" s="311"/>
      <c r="G263" s="286"/>
      <c r="H263" s="69">
        <f>I263+J263+K263</f>
        <v>490.20000000000005</v>
      </c>
      <c r="I263" s="73">
        <v>163.4</v>
      </c>
      <c r="J263" s="73">
        <v>163.4</v>
      </c>
      <c r="K263" s="73">
        <v>163.4</v>
      </c>
      <c r="L263" s="298"/>
    </row>
    <row r="264" spans="1:12" ht="92.25" hidden="1" customHeight="1" x14ac:dyDescent="0.3">
      <c r="A264" s="279"/>
      <c r="B264" s="280"/>
      <c r="C264" s="280"/>
      <c r="D264" s="281"/>
      <c r="E264" s="72" t="s">
        <v>55</v>
      </c>
      <c r="F264" s="311"/>
      <c r="G264" s="286"/>
      <c r="H264" s="69">
        <f>I264+J264+K264</f>
        <v>0</v>
      </c>
      <c r="I264" s="73"/>
      <c r="J264" s="73"/>
      <c r="K264" s="73"/>
      <c r="L264" s="298"/>
    </row>
    <row r="265" spans="1:12" ht="92.25" hidden="1" customHeight="1" x14ac:dyDescent="0.3">
      <c r="A265" s="279"/>
      <c r="B265" s="280"/>
      <c r="C265" s="280"/>
      <c r="D265" s="281"/>
      <c r="E265" s="72" t="s">
        <v>57</v>
      </c>
      <c r="F265" s="311"/>
      <c r="G265" s="286"/>
      <c r="H265" s="69">
        <f>I265+J265+K265</f>
        <v>0</v>
      </c>
      <c r="I265" s="73"/>
      <c r="J265" s="73"/>
      <c r="K265" s="73"/>
      <c r="L265" s="298"/>
    </row>
    <row r="266" spans="1:12" ht="92.25" customHeight="1" x14ac:dyDescent="0.3">
      <c r="A266" s="282"/>
      <c r="B266" s="283"/>
      <c r="C266" s="283"/>
      <c r="D266" s="284"/>
      <c r="E266" s="106" t="s">
        <v>56</v>
      </c>
      <c r="F266" s="312"/>
      <c r="G266" s="287"/>
      <c r="H266" s="69">
        <f>I266+J266+K266</f>
        <v>1470</v>
      </c>
      <c r="I266" s="73">
        <v>490</v>
      </c>
      <c r="J266" s="73">
        <v>490</v>
      </c>
      <c r="K266" s="73">
        <v>490</v>
      </c>
      <c r="L266" s="275"/>
    </row>
    <row r="267" spans="1:12" ht="90" customHeight="1" x14ac:dyDescent="0.3">
      <c r="A267" s="153" t="s">
        <v>118</v>
      </c>
      <c r="B267" s="341" t="s">
        <v>439</v>
      </c>
      <c r="C267" s="342"/>
      <c r="D267" s="342"/>
      <c r="E267" s="342"/>
      <c r="F267" s="343"/>
      <c r="G267" s="154" t="s">
        <v>62</v>
      </c>
      <c r="H267" s="69">
        <f>SUM(H268:H281)</f>
        <v>47919.199999999997</v>
      </c>
      <c r="I267" s="69">
        <f>SUM(I268:I281)</f>
        <v>165</v>
      </c>
      <c r="J267" s="69">
        <f t="shared" ref="J267:K267" si="45">SUM(J268:J281)</f>
        <v>15754.199999999999</v>
      </c>
      <c r="K267" s="69">
        <f t="shared" si="45"/>
        <v>32000</v>
      </c>
      <c r="L267" s="274" t="s">
        <v>108</v>
      </c>
    </row>
    <row r="268" spans="1:12" ht="92.25" hidden="1" customHeight="1" x14ac:dyDescent="0.3">
      <c r="A268" s="289" t="s">
        <v>109</v>
      </c>
      <c r="B268" s="290"/>
      <c r="C268" s="290"/>
      <c r="D268" s="291"/>
      <c r="E268" s="274" t="s">
        <v>60</v>
      </c>
      <c r="F268" s="345"/>
      <c r="G268" s="84" t="s">
        <v>166</v>
      </c>
      <c r="H268" s="69">
        <f t="shared" ref="H268:H281" si="46">I268+J268+K268</f>
        <v>0</v>
      </c>
      <c r="I268" s="69"/>
      <c r="J268" s="69"/>
      <c r="K268" s="69"/>
      <c r="L268" s="298"/>
    </row>
    <row r="269" spans="1:12" ht="75" customHeight="1" x14ac:dyDescent="0.3">
      <c r="A269" s="292"/>
      <c r="B269" s="293"/>
      <c r="C269" s="293"/>
      <c r="D269" s="294"/>
      <c r="E269" s="298"/>
      <c r="F269" s="346"/>
      <c r="G269" s="84" t="s">
        <v>169</v>
      </c>
      <c r="H269" s="73">
        <f t="shared" si="46"/>
        <v>4000</v>
      </c>
      <c r="I269" s="73">
        <v>0</v>
      </c>
      <c r="J269" s="73">
        <v>0</v>
      </c>
      <c r="K269" s="73">
        <v>4000</v>
      </c>
      <c r="L269" s="298"/>
    </row>
    <row r="270" spans="1:12" ht="75" customHeight="1" x14ac:dyDescent="0.3">
      <c r="A270" s="292"/>
      <c r="B270" s="293"/>
      <c r="C270" s="293"/>
      <c r="D270" s="294"/>
      <c r="E270" s="275"/>
      <c r="F270" s="346"/>
      <c r="G270" s="84" t="s">
        <v>166</v>
      </c>
      <c r="H270" s="73">
        <f t="shared" si="46"/>
        <v>142.80000000000001</v>
      </c>
      <c r="I270" s="73">
        <v>0</v>
      </c>
      <c r="J270" s="73">
        <v>142.80000000000001</v>
      </c>
      <c r="K270" s="73">
        <v>0</v>
      </c>
      <c r="L270" s="298"/>
    </row>
    <row r="271" spans="1:12" ht="82.5" customHeight="1" x14ac:dyDescent="0.3">
      <c r="A271" s="292"/>
      <c r="B271" s="293"/>
      <c r="C271" s="293"/>
      <c r="D271" s="294"/>
      <c r="E271" s="274" t="s">
        <v>283</v>
      </c>
      <c r="F271" s="346"/>
      <c r="G271" s="84" t="s">
        <v>166</v>
      </c>
      <c r="H271" s="73">
        <f t="shared" si="46"/>
        <v>62</v>
      </c>
      <c r="I271" s="73">
        <v>54.1</v>
      </c>
      <c r="J271" s="73">
        <v>7.9</v>
      </c>
      <c r="K271" s="73">
        <v>0</v>
      </c>
      <c r="L271" s="298"/>
    </row>
    <row r="272" spans="1:12" ht="80.25" customHeight="1" x14ac:dyDescent="0.3">
      <c r="A272" s="292"/>
      <c r="B272" s="293"/>
      <c r="C272" s="293"/>
      <c r="D272" s="294"/>
      <c r="E272" s="275"/>
      <c r="F272" s="346"/>
      <c r="G272" s="84" t="s">
        <v>169</v>
      </c>
      <c r="H272" s="73">
        <f t="shared" si="46"/>
        <v>17000</v>
      </c>
      <c r="I272" s="73">
        <v>0</v>
      </c>
      <c r="J272" s="73">
        <v>0</v>
      </c>
      <c r="K272" s="73">
        <v>17000</v>
      </c>
      <c r="L272" s="298"/>
    </row>
    <row r="273" spans="1:12" ht="95.25" customHeight="1" x14ac:dyDescent="0.3">
      <c r="A273" s="292"/>
      <c r="B273" s="293"/>
      <c r="C273" s="293"/>
      <c r="D273" s="294"/>
      <c r="E273" s="274" t="s">
        <v>284</v>
      </c>
      <c r="F273" s="346"/>
      <c r="G273" s="84" t="s">
        <v>169</v>
      </c>
      <c r="H273" s="73">
        <f t="shared" si="46"/>
        <v>6000</v>
      </c>
      <c r="I273" s="73">
        <v>0</v>
      </c>
      <c r="J273" s="73">
        <v>0</v>
      </c>
      <c r="K273" s="73">
        <v>6000</v>
      </c>
      <c r="L273" s="298"/>
    </row>
    <row r="274" spans="1:12" ht="95.25" customHeight="1" x14ac:dyDescent="0.3">
      <c r="A274" s="292"/>
      <c r="B274" s="293"/>
      <c r="C274" s="293"/>
      <c r="D274" s="294"/>
      <c r="E274" s="275"/>
      <c r="F274" s="346"/>
      <c r="G274" s="84" t="s">
        <v>166</v>
      </c>
      <c r="H274" s="73">
        <f>I274+J274+K274</f>
        <v>142.80000000000001</v>
      </c>
      <c r="I274" s="73">
        <v>0</v>
      </c>
      <c r="J274" s="73">
        <v>142.80000000000001</v>
      </c>
      <c r="K274" s="73">
        <v>0</v>
      </c>
      <c r="L274" s="298"/>
    </row>
    <row r="275" spans="1:12" ht="82.5" customHeight="1" x14ac:dyDescent="0.3">
      <c r="A275" s="292"/>
      <c r="B275" s="293"/>
      <c r="C275" s="293"/>
      <c r="D275" s="294"/>
      <c r="E275" s="274" t="s">
        <v>57</v>
      </c>
      <c r="F275" s="346"/>
      <c r="G275" s="84" t="s">
        <v>166</v>
      </c>
      <c r="H275" s="73">
        <f t="shared" si="46"/>
        <v>72</v>
      </c>
      <c r="I275" s="73">
        <v>64.099999999999994</v>
      </c>
      <c r="J275" s="73">
        <v>7.9</v>
      </c>
      <c r="K275" s="73">
        <v>0</v>
      </c>
      <c r="L275" s="298"/>
    </row>
    <row r="276" spans="1:12" ht="84.75" customHeight="1" x14ac:dyDescent="0.3">
      <c r="A276" s="292"/>
      <c r="B276" s="293"/>
      <c r="C276" s="293"/>
      <c r="D276" s="294"/>
      <c r="E276" s="275"/>
      <c r="F276" s="346"/>
      <c r="G276" s="84" t="s">
        <v>169</v>
      </c>
      <c r="H276" s="73">
        <f t="shared" si="46"/>
        <v>10824.8</v>
      </c>
      <c r="I276" s="73">
        <v>0</v>
      </c>
      <c r="J276" s="73">
        <v>10824.8</v>
      </c>
      <c r="K276" s="73">
        <v>0</v>
      </c>
      <c r="L276" s="298"/>
    </row>
    <row r="277" spans="1:12" ht="89.25" hidden="1" customHeight="1" x14ac:dyDescent="0.3">
      <c r="A277" s="292"/>
      <c r="B277" s="293"/>
      <c r="C277" s="293"/>
      <c r="D277" s="294"/>
      <c r="E277" s="82" t="s">
        <v>148</v>
      </c>
      <c r="F277" s="346"/>
      <c r="G277" s="84" t="s">
        <v>169</v>
      </c>
      <c r="H277" s="73">
        <f t="shared" si="46"/>
        <v>0</v>
      </c>
      <c r="I277" s="73"/>
      <c r="J277" s="73">
        <v>0</v>
      </c>
      <c r="K277" s="73">
        <v>0</v>
      </c>
      <c r="L277" s="298"/>
    </row>
    <row r="278" spans="1:12" ht="92.25" customHeight="1" x14ac:dyDescent="0.3">
      <c r="A278" s="292"/>
      <c r="B278" s="293"/>
      <c r="C278" s="293"/>
      <c r="D278" s="294"/>
      <c r="E278" s="274" t="s">
        <v>53</v>
      </c>
      <c r="F278" s="346"/>
      <c r="G278" s="84" t="s">
        <v>166</v>
      </c>
      <c r="H278" s="73">
        <f t="shared" si="46"/>
        <v>54.8</v>
      </c>
      <c r="I278" s="73">
        <v>46.8</v>
      </c>
      <c r="J278" s="73">
        <v>8</v>
      </c>
      <c r="K278" s="73">
        <v>0</v>
      </c>
      <c r="L278" s="298"/>
    </row>
    <row r="279" spans="1:12" ht="108" customHeight="1" x14ac:dyDescent="0.3">
      <c r="A279" s="292"/>
      <c r="B279" s="293"/>
      <c r="C279" s="293"/>
      <c r="D279" s="294"/>
      <c r="E279" s="298"/>
      <c r="F279" s="346"/>
      <c r="G279" s="84" t="s">
        <v>151</v>
      </c>
      <c r="H279" s="69">
        <f t="shared" si="46"/>
        <v>5420</v>
      </c>
      <c r="I279" s="73">
        <v>0</v>
      </c>
      <c r="J279" s="73">
        <v>420</v>
      </c>
      <c r="K279" s="96">
        <v>5000</v>
      </c>
      <c r="L279" s="298"/>
    </row>
    <row r="280" spans="1:12" ht="92.25" hidden="1" customHeight="1" x14ac:dyDescent="0.3">
      <c r="A280" s="292"/>
      <c r="B280" s="293"/>
      <c r="C280" s="293"/>
      <c r="D280" s="294"/>
      <c r="E280" s="298"/>
      <c r="F280" s="346"/>
      <c r="G280" s="120" t="s">
        <v>136</v>
      </c>
      <c r="H280" s="132">
        <f t="shared" si="46"/>
        <v>0</v>
      </c>
      <c r="I280" s="134">
        <v>0</v>
      </c>
      <c r="J280" s="134">
        <v>0</v>
      </c>
      <c r="K280" s="132">
        <v>0</v>
      </c>
      <c r="L280" s="298"/>
    </row>
    <row r="281" spans="1:12" ht="92.25" customHeight="1" x14ac:dyDescent="0.3">
      <c r="A281" s="295"/>
      <c r="B281" s="296"/>
      <c r="C281" s="296"/>
      <c r="D281" s="297"/>
      <c r="E281" s="275"/>
      <c r="F281" s="347"/>
      <c r="G281" s="84" t="s">
        <v>61</v>
      </c>
      <c r="H281" s="69">
        <f t="shared" si="46"/>
        <v>4200</v>
      </c>
      <c r="I281" s="73">
        <v>0</v>
      </c>
      <c r="J281" s="73">
        <v>4200</v>
      </c>
      <c r="K281" s="73">
        <v>0</v>
      </c>
      <c r="L281" s="275"/>
    </row>
    <row r="282" spans="1:12" ht="97.5" hidden="1" customHeight="1" x14ac:dyDescent="0.3">
      <c r="A282" s="153" t="s">
        <v>119</v>
      </c>
      <c r="B282" s="340" t="s">
        <v>145</v>
      </c>
      <c r="C282" s="340"/>
      <c r="D282" s="340"/>
      <c r="E282" s="340"/>
      <c r="F282" s="340"/>
      <c r="G282" s="67" t="s">
        <v>62</v>
      </c>
      <c r="H282" s="69">
        <f>H287+H288+H286+H285+H284+H283</f>
        <v>0</v>
      </c>
      <c r="I282" s="69">
        <f>I287+I288+I286+I285+I284+I283</f>
        <v>0</v>
      </c>
      <c r="J282" s="69">
        <f t="shared" ref="J282:K282" si="47">J287+J288+J286+J285+J284+J283</f>
        <v>0</v>
      </c>
      <c r="K282" s="69">
        <f t="shared" si="47"/>
        <v>0</v>
      </c>
      <c r="L282" s="110"/>
    </row>
    <row r="283" spans="1:12" ht="92.25" hidden="1" customHeight="1" x14ac:dyDescent="0.3">
      <c r="A283" s="348" t="s">
        <v>109</v>
      </c>
      <c r="B283" s="349"/>
      <c r="C283" s="349"/>
      <c r="D283" s="350"/>
      <c r="E283" s="72" t="s">
        <v>60</v>
      </c>
      <c r="F283" s="151"/>
      <c r="G283" s="285" t="s">
        <v>72</v>
      </c>
      <c r="H283" s="73">
        <f t="shared" ref="H283:H288" si="48">I283+J283+K283</f>
        <v>0</v>
      </c>
      <c r="I283" s="155"/>
      <c r="J283" s="69">
        <v>0</v>
      </c>
      <c r="K283" s="69">
        <v>0</v>
      </c>
      <c r="L283" s="104"/>
    </row>
    <row r="284" spans="1:12" ht="294" hidden="1" customHeight="1" x14ac:dyDescent="0.3">
      <c r="A284" s="156"/>
      <c r="B284" s="156"/>
      <c r="C284" s="156"/>
      <c r="D284" s="156"/>
      <c r="E284" s="72" t="s">
        <v>53</v>
      </c>
      <c r="F284" s="67"/>
      <c r="G284" s="286"/>
      <c r="H284" s="73">
        <f t="shared" si="48"/>
        <v>0</v>
      </c>
      <c r="I284" s="155"/>
      <c r="J284" s="73">
        <v>0</v>
      </c>
      <c r="K284" s="73">
        <v>0</v>
      </c>
      <c r="L284" s="85" t="s">
        <v>240</v>
      </c>
    </row>
    <row r="285" spans="1:12" ht="167.1" hidden="1" customHeight="1" x14ac:dyDescent="0.3">
      <c r="A285" s="157"/>
      <c r="B285" s="157"/>
      <c r="C285" s="157"/>
      <c r="D285" s="157"/>
      <c r="E285" s="106" t="s">
        <v>148</v>
      </c>
      <c r="F285" s="158"/>
      <c r="G285" s="287"/>
      <c r="H285" s="73">
        <f t="shared" si="48"/>
        <v>0</v>
      </c>
      <c r="I285" s="155"/>
      <c r="J285" s="69">
        <v>0</v>
      </c>
      <c r="K285" s="73">
        <v>0</v>
      </c>
      <c r="L285" s="85" t="s">
        <v>289</v>
      </c>
    </row>
    <row r="286" spans="1:12" ht="92.25" hidden="1" customHeight="1" x14ac:dyDescent="0.3">
      <c r="A286" s="157"/>
      <c r="B286" s="157"/>
      <c r="C286" s="157"/>
      <c r="D286" s="157"/>
      <c r="E286" s="72" t="s">
        <v>60</v>
      </c>
      <c r="F286" s="158"/>
      <c r="G286" s="344"/>
      <c r="H286" s="73">
        <f t="shared" si="48"/>
        <v>0</v>
      </c>
      <c r="I286" s="73"/>
      <c r="J286" s="69"/>
      <c r="K286" s="73"/>
      <c r="L286" s="104"/>
    </row>
    <row r="287" spans="1:12" ht="92.25" hidden="1" customHeight="1" x14ac:dyDescent="0.3">
      <c r="A287" s="157"/>
      <c r="B287" s="157"/>
      <c r="C287" s="157"/>
      <c r="D287" s="157"/>
      <c r="E287" s="72" t="s">
        <v>53</v>
      </c>
      <c r="F287" s="158"/>
      <c r="G287" s="344"/>
      <c r="H287" s="73">
        <f t="shared" si="48"/>
        <v>0</v>
      </c>
      <c r="I287" s="73"/>
      <c r="J287" s="69"/>
      <c r="K287" s="73"/>
      <c r="L287" s="104"/>
    </row>
    <row r="288" spans="1:12" ht="92.25" hidden="1" customHeight="1" x14ac:dyDescent="0.3">
      <c r="A288" s="157"/>
      <c r="B288" s="157"/>
      <c r="C288" s="157"/>
      <c r="D288" s="157"/>
      <c r="E288" s="106" t="s">
        <v>148</v>
      </c>
      <c r="F288" s="158"/>
      <c r="G288" s="344"/>
      <c r="H288" s="73">
        <f t="shared" si="48"/>
        <v>0</v>
      </c>
      <c r="I288" s="73"/>
      <c r="J288" s="69"/>
      <c r="K288" s="73"/>
      <c r="L288" s="159"/>
    </row>
    <row r="289" spans="1:12" ht="92.25" hidden="1" customHeight="1" x14ac:dyDescent="0.3">
      <c r="A289" s="152" t="s">
        <v>120</v>
      </c>
      <c r="B289" s="340" t="s">
        <v>144</v>
      </c>
      <c r="C289" s="340"/>
      <c r="D289" s="340"/>
      <c r="E289" s="340"/>
      <c r="F289" s="340"/>
      <c r="G289" s="67" t="s">
        <v>62</v>
      </c>
      <c r="H289" s="69">
        <f>H290</f>
        <v>0</v>
      </c>
      <c r="I289" s="69">
        <f>I290</f>
        <v>0</v>
      </c>
      <c r="J289" s="69">
        <f>J290</f>
        <v>0</v>
      </c>
      <c r="K289" s="69">
        <f>K290</f>
        <v>0</v>
      </c>
      <c r="L289" s="274"/>
    </row>
    <row r="290" spans="1:12" ht="92.25" hidden="1" customHeight="1" x14ac:dyDescent="0.3">
      <c r="A290" s="337" t="s">
        <v>109</v>
      </c>
      <c r="B290" s="338"/>
      <c r="C290" s="338"/>
      <c r="D290" s="339"/>
      <c r="E290" s="72"/>
      <c r="F290" s="67"/>
      <c r="G290" s="84" t="s">
        <v>139</v>
      </c>
      <c r="H290" s="69">
        <f>I290+J290+K290</f>
        <v>0</v>
      </c>
      <c r="I290" s="73"/>
      <c r="J290" s="73"/>
      <c r="K290" s="73"/>
      <c r="L290" s="275"/>
    </row>
    <row r="291" spans="1:12" ht="92.25" hidden="1" customHeight="1" x14ac:dyDescent="0.3">
      <c r="A291" s="152" t="s">
        <v>121</v>
      </c>
      <c r="B291" s="340" t="s">
        <v>110</v>
      </c>
      <c r="C291" s="340"/>
      <c r="D291" s="340"/>
      <c r="E291" s="340"/>
      <c r="F291" s="340"/>
      <c r="G291" s="67" t="s">
        <v>62</v>
      </c>
      <c r="H291" s="69">
        <f>H292</f>
        <v>0</v>
      </c>
      <c r="I291" s="69">
        <f>I292</f>
        <v>0</v>
      </c>
      <c r="J291" s="69">
        <f>J292</f>
        <v>0</v>
      </c>
      <c r="K291" s="69">
        <f>K292</f>
        <v>0</v>
      </c>
      <c r="L291" s="274" t="s">
        <v>47</v>
      </c>
    </row>
    <row r="292" spans="1:12" ht="92.25" hidden="1" customHeight="1" x14ac:dyDescent="0.3">
      <c r="A292" s="288"/>
      <c r="B292" s="288"/>
      <c r="C292" s="288"/>
      <c r="D292" s="288"/>
      <c r="E292" s="72" t="s">
        <v>63</v>
      </c>
      <c r="F292" s="102"/>
      <c r="G292" s="285" t="s">
        <v>151</v>
      </c>
      <c r="H292" s="69">
        <f>H293+H294+H295+H297+H296</f>
        <v>0</v>
      </c>
      <c r="I292" s="69"/>
      <c r="J292" s="69"/>
      <c r="K292" s="69"/>
      <c r="L292" s="298"/>
    </row>
    <row r="293" spans="1:12" ht="92.25" hidden="1" customHeight="1" x14ac:dyDescent="0.3">
      <c r="A293" s="399" t="s">
        <v>109</v>
      </c>
      <c r="B293" s="400"/>
      <c r="C293" s="400"/>
      <c r="D293" s="400"/>
      <c r="E293" s="72" t="s">
        <v>54</v>
      </c>
      <c r="F293" s="102"/>
      <c r="G293" s="286"/>
      <c r="H293" s="69">
        <f>I293+J293+K293</f>
        <v>0</v>
      </c>
      <c r="I293" s="155"/>
      <c r="J293" s="73"/>
      <c r="K293" s="73"/>
      <c r="L293" s="298"/>
    </row>
    <row r="294" spans="1:12" ht="92.25" hidden="1" customHeight="1" x14ac:dyDescent="0.3">
      <c r="A294" s="401"/>
      <c r="B294" s="402"/>
      <c r="C294" s="402"/>
      <c r="D294" s="402"/>
      <c r="E294" s="72" t="s">
        <v>55</v>
      </c>
      <c r="F294" s="102"/>
      <c r="G294" s="286"/>
      <c r="H294" s="69">
        <f>I294+J294+K294</f>
        <v>0</v>
      </c>
      <c r="I294" s="73"/>
      <c r="J294" s="73"/>
      <c r="K294" s="73"/>
      <c r="L294" s="298"/>
    </row>
    <row r="295" spans="1:12" ht="92.25" hidden="1" customHeight="1" x14ac:dyDescent="0.3">
      <c r="A295" s="401"/>
      <c r="B295" s="402"/>
      <c r="C295" s="402"/>
      <c r="D295" s="402"/>
      <c r="E295" s="106" t="s">
        <v>57</v>
      </c>
      <c r="F295" s="102"/>
      <c r="G295" s="286"/>
      <c r="H295" s="69">
        <f>I295+J295+K295</f>
        <v>0</v>
      </c>
      <c r="I295" s="155"/>
      <c r="J295" s="73"/>
      <c r="K295" s="73"/>
      <c r="L295" s="298"/>
    </row>
    <row r="296" spans="1:12" ht="92.25" hidden="1" customHeight="1" x14ac:dyDescent="0.3">
      <c r="A296" s="160"/>
      <c r="B296" s="161"/>
      <c r="C296" s="161"/>
      <c r="D296" s="161"/>
      <c r="E296" s="72" t="s">
        <v>148</v>
      </c>
      <c r="F296" s="162"/>
      <c r="G296" s="286"/>
      <c r="H296" s="69">
        <f>I296+J296+K296</f>
        <v>0</v>
      </c>
      <c r="I296" s="155"/>
      <c r="J296" s="73"/>
      <c r="K296" s="73"/>
      <c r="L296" s="163"/>
    </row>
    <row r="297" spans="1:12" ht="92.25" hidden="1" customHeight="1" x14ac:dyDescent="0.3">
      <c r="A297" s="160"/>
      <c r="B297" s="161"/>
      <c r="C297" s="161"/>
      <c r="D297" s="161"/>
      <c r="E297" s="72" t="s">
        <v>53</v>
      </c>
      <c r="F297" s="162"/>
      <c r="G297" s="287"/>
      <c r="H297" s="69">
        <f>I297+J297+K297</f>
        <v>0</v>
      </c>
      <c r="I297" s="164"/>
      <c r="J297" s="164"/>
      <c r="K297" s="164"/>
      <c r="L297" s="163"/>
    </row>
    <row r="298" spans="1:12" ht="93.75" customHeight="1" x14ac:dyDescent="0.3">
      <c r="A298" s="165" t="s">
        <v>119</v>
      </c>
      <c r="B298" s="166" t="s">
        <v>111</v>
      </c>
      <c r="C298" s="167"/>
      <c r="D298" s="167"/>
      <c r="E298" s="167"/>
      <c r="F298" s="168"/>
      <c r="G298" s="158" t="s">
        <v>62</v>
      </c>
      <c r="H298" s="169">
        <f>SUM(H299:H309)</f>
        <v>3437372</v>
      </c>
      <c r="I298" s="169">
        <f>SUM(I299:I309)</f>
        <v>1199286.8</v>
      </c>
      <c r="J298" s="169">
        <f>SUM(J299:J309)</f>
        <v>1220840.2000000002</v>
      </c>
      <c r="K298" s="169">
        <f>SUM(K299:K309)</f>
        <v>1017245</v>
      </c>
      <c r="L298" s="389" t="s">
        <v>152</v>
      </c>
    </row>
    <row r="299" spans="1:12" ht="75" customHeight="1" x14ac:dyDescent="0.3">
      <c r="A299" s="367" t="s">
        <v>109</v>
      </c>
      <c r="B299" s="368"/>
      <c r="C299" s="368"/>
      <c r="D299" s="369"/>
      <c r="E299" s="72" t="s">
        <v>60</v>
      </c>
      <c r="F299" s="398"/>
      <c r="G299" s="285" t="s">
        <v>64</v>
      </c>
      <c r="H299" s="170">
        <f>I299+J299+K299</f>
        <v>1005381.9</v>
      </c>
      <c r="I299" s="73">
        <v>290904.7</v>
      </c>
      <c r="J299" s="73">
        <v>310577.2</v>
      </c>
      <c r="K299" s="73">
        <v>403900</v>
      </c>
      <c r="L299" s="390"/>
    </row>
    <row r="300" spans="1:12" ht="75" customHeight="1" x14ac:dyDescent="0.3">
      <c r="A300" s="370"/>
      <c r="B300" s="371"/>
      <c r="C300" s="371"/>
      <c r="D300" s="372"/>
      <c r="E300" s="72" t="s">
        <v>54</v>
      </c>
      <c r="F300" s="311"/>
      <c r="G300" s="286"/>
      <c r="H300" s="69">
        <f t="shared" ref="H300:H309" si="49">I300+J300+K300</f>
        <v>269409.8</v>
      </c>
      <c r="I300" s="73">
        <v>98845.8</v>
      </c>
      <c r="J300" s="73">
        <v>98564</v>
      </c>
      <c r="K300" s="73">
        <v>72000</v>
      </c>
      <c r="L300" s="390"/>
    </row>
    <row r="301" spans="1:12" ht="75" customHeight="1" x14ac:dyDescent="0.3">
      <c r="A301" s="370"/>
      <c r="B301" s="371"/>
      <c r="C301" s="371"/>
      <c r="D301" s="372"/>
      <c r="E301" s="72" t="s">
        <v>55</v>
      </c>
      <c r="F301" s="311"/>
      <c r="G301" s="286"/>
      <c r="H301" s="69">
        <f t="shared" si="49"/>
        <v>710895.6</v>
      </c>
      <c r="I301" s="73">
        <v>280810.3</v>
      </c>
      <c r="J301" s="73">
        <v>276377.2</v>
      </c>
      <c r="K301" s="73">
        <v>153708.1</v>
      </c>
      <c r="L301" s="390"/>
    </row>
    <row r="302" spans="1:12" ht="75" customHeight="1" x14ac:dyDescent="0.3">
      <c r="A302" s="370"/>
      <c r="B302" s="371"/>
      <c r="C302" s="371"/>
      <c r="D302" s="372"/>
      <c r="E302" s="72" t="s">
        <v>53</v>
      </c>
      <c r="F302" s="311"/>
      <c r="G302" s="286"/>
      <c r="H302" s="69">
        <f t="shared" si="49"/>
        <v>145519.5</v>
      </c>
      <c r="I302" s="73">
        <v>67676.7</v>
      </c>
      <c r="J302" s="73">
        <v>77727.3</v>
      </c>
      <c r="K302" s="73">
        <v>115.5</v>
      </c>
      <c r="L302" s="390"/>
    </row>
    <row r="303" spans="1:12" ht="93.75" customHeight="1" x14ac:dyDescent="0.3">
      <c r="A303" s="370"/>
      <c r="B303" s="371"/>
      <c r="C303" s="371"/>
      <c r="D303" s="372"/>
      <c r="E303" s="106" t="s">
        <v>57</v>
      </c>
      <c r="F303" s="311"/>
      <c r="G303" s="286"/>
      <c r="H303" s="69">
        <f t="shared" si="49"/>
        <v>287281.09999999998</v>
      </c>
      <c r="I303" s="73">
        <v>103368.3</v>
      </c>
      <c r="J303" s="73">
        <v>101912.8</v>
      </c>
      <c r="K303" s="73">
        <v>82000</v>
      </c>
      <c r="L303" s="390"/>
    </row>
    <row r="304" spans="1:12" ht="75" customHeight="1" x14ac:dyDescent="0.3">
      <c r="A304" s="370"/>
      <c r="B304" s="371"/>
      <c r="C304" s="371"/>
      <c r="D304" s="372"/>
      <c r="E304" s="106" t="s">
        <v>56</v>
      </c>
      <c r="F304" s="311"/>
      <c r="G304" s="286"/>
      <c r="H304" s="69">
        <f t="shared" si="49"/>
        <v>951.80000000000007</v>
      </c>
      <c r="I304" s="73">
        <v>303.10000000000002</v>
      </c>
      <c r="J304" s="73">
        <v>303.10000000000002</v>
      </c>
      <c r="K304" s="73">
        <v>345.6</v>
      </c>
      <c r="L304" s="390"/>
    </row>
    <row r="305" spans="1:12" ht="75" customHeight="1" x14ac:dyDescent="0.3">
      <c r="A305" s="370"/>
      <c r="B305" s="371"/>
      <c r="C305" s="371"/>
      <c r="D305" s="372"/>
      <c r="E305" s="72" t="s">
        <v>148</v>
      </c>
      <c r="F305" s="311"/>
      <c r="G305" s="286"/>
      <c r="H305" s="69">
        <f t="shared" si="49"/>
        <v>500191.7</v>
      </c>
      <c r="I305" s="73">
        <v>163191.70000000001</v>
      </c>
      <c r="J305" s="73">
        <v>178000</v>
      </c>
      <c r="K305" s="73">
        <v>159000</v>
      </c>
      <c r="L305" s="390"/>
    </row>
    <row r="306" spans="1:12" ht="75" customHeight="1" x14ac:dyDescent="0.3">
      <c r="A306" s="370"/>
      <c r="B306" s="371"/>
      <c r="C306" s="371"/>
      <c r="D306" s="372"/>
      <c r="E306" s="72" t="s">
        <v>58</v>
      </c>
      <c r="F306" s="311"/>
      <c r="G306" s="286"/>
      <c r="H306" s="69">
        <f t="shared" si="49"/>
        <v>253622.90000000002</v>
      </c>
      <c r="I306" s="73">
        <v>92957.5</v>
      </c>
      <c r="J306" s="73">
        <v>86013.6</v>
      </c>
      <c r="K306" s="73">
        <v>74651.8</v>
      </c>
      <c r="L306" s="390"/>
    </row>
    <row r="307" spans="1:12" ht="75" customHeight="1" x14ac:dyDescent="0.3">
      <c r="A307" s="370"/>
      <c r="B307" s="371"/>
      <c r="C307" s="371"/>
      <c r="D307" s="372"/>
      <c r="E307" s="72" t="s">
        <v>59</v>
      </c>
      <c r="F307" s="312"/>
      <c r="G307" s="287"/>
      <c r="H307" s="69">
        <f t="shared" si="49"/>
        <v>264117.7</v>
      </c>
      <c r="I307" s="73">
        <v>101228.7</v>
      </c>
      <c r="J307" s="73">
        <v>91365</v>
      </c>
      <c r="K307" s="73">
        <v>71524</v>
      </c>
      <c r="L307" s="390"/>
    </row>
    <row r="308" spans="1:12" ht="92.25" hidden="1" customHeight="1" x14ac:dyDescent="0.3">
      <c r="A308" s="370"/>
      <c r="B308" s="371"/>
      <c r="C308" s="371"/>
      <c r="D308" s="372"/>
      <c r="E308" s="72" t="s">
        <v>128</v>
      </c>
      <c r="F308" s="67"/>
      <c r="G308" s="171"/>
      <c r="H308" s="69">
        <f t="shared" si="49"/>
        <v>0</v>
      </c>
      <c r="I308" s="73"/>
      <c r="J308" s="73"/>
      <c r="K308" s="73"/>
      <c r="L308" s="390"/>
    </row>
    <row r="309" spans="1:12" ht="104.25" hidden="1" customHeight="1" x14ac:dyDescent="0.3">
      <c r="A309" s="373"/>
      <c r="B309" s="374"/>
      <c r="C309" s="374"/>
      <c r="D309" s="375"/>
      <c r="E309" s="72" t="s">
        <v>129</v>
      </c>
      <c r="F309" s="67"/>
      <c r="G309" s="171"/>
      <c r="H309" s="69">
        <f t="shared" si="49"/>
        <v>0</v>
      </c>
      <c r="I309" s="73"/>
      <c r="J309" s="73"/>
      <c r="K309" s="73"/>
      <c r="L309" s="391"/>
    </row>
    <row r="310" spans="1:12" ht="75" customHeight="1" x14ac:dyDescent="0.3">
      <c r="A310" s="165" t="s">
        <v>120</v>
      </c>
      <c r="B310" s="172" t="s">
        <v>112</v>
      </c>
      <c r="C310" s="167"/>
      <c r="D310" s="168"/>
      <c r="E310" s="167"/>
      <c r="F310" s="168"/>
      <c r="G310" s="67" t="s">
        <v>62</v>
      </c>
      <c r="H310" s="169">
        <f>SUM(H311:H319)</f>
        <v>172113.58058749998</v>
      </c>
      <c r="I310" s="169">
        <f>SUM(I311:I319)</f>
        <v>57886</v>
      </c>
      <c r="J310" s="169">
        <f>SUM(J311:J319)</f>
        <v>61681.5</v>
      </c>
      <c r="K310" s="169">
        <f>SUM(K311:K319)</f>
        <v>52546.080587499993</v>
      </c>
      <c r="L310" s="274" t="s">
        <v>73</v>
      </c>
    </row>
    <row r="311" spans="1:12" ht="75" customHeight="1" x14ac:dyDescent="0.3">
      <c r="A311" s="328" t="s">
        <v>109</v>
      </c>
      <c r="B311" s="329"/>
      <c r="C311" s="329"/>
      <c r="D311" s="329"/>
      <c r="E311" s="72" t="s">
        <v>60</v>
      </c>
      <c r="F311" s="364"/>
      <c r="G311" s="285" t="s">
        <v>67</v>
      </c>
      <c r="H311" s="69">
        <f t="shared" ref="H311:H319" si="50">I311+J311+K311</f>
        <v>21641.9</v>
      </c>
      <c r="I311" s="73">
        <v>3345</v>
      </c>
      <c r="J311" s="73">
        <v>6296.9</v>
      </c>
      <c r="K311" s="73">
        <v>12000</v>
      </c>
      <c r="L311" s="298"/>
    </row>
    <row r="312" spans="1:12" ht="75" customHeight="1" x14ac:dyDescent="0.3">
      <c r="A312" s="331"/>
      <c r="B312" s="332"/>
      <c r="C312" s="332"/>
      <c r="D312" s="332"/>
      <c r="E312" s="72" t="s">
        <v>54</v>
      </c>
      <c r="F312" s="365"/>
      <c r="G312" s="286"/>
      <c r="H312" s="69">
        <f t="shared" si="50"/>
        <v>39230.9</v>
      </c>
      <c r="I312" s="73">
        <v>13524.5</v>
      </c>
      <c r="J312" s="73">
        <v>14006.4</v>
      </c>
      <c r="K312" s="73">
        <v>11700</v>
      </c>
      <c r="L312" s="298"/>
    </row>
    <row r="313" spans="1:12" ht="75" customHeight="1" x14ac:dyDescent="0.3">
      <c r="A313" s="331"/>
      <c r="B313" s="332"/>
      <c r="C313" s="332"/>
      <c r="D313" s="332"/>
      <c r="E313" s="72" t="s">
        <v>55</v>
      </c>
      <c r="F313" s="365"/>
      <c r="G313" s="286"/>
      <c r="H313" s="69">
        <f t="shared" si="50"/>
        <v>11273.080587499999</v>
      </c>
      <c r="I313" s="73">
        <v>4685.3</v>
      </c>
      <c r="J313" s="73">
        <v>4939</v>
      </c>
      <c r="K313" s="73">
        <v>1648.7805874999995</v>
      </c>
      <c r="L313" s="298"/>
    </row>
    <row r="314" spans="1:12" ht="75" customHeight="1" x14ac:dyDescent="0.3">
      <c r="A314" s="331"/>
      <c r="B314" s="332"/>
      <c r="C314" s="332"/>
      <c r="D314" s="332"/>
      <c r="E314" s="72" t="s">
        <v>53</v>
      </c>
      <c r="F314" s="365"/>
      <c r="G314" s="286"/>
      <c r="H314" s="69">
        <f t="shared" si="50"/>
        <v>8303.1999999999989</v>
      </c>
      <c r="I314" s="73">
        <v>3197.5</v>
      </c>
      <c r="J314" s="73">
        <v>3446.9</v>
      </c>
      <c r="K314" s="73">
        <v>1658.8</v>
      </c>
      <c r="L314" s="298"/>
    </row>
    <row r="315" spans="1:12" ht="75" customHeight="1" x14ac:dyDescent="0.3">
      <c r="A315" s="331"/>
      <c r="B315" s="332"/>
      <c r="C315" s="332"/>
      <c r="D315" s="332"/>
      <c r="E315" s="72" t="s">
        <v>148</v>
      </c>
      <c r="F315" s="365"/>
      <c r="G315" s="286"/>
      <c r="H315" s="69">
        <f>I315+J315+K315</f>
        <v>14064</v>
      </c>
      <c r="I315" s="73">
        <v>4084</v>
      </c>
      <c r="J315" s="73">
        <v>4800</v>
      </c>
      <c r="K315" s="73">
        <v>5180</v>
      </c>
      <c r="L315" s="298"/>
    </row>
    <row r="316" spans="1:12" ht="86.25" customHeight="1" x14ac:dyDescent="0.3">
      <c r="A316" s="331"/>
      <c r="B316" s="332"/>
      <c r="C316" s="332"/>
      <c r="D316" s="332"/>
      <c r="E316" s="72" t="s">
        <v>57</v>
      </c>
      <c r="F316" s="365"/>
      <c r="G316" s="286"/>
      <c r="H316" s="69">
        <f t="shared" si="50"/>
        <v>30623.5</v>
      </c>
      <c r="I316" s="73">
        <v>12066.9</v>
      </c>
      <c r="J316" s="73">
        <v>9556.6</v>
      </c>
      <c r="K316" s="73">
        <v>9000</v>
      </c>
      <c r="L316" s="298"/>
    </row>
    <row r="317" spans="1:12" ht="77.25" customHeight="1" x14ac:dyDescent="0.3">
      <c r="A317" s="331"/>
      <c r="B317" s="332"/>
      <c r="C317" s="332"/>
      <c r="D317" s="332"/>
      <c r="E317" s="72" t="s">
        <v>56</v>
      </c>
      <c r="F317" s="365"/>
      <c r="G317" s="286"/>
      <c r="H317" s="69">
        <f t="shared" si="50"/>
        <v>41053.199999999997</v>
      </c>
      <c r="I317" s="73">
        <v>14040.5</v>
      </c>
      <c r="J317" s="73">
        <v>16112.7</v>
      </c>
      <c r="K317" s="73">
        <v>10900</v>
      </c>
      <c r="L317" s="275"/>
    </row>
    <row r="318" spans="1:12" ht="77.25" customHeight="1" x14ac:dyDescent="0.3">
      <c r="A318" s="331"/>
      <c r="B318" s="332"/>
      <c r="C318" s="332"/>
      <c r="D318" s="332"/>
      <c r="E318" s="72" t="s">
        <v>285</v>
      </c>
      <c r="F318" s="365"/>
      <c r="G318" s="286"/>
      <c r="H318" s="69">
        <f t="shared" si="50"/>
        <v>2262.9</v>
      </c>
      <c r="I318" s="73">
        <v>914.5</v>
      </c>
      <c r="J318" s="73">
        <v>1109.5</v>
      </c>
      <c r="K318" s="73">
        <v>238.9</v>
      </c>
      <c r="L318" s="163"/>
    </row>
    <row r="319" spans="1:12" ht="77.25" customHeight="1" x14ac:dyDescent="0.3">
      <c r="A319" s="334"/>
      <c r="B319" s="335"/>
      <c r="C319" s="335"/>
      <c r="D319" s="335"/>
      <c r="E319" s="72" t="s">
        <v>59</v>
      </c>
      <c r="F319" s="366"/>
      <c r="G319" s="287"/>
      <c r="H319" s="69">
        <f t="shared" si="50"/>
        <v>3660.9</v>
      </c>
      <c r="I319" s="73">
        <v>2027.8</v>
      </c>
      <c r="J319" s="73">
        <v>1413.5</v>
      </c>
      <c r="K319" s="73">
        <v>219.6</v>
      </c>
      <c r="L319" s="163"/>
    </row>
    <row r="320" spans="1:12" ht="50.25" customHeight="1" x14ac:dyDescent="0.3">
      <c r="A320" s="341" t="s">
        <v>65</v>
      </c>
      <c r="B320" s="342"/>
      <c r="C320" s="342"/>
      <c r="D320" s="342"/>
      <c r="E320" s="342"/>
      <c r="F320" s="343"/>
      <c r="G320" s="143"/>
      <c r="H320" s="69">
        <f>H217+H261+H267+H282+H289+H291+H298+H310</f>
        <v>4434910.6005874993</v>
      </c>
      <c r="I320" s="69">
        <f>I217+I261+I267+I282+I289+I291+I298+I310</f>
        <v>1483037.32</v>
      </c>
      <c r="J320" s="69">
        <f t="shared" ref="J320:K320" si="51">J217+J261+J267+J282+J289+J291+J298+J310</f>
        <v>1640670.1000000003</v>
      </c>
      <c r="K320" s="69">
        <f t="shared" si="51"/>
        <v>1311203.1805875001</v>
      </c>
      <c r="L320" s="354"/>
    </row>
    <row r="321" spans="1:12" ht="75" customHeight="1" x14ac:dyDescent="0.3">
      <c r="A321" s="376" t="s">
        <v>177</v>
      </c>
      <c r="B321" s="377"/>
      <c r="C321" s="377"/>
      <c r="D321" s="377"/>
      <c r="E321" s="377"/>
      <c r="F321" s="378"/>
      <c r="G321" s="84" t="s">
        <v>166</v>
      </c>
      <c r="H321" s="73">
        <f>H218+H261+H278+H271+H275+H286+H288+H287+H270+H274</f>
        <v>323551.09999999998</v>
      </c>
      <c r="I321" s="73">
        <f>I218+I261+I278+I271+I275+I286+I288+I287+I270+I274</f>
        <v>101280.5</v>
      </c>
      <c r="J321" s="73">
        <f t="shared" ref="J321:K321" si="52">J218+J261+J278+J271+J275+J286+J288+J287+J270+J274</f>
        <v>121158.49999999999</v>
      </c>
      <c r="K321" s="73">
        <f t="shared" si="52"/>
        <v>101112.1</v>
      </c>
      <c r="L321" s="355"/>
    </row>
    <row r="322" spans="1:12" ht="75" customHeight="1" x14ac:dyDescent="0.3">
      <c r="A322" s="379"/>
      <c r="B322" s="380"/>
      <c r="C322" s="380"/>
      <c r="D322" s="380"/>
      <c r="E322" s="380"/>
      <c r="F322" s="381"/>
      <c r="G322" s="84" t="s">
        <v>169</v>
      </c>
      <c r="H322" s="73">
        <f>H219+H269+H276+H272+H273+H279+H277</f>
        <v>478805.09999999992</v>
      </c>
      <c r="I322" s="73">
        <f>I219+I269+I276+I272+I273+I279+I277</f>
        <v>105715.20000000001</v>
      </c>
      <c r="J322" s="73">
        <f t="shared" ref="J322:K322" si="53">J219+J269+J276+J272+J273+J279+J277</f>
        <v>232789.90000000002</v>
      </c>
      <c r="K322" s="73">
        <f t="shared" si="53"/>
        <v>140300</v>
      </c>
      <c r="L322" s="355"/>
    </row>
    <row r="323" spans="1:12" ht="75" hidden="1" customHeight="1" x14ac:dyDescent="0.3">
      <c r="A323" s="379"/>
      <c r="B323" s="380"/>
      <c r="C323" s="380"/>
      <c r="D323" s="380"/>
      <c r="E323" s="380"/>
      <c r="F323" s="381"/>
      <c r="G323" s="84" t="s">
        <v>72</v>
      </c>
      <c r="H323" s="73">
        <f>H283+H284+H285</f>
        <v>0</v>
      </c>
      <c r="I323" s="73">
        <f>I283+I284+I285</f>
        <v>0</v>
      </c>
      <c r="J323" s="73">
        <f t="shared" ref="J323:K323" si="54">J283+J284+J285</f>
        <v>0</v>
      </c>
      <c r="K323" s="73">
        <f t="shared" si="54"/>
        <v>0</v>
      </c>
      <c r="L323" s="355"/>
    </row>
    <row r="324" spans="1:12" ht="75" customHeight="1" x14ac:dyDescent="0.3">
      <c r="A324" s="379"/>
      <c r="B324" s="380"/>
      <c r="C324" s="380"/>
      <c r="D324" s="380"/>
      <c r="E324" s="380"/>
      <c r="F324" s="381"/>
      <c r="G324" s="84" t="s">
        <v>64</v>
      </c>
      <c r="H324" s="73">
        <f>H298</f>
        <v>3437372</v>
      </c>
      <c r="I324" s="73">
        <f>I298</f>
        <v>1199286.8</v>
      </c>
      <c r="J324" s="73">
        <f t="shared" ref="J324:K324" si="55">J298</f>
        <v>1220840.2000000002</v>
      </c>
      <c r="K324" s="73">
        <f t="shared" si="55"/>
        <v>1017245</v>
      </c>
      <c r="L324" s="355"/>
    </row>
    <row r="325" spans="1:12" ht="75" customHeight="1" x14ac:dyDescent="0.3">
      <c r="A325" s="379"/>
      <c r="B325" s="380"/>
      <c r="C325" s="380"/>
      <c r="D325" s="380"/>
      <c r="E325" s="380"/>
      <c r="F325" s="381"/>
      <c r="G325" s="84" t="s">
        <v>67</v>
      </c>
      <c r="H325" s="73">
        <f>H310</f>
        <v>172113.58058749998</v>
      </c>
      <c r="I325" s="73">
        <f>I310</f>
        <v>57886</v>
      </c>
      <c r="J325" s="73">
        <f t="shared" ref="J325:K325" si="56">J310</f>
        <v>61681.5</v>
      </c>
      <c r="K325" s="73">
        <f t="shared" si="56"/>
        <v>52546.080587499993</v>
      </c>
      <c r="L325" s="355"/>
    </row>
    <row r="326" spans="1:12" ht="327.75" customHeight="1" x14ac:dyDescent="0.3">
      <c r="A326" s="379"/>
      <c r="B326" s="380"/>
      <c r="C326" s="380"/>
      <c r="D326" s="380"/>
      <c r="E326" s="380"/>
      <c r="F326" s="381"/>
      <c r="G326" s="102" t="s">
        <v>385</v>
      </c>
      <c r="H326" s="73">
        <f>H220</f>
        <v>1836.72</v>
      </c>
      <c r="I326" s="73">
        <f>I220</f>
        <v>1836.72</v>
      </c>
      <c r="J326" s="73">
        <f t="shared" ref="J326:K326" si="57">J220</f>
        <v>0</v>
      </c>
      <c r="K326" s="73">
        <f t="shared" si="57"/>
        <v>0</v>
      </c>
      <c r="L326" s="355"/>
    </row>
    <row r="327" spans="1:12" ht="82.5" customHeight="1" x14ac:dyDescent="0.3">
      <c r="A327" s="379"/>
      <c r="B327" s="380"/>
      <c r="C327" s="380"/>
      <c r="D327" s="380"/>
      <c r="E327" s="380"/>
      <c r="F327" s="381"/>
      <c r="G327" s="84" t="s">
        <v>61</v>
      </c>
      <c r="H327" s="73">
        <f>H281</f>
        <v>4200</v>
      </c>
      <c r="I327" s="73">
        <f>I281</f>
        <v>0</v>
      </c>
      <c r="J327" s="73">
        <f>J281</f>
        <v>4200</v>
      </c>
      <c r="K327" s="73">
        <f>K281</f>
        <v>0</v>
      </c>
      <c r="L327" s="355"/>
    </row>
    <row r="328" spans="1:12" ht="65.25" customHeight="1" x14ac:dyDescent="0.3">
      <c r="A328" s="379"/>
      <c r="B328" s="380"/>
      <c r="C328" s="380"/>
      <c r="D328" s="380"/>
      <c r="E328" s="380"/>
      <c r="F328" s="381"/>
      <c r="G328" s="84" t="s">
        <v>452</v>
      </c>
      <c r="H328" s="73">
        <f>H241</f>
        <v>495</v>
      </c>
      <c r="I328" s="73">
        <f>I241</f>
        <v>495</v>
      </c>
      <c r="J328" s="73">
        <f>J241</f>
        <v>0</v>
      </c>
      <c r="K328" s="73">
        <f>K241</f>
        <v>0</v>
      </c>
      <c r="L328" s="355"/>
    </row>
    <row r="329" spans="1:12" ht="52.5" customHeight="1" x14ac:dyDescent="0.3">
      <c r="A329" s="382"/>
      <c r="B329" s="383"/>
      <c r="C329" s="383"/>
      <c r="D329" s="383"/>
      <c r="E329" s="383"/>
      <c r="F329" s="384"/>
      <c r="G329" s="84" t="s">
        <v>457</v>
      </c>
      <c r="H329" s="73">
        <f>H257</f>
        <v>16537.099999999999</v>
      </c>
      <c r="I329" s="73">
        <f>I257</f>
        <v>16537.099999999999</v>
      </c>
      <c r="J329" s="73">
        <f t="shared" ref="J329:K329" si="58">J257</f>
        <v>0</v>
      </c>
      <c r="K329" s="73">
        <f t="shared" si="58"/>
        <v>0</v>
      </c>
      <c r="L329" s="355"/>
    </row>
    <row r="330" spans="1:12" ht="48" customHeight="1" x14ac:dyDescent="0.3">
      <c r="A330" s="289" t="s">
        <v>178</v>
      </c>
      <c r="B330" s="290"/>
      <c r="C330" s="290"/>
      <c r="D330" s="291"/>
      <c r="E330" s="317" t="s">
        <v>60</v>
      </c>
      <c r="F330" s="325"/>
      <c r="G330" s="102" t="s">
        <v>66</v>
      </c>
      <c r="H330" s="69">
        <f>SUM(H331:H335)</f>
        <v>1104573.7999999998</v>
      </c>
      <c r="I330" s="69">
        <f t="shared" ref="I330:K330" si="59">SUM(I331:I335)</f>
        <v>322453.40000000002</v>
      </c>
      <c r="J330" s="69">
        <f t="shared" si="59"/>
        <v>345374.50000000006</v>
      </c>
      <c r="K330" s="69">
        <f t="shared" si="59"/>
        <v>436745.9</v>
      </c>
      <c r="L330" s="355"/>
    </row>
    <row r="331" spans="1:12" ht="52.5" customHeight="1" x14ac:dyDescent="0.3">
      <c r="A331" s="292"/>
      <c r="B331" s="293"/>
      <c r="C331" s="293"/>
      <c r="D331" s="294"/>
      <c r="E331" s="318"/>
      <c r="F331" s="326"/>
      <c r="G331" s="84" t="s">
        <v>166</v>
      </c>
      <c r="H331" s="73">
        <f>H224+H286+H270</f>
        <v>34415.400000000009</v>
      </c>
      <c r="I331" s="73">
        <f>I224+I286+I270</f>
        <v>9703.7000000000007</v>
      </c>
      <c r="J331" s="73">
        <f>J224+J286+J270</f>
        <v>15165.800000000001</v>
      </c>
      <c r="K331" s="73">
        <f>K224+K286+K270</f>
        <v>9545.9</v>
      </c>
      <c r="L331" s="355"/>
    </row>
    <row r="332" spans="1:12" ht="46.5" customHeight="1" x14ac:dyDescent="0.3">
      <c r="A332" s="292"/>
      <c r="B332" s="293"/>
      <c r="C332" s="293"/>
      <c r="D332" s="294"/>
      <c r="E332" s="318"/>
      <c r="F332" s="326"/>
      <c r="G332" s="84" t="s">
        <v>169</v>
      </c>
      <c r="H332" s="73">
        <f>H225+H269</f>
        <v>43134.6</v>
      </c>
      <c r="I332" s="73">
        <f>I225+I269</f>
        <v>18500</v>
      </c>
      <c r="J332" s="73">
        <f>J225+J269</f>
        <v>13334.6</v>
      </c>
      <c r="K332" s="73">
        <f>K225+K269</f>
        <v>11300</v>
      </c>
      <c r="L332" s="355"/>
    </row>
    <row r="333" spans="1:12" ht="75" hidden="1" customHeight="1" x14ac:dyDescent="0.3">
      <c r="A333" s="292"/>
      <c r="B333" s="293"/>
      <c r="C333" s="293"/>
      <c r="D333" s="294"/>
      <c r="E333" s="318"/>
      <c r="F333" s="326"/>
      <c r="G333" s="84" t="s">
        <v>72</v>
      </c>
      <c r="H333" s="73">
        <f>H283</f>
        <v>0</v>
      </c>
      <c r="I333" s="73">
        <f>I283</f>
        <v>0</v>
      </c>
      <c r="J333" s="73">
        <f>J283</f>
        <v>0</v>
      </c>
      <c r="K333" s="73">
        <f>K283</f>
        <v>0</v>
      </c>
      <c r="L333" s="355"/>
    </row>
    <row r="334" spans="1:12" ht="75" customHeight="1" x14ac:dyDescent="0.3">
      <c r="A334" s="292"/>
      <c r="B334" s="293"/>
      <c r="C334" s="293"/>
      <c r="D334" s="294"/>
      <c r="E334" s="318"/>
      <c r="F334" s="326"/>
      <c r="G334" s="84" t="s">
        <v>64</v>
      </c>
      <c r="H334" s="73">
        <f>H299</f>
        <v>1005381.9</v>
      </c>
      <c r="I334" s="73">
        <f>I299</f>
        <v>290904.7</v>
      </c>
      <c r="J334" s="73">
        <f>J299</f>
        <v>310577.2</v>
      </c>
      <c r="K334" s="73">
        <f>K299</f>
        <v>403900</v>
      </c>
      <c r="L334" s="355"/>
    </row>
    <row r="335" spans="1:12" ht="75" customHeight="1" x14ac:dyDescent="0.3">
      <c r="A335" s="292"/>
      <c r="B335" s="293"/>
      <c r="C335" s="293"/>
      <c r="D335" s="294"/>
      <c r="E335" s="319"/>
      <c r="F335" s="326"/>
      <c r="G335" s="84" t="s">
        <v>67</v>
      </c>
      <c r="H335" s="73">
        <f>H311</f>
        <v>21641.9</v>
      </c>
      <c r="I335" s="73">
        <f>I311</f>
        <v>3345</v>
      </c>
      <c r="J335" s="73">
        <f>J311</f>
        <v>6296.9</v>
      </c>
      <c r="K335" s="73">
        <f>K311</f>
        <v>12000</v>
      </c>
      <c r="L335" s="355"/>
    </row>
    <row r="336" spans="1:12" ht="75" customHeight="1" x14ac:dyDescent="0.3">
      <c r="A336" s="292"/>
      <c r="B336" s="293"/>
      <c r="C336" s="293"/>
      <c r="D336" s="294"/>
      <c r="E336" s="317" t="s">
        <v>54</v>
      </c>
      <c r="F336" s="326"/>
      <c r="G336" s="102" t="s">
        <v>66</v>
      </c>
      <c r="H336" s="69">
        <f>SUM(H337:H340)</f>
        <v>369833.9</v>
      </c>
      <c r="I336" s="69">
        <f t="shared" ref="I336:K336" si="60">SUM(I337:I340)</f>
        <v>129061.5</v>
      </c>
      <c r="J336" s="69">
        <f t="shared" si="60"/>
        <v>125949.59999999999</v>
      </c>
      <c r="K336" s="69">
        <f t="shared" si="60"/>
        <v>114822.8</v>
      </c>
      <c r="L336" s="355"/>
    </row>
    <row r="337" spans="1:12" ht="75" customHeight="1" x14ac:dyDescent="0.3">
      <c r="A337" s="292"/>
      <c r="B337" s="293"/>
      <c r="C337" s="293"/>
      <c r="D337" s="294"/>
      <c r="E337" s="318"/>
      <c r="F337" s="326"/>
      <c r="G337" s="84" t="s">
        <v>166</v>
      </c>
      <c r="H337" s="73">
        <f>H227+H263+H271</f>
        <v>42193.2</v>
      </c>
      <c r="I337" s="73">
        <f>I227+I263+I271</f>
        <v>16691.2</v>
      </c>
      <c r="J337" s="73">
        <f>J227+J263+J271</f>
        <v>13379.199999999999</v>
      </c>
      <c r="K337" s="73">
        <f>K227+K263+K271</f>
        <v>12122.8</v>
      </c>
      <c r="L337" s="355"/>
    </row>
    <row r="338" spans="1:12" ht="75" customHeight="1" x14ac:dyDescent="0.3">
      <c r="A338" s="292"/>
      <c r="B338" s="293"/>
      <c r="C338" s="293"/>
      <c r="D338" s="294"/>
      <c r="E338" s="318"/>
      <c r="F338" s="326"/>
      <c r="G338" s="84" t="s">
        <v>169</v>
      </c>
      <c r="H338" s="73">
        <f>H228+H272</f>
        <v>19000</v>
      </c>
      <c r="I338" s="73">
        <f>I228+I272</f>
        <v>0</v>
      </c>
      <c r="J338" s="73">
        <f>J228+J272</f>
        <v>0</v>
      </c>
      <c r="K338" s="73">
        <f>K228+K272</f>
        <v>19000</v>
      </c>
      <c r="L338" s="355"/>
    </row>
    <row r="339" spans="1:12" ht="75" customHeight="1" x14ac:dyDescent="0.3">
      <c r="A339" s="292"/>
      <c r="B339" s="293"/>
      <c r="C339" s="293"/>
      <c r="D339" s="294"/>
      <c r="E339" s="318"/>
      <c r="F339" s="326"/>
      <c r="G339" s="84" t="s">
        <v>64</v>
      </c>
      <c r="H339" s="73">
        <f>H300</f>
        <v>269409.8</v>
      </c>
      <c r="I339" s="73">
        <f>I300</f>
        <v>98845.8</v>
      </c>
      <c r="J339" s="73">
        <f>J300</f>
        <v>98564</v>
      </c>
      <c r="K339" s="73">
        <f>K300</f>
        <v>72000</v>
      </c>
      <c r="L339" s="355"/>
    </row>
    <row r="340" spans="1:12" ht="75" customHeight="1" x14ac:dyDescent="0.3">
      <c r="A340" s="292"/>
      <c r="B340" s="293"/>
      <c r="C340" s="293"/>
      <c r="D340" s="294"/>
      <c r="E340" s="319"/>
      <c r="F340" s="326"/>
      <c r="G340" s="84" t="s">
        <v>67</v>
      </c>
      <c r="H340" s="73">
        <f>H312</f>
        <v>39230.9</v>
      </c>
      <c r="I340" s="73">
        <f>I312</f>
        <v>13524.5</v>
      </c>
      <c r="J340" s="73">
        <f>J312</f>
        <v>14006.4</v>
      </c>
      <c r="K340" s="73">
        <f>K312</f>
        <v>11700</v>
      </c>
      <c r="L340" s="355"/>
    </row>
    <row r="341" spans="1:12" ht="75" customHeight="1" x14ac:dyDescent="0.3">
      <c r="A341" s="292"/>
      <c r="B341" s="293"/>
      <c r="C341" s="293"/>
      <c r="D341" s="294"/>
      <c r="E341" s="317" t="s">
        <v>55</v>
      </c>
      <c r="F341" s="326"/>
      <c r="G341" s="102" t="s">
        <v>66</v>
      </c>
      <c r="H341" s="69">
        <f>SUM(H342:H346)</f>
        <v>781038.3205875</v>
      </c>
      <c r="I341" s="69">
        <f t="shared" ref="I341:K341" si="61">SUM(I342:I346)</f>
        <v>300757.24</v>
      </c>
      <c r="J341" s="69">
        <f t="shared" si="61"/>
        <v>301482.3</v>
      </c>
      <c r="K341" s="69">
        <f t="shared" si="61"/>
        <v>178798.78058749999</v>
      </c>
      <c r="L341" s="355"/>
    </row>
    <row r="342" spans="1:12" ht="75" customHeight="1" x14ac:dyDescent="0.3">
      <c r="A342" s="292"/>
      <c r="B342" s="293"/>
      <c r="C342" s="293"/>
      <c r="D342" s="294"/>
      <c r="E342" s="318"/>
      <c r="F342" s="326"/>
      <c r="G342" s="84" t="s">
        <v>166</v>
      </c>
      <c r="H342" s="73">
        <f>H230+H274</f>
        <v>41333.199999999997</v>
      </c>
      <c r="I342" s="73">
        <f>I230+I274</f>
        <v>12719.8</v>
      </c>
      <c r="J342" s="73">
        <f>J230+J274</f>
        <v>13771.5</v>
      </c>
      <c r="K342" s="73">
        <f>K230+K274</f>
        <v>14841.900000000001</v>
      </c>
      <c r="L342" s="355"/>
    </row>
    <row r="343" spans="1:12" ht="75" customHeight="1" x14ac:dyDescent="0.3">
      <c r="A343" s="292"/>
      <c r="B343" s="293"/>
      <c r="C343" s="293"/>
      <c r="D343" s="294"/>
      <c r="E343" s="318"/>
      <c r="F343" s="326"/>
      <c r="G343" s="84" t="s">
        <v>169</v>
      </c>
      <c r="H343" s="73">
        <f>H231+H273</f>
        <v>16924.2</v>
      </c>
      <c r="I343" s="73">
        <f>I231+I273</f>
        <v>1929.6</v>
      </c>
      <c r="J343" s="73">
        <f>J231+J273</f>
        <v>6394.6</v>
      </c>
      <c r="K343" s="73">
        <f>K231+K273</f>
        <v>8600</v>
      </c>
      <c r="L343" s="355"/>
    </row>
    <row r="344" spans="1:12" ht="75" customHeight="1" x14ac:dyDescent="0.3">
      <c r="A344" s="292"/>
      <c r="B344" s="293"/>
      <c r="C344" s="293"/>
      <c r="D344" s="294"/>
      <c r="E344" s="318"/>
      <c r="F344" s="326"/>
      <c r="G344" s="84" t="s">
        <v>64</v>
      </c>
      <c r="H344" s="73">
        <f>H301</f>
        <v>710895.6</v>
      </c>
      <c r="I344" s="73">
        <f>I301</f>
        <v>280810.3</v>
      </c>
      <c r="J344" s="73">
        <f>J301</f>
        <v>276377.2</v>
      </c>
      <c r="K344" s="73">
        <f>K301</f>
        <v>153708.1</v>
      </c>
      <c r="L344" s="355"/>
    </row>
    <row r="345" spans="1:12" ht="75" customHeight="1" x14ac:dyDescent="0.3">
      <c r="A345" s="292"/>
      <c r="B345" s="293"/>
      <c r="C345" s="293"/>
      <c r="D345" s="294"/>
      <c r="E345" s="318"/>
      <c r="F345" s="326"/>
      <c r="G345" s="84" t="s">
        <v>67</v>
      </c>
      <c r="H345" s="73">
        <f>H313</f>
        <v>11273.080587499999</v>
      </c>
      <c r="I345" s="73">
        <f>I313</f>
        <v>4685.3</v>
      </c>
      <c r="J345" s="73">
        <f>J313</f>
        <v>4939</v>
      </c>
      <c r="K345" s="73">
        <f>K313</f>
        <v>1648.7805874999995</v>
      </c>
      <c r="L345" s="355"/>
    </row>
    <row r="346" spans="1:12" ht="302.25" customHeight="1" x14ac:dyDescent="0.3">
      <c r="A346" s="292"/>
      <c r="B346" s="293"/>
      <c r="C346" s="293"/>
      <c r="D346" s="294"/>
      <c r="E346" s="319"/>
      <c r="F346" s="326"/>
      <c r="G346" s="102" t="s">
        <v>385</v>
      </c>
      <c r="H346" s="73">
        <f>H232</f>
        <v>612.24</v>
      </c>
      <c r="I346" s="73">
        <f>I232</f>
        <v>612.24</v>
      </c>
      <c r="J346" s="73">
        <f>J232</f>
        <v>0</v>
      </c>
      <c r="K346" s="73">
        <f>K232</f>
        <v>0</v>
      </c>
      <c r="L346" s="355"/>
    </row>
    <row r="347" spans="1:12" ht="75" customHeight="1" x14ac:dyDescent="0.3">
      <c r="A347" s="292"/>
      <c r="B347" s="293"/>
      <c r="C347" s="293"/>
      <c r="D347" s="294"/>
      <c r="E347" s="317" t="s">
        <v>53</v>
      </c>
      <c r="F347" s="326"/>
      <c r="G347" s="102" t="s">
        <v>66</v>
      </c>
      <c r="H347" s="69">
        <f>SUM(H348:H354)</f>
        <v>279869.14</v>
      </c>
      <c r="I347" s="69">
        <f>SUM(I348:I354)</f>
        <v>100226.14</v>
      </c>
      <c r="J347" s="69">
        <f>SUM(J348:J354)</f>
        <v>155369.99999999997</v>
      </c>
      <c r="K347" s="69">
        <f t="shared" ref="K347" si="62">SUM(K348:K354)</f>
        <v>24272.999999999996</v>
      </c>
      <c r="L347" s="355"/>
    </row>
    <row r="348" spans="1:12" ht="75" customHeight="1" x14ac:dyDescent="0.3">
      <c r="A348" s="292"/>
      <c r="B348" s="293"/>
      <c r="C348" s="293"/>
      <c r="D348" s="294"/>
      <c r="E348" s="318"/>
      <c r="F348" s="326"/>
      <c r="G348" s="147" t="s">
        <v>166</v>
      </c>
      <c r="H348" s="73">
        <f>H234+H278+H287</f>
        <v>51378.5</v>
      </c>
      <c r="I348" s="73">
        <f>I234+I278+I287</f>
        <v>12628.399999999998</v>
      </c>
      <c r="J348" s="73">
        <f>J234+J278+J287</f>
        <v>25251.4</v>
      </c>
      <c r="K348" s="73">
        <f>K234+K278+K287</f>
        <v>13498.699999999999</v>
      </c>
      <c r="L348" s="355"/>
    </row>
    <row r="349" spans="1:12" ht="75" customHeight="1" x14ac:dyDescent="0.3">
      <c r="A349" s="292"/>
      <c r="B349" s="293"/>
      <c r="C349" s="293"/>
      <c r="D349" s="294"/>
      <c r="E349" s="318"/>
      <c r="F349" s="326"/>
      <c r="G349" s="84" t="s">
        <v>169</v>
      </c>
      <c r="H349" s="73">
        <f>H235+H279</f>
        <v>69855.7</v>
      </c>
      <c r="I349" s="73">
        <f>I235+I279</f>
        <v>16111.3</v>
      </c>
      <c r="J349" s="73">
        <f>J235+J279</f>
        <v>44744.399999999994</v>
      </c>
      <c r="K349" s="73">
        <f>K235+K279</f>
        <v>9000</v>
      </c>
      <c r="L349" s="355"/>
    </row>
    <row r="350" spans="1:12" ht="75" customHeight="1" x14ac:dyDescent="0.3">
      <c r="A350" s="292"/>
      <c r="B350" s="293"/>
      <c r="C350" s="293"/>
      <c r="D350" s="294"/>
      <c r="E350" s="318"/>
      <c r="F350" s="326"/>
      <c r="G350" s="84" t="s">
        <v>72</v>
      </c>
      <c r="H350" s="73">
        <f>H284</f>
        <v>0</v>
      </c>
      <c r="I350" s="73">
        <f>I284</f>
        <v>0</v>
      </c>
      <c r="J350" s="73">
        <f>J284</f>
        <v>0</v>
      </c>
      <c r="K350" s="73">
        <f>K284</f>
        <v>0</v>
      </c>
      <c r="L350" s="355"/>
    </row>
    <row r="351" spans="1:12" ht="75" customHeight="1" x14ac:dyDescent="0.3">
      <c r="A351" s="292"/>
      <c r="B351" s="293"/>
      <c r="C351" s="293"/>
      <c r="D351" s="294"/>
      <c r="E351" s="318"/>
      <c r="F351" s="326"/>
      <c r="G351" s="84" t="s">
        <v>64</v>
      </c>
      <c r="H351" s="73">
        <f>H302</f>
        <v>145519.5</v>
      </c>
      <c r="I351" s="73">
        <f>I302</f>
        <v>67676.7</v>
      </c>
      <c r="J351" s="73">
        <f>J302</f>
        <v>77727.3</v>
      </c>
      <c r="K351" s="73">
        <f>K302</f>
        <v>115.5</v>
      </c>
      <c r="L351" s="355"/>
    </row>
    <row r="352" spans="1:12" ht="75" customHeight="1" x14ac:dyDescent="0.3">
      <c r="A352" s="292"/>
      <c r="B352" s="293"/>
      <c r="C352" s="293"/>
      <c r="D352" s="294"/>
      <c r="E352" s="318"/>
      <c r="F352" s="326"/>
      <c r="G352" s="84" t="s">
        <v>67</v>
      </c>
      <c r="H352" s="73">
        <f>H314</f>
        <v>8303.1999999999989</v>
      </c>
      <c r="I352" s="73">
        <f>I314</f>
        <v>3197.5</v>
      </c>
      <c r="J352" s="73">
        <f>J314</f>
        <v>3446.9</v>
      </c>
      <c r="K352" s="73">
        <f>K314</f>
        <v>1658.8</v>
      </c>
      <c r="L352" s="355"/>
    </row>
    <row r="353" spans="1:12" ht="75" customHeight="1" x14ac:dyDescent="0.3">
      <c r="A353" s="292"/>
      <c r="B353" s="293"/>
      <c r="C353" s="293"/>
      <c r="D353" s="294"/>
      <c r="E353" s="318"/>
      <c r="F353" s="326"/>
      <c r="G353" s="84" t="s">
        <v>61</v>
      </c>
      <c r="H353" s="73">
        <f>H327</f>
        <v>4200</v>
      </c>
      <c r="I353" s="73">
        <f>I327</f>
        <v>0</v>
      </c>
      <c r="J353" s="73">
        <f t="shared" ref="J353:K353" si="63">J327</f>
        <v>4200</v>
      </c>
      <c r="K353" s="73">
        <f t="shared" si="63"/>
        <v>0</v>
      </c>
      <c r="L353" s="355"/>
    </row>
    <row r="354" spans="1:12" ht="317.25" customHeight="1" x14ac:dyDescent="0.3">
      <c r="A354" s="292"/>
      <c r="B354" s="293"/>
      <c r="C354" s="293"/>
      <c r="D354" s="294"/>
      <c r="E354" s="319"/>
      <c r="F354" s="326"/>
      <c r="G354" s="102" t="s">
        <v>385</v>
      </c>
      <c r="H354" s="73">
        <f>H236</f>
        <v>612.24</v>
      </c>
      <c r="I354" s="73">
        <f>I236</f>
        <v>612.24</v>
      </c>
      <c r="J354" s="73">
        <f>J236</f>
        <v>0</v>
      </c>
      <c r="K354" s="73">
        <f>K236</f>
        <v>0</v>
      </c>
      <c r="L354" s="355"/>
    </row>
    <row r="355" spans="1:12" ht="75" customHeight="1" x14ac:dyDescent="0.3">
      <c r="A355" s="292"/>
      <c r="B355" s="293"/>
      <c r="C355" s="293"/>
      <c r="D355" s="294"/>
      <c r="E355" s="317" t="s">
        <v>148</v>
      </c>
      <c r="F355" s="326"/>
      <c r="G355" s="102" t="s">
        <v>66</v>
      </c>
      <c r="H355" s="69">
        <f>SUM(H356:H362)</f>
        <v>629289.74</v>
      </c>
      <c r="I355" s="69">
        <f t="shared" ref="I355:K355" si="64">SUM(I356:I362)</f>
        <v>206697.14</v>
      </c>
      <c r="J355" s="69">
        <f t="shared" si="64"/>
        <v>250164.9</v>
      </c>
      <c r="K355" s="69">
        <f t="shared" si="64"/>
        <v>172427.7</v>
      </c>
      <c r="L355" s="355"/>
    </row>
    <row r="356" spans="1:12" ht="75" customHeight="1" x14ac:dyDescent="0.3">
      <c r="A356" s="292"/>
      <c r="B356" s="293"/>
      <c r="C356" s="293"/>
      <c r="D356" s="294"/>
      <c r="E356" s="318"/>
      <c r="F356" s="326"/>
      <c r="G356" s="147" t="s">
        <v>166</v>
      </c>
      <c r="H356" s="73">
        <f>H238+H288</f>
        <v>16830.599999999995</v>
      </c>
      <c r="I356" s="73">
        <f>I238+I288</f>
        <v>5032.8999999999996</v>
      </c>
      <c r="J356" s="73">
        <f>J238+J288</f>
        <v>6550</v>
      </c>
      <c r="K356" s="73">
        <f>K238+K288</f>
        <v>5247.7</v>
      </c>
      <c r="L356" s="355"/>
    </row>
    <row r="357" spans="1:12" ht="75" customHeight="1" x14ac:dyDescent="0.3">
      <c r="A357" s="292"/>
      <c r="B357" s="293"/>
      <c r="C357" s="293"/>
      <c r="D357" s="294"/>
      <c r="E357" s="318"/>
      <c r="F357" s="326"/>
      <c r="G357" s="84" t="s">
        <v>169</v>
      </c>
      <c r="H357" s="73">
        <f>H239+H277</f>
        <v>97096.2</v>
      </c>
      <c r="I357" s="73">
        <f>I239+I277</f>
        <v>33281.300000000003</v>
      </c>
      <c r="J357" s="73">
        <f>J239+J277</f>
        <v>60814.9</v>
      </c>
      <c r="K357" s="73">
        <f>K239+K277</f>
        <v>3000</v>
      </c>
      <c r="L357" s="355"/>
    </row>
    <row r="358" spans="1:12" ht="75" customHeight="1" x14ac:dyDescent="0.3">
      <c r="A358" s="292"/>
      <c r="B358" s="293"/>
      <c r="C358" s="293"/>
      <c r="D358" s="294"/>
      <c r="E358" s="318"/>
      <c r="F358" s="326"/>
      <c r="G358" s="84" t="s">
        <v>64</v>
      </c>
      <c r="H358" s="73">
        <f>H305</f>
        <v>500191.7</v>
      </c>
      <c r="I358" s="73">
        <f>I305</f>
        <v>163191.70000000001</v>
      </c>
      <c r="J358" s="73">
        <f>J305</f>
        <v>178000</v>
      </c>
      <c r="K358" s="73">
        <f>K305</f>
        <v>159000</v>
      </c>
      <c r="L358" s="355"/>
    </row>
    <row r="359" spans="1:12" ht="75" customHeight="1" x14ac:dyDescent="0.3">
      <c r="A359" s="292"/>
      <c r="B359" s="293"/>
      <c r="C359" s="293"/>
      <c r="D359" s="294"/>
      <c r="E359" s="318"/>
      <c r="F359" s="326"/>
      <c r="G359" s="84" t="s">
        <v>67</v>
      </c>
      <c r="H359" s="73">
        <f>H315</f>
        <v>14064</v>
      </c>
      <c r="I359" s="73">
        <f>I315</f>
        <v>4084</v>
      </c>
      <c r="J359" s="73">
        <f>J315</f>
        <v>4800</v>
      </c>
      <c r="K359" s="73">
        <f>K315</f>
        <v>5180</v>
      </c>
      <c r="L359" s="355"/>
    </row>
    <row r="360" spans="1:12" ht="75" hidden="1" customHeight="1" x14ac:dyDescent="0.3">
      <c r="A360" s="292"/>
      <c r="B360" s="293"/>
      <c r="C360" s="293"/>
      <c r="D360" s="294"/>
      <c r="E360" s="318"/>
      <c r="F360" s="326"/>
      <c r="G360" s="84" t="s">
        <v>72</v>
      </c>
      <c r="H360" s="73">
        <f>H285</f>
        <v>0</v>
      </c>
      <c r="I360" s="73">
        <f>I285</f>
        <v>0</v>
      </c>
      <c r="J360" s="73">
        <f>J285</f>
        <v>0</v>
      </c>
      <c r="K360" s="73">
        <f>K285</f>
        <v>0</v>
      </c>
      <c r="L360" s="355"/>
    </row>
    <row r="361" spans="1:12" ht="297.75" customHeight="1" x14ac:dyDescent="0.3">
      <c r="A361" s="292"/>
      <c r="B361" s="293"/>
      <c r="C361" s="293"/>
      <c r="D361" s="294"/>
      <c r="E361" s="318"/>
      <c r="F361" s="326"/>
      <c r="G361" s="102" t="s">
        <v>385</v>
      </c>
      <c r="H361" s="73">
        <f t="shared" ref="H361:K362" si="65">H240</f>
        <v>612.24</v>
      </c>
      <c r="I361" s="73">
        <f t="shared" si="65"/>
        <v>612.24</v>
      </c>
      <c r="J361" s="73">
        <f t="shared" si="65"/>
        <v>0</v>
      </c>
      <c r="K361" s="73">
        <f t="shared" si="65"/>
        <v>0</v>
      </c>
      <c r="L361" s="355"/>
    </row>
    <row r="362" spans="1:12" ht="87.75" customHeight="1" x14ac:dyDescent="0.3">
      <c r="A362" s="292"/>
      <c r="B362" s="293"/>
      <c r="C362" s="293"/>
      <c r="D362" s="294"/>
      <c r="E362" s="319"/>
      <c r="F362" s="326"/>
      <c r="G362" s="84" t="s">
        <v>452</v>
      </c>
      <c r="H362" s="73">
        <f t="shared" si="65"/>
        <v>495</v>
      </c>
      <c r="I362" s="73">
        <f t="shared" si="65"/>
        <v>495</v>
      </c>
      <c r="J362" s="73">
        <f t="shared" si="65"/>
        <v>0</v>
      </c>
      <c r="K362" s="73">
        <f t="shared" si="65"/>
        <v>0</v>
      </c>
      <c r="L362" s="355"/>
    </row>
    <row r="363" spans="1:12" ht="75" customHeight="1" x14ac:dyDescent="0.3">
      <c r="A363" s="292"/>
      <c r="B363" s="293"/>
      <c r="C363" s="293"/>
      <c r="D363" s="294"/>
      <c r="E363" s="317" t="s">
        <v>57</v>
      </c>
      <c r="F363" s="326"/>
      <c r="G363" s="102" t="s">
        <v>66</v>
      </c>
      <c r="H363" s="69">
        <f>SUM(H364:H367)</f>
        <v>351711.8</v>
      </c>
      <c r="I363" s="69">
        <f t="shared" ref="I363:K363" si="66">SUM(I364:I367)</f>
        <v>120624.9</v>
      </c>
      <c r="J363" s="69">
        <f t="shared" si="66"/>
        <v>127814.1</v>
      </c>
      <c r="K363" s="69">
        <f t="shared" si="66"/>
        <v>103272.8</v>
      </c>
      <c r="L363" s="355"/>
    </row>
    <row r="364" spans="1:12" ht="75" customHeight="1" x14ac:dyDescent="0.3">
      <c r="A364" s="292"/>
      <c r="B364" s="293"/>
      <c r="C364" s="293"/>
      <c r="D364" s="294"/>
      <c r="E364" s="318"/>
      <c r="F364" s="326"/>
      <c r="G364" s="147" t="s">
        <v>166</v>
      </c>
      <c r="H364" s="73">
        <f t="shared" ref="H364:K365" si="67">H243+H275</f>
        <v>16382.399999999998</v>
      </c>
      <c r="I364" s="73">
        <f t="shared" si="67"/>
        <v>5189.7000000000007</v>
      </c>
      <c r="J364" s="73">
        <f t="shared" si="67"/>
        <v>5519.9</v>
      </c>
      <c r="K364" s="73">
        <f t="shared" si="67"/>
        <v>5672.8</v>
      </c>
      <c r="L364" s="355"/>
    </row>
    <row r="365" spans="1:12" ht="75" customHeight="1" x14ac:dyDescent="0.3">
      <c r="A365" s="292"/>
      <c r="B365" s="293"/>
      <c r="C365" s="293"/>
      <c r="D365" s="294"/>
      <c r="E365" s="318"/>
      <c r="F365" s="326"/>
      <c r="G365" s="84" t="s">
        <v>169</v>
      </c>
      <c r="H365" s="73">
        <f t="shared" si="67"/>
        <v>17424.8</v>
      </c>
      <c r="I365" s="73">
        <f t="shared" si="67"/>
        <v>0</v>
      </c>
      <c r="J365" s="73">
        <f t="shared" si="67"/>
        <v>10824.8</v>
      </c>
      <c r="K365" s="73">
        <f t="shared" si="67"/>
        <v>6600</v>
      </c>
      <c r="L365" s="355"/>
    </row>
    <row r="366" spans="1:12" ht="75" customHeight="1" x14ac:dyDescent="0.3">
      <c r="A366" s="292"/>
      <c r="B366" s="293"/>
      <c r="C366" s="293"/>
      <c r="D366" s="294"/>
      <c r="E366" s="318"/>
      <c r="F366" s="326"/>
      <c r="G366" s="84" t="s">
        <v>64</v>
      </c>
      <c r="H366" s="73">
        <f>H303</f>
        <v>287281.09999999998</v>
      </c>
      <c r="I366" s="73">
        <f>I303</f>
        <v>103368.3</v>
      </c>
      <c r="J366" s="73">
        <f>J303</f>
        <v>101912.8</v>
      </c>
      <c r="K366" s="73">
        <f>K303</f>
        <v>82000</v>
      </c>
      <c r="L366" s="355"/>
    </row>
    <row r="367" spans="1:12" ht="75" customHeight="1" x14ac:dyDescent="0.3">
      <c r="A367" s="292"/>
      <c r="B367" s="293"/>
      <c r="C367" s="293"/>
      <c r="D367" s="294"/>
      <c r="E367" s="319"/>
      <c r="F367" s="326"/>
      <c r="G367" s="84" t="s">
        <v>67</v>
      </c>
      <c r="H367" s="73">
        <f>H316</f>
        <v>30623.5</v>
      </c>
      <c r="I367" s="73">
        <f>I316</f>
        <v>12066.9</v>
      </c>
      <c r="J367" s="73">
        <f>J316</f>
        <v>9556.6</v>
      </c>
      <c r="K367" s="73">
        <f>K316</f>
        <v>9000</v>
      </c>
      <c r="L367" s="355"/>
    </row>
    <row r="368" spans="1:12" ht="75" customHeight="1" x14ac:dyDescent="0.3">
      <c r="A368" s="292"/>
      <c r="B368" s="293"/>
      <c r="C368" s="293"/>
      <c r="D368" s="294"/>
      <c r="E368" s="317" t="s">
        <v>56</v>
      </c>
      <c r="F368" s="326"/>
      <c r="G368" s="102" t="s">
        <v>66</v>
      </c>
      <c r="H368" s="69">
        <f>SUM(H369:H372)</f>
        <v>85593.3</v>
      </c>
      <c r="I368" s="69">
        <f t="shared" ref="I368:K368" si="68">SUM(I369:I372)</f>
        <v>28672.300000000003</v>
      </c>
      <c r="J368" s="69">
        <f t="shared" si="68"/>
        <v>31298.600000000002</v>
      </c>
      <c r="K368" s="69">
        <f t="shared" si="68"/>
        <v>25622.400000000001</v>
      </c>
      <c r="L368" s="355"/>
    </row>
    <row r="369" spans="1:12" ht="75" customHeight="1" x14ac:dyDescent="0.3">
      <c r="A369" s="292"/>
      <c r="B369" s="293"/>
      <c r="C369" s="293"/>
      <c r="D369" s="294"/>
      <c r="E369" s="318"/>
      <c r="F369" s="326"/>
      <c r="G369" s="147" t="s">
        <v>166</v>
      </c>
      <c r="H369" s="73">
        <f>H246+H266</f>
        <v>41088.300000000003</v>
      </c>
      <c r="I369" s="73">
        <f>I246+I266</f>
        <v>14328.7</v>
      </c>
      <c r="J369" s="73">
        <f>J246+J266</f>
        <v>14882.800000000001</v>
      </c>
      <c r="K369" s="73">
        <f>K246+K266</f>
        <v>11876.8</v>
      </c>
      <c r="L369" s="355"/>
    </row>
    <row r="370" spans="1:12" ht="75" customHeight="1" x14ac:dyDescent="0.3">
      <c r="A370" s="292"/>
      <c r="B370" s="293"/>
      <c r="C370" s="293"/>
      <c r="D370" s="294"/>
      <c r="E370" s="318"/>
      <c r="F370" s="326"/>
      <c r="G370" s="84" t="s">
        <v>169</v>
      </c>
      <c r="H370" s="73">
        <f>H247</f>
        <v>2500</v>
      </c>
      <c r="I370" s="73">
        <f>I247</f>
        <v>0</v>
      </c>
      <c r="J370" s="73">
        <f>J247</f>
        <v>0</v>
      </c>
      <c r="K370" s="73">
        <f>K247</f>
        <v>2500</v>
      </c>
      <c r="L370" s="355"/>
    </row>
    <row r="371" spans="1:12" ht="75" customHeight="1" x14ac:dyDescent="0.3">
      <c r="A371" s="292"/>
      <c r="B371" s="293"/>
      <c r="C371" s="293"/>
      <c r="D371" s="294"/>
      <c r="E371" s="318"/>
      <c r="F371" s="326"/>
      <c r="G371" s="84" t="s">
        <v>64</v>
      </c>
      <c r="H371" s="73">
        <f>H304</f>
        <v>951.80000000000007</v>
      </c>
      <c r="I371" s="73">
        <f>I304</f>
        <v>303.10000000000002</v>
      </c>
      <c r="J371" s="73">
        <f>J304</f>
        <v>303.10000000000002</v>
      </c>
      <c r="K371" s="73">
        <f>K304</f>
        <v>345.6</v>
      </c>
      <c r="L371" s="355"/>
    </row>
    <row r="372" spans="1:12" ht="75" customHeight="1" x14ac:dyDescent="0.3">
      <c r="A372" s="292"/>
      <c r="B372" s="293"/>
      <c r="C372" s="293"/>
      <c r="D372" s="294"/>
      <c r="E372" s="319"/>
      <c r="F372" s="326"/>
      <c r="G372" s="84" t="s">
        <v>67</v>
      </c>
      <c r="H372" s="73">
        <f>H317</f>
        <v>41053.199999999997</v>
      </c>
      <c r="I372" s="73">
        <f>I317</f>
        <v>14040.5</v>
      </c>
      <c r="J372" s="73">
        <f>J317</f>
        <v>16112.7</v>
      </c>
      <c r="K372" s="73">
        <f>K317</f>
        <v>10900</v>
      </c>
      <c r="L372" s="355"/>
    </row>
    <row r="373" spans="1:12" ht="75" customHeight="1" x14ac:dyDescent="0.3">
      <c r="A373" s="292"/>
      <c r="B373" s="293"/>
      <c r="C373" s="293"/>
      <c r="D373" s="294"/>
      <c r="E373" s="317" t="s">
        <v>58</v>
      </c>
      <c r="F373" s="326"/>
      <c r="G373" s="102" t="s">
        <v>66</v>
      </c>
      <c r="H373" s="69">
        <f>SUM(H374:H377)</f>
        <v>287811.00000000006</v>
      </c>
      <c r="I373" s="69">
        <f t="shared" ref="I373:K373" si="69">SUM(I374:I377)</f>
        <v>104034</v>
      </c>
      <c r="J373" s="69">
        <f t="shared" si="69"/>
        <v>97659.200000000012</v>
      </c>
      <c r="K373" s="69">
        <f t="shared" si="69"/>
        <v>86117.799999999988</v>
      </c>
      <c r="L373" s="355"/>
    </row>
    <row r="374" spans="1:12" ht="75" customHeight="1" x14ac:dyDescent="0.3">
      <c r="A374" s="292"/>
      <c r="B374" s="293"/>
      <c r="C374" s="293"/>
      <c r="D374" s="294"/>
      <c r="E374" s="318"/>
      <c r="F374" s="326"/>
      <c r="G374" s="147" t="s">
        <v>166</v>
      </c>
      <c r="H374" s="73">
        <f t="shared" ref="H374:K375" si="70">H249</f>
        <v>31925.200000000004</v>
      </c>
      <c r="I374" s="73">
        <f t="shared" si="70"/>
        <v>10162</v>
      </c>
      <c r="J374" s="73">
        <f t="shared" si="70"/>
        <v>10536.099999999999</v>
      </c>
      <c r="K374" s="73">
        <f t="shared" si="70"/>
        <v>11227.099999999999</v>
      </c>
      <c r="L374" s="355"/>
    </row>
    <row r="375" spans="1:12" ht="75" customHeight="1" x14ac:dyDescent="0.3">
      <c r="A375" s="292"/>
      <c r="B375" s="293"/>
      <c r="C375" s="293"/>
      <c r="D375" s="294"/>
      <c r="E375" s="318"/>
      <c r="F375" s="326"/>
      <c r="G375" s="84" t="s">
        <v>169</v>
      </c>
      <c r="H375" s="73">
        <f t="shared" si="70"/>
        <v>0</v>
      </c>
      <c r="I375" s="73">
        <f t="shared" si="70"/>
        <v>0</v>
      </c>
      <c r="J375" s="73">
        <f t="shared" si="70"/>
        <v>0</v>
      </c>
      <c r="K375" s="73">
        <f t="shared" si="70"/>
        <v>0</v>
      </c>
      <c r="L375" s="355"/>
    </row>
    <row r="376" spans="1:12" ht="75" customHeight="1" x14ac:dyDescent="0.3">
      <c r="A376" s="292"/>
      <c r="B376" s="293"/>
      <c r="C376" s="293"/>
      <c r="D376" s="294"/>
      <c r="E376" s="318"/>
      <c r="F376" s="326"/>
      <c r="G376" s="84" t="s">
        <v>64</v>
      </c>
      <c r="H376" s="73">
        <f>H306</f>
        <v>253622.90000000002</v>
      </c>
      <c r="I376" s="73">
        <f>I306</f>
        <v>92957.5</v>
      </c>
      <c r="J376" s="73">
        <f>J306</f>
        <v>86013.6</v>
      </c>
      <c r="K376" s="73">
        <f>K306</f>
        <v>74651.8</v>
      </c>
      <c r="L376" s="355"/>
    </row>
    <row r="377" spans="1:12" ht="75" customHeight="1" x14ac:dyDescent="0.3">
      <c r="A377" s="292"/>
      <c r="B377" s="293"/>
      <c r="C377" s="293"/>
      <c r="D377" s="294"/>
      <c r="E377" s="319"/>
      <c r="F377" s="326"/>
      <c r="G377" s="84" t="s">
        <v>67</v>
      </c>
      <c r="H377" s="73">
        <f>H318</f>
        <v>2262.9</v>
      </c>
      <c r="I377" s="73">
        <f>I318</f>
        <v>914.5</v>
      </c>
      <c r="J377" s="73">
        <f>J318</f>
        <v>1109.5</v>
      </c>
      <c r="K377" s="73">
        <f>K318</f>
        <v>238.9</v>
      </c>
      <c r="L377" s="355"/>
    </row>
    <row r="378" spans="1:12" ht="75" customHeight="1" x14ac:dyDescent="0.3">
      <c r="A378" s="292"/>
      <c r="B378" s="293"/>
      <c r="C378" s="293"/>
      <c r="D378" s="294"/>
      <c r="E378" s="317" t="s">
        <v>59</v>
      </c>
      <c r="F378" s="326"/>
      <c r="G378" s="102" t="s">
        <v>66</v>
      </c>
      <c r="H378" s="69">
        <f>SUM(H379:H382)</f>
        <v>304122.2</v>
      </c>
      <c r="I378" s="69">
        <f t="shared" ref="I378:K378" si="71">SUM(I379:I382)</f>
        <v>115126.3</v>
      </c>
      <c r="J378" s="69">
        <f t="shared" si="71"/>
        <v>104167.3</v>
      </c>
      <c r="K378" s="69">
        <f t="shared" si="71"/>
        <v>84828.6</v>
      </c>
      <c r="L378" s="355"/>
    </row>
    <row r="379" spans="1:12" ht="75" customHeight="1" x14ac:dyDescent="0.3">
      <c r="A379" s="292"/>
      <c r="B379" s="293"/>
      <c r="C379" s="293"/>
      <c r="D379" s="294"/>
      <c r="E379" s="318"/>
      <c r="F379" s="326"/>
      <c r="G379" s="147" t="s">
        <v>166</v>
      </c>
      <c r="H379" s="73">
        <f t="shared" ref="H379:K380" si="72">H252</f>
        <v>36343.599999999999</v>
      </c>
      <c r="I379" s="73">
        <f t="shared" si="72"/>
        <v>11869.8</v>
      </c>
      <c r="J379" s="73">
        <f t="shared" si="72"/>
        <v>11388.8</v>
      </c>
      <c r="K379" s="73">
        <f t="shared" si="72"/>
        <v>13085</v>
      </c>
      <c r="L379" s="355"/>
    </row>
    <row r="380" spans="1:12" ht="75" customHeight="1" x14ac:dyDescent="0.3">
      <c r="A380" s="292"/>
      <c r="B380" s="293"/>
      <c r="C380" s="293"/>
      <c r="D380" s="294"/>
      <c r="E380" s="318"/>
      <c r="F380" s="326"/>
      <c r="G380" s="84" t="s">
        <v>169</v>
      </c>
      <c r="H380" s="73">
        <f t="shared" si="72"/>
        <v>0</v>
      </c>
      <c r="I380" s="73">
        <f t="shared" si="72"/>
        <v>0</v>
      </c>
      <c r="J380" s="73">
        <f t="shared" si="72"/>
        <v>0</v>
      </c>
      <c r="K380" s="73">
        <f t="shared" si="72"/>
        <v>0</v>
      </c>
      <c r="L380" s="355"/>
    </row>
    <row r="381" spans="1:12" ht="75" customHeight="1" x14ac:dyDescent="0.3">
      <c r="A381" s="292"/>
      <c r="B381" s="293"/>
      <c r="C381" s="293"/>
      <c r="D381" s="294"/>
      <c r="E381" s="318"/>
      <c r="F381" s="326"/>
      <c r="G381" s="84" t="s">
        <v>64</v>
      </c>
      <c r="H381" s="73">
        <f>H309+H307</f>
        <v>264117.7</v>
      </c>
      <c r="I381" s="73">
        <f>I309+I307</f>
        <v>101228.7</v>
      </c>
      <c r="J381" s="73">
        <f>J309+J307</f>
        <v>91365</v>
      </c>
      <c r="K381" s="73">
        <f>K309+K307</f>
        <v>71524</v>
      </c>
      <c r="L381" s="355"/>
    </row>
    <row r="382" spans="1:12" ht="75" customHeight="1" x14ac:dyDescent="0.3">
      <c r="A382" s="292"/>
      <c r="B382" s="293"/>
      <c r="C382" s="293"/>
      <c r="D382" s="294"/>
      <c r="E382" s="319"/>
      <c r="F382" s="326"/>
      <c r="G382" s="84" t="s">
        <v>67</v>
      </c>
      <c r="H382" s="73">
        <f>H319</f>
        <v>3660.9</v>
      </c>
      <c r="I382" s="73">
        <f>I319</f>
        <v>2027.8</v>
      </c>
      <c r="J382" s="73">
        <f>J319</f>
        <v>1413.5</v>
      </c>
      <c r="K382" s="73">
        <f>K319</f>
        <v>219.6</v>
      </c>
      <c r="L382" s="355"/>
    </row>
    <row r="383" spans="1:12" ht="75" customHeight="1" x14ac:dyDescent="0.3">
      <c r="A383" s="292"/>
      <c r="B383" s="293"/>
      <c r="C383" s="293"/>
      <c r="D383" s="294"/>
      <c r="E383" s="317" t="s">
        <v>143</v>
      </c>
      <c r="F383" s="326"/>
      <c r="G383" s="102" t="s">
        <v>66</v>
      </c>
      <c r="H383" s="69">
        <f>SUM(H384:H386)</f>
        <v>235667.40000000002</v>
      </c>
      <c r="I383" s="69">
        <f t="shared" ref="I383:K383" si="73">SUM(I384:I386)</f>
        <v>49984.4</v>
      </c>
      <c r="J383" s="69">
        <f t="shared" si="73"/>
        <v>101389.6</v>
      </c>
      <c r="K383" s="69">
        <f t="shared" si="73"/>
        <v>84293.4</v>
      </c>
      <c r="L383" s="355"/>
    </row>
    <row r="384" spans="1:12" ht="75" customHeight="1" x14ac:dyDescent="0.3">
      <c r="A384" s="292"/>
      <c r="B384" s="293"/>
      <c r="C384" s="293"/>
      <c r="D384" s="294"/>
      <c r="E384" s="318"/>
      <c r="F384" s="326"/>
      <c r="G384" s="147" t="s">
        <v>166</v>
      </c>
      <c r="H384" s="73">
        <f t="shared" ref="H384:K385" si="74">H255</f>
        <v>11660.7</v>
      </c>
      <c r="I384" s="73">
        <f t="shared" si="74"/>
        <v>2954.2999999999997</v>
      </c>
      <c r="J384" s="73">
        <f t="shared" si="74"/>
        <v>4713</v>
      </c>
      <c r="K384" s="73">
        <f t="shared" si="74"/>
        <v>3993.4</v>
      </c>
      <c r="L384" s="355"/>
    </row>
    <row r="385" spans="1:12" ht="75" customHeight="1" x14ac:dyDescent="0.3">
      <c r="A385" s="292"/>
      <c r="B385" s="293"/>
      <c r="C385" s="293"/>
      <c r="D385" s="294"/>
      <c r="E385" s="318"/>
      <c r="F385" s="326"/>
      <c r="G385" s="84" t="s">
        <v>169</v>
      </c>
      <c r="H385" s="73">
        <f t="shared" si="74"/>
        <v>207469.6</v>
      </c>
      <c r="I385" s="73">
        <f t="shared" si="74"/>
        <v>30493</v>
      </c>
      <c r="J385" s="73">
        <f t="shared" si="74"/>
        <v>96676.6</v>
      </c>
      <c r="K385" s="73">
        <f t="shared" si="74"/>
        <v>80300</v>
      </c>
      <c r="L385" s="385"/>
    </row>
    <row r="386" spans="1:12" ht="75" customHeight="1" x14ac:dyDescent="0.3">
      <c r="A386" s="292"/>
      <c r="B386" s="293"/>
      <c r="C386" s="293"/>
      <c r="D386" s="294"/>
      <c r="E386" s="319"/>
      <c r="F386" s="326"/>
      <c r="G386" s="120" t="s">
        <v>457</v>
      </c>
      <c r="H386" s="73">
        <f>H257</f>
        <v>16537.099999999999</v>
      </c>
      <c r="I386" s="73">
        <f>I257</f>
        <v>16537.099999999999</v>
      </c>
      <c r="J386" s="73">
        <f>J257</f>
        <v>0</v>
      </c>
      <c r="K386" s="73"/>
      <c r="L386" s="173"/>
    </row>
    <row r="387" spans="1:12" ht="95.25" customHeight="1" x14ac:dyDescent="0.3">
      <c r="A387" s="292"/>
      <c r="B387" s="293"/>
      <c r="C387" s="293"/>
      <c r="D387" s="294"/>
      <c r="E387" s="150" t="s">
        <v>463</v>
      </c>
      <c r="F387" s="326"/>
      <c r="G387" s="84" t="s">
        <v>169</v>
      </c>
      <c r="H387" s="73">
        <f>H258</f>
        <v>5000</v>
      </c>
      <c r="I387" s="73">
        <f>I258</f>
        <v>5000</v>
      </c>
      <c r="J387" s="73">
        <f t="shared" ref="J387:K387" si="75">J258</f>
        <v>0</v>
      </c>
      <c r="K387" s="73">
        <f t="shared" si="75"/>
        <v>0</v>
      </c>
      <c r="L387" s="173"/>
    </row>
    <row r="388" spans="1:12" ht="116.25" customHeight="1" x14ac:dyDescent="0.3">
      <c r="A388" s="295"/>
      <c r="B388" s="296"/>
      <c r="C388" s="296"/>
      <c r="D388" s="297"/>
      <c r="E388" s="151" t="s">
        <v>376</v>
      </c>
      <c r="F388" s="327"/>
      <c r="G388" s="102" t="s">
        <v>169</v>
      </c>
      <c r="H388" s="73">
        <f>H259</f>
        <v>400</v>
      </c>
      <c r="I388" s="73">
        <f>I259</f>
        <v>400</v>
      </c>
      <c r="J388" s="73">
        <f t="shared" ref="J388:K388" si="76">J259</f>
        <v>0</v>
      </c>
      <c r="K388" s="73">
        <f t="shared" si="76"/>
        <v>0</v>
      </c>
      <c r="L388" s="173"/>
    </row>
    <row r="389" spans="1:12" s="175" customFormat="1" ht="75" customHeight="1" x14ac:dyDescent="0.65">
      <c r="A389" s="174"/>
      <c r="B389" s="175" t="s">
        <v>146</v>
      </c>
      <c r="C389" s="176"/>
      <c r="D389" s="177"/>
      <c r="E389" s="177"/>
      <c r="F389" s="174"/>
      <c r="G389" s="178"/>
      <c r="H389" s="51"/>
      <c r="I389" s="179" t="s">
        <v>374</v>
      </c>
      <c r="J389" s="51"/>
      <c r="K389" s="51"/>
      <c r="L389" s="180"/>
    </row>
    <row r="390" spans="1:12" s="175" customFormat="1" ht="75" customHeight="1" x14ac:dyDescent="0.65">
      <c r="A390" s="174"/>
      <c r="C390" s="176"/>
      <c r="D390" s="177"/>
      <c r="E390" s="177"/>
      <c r="F390" s="174"/>
      <c r="G390" s="178"/>
      <c r="H390" s="51"/>
      <c r="I390" s="179"/>
      <c r="J390" s="51"/>
      <c r="K390" s="51"/>
      <c r="L390" s="180"/>
    </row>
    <row r="391" spans="1:12" ht="75" customHeight="1" x14ac:dyDescent="0.85">
      <c r="A391" s="181" t="s">
        <v>25</v>
      </c>
      <c r="B391" s="182"/>
      <c r="K391" s="183"/>
    </row>
    <row r="393" spans="1:12" s="184" customFormat="1" ht="75" customHeight="1" x14ac:dyDescent="0.5">
      <c r="C393" s="185"/>
      <c r="D393" s="186"/>
      <c r="F393" s="187"/>
      <c r="G393" s="187"/>
      <c r="H393" s="188"/>
      <c r="I393" s="179"/>
      <c r="J393" s="188"/>
      <c r="K393" s="51"/>
      <c r="L393" s="189"/>
    </row>
    <row r="394" spans="1:12" ht="75" customHeight="1" x14ac:dyDescent="0.4">
      <c r="A394" s="190"/>
      <c r="B394" s="190"/>
      <c r="C394" s="191"/>
      <c r="D394" s="192"/>
      <c r="E394" s="193"/>
      <c r="F394" s="194"/>
      <c r="G394" s="195"/>
      <c r="H394" s="188"/>
      <c r="I394" s="179"/>
      <c r="J394" s="188"/>
      <c r="K394" s="183"/>
    </row>
    <row r="395" spans="1:12" ht="75" customHeight="1" x14ac:dyDescent="0.4">
      <c r="A395" s="190"/>
      <c r="B395" s="190"/>
      <c r="C395" s="191"/>
      <c r="D395" s="192"/>
      <c r="E395" s="193"/>
      <c r="F395" s="194"/>
      <c r="G395" s="195"/>
      <c r="H395" s="188"/>
      <c r="I395" s="179"/>
      <c r="J395" s="188"/>
    </row>
    <row r="396" spans="1:12" ht="75" customHeight="1" x14ac:dyDescent="0.4">
      <c r="A396" s="190"/>
      <c r="B396" s="190"/>
      <c r="C396" s="191"/>
      <c r="D396" s="192"/>
      <c r="E396" s="193"/>
      <c r="F396" s="194"/>
      <c r="G396" s="195"/>
      <c r="H396" s="188"/>
      <c r="I396" s="179"/>
      <c r="J396" s="188"/>
    </row>
    <row r="397" spans="1:12" ht="75" customHeight="1" x14ac:dyDescent="0.4">
      <c r="A397" s="196"/>
      <c r="B397" s="190"/>
      <c r="D397" s="192"/>
      <c r="E397" s="193"/>
      <c r="F397" s="194"/>
      <c r="G397" s="195"/>
      <c r="H397" s="188"/>
      <c r="I397" s="188"/>
      <c r="J397" s="188"/>
    </row>
  </sheetData>
  <autoFilter ref="A7:L389">
    <filterColumn colId="7" showButton="0"/>
    <filterColumn colId="8" showButton="0"/>
    <filterColumn colId="9" showButton="0"/>
  </autoFilter>
  <mergeCells count="254">
    <mergeCell ref="L74:L90"/>
    <mergeCell ref="D51:G51"/>
    <mergeCell ref="L71:L72"/>
    <mergeCell ref="A41:A73"/>
    <mergeCell ref="F183:F185"/>
    <mergeCell ref="G183:G185"/>
    <mergeCell ref="F155:F165"/>
    <mergeCell ref="C134:C136"/>
    <mergeCell ref="D182:G182"/>
    <mergeCell ref="A154:A198"/>
    <mergeCell ref="G190:G198"/>
    <mergeCell ref="F190:F198"/>
    <mergeCell ref="C154:C164"/>
    <mergeCell ref="B154:B198"/>
    <mergeCell ref="A150:F150"/>
    <mergeCell ref="E140:F140"/>
    <mergeCell ref="A140:D145"/>
    <mergeCell ref="E145:F145"/>
    <mergeCell ref="E143:F143"/>
    <mergeCell ref="B147:B149"/>
    <mergeCell ref="F147:F149"/>
    <mergeCell ref="A147:A149"/>
    <mergeCell ref="A151:F152"/>
    <mergeCell ref="D178:G178"/>
    <mergeCell ref="D12:G12"/>
    <mergeCell ref="D15:G15"/>
    <mergeCell ref="D18:G18"/>
    <mergeCell ref="G16:G17"/>
    <mergeCell ref="E31:G31"/>
    <mergeCell ref="D35:G35"/>
    <mergeCell ref="C28:C30"/>
    <mergeCell ref="F97:F98"/>
    <mergeCell ref="F25:F27"/>
    <mergeCell ref="D24:G24"/>
    <mergeCell ref="C21:C23"/>
    <mergeCell ref="D21:G21"/>
    <mergeCell ref="G36:G40"/>
    <mergeCell ref="C70:C72"/>
    <mergeCell ref="D70:G70"/>
    <mergeCell ref="F71:F72"/>
    <mergeCell ref="D58:G58"/>
    <mergeCell ref="L35:L39"/>
    <mergeCell ref="E77:F77"/>
    <mergeCell ref="E78:F79"/>
    <mergeCell ref="E80:F81"/>
    <mergeCell ref="E84:F85"/>
    <mergeCell ref="A95:D96"/>
    <mergeCell ref="C93:C94"/>
    <mergeCell ref="D28:G28"/>
    <mergeCell ref="L92:L98"/>
    <mergeCell ref="E86:F88"/>
    <mergeCell ref="A74:D90"/>
    <mergeCell ref="E74:F76"/>
    <mergeCell ref="E95:E96"/>
    <mergeCell ref="F95:F96"/>
    <mergeCell ref="L41:L46"/>
    <mergeCell ref="D62:G62"/>
    <mergeCell ref="C66:C69"/>
    <mergeCell ref="D66:G66"/>
    <mergeCell ref="B97:B98"/>
    <mergeCell ref="E82:F83"/>
    <mergeCell ref="F29:F30"/>
    <mergeCell ref="G29:G30"/>
    <mergeCell ref="C35:C40"/>
    <mergeCell ref="F36:F40"/>
    <mergeCell ref="A5:L5"/>
    <mergeCell ref="A7:A9"/>
    <mergeCell ref="B7:B9"/>
    <mergeCell ref="C7:C9"/>
    <mergeCell ref="D7:D9"/>
    <mergeCell ref="E7:E9"/>
    <mergeCell ref="F7:F9"/>
    <mergeCell ref="G7:G9"/>
    <mergeCell ref="H7:K7"/>
    <mergeCell ref="L7:L9"/>
    <mergeCell ref="H8:H9"/>
    <mergeCell ref="I8:K8"/>
    <mergeCell ref="A11:L11"/>
    <mergeCell ref="F13:F14"/>
    <mergeCell ref="G13:G14"/>
    <mergeCell ref="F19:F20"/>
    <mergeCell ref="G19:G20"/>
    <mergeCell ref="L12:L17"/>
    <mergeCell ref="G42:G46"/>
    <mergeCell ref="F42:F46"/>
    <mergeCell ref="A12:A30"/>
    <mergeCell ref="F32:F34"/>
    <mergeCell ref="G32:G34"/>
    <mergeCell ref="A31:D34"/>
    <mergeCell ref="G25:G27"/>
    <mergeCell ref="C24:C27"/>
    <mergeCell ref="L18:L20"/>
    <mergeCell ref="B12:B30"/>
    <mergeCell ref="C12:C14"/>
    <mergeCell ref="C15:C17"/>
    <mergeCell ref="C18:C20"/>
    <mergeCell ref="F16:F17"/>
    <mergeCell ref="G22:G23"/>
    <mergeCell ref="L21:L34"/>
    <mergeCell ref="D41:G41"/>
    <mergeCell ref="C41:C46"/>
    <mergeCell ref="L99:L100"/>
    <mergeCell ref="E112:E113"/>
    <mergeCell ref="E106:E107"/>
    <mergeCell ref="A102:F103"/>
    <mergeCell ref="A101:G101"/>
    <mergeCell ref="E104:E105"/>
    <mergeCell ref="E114:E115"/>
    <mergeCell ref="E108:E109"/>
    <mergeCell ref="E110:E111"/>
    <mergeCell ref="F99:F100"/>
    <mergeCell ref="G155:G165"/>
    <mergeCell ref="E144:F144"/>
    <mergeCell ref="D135:D136"/>
    <mergeCell ref="G131:G133"/>
    <mergeCell ref="A138:F138"/>
    <mergeCell ref="G186:G188"/>
    <mergeCell ref="D154:G154"/>
    <mergeCell ref="A200:F200"/>
    <mergeCell ref="L154:L162"/>
    <mergeCell ref="L166:L177"/>
    <mergeCell ref="L189:L198"/>
    <mergeCell ref="C130:C133"/>
    <mergeCell ref="F131:F133"/>
    <mergeCell ref="F135:F136"/>
    <mergeCell ref="E141:F141"/>
    <mergeCell ref="E142:F142"/>
    <mergeCell ref="A146:L146"/>
    <mergeCell ref="A153:L153"/>
    <mergeCell ref="L134:L136"/>
    <mergeCell ref="A139:B139"/>
    <mergeCell ref="A126:A137"/>
    <mergeCell ref="L199:L214"/>
    <mergeCell ref="L186:L188"/>
    <mergeCell ref="E204:E205"/>
    <mergeCell ref="E378:E382"/>
    <mergeCell ref="A321:F329"/>
    <mergeCell ref="A330:D388"/>
    <mergeCell ref="F330:F388"/>
    <mergeCell ref="A320:F320"/>
    <mergeCell ref="E383:E386"/>
    <mergeCell ref="E355:E362"/>
    <mergeCell ref="L320:L385"/>
    <mergeCell ref="A217:F217"/>
    <mergeCell ref="E245:E247"/>
    <mergeCell ref="L310:L317"/>
    <mergeCell ref="L298:L309"/>
    <mergeCell ref="L217:L219"/>
    <mergeCell ref="A223:D259"/>
    <mergeCell ref="E223:E225"/>
    <mergeCell ref="E226:E228"/>
    <mergeCell ref="L261:L266"/>
    <mergeCell ref="L267:L281"/>
    <mergeCell ref="F299:F307"/>
    <mergeCell ref="G299:G307"/>
    <mergeCell ref="G311:G319"/>
    <mergeCell ref="A293:D295"/>
    <mergeCell ref="B291:F291"/>
    <mergeCell ref="L291:L295"/>
    <mergeCell ref="E373:E377"/>
    <mergeCell ref="E330:E335"/>
    <mergeCell ref="E336:E340"/>
    <mergeCell ref="E363:E367"/>
    <mergeCell ref="E368:E372"/>
    <mergeCell ref="F311:F319"/>
    <mergeCell ref="E341:E346"/>
    <mergeCell ref="E347:E354"/>
    <mergeCell ref="A299:D309"/>
    <mergeCell ref="A311:D319"/>
    <mergeCell ref="A260:L260"/>
    <mergeCell ref="G283:G285"/>
    <mergeCell ref="L51:L56"/>
    <mergeCell ref="G67:G68"/>
    <mergeCell ref="C51:C57"/>
    <mergeCell ref="F52:F57"/>
    <mergeCell ref="G52:G57"/>
    <mergeCell ref="F22:F23"/>
    <mergeCell ref="L138:L145"/>
    <mergeCell ref="L126:L129"/>
    <mergeCell ref="L101:L124"/>
    <mergeCell ref="L130:L133"/>
    <mergeCell ref="A125:L125"/>
    <mergeCell ref="G135:G136"/>
    <mergeCell ref="G140:G145"/>
    <mergeCell ref="F91:F94"/>
    <mergeCell ref="G93:G94"/>
    <mergeCell ref="E89:F90"/>
    <mergeCell ref="B91:B94"/>
    <mergeCell ref="E99:E100"/>
    <mergeCell ref="A99:D100"/>
    <mergeCell ref="L59:L60"/>
    <mergeCell ref="B35:B73"/>
    <mergeCell ref="F59:F61"/>
    <mergeCell ref="A290:D290"/>
    <mergeCell ref="B289:F289"/>
    <mergeCell ref="G262:G266"/>
    <mergeCell ref="F262:F266"/>
    <mergeCell ref="B267:F267"/>
    <mergeCell ref="E273:E274"/>
    <mergeCell ref="B282:F282"/>
    <mergeCell ref="B261:F261"/>
    <mergeCell ref="E275:E276"/>
    <mergeCell ref="E268:E270"/>
    <mergeCell ref="G286:G288"/>
    <mergeCell ref="F268:F281"/>
    <mergeCell ref="A283:D283"/>
    <mergeCell ref="C126:C129"/>
    <mergeCell ref="F127:F129"/>
    <mergeCell ref="B126:B137"/>
    <mergeCell ref="D126:G126"/>
    <mergeCell ref="E206:E207"/>
    <mergeCell ref="E208:E209"/>
    <mergeCell ref="E229:E232"/>
    <mergeCell ref="E233:E236"/>
    <mergeCell ref="E237:E241"/>
    <mergeCell ref="F223:F259"/>
    <mergeCell ref="G127:G129"/>
    <mergeCell ref="D134:G134"/>
    <mergeCell ref="D130:G130"/>
    <mergeCell ref="D166:G166"/>
    <mergeCell ref="A199:G199"/>
    <mergeCell ref="E251:E253"/>
    <mergeCell ref="E248:E250"/>
    <mergeCell ref="E254:E257"/>
    <mergeCell ref="F202:F216"/>
    <mergeCell ref="A218:F222"/>
    <mergeCell ref="F167:F176"/>
    <mergeCell ref="G167:G176"/>
    <mergeCell ref="E242:E244"/>
    <mergeCell ref="A202:D216"/>
    <mergeCell ref="L182:L185"/>
    <mergeCell ref="C59:C60"/>
    <mergeCell ref="E271:E272"/>
    <mergeCell ref="A262:D266"/>
    <mergeCell ref="G292:G297"/>
    <mergeCell ref="A292:D292"/>
    <mergeCell ref="A268:D281"/>
    <mergeCell ref="E278:E281"/>
    <mergeCell ref="L289:L290"/>
    <mergeCell ref="A93:A94"/>
    <mergeCell ref="D189:G189"/>
    <mergeCell ref="C189:C198"/>
    <mergeCell ref="F179:F181"/>
    <mergeCell ref="G179:G181"/>
    <mergeCell ref="F186:F188"/>
    <mergeCell ref="C166:C177"/>
    <mergeCell ref="C178:C181"/>
    <mergeCell ref="C182:C188"/>
    <mergeCell ref="A104:D124"/>
    <mergeCell ref="E123:E124"/>
    <mergeCell ref="F104:F124"/>
    <mergeCell ref="E116:E117"/>
    <mergeCell ref="E118:E119"/>
    <mergeCell ref="E120:E122"/>
  </mergeCells>
  <pageMargins left="0.78740157480314965" right="0.78740157480314965" top="1.1023622047244095" bottom="0.39370078740157483" header="0.31496062992125984" footer="0.31496062992125984"/>
  <pageSetup paperSize="9" scale="28" fitToHeight="25" orientation="landscape" r:id="rId1"/>
  <rowBreaks count="18" manualBreakCount="18">
    <brk id="26" max="11" man="1"/>
    <brk id="48" max="11" man="1"/>
    <brk id="61" max="11" man="1"/>
    <brk id="71" max="11" man="1"/>
    <brk id="90" max="11" man="1"/>
    <brk id="108" max="11" man="1"/>
    <brk id="129" max="11" man="1"/>
    <brk id="146" max="11" man="1"/>
    <brk id="166" max="11" man="1"/>
    <brk id="183" max="11" man="1"/>
    <brk id="202" max="11" man="1"/>
    <brk id="210" max="11" man="1"/>
    <brk id="225" max="11" man="1"/>
    <brk id="239" max="11" man="1"/>
    <brk id="255" max="11" man="1"/>
    <brk id="277" max="11" man="1"/>
    <brk id="314" max="11" man="1"/>
    <brk id="39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5"/>
  <sheetViews>
    <sheetView view="pageBreakPreview" zoomScale="40" zoomScaleNormal="50" zoomScaleSheetLayoutView="40" workbookViewId="0">
      <pane ySplit="10" topLeftCell="A343" activePane="bottomLeft" state="frozen"/>
      <selection pane="bottomLeft" activeCell="H2" sqref="H2:K2"/>
    </sheetView>
  </sheetViews>
  <sheetFormatPr defaultColWidth="9.140625" defaultRowHeight="28.5" customHeight="1" x14ac:dyDescent="0.3"/>
  <cols>
    <col min="1" max="1" width="86.28515625" style="197" customWidth="1"/>
    <col min="2" max="2" width="27" style="197" customWidth="1"/>
    <col min="3" max="3" width="24.85546875" style="197" customWidth="1"/>
    <col min="4" max="4" width="25.5703125" style="197" customWidth="1"/>
    <col min="5" max="5" width="25.42578125" style="197" customWidth="1"/>
    <col min="6" max="6" width="25.5703125" style="197" customWidth="1"/>
    <col min="7" max="7" width="24.7109375" style="197" customWidth="1"/>
    <col min="8" max="8" width="25.5703125" style="197" customWidth="1"/>
    <col min="9" max="9" width="24.42578125" style="197" customWidth="1"/>
    <col min="10" max="10" width="25.42578125" style="197" customWidth="1"/>
    <col min="11" max="11" width="25.85546875" style="197" customWidth="1"/>
    <col min="12" max="12" width="22.5703125" style="197" customWidth="1"/>
    <col min="13" max="13" width="9.140625" style="197"/>
    <col min="14" max="14" width="22.7109375" style="197" customWidth="1"/>
    <col min="15" max="15" width="18.85546875" style="197" customWidth="1"/>
    <col min="16" max="16" width="9.140625" style="197"/>
    <col min="17" max="17" width="18.42578125" style="197" customWidth="1"/>
    <col min="18" max="18" width="21.42578125" style="197" customWidth="1"/>
    <col min="19" max="16384" width="9.140625" style="197"/>
  </cols>
  <sheetData>
    <row r="1" spans="1:23" ht="78.75" customHeight="1" x14ac:dyDescent="0.4">
      <c r="H1" s="198" t="s">
        <v>469</v>
      </c>
    </row>
    <row r="2" spans="1:23" ht="170.25" customHeight="1" x14ac:dyDescent="0.4">
      <c r="H2" s="481" t="s">
        <v>455</v>
      </c>
      <c r="I2" s="481"/>
      <c r="J2" s="481"/>
      <c r="K2" s="481"/>
      <c r="L2" s="199"/>
    </row>
    <row r="3" spans="1:23" ht="33.75" customHeight="1" x14ac:dyDescent="0.4">
      <c r="A3" s="199"/>
      <c r="H3" s="483" t="s">
        <v>467</v>
      </c>
      <c r="I3" s="483"/>
      <c r="J3" s="483"/>
      <c r="K3" s="483"/>
    </row>
    <row r="4" spans="1:23" ht="47.25" customHeight="1" x14ac:dyDescent="0.4">
      <c r="H4" s="198"/>
      <c r="I4" s="198"/>
      <c r="J4" s="198"/>
      <c r="K4" s="200"/>
    </row>
    <row r="5" spans="1:23" ht="87.75" customHeight="1" x14ac:dyDescent="0.3">
      <c r="A5" s="484" t="s">
        <v>193</v>
      </c>
      <c r="B5" s="484"/>
      <c r="C5" s="484"/>
      <c r="D5" s="484"/>
      <c r="E5" s="484"/>
      <c r="F5" s="484"/>
      <c r="G5" s="484"/>
      <c r="H5" s="484"/>
      <c r="I5" s="484"/>
      <c r="J5" s="484"/>
      <c r="K5" s="484"/>
    </row>
    <row r="6" spans="1:23" ht="21" hidden="1" customHeight="1" x14ac:dyDescent="0.3">
      <c r="A6" s="201"/>
    </row>
    <row r="7" spans="1:23" ht="28.5" customHeight="1" x14ac:dyDescent="0.3">
      <c r="A7" s="485" t="s">
        <v>74</v>
      </c>
      <c r="B7" s="485" t="s">
        <v>66</v>
      </c>
      <c r="C7" s="485" t="s">
        <v>174</v>
      </c>
      <c r="D7" s="485"/>
      <c r="E7" s="485"/>
      <c r="F7" s="485" t="s">
        <v>175</v>
      </c>
      <c r="G7" s="485"/>
      <c r="H7" s="485"/>
      <c r="I7" s="485" t="s">
        <v>176</v>
      </c>
      <c r="J7" s="485"/>
      <c r="K7" s="485"/>
    </row>
    <row r="8" spans="1:23" ht="28.5" customHeight="1" x14ac:dyDescent="0.3">
      <c r="A8" s="485"/>
      <c r="B8" s="485"/>
      <c r="C8" s="485"/>
      <c r="D8" s="485"/>
      <c r="E8" s="485"/>
      <c r="F8" s="485"/>
      <c r="G8" s="485"/>
      <c r="H8" s="485"/>
      <c r="I8" s="485"/>
      <c r="J8" s="485"/>
      <c r="K8" s="485"/>
    </row>
    <row r="9" spans="1:23" ht="28.5" customHeight="1" x14ac:dyDescent="0.3">
      <c r="A9" s="485"/>
      <c r="B9" s="485"/>
      <c r="C9" s="486" t="s">
        <v>70</v>
      </c>
      <c r="D9" s="486" t="s">
        <v>75</v>
      </c>
      <c r="E9" s="486"/>
      <c r="F9" s="486" t="s">
        <v>70</v>
      </c>
      <c r="G9" s="486" t="s">
        <v>75</v>
      </c>
      <c r="H9" s="486"/>
      <c r="I9" s="486" t="s">
        <v>70</v>
      </c>
      <c r="J9" s="486" t="s">
        <v>75</v>
      </c>
      <c r="K9" s="486"/>
    </row>
    <row r="10" spans="1:23" ht="48" customHeight="1" x14ac:dyDescent="0.3">
      <c r="A10" s="485"/>
      <c r="B10" s="485"/>
      <c r="C10" s="486"/>
      <c r="D10" s="202" t="s">
        <v>76</v>
      </c>
      <c r="E10" s="202" t="s">
        <v>77</v>
      </c>
      <c r="F10" s="486"/>
      <c r="G10" s="202" t="s">
        <v>76</v>
      </c>
      <c r="H10" s="202" t="s">
        <v>77</v>
      </c>
      <c r="I10" s="486"/>
      <c r="J10" s="202" t="s">
        <v>76</v>
      </c>
      <c r="K10" s="202" t="s">
        <v>77</v>
      </c>
    </row>
    <row r="11" spans="1:23" ht="32.25" customHeight="1" x14ac:dyDescent="0.3">
      <c r="A11" s="203">
        <v>1</v>
      </c>
      <c r="B11" s="204">
        <v>2</v>
      </c>
      <c r="C11" s="202">
        <v>3</v>
      </c>
      <c r="D11" s="202">
        <v>4</v>
      </c>
      <c r="E11" s="202">
        <v>5</v>
      </c>
      <c r="F11" s="202">
        <v>6</v>
      </c>
      <c r="G11" s="202">
        <v>7</v>
      </c>
      <c r="H11" s="202">
        <v>8</v>
      </c>
      <c r="I11" s="202">
        <v>9</v>
      </c>
      <c r="J11" s="202">
        <v>10</v>
      </c>
      <c r="K11" s="202">
        <v>11</v>
      </c>
      <c r="L11" s="197">
        <f>C15+F15+I15</f>
        <v>256014600</v>
      </c>
    </row>
    <row r="12" spans="1:23" ht="68.25" customHeight="1" x14ac:dyDescent="0.3">
      <c r="A12" s="205" t="s">
        <v>243</v>
      </c>
      <c r="B12" s="206">
        <f t="shared" ref="B12:K12" si="0">B15+B218+B267+B298</f>
        <v>775545620</v>
      </c>
      <c r="C12" s="206">
        <f t="shared" si="0"/>
        <v>225046120</v>
      </c>
      <c r="D12" s="206">
        <f t="shared" si="0"/>
        <v>100957100</v>
      </c>
      <c r="E12" s="206">
        <f>E15+E218+E267+E298</f>
        <v>124089020</v>
      </c>
      <c r="F12" s="206">
        <f t="shared" si="0"/>
        <v>341740800</v>
      </c>
      <c r="G12" s="206">
        <f t="shared" si="0"/>
        <v>120195700</v>
      </c>
      <c r="H12" s="206">
        <f t="shared" si="0"/>
        <v>221545100</v>
      </c>
      <c r="I12" s="206">
        <f t="shared" si="0"/>
        <v>208758700</v>
      </c>
      <c r="J12" s="206">
        <f t="shared" si="0"/>
        <v>100458700</v>
      </c>
      <c r="K12" s="206">
        <f t="shared" si="0"/>
        <v>108300000</v>
      </c>
    </row>
    <row r="13" spans="1:23" ht="64.5" customHeight="1" x14ac:dyDescent="0.3">
      <c r="A13" s="482" t="s">
        <v>202</v>
      </c>
      <c r="B13" s="469"/>
      <c r="C13" s="469"/>
      <c r="D13" s="469"/>
      <c r="E13" s="469"/>
      <c r="F13" s="469"/>
      <c r="G13" s="469"/>
      <c r="H13" s="469"/>
      <c r="I13" s="469"/>
      <c r="J13" s="469"/>
      <c r="K13" s="469"/>
    </row>
    <row r="14" spans="1:23" ht="39.75" customHeight="1" x14ac:dyDescent="0.3">
      <c r="A14" s="470" t="s">
        <v>113</v>
      </c>
      <c r="B14" s="470"/>
      <c r="C14" s="470"/>
      <c r="D14" s="470"/>
      <c r="E14" s="470"/>
      <c r="F14" s="470"/>
      <c r="G14" s="470"/>
      <c r="H14" s="470"/>
      <c r="I14" s="470"/>
      <c r="J14" s="470"/>
      <c r="K14" s="470"/>
    </row>
    <row r="15" spans="1:23" ht="42" customHeight="1" x14ac:dyDescent="0.3">
      <c r="A15" s="207" t="s">
        <v>244</v>
      </c>
      <c r="B15" s="208">
        <f>B24+B34+B43+B60+B70+B79+B86+B95+B109+B125+B136+B184+B195+B209+B152+B161+B169</f>
        <v>256014600</v>
      </c>
      <c r="C15" s="208">
        <f>C24+C34+C43+C60+C70+C79+C86+C95+C109+C125+C136+C184+C195+C209+C152+C161</f>
        <v>80227900</v>
      </c>
      <c r="D15" s="208">
        <f>D24+D34+D43+D60+D70+D79+D86+D95+D109+D125+D136+D184+D195+D209+D152+D161+D169</f>
        <v>80227900</v>
      </c>
      <c r="E15" s="208">
        <f t="shared" ref="E15:K15" si="1">E24+E34+E43+E60+E70+E79+E86+E95+E109+E125+E136+E184+E195+E209</f>
        <v>0</v>
      </c>
      <c r="F15" s="208">
        <f>F24+F34+F43+F60+F70+F79+F86+F95+F109+F125+F136+F184+F195+F209+F169+F152+F161</f>
        <v>98686700</v>
      </c>
      <c r="G15" s="208">
        <f>G24+G34+G43+G60+G70+G79+G86+G95+G109+G125+G136+G184+G195+G209+G169+G152+G161</f>
        <v>98686700</v>
      </c>
      <c r="H15" s="208">
        <f t="shared" si="1"/>
        <v>0</v>
      </c>
      <c r="I15" s="208">
        <f t="shared" si="1"/>
        <v>77100000</v>
      </c>
      <c r="J15" s="208">
        <f t="shared" si="1"/>
        <v>77100000</v>
      </c>
      <c r="K15" s="208">
        <f t="shared" si="1"/>
        <v>0</v>
      </c>
      <c r="L15" s="197">
        <f>D24+D34+D43+D60+D70+D79+D86+D95+D109+D125+D136+D152+D161+D169+D184+D195+D209</f>
        <v>80227900</v>
      </c>
      <c r="M15" s="197">
        <f t="shared" ref="M15:W15" si="2">E24+E34+E43+E60+E70+E79+E86+E95+E109+E125+E136+E152+E161+E169+E184+E195+E209</f>
        <v>0</v>
      </c>
      <c r="N15" s="197">
        <f t="shared" si="2"/>
        <v>98686700</v>
      </c>
      <c r="O15" s="197">
        <f t="shared" si="2"/>
        <v>98686700</v>
      </c>
      <c r="P15" s="197">
        <f t="shared" si="2"/>
        <v>0</v>
      </c>
      <c r="Q15" s="197">
        <f t="shared" si="2"/>
        <v>77100000</v>
      </c>
      <c r="R15" s="197">
        <f t="shared" si="2"/>
        <v>77100000</v>
      </c>
      <c r="S15" s="197">
        <f t="shared" si="2"/>
        <v>0</v>
      </c>
      <c r="T15" s="197">
        <f t="shared" si="2"/>
        <v>0</v>
      </c>
      <c r="U15" s="197">
        <f t="shared" si="2"/>
        <v>0</v>
      </c>
      <c r="V15" s="197">
        <f t="shared" si="2"/>
        <v>0</v>
      </c>
      <c r="W15" s="197">
        <f t="shared" si="2"/>
        <v>0</v>
      </c>
    </row>
    <row r="16" spans="1:23" ht="21" hidden="1" customHeight="1" x14ac:dyDescent="0.3">
      <c r="A16" s="209" t="s">
        <v>78</v>
      </c>
      <c r="B16" s="487" t="s">
        <v>122</v>
      </c>
      <c r="C16" s="487"/>
      <c r="D16" s="487"/>
      <c r="E16" s="487"/>
      <c r="F16" s="487"/>
      <c r="G16" s="487"/>
      <c r="H16" s="487"/>
      <c r="I16" s="487"/>
      <c r="J16" s="487"/>
      <c r="K16" s="487"/>
    </row>
    <row r="17" spans="1:11" ht="21" hidden="1" customHeight="1" x14ac:dyDescent="0.3">
      <c r="A17" s="210" t="s">
        <v>84</v>
      </c>
      <c r="B17" s="472" t="s">
        <v>85</v>
      </c>
      <c r="C17" s="473"/>
      <c r="D17" s="473"/>
      <c r="E17" s="473"/>
      <c r="F17" s="473"/>
      <c r="G17" s="473"/>
      <c r="H17" s="473"/>
      <c r="I17" s="473"/>
      <c r="J17" s="473"/>
      <c r="K17" s="474"/>
    </row>
    <row r="18" spans="1:11" ht="21" hidden="1" customHeight="1" x14ac:dyDescent="0.3">
      <c r="A18" s="211" t="s">
        <v>79</v>
      </c>
      <c r="B18" s="211">
        <f>C18+F18+I18</f>
        <v>0</v>
      </c>
      <c r="C18" s="211">
        <f>D18+E18</f>
        <v>0</v>
      </c>
      <c r="D18" s="211">
        <f>дод.1!I12*1000</f>
        <v>0</v>
      </c>
      <c r="E18" s="211">
        <v>0</v>
      </c>
      <c r="F18" s="211">
        <f>G18+H18</f>
        <v>0</v>
      </c>
      <c r="G18" s="211">
        <f>дод.1!J12*1000</f>
        <v>0</v>
      </c>
      <c r="H18" s="211">
        <v>0</v>
      </c>
      <c r="I18" s="211">
        <f>J18+K18</f>
        <v>0</v>
      </c>
      <c r="J18" s="211">
        <f>дод.1!K12*1000</f>
        <v>0</v>
      </c>
      <c r="K18" s="211">
        <v>0</v>
      </c>
    </row>
    <row r="19" spans="1:11" ht="21" hidden="1" customHeight="1" x14ac:dyDescent="0.3">
      <c r="A19" s="211" t="s">
        <v>134</v>
      </c>
      <c r="B19" s="211"/>
      <c r="C19" s="209">
        <v>2</v>
      </c>
      <c r="D19" s="209">
        <v>2</v>
      </c>
      <c r="E19" s="211"/>
      <c r="F19" s="209"/>
      <c r="G19" s="209">
        <v>2</v>
      </c>
      <c r="H19" s="209">
        <v>2</v>
      </c>
      <c r="I19" s="209"/>
      <c r="J19" s="211">
        <v>2</v>
      </c>
      <c r="K19" s="211">
        <v>2</v>
      </c>
    </row>
    <row r="20" spans="1:11" ht="21" hidden="1" customHeight="1" x14ac:dyDescent="0.3">
      <c r="A20" s="211" t="s">
        <v>135</v>
      </c>
      <c r="B20" s="209"/>
      <c r="C20" s="209">
        <f>C18/C19</f>
        <v>0</v>
      </c>
      <c r="D20" s="209">
        <f>D18/D19</f>
        <v>0</v>
      </c>
      <c r="E20" s="209"/>
      <c r="F20" s="209"/>
      <c r="G20" s="209">
        <f>G18/G19</f>
        <v>0</v>
      </c>
      <c r="H20" s="209"/>
      <c r="I20" s="209"/>
      <c r="J20" s="209"/>
      <c r="K20" s="211"/>
    </row>
    <row r="21" spans="1:11" ht="28.5" customHeight="1" x14ac:dyDescent="0.3">
      <c r="A21" s="472" t="s">
        <v>204</v>
      </c>
      <c r="B21" s="473"/>
      <c r="C21" s="473"/>
      <c r="D21" s="473"/>
      <c r="E21" s="473"/>
      <c r="F21" s="473"/>
      <c r="G21" s="473"/>
      <c r="H21" s="473"/>
      <c r="I21" s="473"/>
      <c r="J21" s="473"/>
      <c r="K21" s="474"/>
    </row>
    <row r="22" spans="1:11" ht="28.5" customHeight="1" x14ac:dyDescent="0.3">
      <c r="A22" s="472" t="s">
        <v>221</v>
      </c>
      <c r="B22" s="473"/>
      <c r="C22" s="473"/>
      <c r="D22" s="473"/>
      <c r="E22" s="473"/>
      <c r="F22" s="473"/>
      <c r="G22" s="473"/>
      <c r="H22" s="473"/>
      <c r="I22" s="473"/>
      <c r="J22" s="473"/>
      <c r="K22" s="474"/>
    </row>
    <row r="23" spans="1:11" ht="28.5" customHeight="1" x14ac:dyDescent="0.3">
      <c r="A23" s="211" t="s">
        <v>180</v>
      </c>
      <c r="B23" s="211"/>
      <c r="C23" s="211"/>
      <c r="D23" s="211"/>
      <c r="E23" s="211"/>
      <c r="F23" s="211"/>
      <c r="G23" s="211"/>
      <c r="H23" s="211"/>
      <c r="I23" s="211"/>
      <c r="J23" s="211"/>
      <c r="K23" s="211"/>
    </row>
    <row r="24" spans="1:11" ht="28.5" customHeight="1" x14ac:dyDescent="0.3">
      <c r="A24" s="209" t="s">
        <v>245</v>
      </c>
      <c r="B24" s="208">
        <f>C24+F24+I24</f>
        <v>16965900</v>
      </c>
      <c r="C24" s="208">
        <f>D24+E24</f>
        <v>5307100</v>
      </c>
      <c r="D24" s="208">
        <f>дод.1!I15*1000</f>
        <v>5307100</v>
      </c>
      <c r="E24" s="208"/>
      <c r="F24" s="208">
        <f>G24+H24</f>
        <v>5707000</v>
      </c>
      <c r="G24" s="208">
        <f>дод.1!J15*1000</f>
        <v>5707000</v>
      </c>
      <c r="H24" s="208"/>
      <c r="I24" s="208">
        <f>J24+K24</f>
        <v>5951799.9999999991</v>
      </c>
      <c r="J24" s="208">
        <f>дод.1!K15*1000</f>
        <v>5951799.9999999991</v>
      </c>
      <c r="K24" s="208"/>
    </row>
    <row r="25" spans="1:11" ht="28.5" customHeight="1" x14ac:dyDescent="0.3">
      <c r="A25" s="211" t="s">
        <v>124</v>
      </c>
      <c r="B25" s="208"/>
      <c r="C25" s="212"/>
      <c r="D25" s="212"/>
      <c r="E25" s="208"/>
      <c r="F25" s="212"/>
      <c r="G25" s="212"/>
      <c r="H25" s="212"/>
      <c r="I25" s="212"/>
      <c r="J25" s="212"/>
      <c r="K25" s="208"/>
    </row>
    <row r="26" spans="1:11" ht="28.5" customHeight="1" x14ac:dyDescent="0.3">
      <c r="A26" s="209" t="s">
        <v>186</v>
      </c>
      <c r="B26" s="208"/>
      <c r="C26" s="212">
        <v>2</v>
      </c>
      <c r="D26" s="212">
        <v>2</v>
      </c>
      <c r="E26" s="208"/>
      <c r="F26" s="212">
        <v>2</v>
      </c>
      <c r="G26" s="212">
        <v>2</v>
      </c>
      <c r="H26" s="212"/>
      <c r="I26" s="212">
        <v>2</v>
      </c>
      <c r="J26" s="212">
        <v>2</v>
      </c>
      <c r="K26" s="208"/>
    </row>
    <row r="27" spans="1:11" ht="28.5" customHeight="1" x14ac:dyDescent="0.3">
      <c r="A27" s="211" t="s">
        <v>123</v>
      </c>
      <c r="B27" s="212"/>
      <c r="C27" s="212"/>
      <c r="D27" s="212"/>
      <c r="E27" s="212"/>
      <c r="F27" s="212"/>
      <c r="G27" s="212"/>
      <c r="H27" s="212"/>
      <c r="I27" s="212"/>
      <c r="J27" s="212"/>
      <c r="K27" s="208"/>
    </row>
    <row r="28" spans="1:11" ht="28.5" customHeight="1" x14ac:dyDescent="0.3">
      <c r="A28" s="209" t="s">
        <v>246</v>
      </c>
      <c r="B28" s="212"/>
      <c r="C28" s="212">
        <f t="shared" ref="C28" si="3">C24/C26</f>
        <v>2653550</v>
      </c>
      <c r="D28" s="212">
        <f>D24/D26</f>
        <v>2653550</v>
      </c>
      <c r="E28" s="212"/>
      <c r="F28" s="212">
        <f t="shared" ref="F28:J28" si="4">F24/F26</f>
        <v>2853500</v>
      </c>
      <c r="G28" s="212">
        <f t="shared" si="4"/>
        <v>2853500</v>
      </c>
      <c r="H28" s="212"/>
      <c r="I28" s="212">
        <f t="shared" si="4"/>
        <v>2975899.9999999995</v>
      </c>
      <c r="J28" s="212">
        <f t="shared" si="4"/>
        <v>2975899.9999999995</v>
      </c>
      <c r="K28" s="212"/>
    </row>
    <row r="29" spans="1:11" ht="28.5" customHeight="1" x14ac:dyDescent="0.3">
      <c r="A29" s="211" t="s">
        <v>83</v>
      </c>
      <c r="B29" s="212"/>
      <c r="C29" s="212"/>
      <c r="D29" s="212"/>
      <c r="E29" s="212"/>
      <c r="F29" s="212"/>
      <c r="G29" s="212"/>
      <c r="H29" s="212"/>
      <c r="I29" s="212"/>
      <c r="J29" s="212"/>
      <c r="K29" s="208"/>
    </row>
    <row r="30" spans="1:11" ht="28.5" customHeight="1" x14ac:dyDescent="0.3">
      <c r="A30" s="209" t="s">
        <v>205</v>
      </c>
      <c r="B30" s="212"/>
      <c r="C30" s="212">
        <v>100</v>
      </c>
      <c r="D30" s="212">
        <v>100</v>
      </c>
      <c r="E30" s="212"/>
      <c r="F30" s="212">
        <v>100</v>
      </c>
      <c r="G30" s="212">
        <v>100</v>
      </c>
      <c r="H30" s="212"/>
      <c r="I30" s="212">
        <v>100</v>
      </c>
      <c r="J30" s="212">
        <v>100</v>
      </c>
      <c r="K30" s="208"/>
    </row>
    <row r="31" spans="1:11" ht="79.5" customHeight="1" x14ac:dyDescent="0.3">
      <c r="A31" s="209" t="s">
        <v>247</v>
      </c>
      <c r="B31" s="212"/>
      <c r="C31" s="212">
        <f>D31</f>
        <v>141.16388453772558</v>
      </c>
      <c r="D31" s="212">
        <f>D24/3759531*100</f>
        <v>141.16388453772558</v>
      </c>
      <c r="E31" s="212"/>
      <c r="F31" s="212">
        <f>G31</f>
        <v>107.53518870946468</v>
      </c>
      <c r="G31" s="212">
        <f>G24/D24*100</f>
        <v>107.53518870946468</v>
      </c>
      <c r="H31" s="212"/>
      <c r="I31" s="212">
        <f>J31</f>
        <v>104.28946907306815</v>
      </c>
      <c r="J31" s="212">
        <f>J24/G24*100</f>
        <v>104.28946907306815</v>
      </c>
      <c r="K31" s="208"/>
    </row>
    <row r="32" spans="1:11" ht="28.5" customHeight="1" x14ac:dyDescent="0.3">
      <c r="A32" s="472" t="s">
        <v>203</v>
      </c>
      <c r="B32" s="473"/>
      <c r="C32" s="473"/>
      <c r="D32" s="473"/>
      <c r="E32" s="473"/>
      <c r="F32" s="473"/>
      <c r="G32" s="473"/>
      <c r="H32" s="473"/>
      <c r="I32" s="473"/>
      <c r="J32" s="473"/>
      <c r="K32" s="474"/>
    </row>
    <row r="33" spans="1:11" ht="28.5" customHeight="1" x14ac:dyDescent="0.3">
      <c r="A33" s="211" t="s">
        <v>180</v>
      </c>
      <c r="B33" s="211"/>
      <c r="C33" s="211"/>
      <c r="D33" s="211"/>
      <c r="E33" s="211"/>
      <c r="F33" s="211"/>
      <c r="G33" s="211"/>
      <c r="H33" s="211"/>
      <c r="I33" s="211"/>
      <c r="J33" s="211"/>
      <c r="K33" s="211"/>
    </row>
    <row r="34" spans="1:11" ht="36" customHeight="1" x14ac:dyDescent="0.3">
      <c r="A34" s="209" t="s">
        <v>181</v>
      </c>
      <c r="B34" s="208">
        <f>C34+F34+I34</f>
        <v>1908600</v>
      </c>
      <c r="C34" s="208">
        <f>D34+E34</f>
        <v>535600</v>
      </c>
      <c r="D34" s="208">
        <f>дод.1!I18*1000</f>
        <v>535600</v>
      </c>
      <c r="E34" s="208"/>
      <c r="F34" s="208">
        <f>G34+H34</f>
        <v>0</v>
      </c>
      <c r="G34" s="208">
        <f>дод.1!J18*1000</f>
        <v>0</v>
      </c>
      <c r="H34" s="208"/>
      <c r="I34" s="208">
        <f>J34+K34</f>
        <v>1373000</v>
      </c>
      <c r="J34" s="208">
        <f>дод.1!K18*1000</f>
        <v>1373000</v>
      </c>
      <c r="K34" s="208"/>
    </row>
    <row r="35" spans="1:11" ht="28.5" customHeight="1" x14ac:dyDescent="0.3">
      <c r="A35" s="211" t="s">
        <v>124</v>
      </c>
      <c r="B35" s="208"/>
      <c r="C35" s="212"/>
      <c r="D35" s="208"/>
      <c r="E35" s="208"/>
      <c r="F35" s="212"/>
      <c r="G35" s="212"/>
      <c r="H35" s="212"/>
      <c r="I35" s="212"/>
      <c r="J35" s="208"/>
      <c r="K35" s="208"/>
    </row>
    <row r="36" spans="1:11" ht="51" customHeight="1" x14ac:dyDescent="0.3">
      <c r="A36" s="209" t="s">
        <v>248</v>
      </c>
      <c r="B36" s="208"/>
      <c r="C36" s="212">
        <f>D36</f>
        <v>14883</v>
      </c>
      <c r="D36" s="212">
        <f>6294+8589</f>
        <v>14883</v>
      </c>
      <c r="E36" s="208"/>
      <c r="F36" s="212">
        <v>31041</v>
      </c>
      <c r="G36" s="212">
        <f>6294+8589</f>
        <v>14883</v>
      </c>
      <c r="H36" s="212"/>
      <c r="I36" s="212">
        <v>31041</v>
      </c>
      <c r="J36" s="212">
        <f>6294+8589</f>
        <v>14883</v>
      </c>
      <c r="K36" s="208"/>
    </row>
    <row r="37" spans="1:11" ht="28.5" customHeight="1" x14ac:dyDescent="0.3">
      <c r="A37" s="211" t="s">
        <v>123</v>
      </c>
      <c r="B37" s="208"/>
      <c r="C37" s="212"/>
      <c r="D37" s="212"/>
      <c r="E37" s="212"/>
      <c r="F37" s="212"/>
      <c r="G37" s="212"/>
      <c r="H37" s="212"/>
      <c r="I37" s="212"/>
      <c r="J37" s="212"/>
      <c r="K37" s="208"/>
    </row>
    <row r="38" spans="1:11" ht="28.5" customHeight="1" x14ac:dyDescent="0.3">
      <c r="A38" s="209" t="s">
        <v>197</v>
      </c>
      <c r="B38" s="208"/>
      <c r="C38" s="212">
        <f>D38</f>
        <v>35.987368138144191</v>
      </c>
      <c r="D38" s="212">
        <f>D34/D36</f>
        <v>35.987368138144191</v>
      </c>
      <c r="E38" s="212"/>
      <c r="F38" s="212">
        <f>G38</f>
        <v>0</v>
      </c>
      <c r="G38" s="212">
        <f>G34/G36</f>
        <v>0</v>
      </c>
      <c r="H38" s="212"/>
      <c r="I38" s="212">
        <f>J38</f>
        <v>92.252906000134388</v>
      </c>
      <c r="J38" s="212">
        <f>J34/J36</f>
        <v>92.252906000134388</v>
      </c>
      <c r="K38" s="208"/>
    </row>
    <row r="39" spans="1:11" ht="28.5" customHeight="1" x14ac:dyDescent="0.3">
      <c r="A39" s="211" t="s">
        <v>83</v>
      </c>
      <c r="B39" s="208"/>
      <c r="C39" s="212"/>
      <c r="D39" s="212"/>
      <c r="E39" s="212"/>
      <c r="F39" s="212"/>
      <c r="G39" s="212"/>
      <c r="H39" s="212"/>
      <c r="I39" s="212"/>
      <c r="J39" s="212"/>
      <c r="K39" s="208"/>
    </row>
    <row r="40" spans="1:11" ht="72.75" customHeight="1" x14ac:dyDescent="0.3">
      <c r="A40" s="209" t="s">
        <v>249</v>
      </c>
      <c r="B40" s="212"/>
      <c r="C40" s="212">
        <f>D40</f>
        <v>45.817917406274731</v>
      </c>
      <c r="D40" s="212">
        <f>D34/1168975*100</f>
        <v>45.817917406274731</v>
      </c>
      <c r="E40" s="212"/>
      <c r="F40" s="212">
        <f>G40</f>
        <v>0</v>
      </c>
      <c r="G40" s="212">
        <f>G34/D34*100</f>
        <v>0</v>
      </c>
      <c r="H40" s="212"/>
      <c r="I40" s="212" t="e">
        <f>J40</f>
        <v>#DIV/0!</v>
      </c>
      <c r="J40" s="212" t="e">
        <f>J34/G34*100</f>
        <v>#DIV/0!</v>
      </c>
      <c r="K40" s="208"/>
    </row>
    <row r="41" spans="1:11" ht="53.25" customHeight="1" x14ac:dyDescent="0.3">
      <c r="A41" s="472" t="s">
        <v>317</v>
      </c>
      <c r="B41" s="473"/>
      <c r="C41" s="473"/>
      <c r="D41" s="473"/>
      <c r="E41" s="473"/>
      <c r="F41" s="473"/>
      <c r="G41" s="473"/>
      <c r="H41" s="473"/>
      <c r="I41" s="473"/>
      <c r="J41" s="473"/>
      <c r="K41" s="474"/>
    </row>
    <row r="42" spans="1:11" ht="28.5" customHeight="1" x14ac:dyDescent="0.3">
      <c r="A42" s="211" t="s">
        <v>79</v>
      </c>
      <c r="B42" s="209"/>
      <c r="C42" s="209"/>
      <c r="D42" s="209"/>
      <c r="E42" s="209"/>
      <c r="F42" s="209"/>
      <c r="G42" s="213"/>
      <c r="H42" s="209"/>
      <c r="I42" s="209"/>
      <c r="J42" s="213"/>
      <c r="K42" s="211"/>
    </row>
    <row r="43" spans="1:11" ht="30.75" customHeight="1" x14ac:dyDescent="0.3">
      <c r="A43" s="209" t="s">
        <v>250</v>
      </c>
      <c r="B43" s="208">
        <f>C43+F43+I43</f>
        <v>3066600</v>
      </c>
      <c r="C43" s="208">
        <f>D43+E43</f>
        <v>960600</v>
      </c>
      <c r="D43" s="208">
        <f>(дод.1!I21+дод.1!I24+дод.1!I28)*1000</f>
        <v>960600</v>
      </c>
      <c r="E43" s="208"/>
      <c r="F43" s="208">
        <f>G43+H43</f>
        <v>1042500</v>
      </c>
      <c r="G43" s="214">
        <f>(дод.1!J21+дод.1!J24+дод.1!J28)*1000</f>
        <v>1042500</v>
      </c>
      <c r="H43" s="208"/>
      <c r="I43" s="208">
        <f>J43+K43</f>
        <v>1063500</v>
      </c>
      <c r="J43" s="214">
        <f>(дод.1!K21+дод.1!K24+дод.1!K28)*1000</f>
        <v>1063500</v>
      </c>
      <c r="K43" s="211"/>
    </row>
    <row r="44" spans="1:11" ht="74.25" customHeight="1" x14ac:dyDescent="0.3">
      <c r="A44" s="215" t="s">
        <v>373</v>
      </c>
      <c r="B44" s="212"/>
      <c r="C44" s="212">
        <f>D44</f>
        <v>700000</v>
      </c>
      <c r="D44" s="212">
        <f>дод.1!I21*1000</f>
        <v>700000</v>
      </c>
      <c r="E44" s="212"/>
      <c r="F44" s="212">
        <f>G44+H44</f>
        <v>700000</v>
      </c>
      <c r="G44" s="216">
        <f>дод.1!J21*1000</f>
        <v>700000</v>
      </c>
      <c r="H44" s="212"/>
      <c r="I44" s="212">
        <f>J44+K44</f>
        <v>774000</v>
      </c>
      <c r="J44" s="216">
        <f>дод.1!K21*1000</f>
        <v>774000</v>
      </c>
      <c r="K44" s="211"/>
    </row>
    <row r="45" spans="1:11" ht="55.5" customHeight="1" x14ac:dyDescent="0.3">
      <c r="A45" s="217" t="s">
        <v>372</v>
      </c>
      <c r="B45" s="212"/>
      <c r="C45" s="212">
        <f>D45</f>
        <v>218100</v>
      </c>
      <c r="D45" s="212">
        <f>дод.1!I24*1000</f>
        <v>218100</v>
      </c>
      <c r="E45" s="212"/>
      <c r="F45" s="212">
        <f>G45+H45</f>
        <v>300000</v>
      </c>
      <c r="G45" s="216">
        <f>дод.1!J24*1000</f>
        <v>300000</v>
      </c>
      <c r="H45" s="212"/>
      <c r="I45" s="212">
        <f>J45+K45</f>
        <v>239300</v>
      </c>
      <c r="J45" s="216">
        <f>дод.1!K24*1000</f>
        <v>239300</v>
      </c>
      <c r="K45" s="211"/>
    </row>
    <row r="46" spans="1:11" ht="60.75" customHeight="1" x14ac:dyDescent="0.3">
      <c r="A46" s="218" t="s">
        <v>371</v>
      </c>
      <c r="B46" s="212"/>
      <c r="C46" s="212">
        <f>D46</f>
        <v>42500</v>
      </c>
      <c r="D46" s="212">
        <f>дод.1!I28*1000</f>
        <v>42500</v>
      </c>
      <c r="E46" s="212"/>
      <c r="F46" s="212">
        <f>G46+H46</f>
        <v>42500</v>
      </c>
      <c r="G46" s="216">
        <f>дод.1!J28*1000</f>
        <v>42500</v>
      </c>
      <c r="H46" s="212"/>
      <c r="I46" s="212">
        <f>J46+K46</f>
        <v>50200</v>
      </c>
      <c r="J46" s="216">
        <f>дод.1!K28*1000</f>
        <v>50200</v>
      </c>
      <c r="K46" s="211"/>
    </row>
    <row r="47" spans="1:11" ht="28.5" customHeight="1" x14ac:dyDescent="0.3">
      <c r="A47" s="211" t="s">
        <v>124</v>
      </c>
      <c r="B47" s="212"/>
      <c r="C47" s="212"/>
      <c r="D47" s="212"/>
      <c r="E47" s="212"/>
      <c r="F47" s="216"/>
      <c r="G47" s="216"/>
      <c r="H47" s="212"/>
      <c r="I47" s="216"/>
      <c r="J47" s="216"/>
      <c r="K47" s="211"/>
    </row>
    <row r="48" spans="1:11" ht="49.5" customHeight="1" x14ac:dyDescent="0.3">
      <c r="A48" s="215" t="s">
        <v>198</v>
      </c>
      <c r="B48" s="216"/>
      <c r="C48" s="216">
        <v>4</v>
      </c>
      <c r="D48" s="216">
        <v>4</v>
      </c>
      <c r="E48" s="212"/>
      <c r="F48" s="216">
        <f>G48</f>
        <v>5</v>
      </c>
      <c r="G48" s="216">
        <v>5</v>
      </c>
      <c r="H48" s="212"/>
      <c r="I48" s="216">
        <f>J48</f>
        <v>4</v>
      </c>
      <c r="J48" s="216">
        <v>4</v>
      </c>
      <c r="K48" s="211"/>
    </row>
    <row r="49" spans="1:11" ht="59.25" customHeight="1" x14ac:dyDescent="0.3">
      <c r="A49" s="215" t="s">
        <v>182</v>
      </c>
      <c r="B49" s="216"/>
      <c r="C49" s="216">
        <v>26</v>
      </c>
      <c r="D49" s="216">
        <v>26</v>
      </c>
      <c r="E49" s="212"/>
      <c r="F49" s="216">
        <f>G49</f>
        <v>22</v>
      </c>
      <c r="G49" s="216">
        <v>22</v>
      </c>
      <c r="H49" s="212"/>
      <c r="I49" s="216">
        <f>J49</f>
        <v>26</v>
      </c>
      <c r="J49" s="216">
        <v>26</v>
      </c>
      <c r="K49" s="211"/>
    </row>
    <row r="50" spans="1:11" ht="51.75" customHeight="1" x14ac:dyDescent="0.3">
      <c r="A50" s="219" t="s">
        <v>183</v>
      </c>
      <c r="B50" s="216"/>
      <c r="C50" s="216">
        <v>7</v>
      </c>
      <c r="D50" s="216">
        <v>7</v>
      </c>
      <c r="E50" s="212"/>
      <c r="F50" s="216">
        <f>G50</f>
        <v>7</v>
      </c>
      <c r="G50" s="216">
        <v>7</v>
      </c>
      <c r="H50" s="212"/>
      <c r="I50" s="216">
        <f>J50</f>
        <v>7</v>
      </c>
      <c r="J50" s="216">
        <v>7</v>
      </c>
      <c r="K50" s="211"/>
    </row>
    <row r="51" spans="1:11" ht="28.5" customHeight="1" x14ac:dyDescent="0.3">
      <c r="A51" s="211" t="s">
        <v>123</v>
      </c>
      <c r="B51" s="216"/>
      <c r="C51" s="216"/>
      <c r="D51" s="216"/>
      <c r="E51" s="212"/>
      <c r="F51" s="216"/>
      <c r="G51" s="216"/>
      <c r="H51" s="212"/>
      <c r="I51" s="216"/>
      <c r="J51" s="216"/>
      <c r="K51" s="211"/>
    </row>
    <row r="52" spans="1:11" ht="51" customHeight="1" x14ac:dyDescent="0.3">
      <c r="A52" s="220" t="s">
        <v>251</v>
      </c>
      <c r="B52" s="216"/>
      <c r="C52" s="216">
        <f>D52</f>
        <v>175000</v>
      </c>
      <c r="D52" s="216">
        <f>D44/D48</f>
        <v>175000</v>
      </c>
      <c r="E52" s="212"/>
      <c r="F52" s="216">
        <f t="shared" ref="F52:G54" si="5">F44/F48</f>
        <v>140000</v>
      </c>
      <c r="G52" s="216">
        <f t="shared" si="5"/>
        <v>140000</v>
      </c>
      <c r="H52" s="212"/>
      <c r="I52" s="216">
        <f t="shared" ref="I52:J54" si="6">I44/I48</f>
        <v>193500</v>
      </c>
      <c r="J52" s="216">
        <f t="shared" si="6"/>
        <v>193500</v>
      </c>
      <c r="K52" s="211"/>
    </row>
    <row r="53" spans="1:11" ht="53.25" customHeight="1" x14ac:dyDescent="0.3">
      <c r="A53" s="220" t="s">
        <v>253</v>
      </c>
      <c r="B53" s="216"/>
      <c r="C53" s="216">
        <f>D53</f>
        <v>8388.461538461539</v>
      </c>
      <c r="D53" s="216">
        <f>D45/D49</f>
        <v>8388.461538461539</v>
      </c>
      <c r="E53" s="212"/>
      <c r="F53" s="216">
        <f t="shared" si="5"/>
        <v>13636.363636363636</v>
      </c>
      <c r="G53" s="216">
        <f t="shared" si="5"/>
        <v>13636.363636363636</v>
      </c>
      <c r="H53" s="212"/>
      <c r="I53" s="216">
        <f t="shared" si="6"/>
        <v>9203.8461538461543</v>
      </c>
      <c r="J53" s="216">
        <f t="shared" si="6"/>
        <v>9203.8461538461543</v>
      </c>
      <c r="K53" s="211"/>
    </row>
    <row r="54" spans="1:11" ht="58.5" customHeight="1" x14ac:dyDescent="0.3">
      <c r="A54" s="220" t="s">
        <v>254</v>
      </c>
      <c r="B54" s="216"/>
      <c r="C54" s="216">
        <f>D54</f>
        <v>6071.4285714285716</v>
      </c>
      <c r="D54" s="216">
        <f>D46/D50</f>
        <v>6071.4285714285716</v>
      </c>
      <c r="E54" s="212"/>
      <c r="F54" s="216">
        <f t="shared" si="5"/>
        <v>6071.4285714285716</v>
      </c>
      <c r="G54" s="216">
        <f t="shared" si="5"/>
        <v>6071.4285714285716</v>
      </c>
      <c r="H54" s="212"/>
      <c r="I54" s="216">
        <f t="shared" si="6"/>
        <v>7171.4285714285716</v>
      </c>
      <c r="J54" s="216">
        <f t="shared" si="6"/>
        <v>7171.4285714285716</v>
      </c>
      <c r="K54" s="211"/>
    </row>
    <row r="55" spans="1:11" ht="28.5" customHeight="1" x14ac:dyDescent="0.3">
      <c r="A55" s="211" t="s">
        <v>83</v>
      </c>
      <c r="B55" s="216"/>
      <c r="C55" s="216"/>
      <c r="D55" s="216"/>
      <c r="E55" s="212"/>
      <c r="F55" s="216"/>
      <c r="G55" s="216"/>
      <c r="H55" s="212"/>
      <c r="I55" s="216"/>
      <c r="J55" s="216"/>
      <c r="K55" s="211"/>
    </row>
    <row r="56" spans="1:11" ht="142.5" customHeight="1" x14ac:dyDescent="0.3">
      <c r="A56" s="209" t="s">
        <v>252</v>
      </c>
      <c r="B56" s="212"/>
      <c r="C56" s="212">
        <f>D56</f>
        <v>138.41498559077809</v>
      </c>
      <c r="D56" s="212">
        <f>D43/694000*100</f>
        <v>138.41498559077809</v>
      </c>
      <c r="E56" s="212"/>
      <c r="F56" s="212">
        <f>G56</f>
        <v>108.52592129918801</v>
      </c>
      <c r="G56" s="212">
        <f>G43/D43*100</f>
        <v>108.52592129918801</v>
      </c>
      <c r="H56" s="212"/>
      <c r="I56" s="212">
        <f>J56</f>
        <v>102.01438848920863</v>
      </c>
      <c r="J56" s="212">
        <f>J43/G43*100</f>
        <v>102.01438848920863</v>
      </c>
      <c r="K56" s="211"/>
    </row>
    <row r="57" spans="1:11" ht="28.5" customHeight="1" x14ac:dyDescent="0.3">
      <c r="A57" s="472" t="s">
        <v>228</v>
      </c>
      <c r="B57" s="473"/>
      <c r="C57" s="473"/>
      <c r="D57" s="473"/>
      <c r="E57" s="473"/>
      <c r="F57" s="473"/>
      <c r="G57" s="473"/>
      <c r="H57" s="473"/>
      <c r="I57" s="473"/>
      <c r="J57" s="473"/>
      <c r="K57" s="474"/>
    </row>
    <row r="58" spans="1:11" ht="28.5" customHeight="1" x14ac:dyDescent="0.3">
      <c r="A58" s="472" t="s">
        <v>223</v>
      </c>
      <c r="B58" s="473"/>
      <c r="C58" s="473"/>
      <c r="D58" s="473"/>
      <c r="E58" s="473"/>
      <c r="F58" s="473"/>
      <c r="G58" s="473"/>
      <c r="H58" s="473"/>
      <c r="I58" s="473"/>
      <c r="J58" s="473"/>
      <c r="K58" s="474"/>
    </row>
    <row r="59" spans="1:11" ht="28.5" customHeight="1" x14ac:dyDescent="0.3">
      <c r="A59" s="211" t="s">
        <v>79</v>
      </c>
      <c r="B59" s="208"/>
      <c r="C59" s="208"/>
      <c r="D59" s="208"/>
      <c r="E59" s="208"/>
      <c r="F59" s="208"/>
      <c r="G59" s="208"/>
      <c r="H59" s="208"/>
      <c r="I59" s="208"/>
      <c r="J59" s="208"/>
      <c r="K59" s="211"/>
    </row>
    <row r="60" spans="1:11" ht="28.5" customHeight="1" x14ac:dyDescent="0.3">
      <c r="A60" s="209" t="s">
        <v>245</v>
      </c>
      <c r="B60" s="208">
        <f>C60+F60+I60</f>
        <v>136695700</v>
      </c>
      <c r="C60" s="208">
        <f>D60+E60</f>
        <v>42367700</v>
      </c>
      <c r="D60" s="208">
        <f>дод.1!I41*1000</f>
        <v>42367700</v>
      </c>
      <c r="E60" s="208"/>
      <c r="F60" s="208">
        <f>G60+H60</f>
        <v>46813700.000000007</v>
      </c>
      <c r="G60" s="208">
        <f>дод.1!J41*1000</f>
        <v>46813700.000000007</v>
      </c>
      <c r="H60" s="208"/>
      <c r="I60" s="208">
        <f>J60+K60</f>
        <v>47514300</v>
      </c>
      <c r="J60" s="208">
        <f>дод.1!K41*1000</f>
        <v>47514300</v>
      </c>
      <c r="K60" s="211"/>
    </row>
    <row r="61" spans="1:11" ht="28.5" customHeight="1" x14ac:dyDescent="0.3">
      <c r="A61" s="211" t="s">
        <v>124</v>
      </c>
      <c r="B61" s="211"/>
      <c r="C61" s="209"/>
      <c r="D61" s="209"/>
      <c r="E61" s="211"/>
      <c r="F61" s="209"/>
      <c r="G61" s="209"/>
      <c r="H61" s="209"/>
      <c r="I61" s="209"/>
      <c r="J61" s="209"/>
      <c r="K61" s="211"/>
    </row>
    <row r="62" spans="1:11" ht="28.5" customHeight="1" x14ac:dyDescent="0.3">
      <c r="A62" s="209" t="s">
        <v>186</v>
      </c>
      <c r="B62" s="211"/>
      <c r="C62" s="212">
        <v>5</v>
      </c>
      <c r="D62" s="212">
        <v>5</v>
      </c>
      <c r="E62" s="208"/>
      <c r="F62" s="212">
        <v>5</v>
      </c>
      <c r="G62" s="212">
        <v>5</v>
      </c>
      <c r="H62" s="212"/>
      <c r="I62" s="212">
        <v>5</v>
      </c>
      <c r="J62" s="212">
        <v>5</v>
      </c>
      <c r="K62" s="211"/>
    </row>
    <row r="63" spans="1:11" ht="28.5" customHeight="1" x14ac:dyDescent="0.3">
      <c r="A63" s="211" t="s">
        <v>82</v>
      </c>
      <c r="B63" s="209"/>
      <c r="C63" s="212"/>
      <c r="D63" s="212"/>
      <c r="E63" s="212"/>
      <c r="F63" s="212"/>
      <c r="G63" s="212"/>
      <c r="H63" s="212"/>
      <c r="I63" s="212"/>
      <c r="J63" s="212"/>
      <c r="K63" s="211"/>
    </row>
    <row r="64" spans="1:11" ht="28.5" customHeight="1" x14ac:dyDescent="0.3">
      <c r="A64" s="209" t="s">
        <v>255</v>
      </c>
      <c r="B64" s="209"/>
      <c r="C64" s="212">
        <f>C60/C62</f>
        <v>8473540</v>
      </c>
      <c r="D64" s="212">
        <f>D60/D62</f>
        <v>8473540</v>
      </c>
      <c r="E64" s="212"/>
      <c r="F64" s="212">
        <f>F60/F62</f>
        <v>9362740.0000000019</v>
      </c>
      <c r="G64" s="212">
        <f>G60/G62</f>
        <v>9362740.0000000019</v>
      </c>
      <c r="H64" s="212"/>
      <c r="I64" s="212">
        <f>I60/I62</f>
        <v>9502860</v>
      </c>
      <c r="J64" s="212">
        <f>J60/J62</f>
        <v>9502860</v>
      </c>
      <c r="K64" s="211"/>
    </row>
    <row r="65" spans="1:11" ht="28.5" customHeight="1" x14ac:dyDescent="0.3">
      <c r="A65" s="211" t="s">
        <v>83</v>
      </c>
      <c r="B65" s="209"/>
      <c r="C65" s="212"/>
      <c r="D65" s="212"/>
      <c r="E65" s="212"/>
      <c r="F65" s="212"/>
      <c r="G65" s="212"/>
      <c r="H65" s="212"/>
      <c r="I65" s="212"/>
      <c r="J65" s="212"/>
      <c r="K65" s="211"/>
    </row>
    <row r="66" spans="1:11" ht="28.5" customHeight="1" x14ac:dyDescent="0.3">
      <c r="A66" s="209" t="s">
        <v>206</v>
      </c>
      <c r="B66" s="209"/>
      <c r="C66" s="212">
        <v>100</v>
      </c>
      <c r="D66" s="212">
        <v>100</v>
      </c>
      <c r="E66" s="212"/>
      <c r="F66" s="212">
        <v>100</v>
      </c>
      <c r="G66" s="212">
        <v>100</v>
      </c>
      <c r="H66" s="212"/>
      <c r="I66" s="212">
        <v>100</v>
      </c>
      <c r="J66" s="212">
        <v>100</v>
      </c>
      <c r="K66" s="211"/>
    </row>
    <row r="67" spans="1:11" ht="75.75" customHeight="1" x14ac:dyDescent="0.3">
      <c r="A67" s="209" t="s">
        <v>247</v>
      </c>
      <c r="B67" s="209"/>
      <c r="C67" s="212">
        <f>D67</f>
        <v>154.95753889052864</v>
      </c>
      <c r="D67" s="212">
        <f>D60/27341490*100</f>
        <v>154.95753889052864</v>
      </c>
      <c r="E67" s="212"/>
      <c r="F67" s="212">
        <f>G67</f>
        <v>110.49384318714495</v>
      </c>
      <c r="G67" s="212">
        <f>G60/D60*100</f>
        <v>110.49384318714495</v>
      </c>
      <c r="H67" s="212"/>
      <c r="I67" s="212">
        <f>J67</f>
        <v>101.49657044839438</v>
      </c>
      <c r="J67" s="212">
        <f>J60/G60*100</f>
        <v>101.49657044839438</v>
      </c>
      <c r="K67" s="211"/>
    </row>
    <row r="68" spans="1:11" ht="28.5" customHeight="1" x14ac:dyDescent="0.3">
      <c r="A68" s="475" t="s">
        <v>318</v>
      </c>
      <c r="B68" s="476"/>
      <c r="C68" s="476"/>
      <c r="D68" s="476"/>
      <c r="E68" s="476"/>
      <c r="F68" s="476"/>
      <c r="G68" s="476"/>
      <c r="H68" s="476"/>
      <c r="I68" s="476"/>
      <c r="J68" s="476"/>
      <c r="K68" s="477"/>
    </row>
    <row r="69" spans="1:11" ht="28.5" customHeight="1" x14ac:dyDescent="0.3">
      <c r="A69" s="211" t="s">
        <v>79</v>
      </c>
      <c r="B69" s="211"/>
      <c r="C69" s="211"/>
      <c r="D69" s="211"/>
      <c r="E69" s="211"/>
      <c r="F69" s="211"/>
      <c r="G69" s="211"/>
      <c r="H69" s="211"/>
      <c r="I69" s="211"/>
      <c r="J69" s="211"/>
      <c r="K69" s="211"/>
    </row>
    <row r="70" spans="1:11" ht="36" customHeight="1" x14ac:dyDescent="0.3">
      <c r="A70" s="209" t="s">
        <v>245</v>
      </c>
      <c r="B70" s="208">
        <f>C70+F70+I70</f>
        <v>989700</v>
      </c>
      <c r="C70" s="208">
        <f>D70+E70</f>
        <v>318700</v>
      </c>
      <c r="D70" s="208">
        <f>дод.1!I47*1000</f>
        <v>318700</v>
      </c>
      <c r="E70" s="208"/>
      <c r="F70" s="208">
        <f>G70+H70</f>
        <v>318700</v>
      </c>
      <c r="G70" s="208">
        <f>дод.1!J47*1000</f>
        <v>318700</v>
      </c>
      <c r="H70" s="208"/>
      <c r="I70" s="208">
        <f>J70+K70</f>
        <v>352300</v>
      </c>
      <c r="J70" s="208">
        <f>дод.1!K47*1000</f>
        <v>352300</v>
      </c>
      <c r="K70" s="208"/>
    </row>
    <row r="71" spans="1:11" ht="28.5" customHeight="1" x14ac:dyDescent="0.3">
      <c r="A71" s="211" t="s">
        <v>124</v>
      </c>
      <c r="B71" s="208"/>
      <c r="C71" s="212"/>
      <c r="D71" s="208"/>
      <c r="E71" s="208"/>
      <c r="F71" s="212"/>
      <c r="G71" s="212"/>
      <c r="H71" s="212"/>
      <c r="I71" s="212"/>
      <c r="J71" s="208"/>
      <c r="K71" s="208"/>
    </row>
    <row r="72" spans="1:11" ht="48.75" customHeight="1" x14ac:dyDescent="0.3">
      <c r="A72" s="209" t="s">
        <v>333</v>
      </c>
      <c r="B72" s="208"/>
      <c r="C72" s="212">
        <v>170</v>
      </c>
      <c r="D72" s="212">
        <v>170</v>
      </c>
      <c r="E72" s="208"/>
      <c r="F72" s="212">
        <f>G72</f>
        <v>200</v>
      </c>
      <c r="G72" s="212">
        <v>200</v>
      </c>
      <c r="H72" s="212"/>
      <c r="I72" s="212">
        <f>J72</f>
        <v>170</v>
      </c>
      <c r="J72" s="212">
        <v>170</v>
      </c>
      <c r="K72" s="208"/>
    </row>
    <row r="73" spans="1:11" ht="28.5" customHeight="1" x14ac:dyDescent="0.3">
      <c r="A73" s="211" t="s">
        <v>123</v>
      </c>
      <c r="B73" s="212"/>
      <c r="C73" s="212"/>
      <c r="D73" s="212"/>
      <c r="E73" s="212"/>
      <c r="F73" s="212"/>
      <c r="G73" s="212"/>
      <c r="H73" s="212"/>
      <c r="I73" s="212"/>
      <c r="J73" s="212"/>
      <c r="K73" s="208"/>
    </row>
    <row r="74" spans="1:11" ht="32.25" customHeight="1" x14ac:dyDescent="0.3">
      <c r="A74" s="209" t="s">
        <v>256</v>
      </c>
      <c r="B74" s="212"/>
      <c r="C74" s="212">
        <f>C70/C72</f>
        <v>1874.7058823529412</v>
      </c>
      <c r="D74" s="212">
        <f>D70/D72</f>
        <v>1874.7058823529412</v>
      </c>
      <c r="E74" s="212"/>
      <c r="F74" s="212">
        <f>F70/F72</f>
        <v>1593.5</v>
      </c>
      <c r="G74" s="212">
        <f>G70/G72</f>
        <v>1593.5</v>
      </c>
      <c r="H74" s="212"/>
      <c r="I74" s="212">
        <f>I70/I72</f>
        <v>2072.3529411764707</v>
      </c>
      <c r="J74" s="212">
        <f>J70/J72</f>
        <v>2072.3529411764707</v>
      </c>
      <c r="K74" s="208"/>
    </row>
    <row r="75" spans="1:11" ht="28.5" customHeight="1" x14ac:dyDescent="0.3">
      <c r="A75" s="211" t="s">
        <v>83</v>
      </c>
      <c r="B75" s="212"/>
      <c r="C75" s="212"/>
      <c r="D75" s="212"/>
      <c r="E75" s="212"/>
      <c r="F75" s="212"/>
      <c r="G75" s="212"/>
      <c r="H75" s="212"/>
      <c r="I75" s="212"/>
      <c r="J75" s="212"/>
      <c r="K75" s="208"/>
    </row>
    <row r="76" spans="1:11" ht="66" customHeight="1" x14ac:dyDescent="0.3">
      <c r="A76" s="209" t="s">
        <v>207</v>
      </c>
      <c r="B76" s="212"/>
      <c r="C76" s="212">
        <f>D76</f>
        <v>106.23333333333333</v>
      </c>
      <c r="D76" s="212">
        <f>D70/300000*100</f>
        <v>106.23333333333333</v>
      </c>
      <c r="E76" s="212"/>
      <c r="F76" s="212">
        <f>G76</f>
        <v>100</v>
      </c>
      <c r="G76" s="212">
        <f>G70/D70*100</f>
        <v>100</v>
      </c>
      <c r="H76" s="212"/>
      <c r="I76" s="212">
        <f>J76</f>
        <v>110.54283024788202</v>
      </c>
      <c r="J76" s="212">
        <f>J70/G70*100</f>
        <v>110.54283024788202</v>
      </c>
      <c r="K76" s="208"/>
    </row>
    <row r="77" spans="1:11" ht="28.5" customHeight="1" x14ac:dyDescent="0.3">
      <c r="A77" s="472" t="s">
        <v>319</v>
      </c>
      <c r="B77" s="473"/>
      <c r="C77" s="473"/>
      <c r="D77" s="473"/>
      <c r="E77" s="473"/>
      <c r="F77" s="473"/>
      <c r="G77" s="473"/>
      <c r="H77" s="473"/>
      <c r="I77" s="473"/>
      <c r="J77" s="473"/>
      <c r="K77" s="474"/>
    </row>
    <row r="78" spans="1:11" ht="28.5" customHeight="1" x14ac:dyDescent="0.3">
      <c r="A78" s="211" t="s">
        <v>79</v>
      </c>
      <c r="B78" s="211"/>
      <c r="C78" s="211"/>
      <c r="D78" s="211"/>
      <c r="E78" s="211"/>
      <c r="F78" s="211"/>
      <c r="G78" s="211"/>
      <c r="H78" s="211"/>
      <c r="I78" s="211"/>
      <c r="J78" s="211"/>
      <c r="K78" s="211"/>
    </row>
    <row r="79" spans="1:11" ht="28.5" customHeight="1" x14ac:dyDescent="0.3">
      <c r="A79" s="209" t="s">
        <v>245</v>
      </c>
      <c r="B79" s="208">
        <f>C79+F79+I79</f>
        <v>269000</v>
      </c>
      <c r="C79" s="208">
        <f>D79+E79</f>
        <v>269000</v>
      </c>
      <c r="D79" s="208">
        <f>(дод.1!I48+дод.1!I93)*1000</f>
        <v>269000</v>
      </c>
      <c r="E79" s="208"/>
      <c r="F79" s="208"/>
      <c r="G79" s="208"/>
      <c r="H79" s="208"/>
      <c r="I79" s="208"/>
      <c r="J79" s="208"/>
      <c r="K79" s="208"/>
    </row>
    <row r="80" spans="1:11" ht="28.5" customHeight="1" x14ac:dyDescent="0.3">
      <c r="A80" s="211" t="s">
        <v>81</v>
      </c>
      <c r="B80" s="212"/>
      <c r="C80" s="212"/>
      <c r="D80" s="212"/>
      <c r="E80" s="212"/>
      <c r="F80" s="212"/>
      <c r="G80" s="212"/>
      <c r="H80" s="212"/>
      <c r="I80" s="212"/>
      <c r="J80" s="212"/>
      <c r="K80" s="208"/>
    </row>
    <row r="81" spans="1:11" ht="28.5" customHeight="1" x14ac:dyDescent="0.3">
      <c r="A81" s="209" t="s">
        <v>229</v>
      </c>
      <c r="B81" s="212"/>
      <c r="C81" s="212">
        <f>D81</f>
        <v>4</v>
      </c>
      <c r="D81" s="212">
        <v>4</v>
      </c>
      <c r="E81" s="212"/>
      <c r="F81" s="212"/>
      <c r="G81" s="212"/>
      <c r="H81" s="212"/>
      <c r="I81" s="212"/>
      <c r="J81" s="212"/>
      <c r="K81" s="208"/>
    </row>
    <row r="82" spans="1:11" ht="28.5" customHeight="1" x14ac:dyDescent="0.3">
      <c r="A82" s="211" t="s">
        <v>82</v>
      </c>
      <c r="B82" s="212"/>
      <c r="C82" s="212"/>
      <c r="D82" s="212"/>
      <c r="E82" s="212"/>
      <c r="F82" s="212"/>
      <c r="G82" s="212"/>
      <c r="H82" s="212"/>
      <c r="I82" s="212"/>
      <c r="J82" s="212"/>
      <c r="K82" s="208"/>
    </row>
    <row r="83" spans="1:11" ht="28.5" customHeight="1" x14ac:dyDescent="0.3">
      <c r="A83" s="209" t="s">
        <v>257</v>
      </c>
      <c r="B83" s="212"/>
      <c r="C83" s="212">
        <f>C79/C81</f>
        <v>67250</v>
      </c>
      <c r="D83" s="212">
        <f>D79/D81</f>
        <v>67250</v>
      </c>
      <c r="E83" s="212"/>
      <c r="F83" s="212"/>
      <c r="G83" s="212"/>
      <c r="H83" s="212"/>
      <c r="I83" s="212"/>
      <c r="J83" s="212"/>
      <c r="K83" s="208"/>
    </row>
    <row r="84" spans="1:11" ht="28.5" customHeight="1" x14ac:dyDescent="0.3">
      <c r="A84" s="475" t="s">
        <v>320</v>
      </c>
      <c r="B84" s="476"/>
      <c r="C84" s="476"/>
      <c r="D84" s="476"/>
      <c r="E84" s="476"/>
      <c r="F84" s="476"/>
      <c r="G84" s="476"/>
      <c r="H84" s="476"/>
      <c r="I84" s="476"/>
      <c r="J84" s="476"/>
      <c r="K84" s="477"/>
    </row>
    <row r="85" spans="1:11" ht="28.5" customHeight="1" x14ac:dyDescent="0.3">
      <c r="A85" s="211" t="s">
        <v>79</v>
      </c>
      <c r="B85" s="211"/>
      <c r="C85" s="211"/>
      <c r="D85" s="211"/>
      <c r="E85" s="211"/>
      <c r="F85" s="211"/>
      <c r="G85" s="211"/>
      <c r="H85" s="211"/>
      <c r="I85" s="211"/>
      <c r="J85" s="211"/>
      <c r="K85" s="211"/>
    </row>
    <row r="86" spans="1:11" ht="28.5" customHeight="1" x14ac:dyDescent="0.3">
      <c r="A86" s="209" t="s">
        <v>245</v>
      </c>
      <c r="B86" s="208">
        <f>C86+F86+I86</f>
        <v>6596400</v>
      </c>
      <c r="C86" s="208">
        <f>D86+E86</f>
        <v>2124000</v>
      </c>
      <c r="D86" s="208">
        <f>дод.1!I49*1000</f>
        <v>2124000</v>
      </c>
      <c r="E86" s="208"/>
      <c r="F86" s="208">
        <f>G86+H86</f>
        <v>2124000</v>
      </c>
      <c r="G86" s="208">
        <f>дод.1!J49*1000</f>
        <v>2124000</v>
      </c>
      <c r="H86" s="208"/>
      <c r="I86" s="208">
        <f>J86+K86</f>
        <v>2348400</v>
      </c>
      <c r="J86" s="208">
        <f>дод.1!K49*1000</f>
        <v>2348400</v>
      </c>
      <c r="K86" s="208"/>
    </row>
    <row r="87" spans="1:11" ht="28.5" customHeight="1" x14ac:dyDescent="0.3">
      <c r="A87" s="211" t="s">
        <v>81</v>
      </c>
      <c r="B87" s="212"/>
      <c r="C87" s="212"/>
      <c r="D87" s="212"/>
      <c r="E87" s="212"/>
      <c r="F87" s="212"/>
      <c r="G87" s="212"/>
      <c r="H87" s="212"/>
      <c r="I87" s="212"/>
      <c r="J87" s="212"/>
      <c r="K87" s="208"/>
    </row>
    <row r="88" spans="1:11" ht="89.25" customHeight="1" x14ac:dyDescent="0.3">
      <c r="A88" s="209" t="s">
        <v>334</v>
      </c>
      <c r="B88" s="212"/>
      <c r="C88" s="212">
        <f>D88</f>
        <v>6369</v>
      </c>
      <c r="D88" s="212">
        <v>6369</v>
      </c>
      <c r="E88" s="212"/>
      <c r="F88" s="212">
        <f>G88</f>
        <v>6375</v>
      </c>
      <c r="G88" s="212">
        <v>6375</v>
      </c>
      <c r="H88" s="212"/>
      <c r="I88" s="212">
        <f>J88</f>
        <v>6369</v>
      </c>
      <c r="J88" s="212">
        <v>6369</v>
      </c>
      <c r="K88" s="208"/>
    </row>
    <row r="89" spans="1:11" ht="28.5" customHeight="1" x14ac:dyDescent="0.3">
      <c r="A89" s="211" t="s">
        <v>82</v>
      </c>
      <c r="B89" s="212"/>
      <c r="C89" s="212"/>
      <c r="D89" s="212"/>
      <c r="E89" s="212"/>
      <c r="F89" s="212"/>
      <c r="G89" s="212"/>
      <c r="H89" s="212"/>
      <c r="I89" s="212"/>
      <c r="J89" s="212"/>
      <c r="K89" s="208"/>
    </row>
    <row r="90" spans="1:11" ht="60.75" customHeight="1" x14ac:dyDescent="0.3">
      <c r="A90" s="209" t="s">
        <v>258</v>
      </c>
      <c r="B90" s="212"/>
      <c r="C90" s="212">
        <f>C86/C88</f>
        <v>333.49034385303815</v>
      </c>
      <c r="D90" s="212">
        <f>D86/D88</f>
        <v>333.49034385303815</v>
      </c>
      <c r="E90" s="212"/>
      <c r="F90" s="212">
        <f>F86/F88</f>
        <v>333.1764705882353</v>
      </c>
      <c r="G90" s="212">
        <f>G86/G88</f>
        <v>333.1764705882353</v>
      </c>
      <c r="H90" s="212"/>
      <c r="I90" s="212">
        <f>I86/I88</f>
        <v>368.72350447479982</v>
      </c>
      <c r="J90" s="212">
        <f>J86/J88</f>
        <v>368.72350447479982</v>
      </c>
      <c r="K90" s="208"/>
    </row>
    <row r="91" spans="1:11" ht="28.5" customHeight="1" x14ac:dyDescent="0.3">
      <c r="A91" s="211" t="s">
        <v>83</v>
      </c>
      <c r="B91" s="212"/>
      <c r="C91" s="212"/>
      <c r="D91" s="212"/>
      <c r="E91" s="212"/>
      <c r="F91" s="212"/>
      <c r="G91" s="212"/>
      <c r="H91" s="212"/>
      <c r="I91" s="212"/>
      <c r="J91" s="212"/>
      <c r="K91" s="208"/>
    </row>
    <row r="92" spans="1:11" ht="36" customHeight="1" x14ac:dyDescent="0.3">
      <c r="A92" s="209" t="s">
        <v>184</v>
      </c>
      <c r="B92" s="212"/>
      <c r="C92" s="212">
        <v>100</v>
      </c>
      <c r="D92" s="212">
        <v>100</v>
      </c>
      <c r="E92" s="212"/>
      <c r="F92" s="212">
        <v>100</v>
      </c>
      <c r="G92" s="212">
        <v>100</v>
      </c>
      <c r="H92" s="212"/>
      <c r="I92" s="212">
        <v>100</v>
      </c>
      <c r="J92" s="212">
        <v>100</v>
      </c>
      <c r="K92" s="208"/>
    </row>
    <row r="93" spans="1:11" ht="28.5" customHeight="1" x14ac:dyDescent="0.3">
      <c r="A93" s="475" t="s">
        <v>450</v>
      </c>
      <c r="B93" s="476"/>
      <c r="C93" s="476"/>
      <c r="D93" s="476"/>
      <c r="E93" s="476"/>
      <c r="F93" s="476"/>
      <c r="G93" s="476"/>
      <c r="H93" s="476"/>
      <c r="I93" s="476"/>
      <c r="J93" s="476"/>
      <c r="K93" s="477"/>
    </row>
    <row r="94" spans="1:11" ht="28.5" customHeight="1" x14ac:dyDescent="0.3">
      <c r="A94" s="211" t="s">
        <v>79</v>
      </c>
      <c r="B94" s="211"/>
      <c r="C94" s="211"/>
      <c r="D94" s="211"/>
      <c r="E94" s="211"/>
      <c r="F94" s="211"/>
      <c r="G94" s="211"/>
      <c r="H94" s="211"/>
      <c r="I94" s="211"/>
      <c r="J94" s="211"/>
      <c r="K94" s="211"/>
    </row>
    <row r="95" spans="1:11" ht="28.5" customHeight="1" x14ac:dyDescent="0.3">
      <c r="A95" s="209" t="s">
        <v>245</v>
      </c>
      <c r="B95" s="208">
        <f>C95+F95+I95</f>
        <v>6331900</v>
      </c>
      <c r="C95" s="208">
        <f>D95+E95</f>
        <v>2188900</v>
      </c>
      <c r="D95" s="208">
        <f>дод.1!I50*1000</f>
        <v>2188900</v>
      </c>
      <c r="E95" s="208"/>
      <c r="F95" s="208">
        <f>G95+H95</f>
        <v>2488900</v>
      </c>
      <c r="G95" s="208">
        <f>дод.1!J50*1000</f>
        <v>2488900</v>
      </c>
      <c r="H95" s="208"/>
      <c r="I95" s="208">
        <f>J95+K95</f>
        <v>1654100</v>
      </c>
      <c r="J95" s="208">
        <f>дод.1!K50*1000</f>
        <v>1654100</v>
      </c>
      <c r="K95" s="208"/>
    </row>
    <row r="96" spans="1:11" ht="28.5" customHeight="1" x14ac:dyDescent="0.3">
      <c r="A96" s="217" t="s">
        <v>194</v>
      </c>
      <c r="B96" s="212"/>
      <c r="C96" s="221">
        <f>D96</f>
        <v>8.25</v>
      </c>
      <c r="D96" s="221">
        <v>8.25</v>
      </c>
      <c r="E96" s="212"/>
      <c r="F96" s="221">
        <f>G96</f>
        <v>11.25</v>
      </c>
      <c r="G96" s="221">
        <v>11.25</v>
      </c>
      <c r="H96" s="212"/>
      <c r="I96" s="221">
        <f>J96</f>
        <v>8.25</v>
      </c>
      <c r="J96" s="221">
        <v>8.25</v>
      </c>
      <c r="K96" s="208"/>
    </row>
    <row r="97" spans="1:20" ht="28.5" customHeight="1" x14ac:dyDescent="0.3">
      <c r="A97" s="217" t="s">
        <v>230</v>
      </c>
      <c r="B97" s="212"/>
      <c r="C97" s="221">
        <f t="shared" ref="C97:C106" si="7">D97</f>
        <v>3</v>
      </c>
      <c r="D97" s="221">
        <v>3</v>
      </c>
      <c r="E97" s="212"/>
      <c r="F97" s="221">
        <f t="shared" ref="F97:F106" si="8">G97</f>
        <v>3</v>
      </c>
      <c r="G97" s="221">
        <v>3</v>
      </c>
      <c r="H97" s="212"/>
      <c r="I97" s="221">
        <f t="shared" ref="I97:I106" si="9">J97</f>
        <v>3</v>
      </c>
      <c r="J97" s="221">
        <v>3</v>
      </c>
      <c r="K97" s="208"/>
    </row>
    <row r="98" spans="1:20" ht="28.5" customHeight="1" x14ac:dyDescent="0.3">
      <c r="A98" s="211" t="s">
        <v>81</v>
      </c>
      <c r="B98" s="212"/>
      <c r="C98" s="221"/>
      <c r="D98" s="212"/>
      <c r="E98" s="212"/>
      <c r="F98" s="221"/>
      <c r="G98" s="212"/>
      <c r="H98" s="212"/>
      <c r="I98" s="221"/>
      <c r="J98" s="212"/>
      <c r="K98" s="208"/>
    </row>
    <row r="99" spans="1:20" ht="28.5" customHeight="1" x14ac:dyDescent="0.3">
      <c r="A99" s="219" t="s">
        <v>195</v>
      </c>
      <c r="B99" s="212"/>
      <c r="C99" s="212">
        <f>D99</f>
        <v>3148</v>
      </c>
      <c r="D99" s="212">
        <v>3148</v>
      </c>
      <c r="E99" s="212"/>
      <c r="F99" s="212">
        <f t="shared" si="8"/>
        <v>2099</v>
      </c>
      <c r="G99" s="212">
        <v>2099</v>
      </c>
      <c r="H99" s="212"/>
      <c r="I99" s="212">
        <f t="shared" si="9"/>
        <v>3148</v>
      </c>
      <c r="J99" s="212">
        <v>3148</v>
      </c>
      <c r="K99" s="208"/>
    </row>
    <row r="100" spans="1:20" ht="28.5" customHeight="1" x14ac:dyDescent="0.3">
      <c r="A100" s="219" t="s">
        <v>335</v>
      </c>
      <c r="B100" s="212"/>
      <c r="C100" s="212">
        <f t="shared" si="7"/>
        <v>285</v>
      </c>
      <c r="D100" s="212">
        <v>285</v>
      </c>
      <c r="E100" s="212"/>
      <c r="F100" s="212">
        <f t="shared" si="8"/>
        <v>190</v>
      </c>
      <c r="G100" s="212">
        <v>190</v>
      </c>
      <c r="H100" s="212"/>
      <c r="I100" s="212">
        <f t="shared" si="9"/>
        <v>285</v>
      </c>
      <c r="J100" s="212">
        <v>285</v>
      </c>
      <c r="K100" s="208"/>
    </row>
    <row r="101" spans="1:20" ht="28.5" customHeight="1" x14ac:dyDescent="0.3">
      <c r="A101" s="211" t="s">
        <v>82</v>
      </c>
      <c r="B101" s="212"/>
      <c r="C101" s="221"/>
      <c r="D101" s="212"/>
      <c r="E101" s="212"/>
      <c r="F101" s="221"/>
      <c r="G101" s="212"/>
      <c r="H101" s="212"/>
      <c r="I101" s="221">
        <f t="shared" si="9"/>
        <v>0</v>
      </c>
      <c r="J101" s="212"/>
      <c r="K101" s="208"/>
    </row>
    <row r="102" spans="1:20" ht="57" customHeight="1" x14ac:dyDescent="0.3">
      <c r="A102" s="217" t="s">
        <v>208</v>
      </c>
      <c r="B102" s="212"/>
      <c r="C102" s="212">
        <f t="shared" si="7"/>
        <v>1049</v>
      </c>
      <c r="D102" s="212">
        <v>1049</v>
      </c>
      <c r="E102" s="212"/>
      <c r="F102" s="212">
        <f t="shared" si="8"/>
        <v>700</v>
      </c>
      <c r="G102" s="212">
        <v>700</v>
      </c>
      <c r="H102" s="212"/>
      <c r="I102" s="212">
        <f t="shared" si="9"/>
        <v>1049</v>
      </c>
      <c r="J102" s="212">
        <v>1049</v>
      </c>
      <c r="K102" s="208"/>
    </row>
    <row r="103" spans="1:20" ht="53.25" customHeight="1" x14ac:dyDescent="0.3">
      <c r="A103" s="217" t="s">
        <v>336</v>
      </c>
      <c r="B103" s="212"/>
      <c r="C103" s="212">
        <f t="shared" si="7"/>
        <v>35</v>
      </c>
      <c r="D103" s="212">
        <v>35</v>
      </c>
      <c r="E103" s="212"/>
      <c r="F103" s="212">
        <f t="shared" si="8"/>
        <v>63</v>
      </c>
      <c r="G103" s="212">
        <v>63</v>
      </c>
      <c r="H103" s="212"/>
      <c r="I103" s="212">
        <f t="shared" si="9"/>
        <v>35</v>
      </c>
      <c r="J103" s="212">
        <v>35</v>
      </c>
      <c r="K103" s="208"/>
    </row>
    <row r="104" spans="1:20" ht="28.5" customHeight="1" x14ac:dyDescent="0.3">
      <c r="A104" s="211" t="s">
        <v>83</v>
      </c>
      <c r="B104" s="212"/>
      <c r="C104" s="221"/>
      <c r="D104" s="212"/>
      <c r="E104" s="212"/>
      <c r="F104" s="221"/>
      <c r="G104" s="212"/>
      <c r="H104" s="212"/>
      <c r="I104" s="221"/>
      <c r="J104" s="212"/>
      <c r="K104" s="208"/>
    </row>
    <row r="105" spans="1:20" ht="21" hidden="1" customHeight="1" x14ac:dyDescent="0.3">
      <c r="A105" s="217" t="s">
        <v>259</v>
      </c>
      <c r="B105" s="212"/>
      <c r="C105" s="101"/>
      <c r="D105" s="101"/>
      <c r="E105" s="212"/>
      <c r="F105" s="101"/>
      <c r="G105" s="101"/>
      <c r="H105" s="212"/>
      <c r="I105" s="101"/>
      <c r="J105" s="101"/>
      <c r="K105" s="208"/>
    </row>
    <row r="106" spans="1:20" ht="47.25" customHeight="1" x14ac:dyDescent="0.3">
      <c r="A106" s="217" t="s">
        <v>260</v>
      </c>
      <c r="B106" s="212"/>
      <c r="C106" s="212">
        <f t="shared" si="7"/>
        <v>10</v>
      </c>
      <c r="D106" s="212">
        <v>10</v>
      </c>
      <c r="E106" s="212"/>
      <c r="F106" s="212">
        <f t="shared" si="8"/>
        <v>10</v>
      </c>
      <c r="G106" s="212">
        <v>10</v>
      </c>
      <c r="H106" s="212"/>
      <c r="I106" s="212">
        <f t="shared" si="9"/>
        <v>12</v>
      </c>
      <c r="J106" s="212">
        <v>12</v>
      </c>
      <c r="K106" s="208"/>
    </row>
    <row r="107" spans="1:20" ht="28.5" customHeight="1" x14ac:dyDescent="0.3">
      <c r="A107" s="475" t="s">
        <v>321</v>
      </c>
      <c r="B107" s="476"/>
      <c r="C107" s="476"/>
      <c r="D107" s="476"/>
      <c r="E107" s="476"/>
      <c r="F107" s="476"/>
      <c r="G107" s="476"/>
      <c r="H107" s="476"/>
      <c r="I107" s="476"/>
      <c r="J107" s="476"/>
      <c r="K107" s="477"/>
    </row>
    <row r="108" spans="1:20" ht="28.5" customHeight="1" x14ac:dyDescent="0.3">
      <c r="A108" s="211" t="s">
        <v>79</v>
      </c>
      <c r="B108" s="211"/>
      <c r="C108" s="211"/>
      <c r="D108" s="211"/>
      <c r="E108" s="211"/>
      <c r="F108" s="211"/>
      <c r="G108" s="211"/>
      <c r="H108" s="211"/>
      <c r="I108" s="211"/>
      <c r="J108" s="211"/>
      <c r="K108" s="211"/>
      <c r="L108" s="478"/>
      <c r="M108" s="478"/>
      <c r="N108" s="478"/>
      <c r="O108" s="478"/>
      <c r="P108" s="478"/>
      <c r="Q108" s="478"/>
      <c r="R108" s="478"/>
      <c r="S108" s="478"/>
      <c r="T108" s="478"/>
    </row>
    <row r="109" spans="1:20" ht="28.5" customHeight="1" x14ac:dyDescent="0.3">
      <c r="A109" s="209" t="s">
        <v>245</v>
      </c>
      <c r="B109" s="208">
        <f>C109+F109+I109</f>
        <v>9512800</v>
      </c>
      <c r="C109" s="208">
        <f>D109+E109</f>
        <v>4107600.0000000005</v>
      </c>
      <c r="D109" s="208">
        <f>дод.1!I51*1000</f>
        <v>4107600.0000000005</v>
      </c>
      <c r="E109" s="208"/>
      <c r="F109" s="208">
        <f>G109+H109</f>
        <v>5305200</v>
      </c>
      <c r="G109" s="208">
        <f>дод.1!J51*1000</f>
        <v>5305200</v>
      </c>
      <c r="H109" s="208"/>
      <c r="I109" s="208">
        <f>J109+K109</f>
        <v>100000</v>
      </c>
      <c r="J109" s="208">
        <f>дод.1!K51*1000</f>
        <v>100000</v>
      </c>
      <c r="K109" s="208"/>
      <c r="L109" s="479"/>
      <c r="M109" s="479"/>
      <c r="N109" s="479"/>
      <c r="O109" s="479"/>
      <c r="P109" s="479"/>
      <c r="Q109" s="479"/>
      <c r="R109" s="479"/>
      <c r="S109" s="479"/>
      <c r="T109" s="479"/>
    </row>
    <row r="110" spans="1:20" ht="28.5" customHeight="1" x14ac:dyDescent="0.3">
      <c r="A110" s="209" t="s">
        <v>445</v>
      </c>
      <c r="B110" s="208"/>
      <c r="C110" s="208"/>
      <c r="D110" s="208"/>
      <c r="E110" s="208"/>
      <c r="F110" s="208"/>
      <c r="G110" s="208"/>
      <c r="H110" s="208"/>
      <c r="I110" s="208"/>
      <c r="J110" s="208"/>
      <c r="K110" s="208"/>
      <c r="L110" s="222"/>
      <c r="M110" s="222"/>
      <c r="N110" s="222"/>
      <c r="O110" s="222"/>
      <c r="P110" s="222"/>
      <c r="Q110" s="222"/>
      <c r="R110" s="222"/>
      <c r="S110" s="222"/>
      <c r="T110" s="222"/>
    </row>
    <row r="111" spans="1:20" ht="28.5" customHeight="1" x14ac:dyDescent="0.3">
      <c r="A111" s="209" t="s">
        <v>444</v>
      </c>
      <c r="B111" s="208"/>
      <c r="C111" s="212">
        <f t="shared" ref="C111:C112" si="10">D111+E111</f>
        <v>4107600.0000000005</v>
      </c>
      <c r="D111" s="212">
        <f>(дод.1!I53+дод.1!I54+дод.1!I55+дод.1!I56)*1000</f>
        <v>4107600.0000000005</v>
      </c>
      <c r="E111" s="212"/>
      <c r="F111" s="212">
        <f t="shared" ref="F111:F112" si="11">G111+H111</f>
        <v>4305200</v>
      </c>
      <c r="G111" s="212">
        <f>(дод.1!J53+дод.1!J54+дод.1!J55+дод.1!J56)*1000</f>
        <v>4305200</v>
      </c>
      <c r="H111" s="208"/>
      <c r="I111" s="208"/>
      <c r="J111" s="208"/>
      <c r="K111" s="208"/>
      <c r="L111" s="222"/>
      <c r="M111" s="222"/>
      <c r="N111" s="222"/>
      <c r="O111" s="222"/>
      <c r="P111" s="222"/>
      <c r="Q111" s="222"/>
      <c r="R111" s="222"/>
      <c r="S111" s="222"/>
      <c r="T111" s="222"/>
    </row>
    <row r="112" spans="1:20" ht="72" customHeight="1" x14ac:dyDescent="0.3">
      <c r="A112" s="209" t="s">
        <v>443</v>
      </c>
      <c r="B112" s="208"/>
      <c r="C112" s="212">
        <f t="shared" si="10"/>
        <v>0</v>
      </c>
      <c r="D112" s="212">
        <f>дод.1!I57*1000</f>
        <v>0</v>
      </c>
      <c r="E112" s="212"/>
      <c r="F112" s="212">
        <f t="shared" si="11"/>
        <v>1000000</v>
      </c>
      <c r="G112" s="212">
        <f>дод.1!J57*1000</f>
        <v>1000000</v>
      </c>
      <c r="H112" s="208"/>
      <c r="I112" s="208"/>
      <c r="J112" s="208"/>
      <c r="K112" s="208"/>
      <c r="L112" s="222"/>
      <c r="M112" s="222"/>
      <c r="N112" s="222"/>
      <c r="O112" s="222"/>
      <c r="P112" s="222"/>
      <c r="Q112" s="222"/>
      <c r="R112" s="222"/>
      <c r="S112" s="222"/>
      <c r="T112" s="222"/>
    </row>
    <row r="113" spans="1:11" ht="28.5" customHeight="1" x14ac:dyDescent="0.3">
      <c r="A113" s="211" t="s">
        <v>81</v>
      </c>
      <c r="B113" s="212"/>
      <c r="C113" s="212"/>
      <c r="D113" s="216"/>
      <c r="E113" s="212"/>
      <c r="F113" s="212"/>
      <c r="G113" s="212"/>
      <c r="H113" s="212"/>
      <c r="I113" s="212"/>
      <c r="J113" s="212"/>
      <c r="K113" s="208"/>
    </row>
    <row r="114" spans="1:11" ht="32.25" customHeight="1" x14ac:dyDescent="0.3">
      <c r="A114" s="219" t="s">
        <v>337</v>
      </c>
      <c r="B114" s="212"/>
      <c r="C114" s="212">
        <f>D114</f>
        <v>750</v>
      </c>
      <c r="D114" s="212">
        <v>750</v>
      </c>
      <c r="E114" s="212"/>
      <c r="F114" s="212">
        <f>G114</f>
        <v>950</v>
      </c>
      <c r="G114" s="212">
        <f>770+180</f>
        <v>950</v>
      </c>
      <c r="H114" s="212"/>
      <c r="I114" s="212">
        <f>J114</f>
        <v>750</v>
      </c>
      <c r="J114" s="212">
        <v>750</v>
      </c>
      <c r="K114" s="208"/>
    </row>
    <row r="115" spans="1:11" ht="57" customHeight="1" x14ac:dyDescent="0.3">
      <c r="A115" s="219" t="s">
        <v>264</v>
      </c>
      <c r="B115" s="212"/>
      <c r="C115" s="101">
        <f>D115</f>
        <v>16.5</v>
      </c>
      <c r="D115" s="101">
        <v>16.5</v>
      </c>
      <c r="E115" s="101"/>
      <c r="F115" s="101">
        <f>G115</f>
        <v>16.5</v>
      </c>
      <c r="G115" s="101">
        <v>16.5</v>
      </c>
      <c r="H115" s="101"/>
      <c r="I115" s="101">
        <f>J115</f>
        <v>16.5</v>
      </c>
      <c r="J115" s="101">
        <v>16.5</v>
      </c>
      <c r="K115" s="208"/>
    </row>
    <row r="116" spans="1:11" ht="57" customHeight="1" x14ac:dyDescent="0.3">
      <c r="A116" s="219" t="s">
        <v>438</v>
      </c>
      <c r="B116" s="212"/>
      <c r="C116" s="101"/>
      <c r="D116" s="101"/>
      <c r="E116" s="101"/>
      <c r="F116" s="101"/>
      <c r="G116" s="101">
        <v>3333</v>
      </c>
      <c r="H116" s="101"/>
      <c r="I116" s="101"/>
      <c r="J116" s="101"/>
      <c r="K116" s="208"/>
    </row>
    <row r="117" spans="1:11" ht="28.5" customHeight="1" x14ac:dyDescent="0.3">
      <c r="A117" s="211" t="s">
        <v>82</v>
      </c>
      <c r="B117" s="212"/>
      <c r="C117" s="212"/>
      <c r="D117" s="212"/>
      <c r="E117" s="212"/>
      <c r="F117" s="212"/>
      <c r="G117" s="212"/>
      <c r="H117" s="212"/>
      <c r="I117" s="212"/>
      <c r="J117" s="212"/>
      <c r="K117" s="208"/>
    </row>
    <row r="118" spans="1:11" ht="28.5" customHeight="1" x14ac:dyDescent="0.3">
      <c r="A118" s="209" t="s">
        <v>261</v>
      </c>
      <c r="B118" s="212"/>
      <c r="C118" s="212">
        <f>D118</f>
        <v>5476.8</v>
      </c>
      <c r="D118" s="212">
        <f>D109/D114</f>
        <v>5476.8</v>
      </c>
      <c r="E118" s="212"/>
      <c r="F118" s="212">
        <f>G118</f>
        <v>5584.4210526315792</v>
      </c>
      <c r="G118" s="212">
        <f>G109/G114</f>
        <v>5584.4210526315792</v>
      </c>
      <c r="H118" s="212"/>
      <c r="I118" s="212">
        <f>J118</f>
        <v>133.33333333333334</v>
      </c>
      <c r="J118" s="212">
        <f>J109/J114</f>
        <v>133.33333333333334</v>
      </c>
      <c r="K118" s="208"/>
    </row>
    <row r="119" spans="1:11" ht="28.5" customHeight="1" x14ac:dyDescent="0.3">
      <c r="A119" s="209" t="s">
        <v>338</v>
      </c>
      <c r="B119" s="212"/>
      <c r="C119" s="212">
        <f>D119</f>
        <v>248945.45454545459</v>
      </c>
      <c r="D119" s="212">
        <f>D109/D115</f>
        <v>248945.45454545459</v>
      </c>
      <c r="E119" s="212"/>
      <c r="F119" s="212">
        <f>G119</f>
        <v>321527.27272727271</v>
      </c>
      <c r="G119" s="212">
        <f>G109/G115</f>
        <v>321527.27272727271</v>
      </c>
      <c r="H119" s="212"/>
      <c r="I119" s="212">
        <f>J119</f>
        <v>6060.606060606061</v>
      </c>
      <c r="J119" s="212">
        <f>J109/J115</f>
        <v>6060.606060606061</v>
      </c>
      <c r="K119" s="208"/>
    </row>
    <row r="120" spans="1:11" ht="28.5" customHeight="1" x14ac:dyDescent="0.3">
      <c r="A120" s="209" t="s">
        <v>256</v>
      </c>
      <c r="B120" s="212"/>
      <c r="C120" s="212">
        <v>0</v>
      </c>
      <c r="D120" s="212">
        <v>0</v>
      </c>
      <c r="E120" s="212"/>
      <c r="F120" s="212">
        <f>G120</f>
        <v>300.03000300030004</v>
      </c>
      <c r="G120" s="212">
        <f>G112/G116</f>
        <v>300.03000300030004</v>
      </c>
      <c r="H120" s="212"/>
      <c r="I120" s="212"/>
      <c r="J120" s="212"/>
      <c r="K120" s="208"/>
    </row>
    <row r="121" spans="1:11" ht="28.5" customHeight="1" x14ac:dyDescent="0.3">
      <c r="A121" s="211" t="s">
        <v>83</v>
      </c>
      <c r="B121" s="212"/>
      <c r="C121" s="212"/>
      <c r="D121" s="212"/>
      <c r="E121" s="212"/>
      <c r="F121" s="212"/>
      <c r="G121" s="212"/>
      <c r="H121" s="212"/>
      <c r="I121" s="212"/>
      <c r="J121" s="212"/>
      <c r="K121" s="208"/>
    </row>
    <row r="122" spans="1:11" ht="28.5" customHeight="1" x14ac:dyDescent="0.3">
      <c r="A122" s="209" t="s">
        <v>262</v>
      </c>
      <c r="B122" s="212"/>
      <c r="C122" s="212">
        <f>D122</f>
        <v>100</v>
      </c>
      <c r="D122" s="212">
        <v>100</v>
      </c>
      <c r="E122" s="212"/>
      <c r="F122" s="212">
        <f>G122</f>
        <v>100</v>
      </c>
      <c r="G122" s="212">
        <v>100</v>
      </c>
      <c r="H122" s="212"/>
      <c r="I122" s="212">
        <f>J122</f>
        <v>100</v>
      </c>
      <c r="J122" s="212">
        <v>100</v>
      </c>
      <c r="K122" s="208"/>
    </row>
    <row r="123" spans="1:11" ht="28.5" customHeight="1" x14ac:dyDescent="0.3">
      <c r="A123" s="472" t="s">
        <v>322</v>
      </c>
      <c r="B123" s="473"/>
      <c r="C123" s="473"/>
      <c r="D123" s="473"/>
      <c r="E123" s="473"/>
      <c r="F123" s="473"/>
      <c r="G123" s="473"/>
      <c r="H123" s="473"/>
      <c r="I123" s="473"/>
      <c r="J123" s="473"/>
      <c r="K123" s="474"/>
    </row>
    <row r="124" spans="1:11" ht="28.5" customHeight="1" x14ac:dyDescent="0.3">
      <c r="A124" s="211" t="s">
        <v>79</v>
      </c>
      <c r="B124" s="211"/>
      <c r="C124" s="211"/>
      <c r="D124" s="211"/>
      <c r="E124" s="211"/>
      <c r="F124" s="211"/>
      <c r="G124" s="211"/>
      <c r="H124" s="211"/>
      <c r="I124" s="211"/>
      <c r="J124" s="211"/>
      <c r="K124" s="211"/>
    </row>
    <row r="125" spans="1:11" ht="28.5" customHeight="1" x14ac:dyDescent="0.3">
      <c r="A125" s="209" t="s">
        <v>263</v>
      </c>
      <c r="B125" s="208">
        <f>C125+F125+I125</f>
        <v>3400000</v>
      </c>
      <c r="C125" s="208">
        <f>D125+E125</f>
        <v>1200000</v>
      </c>
      <c r="D125" s="208">
        <f>дод.1!I58*1000</f>
        <v>1200000</v>
      </c>
      <c r="E125" s="208"/>
      <c r="F125" s="208">
        <f>G125+H125</f>
        <v>2200000</v>
      </c>
      <c r="G125" s="208">
        <f>дод.1!J58*1000</f>
        <v>2200000</v>
      </c>
      <c r="H125" s="208"/>
      <c r="I125" s="208"/>
      <c r="J125" s="208"/>
      <c r="K125" s="208"/>
    </row>
    <row r="126" spans="1:11" ht="51.75" customHeight="1" x14ac:dyDescent="0.3">
      <c r="A126" s="209" t="s">
        <v>339</v>
      </c>
      <c r="B126" s="212"/>
      <c r="C126" s="212">
        <f>D126</f>
        <v>1000000</v>
      </c>
      <c r="D126" s="212">
        <f>дод.1!I59*1000</f>
        <v>1000000</v>
      </c>
      <c r="E126" s="212"/>
      <c r="F126" s="212">
        <f>G126+H126</f>
        <v>2000000</v>
      </c>
      <c r="G126" s="212">
        <f>(дод.1!J59+дод.1!J60)*1000</f>
        <v>2000000</v>
      </c>
      <c r="H126" s="212"/>
      <c r="I126" s="212"/>
      <c r="J126" s="212"/>
      <c r="K126" s="208"/>
    </row>
    <row r="127" spans="1:11" ht="33.75" customHeight="1" x14ac:dyDescent="0.3">
      <c r="A127" s="209" t="s">
        <v>340</v>
      </c>
      <c r="B127" s="212"/>
      <c r="C127" s="212">
        <f>D127</f>
        <v>200000</v>
      </c>
      <c r="D127" s="212">
        <f>дод.1!I61*1000</f>
        <v>200000</v>
      </c>
      <c r="E127" s="212"/>
      <c r="F127" s="212">
        <f>G127</f>
        <v>200000</v>
      </c>
      <c r="G127" s="212">
        <f>дод.1!J61*1000</f>
        <v>200000</v>
      </c>
      <c r="H127" s="212"/>
      <c r="I127" s="212"/>
      <c r="J127" s="212"/>
      <c r="K127" s="208"/>
    </row>
    <row r="128" spans="1:11" ht="28.5" customHeight="1" x14ac:dyDescent="0.3">
      <c r="A128" s="211" t="s">
        <v>81</v>
      </c>
      <c r="B128" s="212"/>
      <c r="C128" s="212"/>
      <c r="D128" s="212"/>
      <c r="E128" s="212"/>
      <c r="F128" s="212"/>
      <c r="G128" s="212"/>
      <c r="H128" s="212"/>
      <c r="I128" s="212"/>
      <c r="J128" s="212"/>
      <c r="K128" s="208"/>
    </row>
    <row r="129" spans="1:11" ht="60.75" customHeight="1" x14ac:dyDescent="0.3">
      <c r="A129" s="223" t="s">
        <v>341</v>
      </c>
      <c r="B129" s="212"/>
      <c r="C129" s="212">
        <f>D129</f>
        <v>20</v>
      </c>
      <c r="D129" s="212">
        <v>20</v>
      </c>
      <c r="E129" s="212"/>
      <c r="F129" s="212">
        <f>G129</f>
        <v>40</v>
      </c>
      <c r="G129" s="212">
        <f>20+20</f>
        <v>40</v>
      </c>
      <c r="H129" s="212"/>
      <c r="I129" s="212"/>
      <c r="J129" s="212"/>
      <c r="K129" s="208"/>
    </row>
    <row r="130" spans="1:11" ht="45.75" customHeight="1" x14ac:dyDescent="0.3">
      <c r="A130" s="223" t="s">
        <v>342</v>
      </c>
      <c r="B130" s="212"/>
      <c r="C130" s="212">
        <f>D130</f>
        <v>10</v>
      </c>
      <c r="D130" s="212">
        <v>10</v>
      </c>
      <c r="E130" s="212"/>
      <c r="F130" s="212">
        <f>G130</f>
        <v>20</v>
      </c>
      <c r="G130" s="212">
        <v>20</v>
      </c>
      <c r="H130" s="212"/>
      <c r="I130" s="212"/>
      <c r="J130" s="212"/>
      <c r="K130" s="208"/>
    </row>
    <row r="131" spans="1:11" ht="28.5" customHeight="1" x14ac:dyDescent="0.3">
      <c r="A131" s="211" t="s">
        <v>82</v>
      </c>
      <c r="B131" s="212"/>
      <c r="C131" s="212"/>
      <c r="D131" s="212"/>
      <c r="E131" s="212"/>
      <c r="F131" s="212"/>
      <c r="G131" s="212"/>
      <c r="H131" s="212"/>
      <c r="I131" s="212"/>
      <c r="J131" s="212"/>
      <c r="K131" s="208"/>
    </row>
    <row r="132" spans="1:11" ht="53.25" customHeight="1" x14ac:dyDescent="0.3">
      <c r="A132" s="215" t="s">
        <v>343</v>
      </c>
      <c r="B132" s="212"/>
      <c r="C132" s="212">
        <f>C126/C129</f>
        <v>50000</v>
      </c>
      <c r="D132" s="212">
        <f>D126/D129</f>
        <v>50000</v>
      </c>
      <c r="E132" s="212"/>
      <c r="F132" s="212">
        <f>G132</f>
        <v>50000</v>
      </c>
      <c r="G132" s="212">
        <f>G126/G129</f>
        <v>50000</v>
      </c>
      <c r="H132" s="212"/>
      <c r="I132" s="212"/>
      <c r="J132" s="212"/>
      <c r="K132" s="208"/>
    </row>
    <row r="133" spans="1:11" ht="54.75" customHeight="1" x14ac:dyDescent="0.3">
      <c r="A133" s="215" t="s">
        <v>344</v>
      </c>
      <c r="B133" s="212"/>
      <c r="C133" s="212">
        <f>C127/C130</f>
        <v>20000</v>
      </c>
      <c r="D133" s="212">
        <f>D127/D130</f>
        <v>20000</v>
      </c>
      <c r="E133" s="212"/>
      <c r="F133" s="212">
        <f>G133</f>
        <v>10000</v>
      </c>
      <c r="G133" s="212">
        <f>G127/G130</f>
        <v>10000</v>
      </c>
      <c r="H133" s="212"/>
      <c r="I133" s="212"/>
      <c r="J133" s="212"/>
      <c r="K133" s="208"/>
    </row>
    <row r="134" spans="1:11" ht="28.5" customHeight="1" x14ac:dyDescent="0.3">
      <c r="A134" s="472" t="s">
        <v>370</v>
      </c>
      <c r="B134" s="473"/>
      <c r="C134" s="473"/>
      <c r="D134" s="473"/>
      <c r="E134" s="473"/>
      <c r="F134" s="473"/>
      <c r="G134" s="473"/>
      <c r="H134" s="473"/>
      <c r="I134" s="473"/>
      <c r="J134" s="473"/>
      <c r="K134" s="474"/>
    </row>
    <row r="135" spans="1:11" ht="28.5" customHeight="1" x14ac:dyDescent="0.3">
      <c r="A135" s="211" t="s">
        <v>79</v>
      </c>
      <c r="B135" s="211"/>
      <c r="C135" s="211"/>
      <c r="D135" s="211"/>
      <c r="E135" s="211"/>
      <c r="F135" s="211"/>
      <c r="G135" s="211"/>
      <c r="H135" s="211"/>
      <c r="I135" s="211"/>
      <c r="J135" s="211"/>
      <c r="K135" s="211"/>
    </row>
    <row r="136" spans="1:11" ht="28.5" customHeight="1" x14ac:dyDescent="0.3">
      <c r="A136" s="209" t="s">
        <v>265</v>
      </c>
      <c r="B136" s="208">
        <f>C136+F136+I136</f>
        <v>4007600</v>
      </c>
      <c r="C136" s="208">
        <f>D136+E136</f>
        <v>653300</v>
      </c>
      <c r="D136" s="208">
        <f>дод.1!I62*1000</f>
        <v>653300</v>
      </c>
      <c r="E136" s="208"/>
      <c r="F136" s="208">
        <f>G136+H136</f>
        <v>1593000</v>
      </c>
      <c r="G136" s="208">
        <f>дод.1!J62*1000</f>
        <v>1593000</v>
      </c>
      <c r="H136" s="208"/>
      <c r="I136" s="208">
        <f>J136+K136</f>
        <v>1761300</v>
      </c>
      <c r="J136" s="208">
        <f>дод.1!K62*1000</f>
        <v>1761300</v>
      </c>
      <c r="K136" s="208"/>
    </row>
    <row r="137" spans="1:11" ht="54.75" customHeight="1" x14ac:dyDescent="0.3">
      <c r="A137" s="209" t="s">
        <v>345</v>
      </c>
      <c r="B137" s="212"/>
      <c r="C137" s="212">
        <f>D137</f>
        <v>93600</v>
      </c>
      <c r="D137" s="212">
        <f>дод.1!I63*1000</f>
        <v>93600</v>
      </c>
      <c r="E137" s="212"/>
      <c r="F137" s="212">
        <f t="shared" ref="F137:F139" si="12">G137</f>
        <v>110000</v>
      </c>
      <c r="G137" s="212">
        <f>дод.1!J63*1000</f>
        <v>110000</v>
      </c>
      <c r="H137" s="212"/>
      <c r="I137" s="212">
        <f t="shared" ref="I137:I139" si="13">J137</f>
        <v>117400</v>
      </c>
      <c r="J137" s="212">
        <f>дод.1!K63*1000</f>
        <v>117400</v>
      </c>
      <c r="K137" s="208"/>
    </row>
    <row r="138" spans="1:11" ht="49.5" customHeight="1" x14ac:dyDescent="0.3">
      <c r="A138" s="209" t="s">
        <v>346</v>
      </c>
      <c r="B138" s="212"/>
      <c r="C138" s="212">
        <f t="shared" ref="C138:C139" si="14">D138</f>
        <v>106800</v>
      </c>
      <c r="D138" s="212">
        <f>дод.1!I64*1000</f>
        <v>106800</v>
      </c>
      <c r="E138" s="212"/>
      <c r="F138" s="212">
        <f t="shared" si="12"/>
        <v>527200</v>
      </c>
      <c r="G138" s="212">
        <f>дод.1!J64*1000</f>
        <v>527200</v>
      </c>
      <c r="H138" s="212"/>
      <c r="I138" s="212">
        <f t="shared" si="13"/>
        <v>587100</v>
      </c>
      <c r="J138" s="212">
        <f>дод.1!K64*1000</f>
        <v>587100</v>
      </c>
      <c r="K138" s="208"/>
    </row>
    <row r="139" spans="1:11" ht="83.25" customHeight="1" x14ac:dyDescent="0.3">
      <c r="A139" s="209" t="s">
        <v>347</v>
      </c>
      <c r="B139" s="212"/>
      <c r="C139" s="212">
        <f t="shared" si="14"/>
        <v>452900</v>
      </c>
      <c r="D139" s="212">
        <f>дод.1!I65*1000</f>
        <v>452900</v>
      </c>
      <c r="E139" s="212"/>
      <c r="F139" s="212">
        <f t="shared" si="12"/>
        <v>955800</v>
      </c>
      <c r="G139" s="212">
        <f>дод.1!J65*1000</f>
        <v>955800</v>
      </c>
      <c r="H139" s="212"/>
      <c r="I139" s="212">
        <f t="shared" si="13"/>
        <v>1056800</v>
      </c>
      <c r="J139" s="212">
        <f>дод.1!K65*1000</f>
        <v>1056800</v>
      </c>
      <c r="K139" s="208"/>
    </row>
    <row r="140" spans="1:11" ht="28.5" customHeight="1" x14ac:dyDescent="0.3">
      <c r="A140" s="211" t="s">
        <v>81</v>
      </c>
      <c r="B140" s="212"/>
      <c r="C140" s="212"/>
      <c r="D140" s="212"/>
      <c r="E140" s="212"/>
      <c r="F140" s="212"/>
      <c r="G140" s="212"/>
      <c r="H140" s="212"/>
      <c r="I140" s="212"/>
      <c r="J140" s="212"/>
      <c r="K140" s="208"/>
    </row>
    <row r="141" spans="1:11" ht="47.25" customHeight="1" x14ac:dyDescent="0.3">
      <c r="A141" s="209" t="s">
        <v>348</v>
      </c>
      <c r="B141" s="212"/>
      <c r="C141" s="212">
        <f>D141</f>
        <v>75</v>
      </c>
      <c r="D141" s="212">
        <v>75</v>
      </c>
      <c r="E141" s="212"/>
      <c r="F141" s="212">
        <f>G141</f>
        <v>68</v>
      </c>
      <c r="G141" s="212">
        <v>68</v>
      </c>
      <c r="H141" s="212"/>
      <c r="I141" s="212">
        <f>J141</f>
        <v>75</v>
      </c>
      <c r="J141" s="212">
        <v>75</v>
      </c>
      <c r="K141" s="208"/>
    </row>
    <row r="142" spans="1:11" ht="54.75" customHeight="1" x14ac:dyDescent="0.3">
      <c r="A142" s="209" t="s">
        <v>349</v>
      </c>
      <c r="B142" s="212"/>
      <c r="C142" s="212">
        <f t="shared" ref="C142:C143" si="15">D142</f>
        <v>1</v>
      </c>
      <c r="D142" s="212">
        <v>1</v>
      </c>
      <c r="E142" s="212"/>
      <c r="F142" s="212">
        <f t="shared" ref="F142:F143" si="16">G142</f>
        <v>1</v>
      </c>
      <c r="G142" s="212">
        <v>1</v>
      </c>
      <c r="H142" s="212"/>
      <c r="I142" s="212">
        <f t="shared" ref="I142:I143" si="17">J142</f>
        <v>1</v>
      </c>
      <c r="J142" s="212">
        <v>1</v>
      </c>
      <c r="K142" s="208"/>
    </row>
    <row r="143" spans="1:11" ht="47.25" customHeight="1" x14ac:dyDescent="0.3">
      <c r="A143" s="209" t="s">
        <v>350</v>
      </c>
      <c r="B143" s="212"/>
      <c r="C143" s="212">
        <f t="shared" si="15"/>
        <v>5</v>
      </c>
      <c r="D143" s="212">
        <v>5</v>
      </c>
      <c r="E143" s="212"/>
      <c r="F143" s="212">
        <f t="shared" si="16"/>
        <v>6</v>
      </c>
      <c r="G143" s="212">
        <v>6</v>
      </c>
      <c r="H143" s="212"/>
      <c r="I143" s="212">
        <f t="shared" si="17"/>
        <v>5</v>
      </c>
      <c r="J143" s="212">
        <v>5</v>
      </c>
      <c r="K143" s="208"/>
    </row>
    <row r="144" spans="1:11" ht="28.5" customHeight="1" x14ac:dyDescent="0.3">
      <c r="A144" s="211" t="s">
        <v>82</v>
      </c>
      <c r="B144" s="212"/>
      <c r="C144" s="212"/>
      <c r="D144" s="212"/>
      <c r="E144" s="212"/>
      <c r="F144" s="212"/>
      <c r="G144" s="212"/>
      <c r="H144" s="212"/>
      <c r="I144" s="212"/>
      <c r="J144" s="212"/>
      <c r="K144" s="208"/>
    </row>
    <row r="145" spans="1:11" ht="49.5" customHeight="1" x14ac:dyDescent="0.3">
      <c r="A145" s="209" t="s">
        <v>351</v>
      </c>
      <c r="B145" s="212"/>
      <c r="C145" s="212">
        <f>D145</f>
        <v>1248</v>
      </c>
      <c r="D145" s="212">
        <f>D137/D141</f>
        <v>1248</v>
      </c>
      <c r="E145" s="212"/>
      <c r="F145" s="212"/>
      <c r="G145" s="212">
        <f>G137/G141</f>
        <v>1617.6470588235295</v>
      </c>
      <c r="H145" s="212"/>
      <c r="I145" s="212">
        <f>J145</f>
        <v>1565.3333333333333</v>
      </c>
      <c r="J145" s="212">
        <f>J137/J141</f>
        <v>1565.3333333333333</v>
      </c>
      <c r="K145" s="208"/>
    </row>
    <row r="146" spans="1:11" ht="60" customHeight="1" x14ac:dyDescent="0.3">
      <c r="A146" s="215" t="s">
        <v>352</v>
      </c>
      <c r="B146" s="212"/>
      <c r="C146" s="212">
        <f t="shared" ref="C146:C147" si="18">D146</f>
        <v>106800</v>
      </c>
      <c r="D146" s="212">
        <f>D138/D142</f>
        <v>106800</v>
      </c>
      <c r="E146" s="212"/>
      <c r="F146" s="212"/>
      <c r="G146" s="212">
        <f>G138/G142</f>
        <v>527200</v>
      </c>
      <c r="H146" s="212"/>
      <c r="I146" s="212">
        <f t="shared" ref="I146:I147" si="19">J146</f>
        <v>587100</v>
      </c>
      <c r="J146" s="212">
        <f>J138/J142</f>
        <v>587100</v>
      </c>
      <c r="K146" s="208"/>
    </row>
    <row r="147" spans="1:11" ht="77.25" customHeight="1" x14ac:dyDescent="0.3">
      <c r="A147" s="215" t="s">
        <v>353</v>
      </c>
      <c r="B147" s="212"/>
      <c r="C147" s="212">
        <f t="shared" si="18"/>
        <v>90580</v>
      </c>
      <c r="D147" s="212">
        <f>D139/D143</f>
        <v>90580</v>
      </c>
      <c r="E147" s="212"/>
      <c r="F147" s="212"/>
      <c r="G147" s="212">
        <f>G139/G143</f>
        <v>159300</v>
      </c>
      <c r="H147" s="212"/>
      <c r="I147" s="212">
        <f t="shared" si="19"/>
        <v>211360</v>
      </c>
      <c r="J147" s="212">
        <f>J139/J143</f>
        <v>211360</v>
      </c>
      <c r="K147" s="208"/>
    </row>
    <row r="148" spans="1:11" ht="28.5" customHeight="1" x14ac:dyDescent="0.3">
      <c r="A148" s="211" t="s">
        <v>83</v>
      </c>
      <c r="B148" s="212"/>
      <c r="C148" s="212"/>
      <c r="D148" s="212"/>
      <c r="E148" s="212"/>
      <c r="F148" s="212"/>
      <c r="G148" s="212"/>
      <c r="H148" s="212"/>
      <c r="I148" s="212"/>
      <c r="J148" s="212"/>
      <c r="K148" s="208"/>
    </row>
    <row r="149" spans="1:11" ht="73.5" customHeight="1" x14ac:dyDescent="0.3">
      <c r="A149" s="209" t="s">
        <v>200</v>
      </c>
      <c r="B149" s="212"/>
      <c r="C149" s="212">
        <f>D149</f>
        <v>43.553333333333335</v>
      </c>
      <c r="D149" s="212">
        <f>D136/1500000*100</f>
        <v>43.553333333333335</v>
      </c>
      <c r="E149" s="212"/>
      <c r="F149" s="212">
        <f>G149</f>
        <v>243.83897137609063</v>
      </c>
      <c r="G149" s="212">
        <f>G136/D136*100</f>
        <v>243.83897137609063</v>
      </c>
      <c r="H149" s="212"/>
      <c r="I149" s="212">
        <f>J149</f>
        <v>110.56497175141243</v>
      </c>
      <c r="J149" s="212">
        <f>J136/G136*100</f>
        <v>110.56497175141243</v>
      </c>
      <c r="K149" s="208"/>
    </row>
    <row r="150" spans="1:11" ht="32.25" customHeight="1" x14ac:dyDescent="0.3">
      <c r="A150" s="472" t="s">
        <v>433</v>
      </c>
      <c r="B150" s="473"/>
      <c r="C150" s="473"/>
      <c r="D150" s="473"/>
      <c r="E150" s="473"/>
      <c r="F150" s="473"/>
      <c r="G150" s="473"/>
      <c r="H150" s="473"/>
      <c r="I150" s="473"/>
      <c r="J150" s="473"/>
      <c r="K150" s="474"/>
    </row>
    <row r="151" spans="1:11" ht="32.25" customHeight="1" x14ac:dyDescent="0.3">
      <c r="A151" s="211" t="s">
        <v>79</v>
      </c>
      <c r="B151" s="224"/>
      <c r="C151" s="224"/>
      <c r="D151" s="224"/>
      <c r="E151" s="224"/>
      <c r="F151" s="224"/>
      <c r="G151" s="224"/>
      <c r="H151" s="224"/>
      <c r="I151" s="224"/>
      <c r="J151" s="224"/>
      <c r="K151" s="224"/>
    </row>
    <row r="152" spans="1:11" ht="51" customHeight="1" x14ac:dyDescent="0.3">
      <c r="A152" s="209" t="s">
        <v>384</v>
      </c>
      <c r="B152" s="208">
        <f>C152+F152+I152</f>
        <v>5363400</v>
      </c>
      <c r="C152" s="208">
        <f>D152</f>
        <v>1748400</v>
      </c>
      <c r="D152" s="208">
        <f>(дод.1!I67+дод.1!I68+дод.1!I69)*1000</f>
        <v>1748400</v>
      </c>
      <c r="E152" s="224"/>
      <c r="F152" s="212">
        <f>G152+H152</f>
        <v>3615000</v>
      </c>
      <c r="G152" s="212">
        <f>дод.1!J67*1000</f>
        <v>3615000</v>
      </c>
      <c r="H152" s="224"/>
      <c r="I152" s="224"/>
      <c r="J152" s="224"/>
      <c r="K152" s="224"/>
    </row>
    <row r="153" spans="1:11" ht="33.75" customHeight="1" x14ac:dyDescent="0.3">
      <c r="A153" s="211" t="s">
        <v>81</v>
      </c>
      <c r="B153" s="212"/>
      <c r="C153" s="212"/>
      <c r="D153" s="212"/>
      <c r="E153" s="224"/>
      <c r="F153" s="212"/>
      <c r="G153" s="212"/>
      <c r="H153" s="224"/>
      <c r="I153" s="224"/>
      <c r="J153" s="224"/>
      <c r="K153" s="224"/>
    </row>
    <row r="154" spans="1:11" ht="33.75" customHeight="1" x14ac:dyDescent="0.3">
      <c r="A154" s="209" t="s">
        <v>186</v>
      </c>
      <c r="B154" s="212"/>
      <c r="C154" s="212">
        <v>2</v>
      </c>
      <c r="D154" s="212">
        <v>2</v>
      </c>
      <c r="E154" s="224"/>
      <c r="F154" s="212">
        <f>G154</f>
        <v>1</v>
      </c>
      <c r="G154" s="212">
        <v>1</v>
      </c>
      <c r="H154" s="224"/>
      <c r="I154" s="224"/>
      <c r="J154" s="224"/>
      <c r="K154" s="224"/>
    </row>
    <row r="155" spans="1:11" ht="36" customHeight="1" x14ac:dyDescent="0.3">
      <c r="A155" s="211" t="s">
        <v>82</v>
      </c>
      <c r="B155" s="212"/>
      <c r="C155" s="212"/>
      <c r="D155" s="212"/>
      <c r="E155" s="224"/>
      <c r="F155" s="212"/>
      <c r="G155" s="212"/>
      <c r="H155" s="224"/>
      <c r="I155" s="224"/>
      <c r="J155" s="224"/>
      <c r="K155" s="224"/>
    </row>
    <row r="156" spans="1:11" ht="36" customHeight="1" x14ac:dyDescent="0.3">
      <c r="A156" s="209" t="s">
        <v>255</v>
      </c>
      <c r="B156" s="212"/>
      <c r="C156" s="212">
        <f>C152/C154</f>
        <v>874200</v>
      </c>
      <c r="D156" s="212">
        <f>D152/D154</f>
        <v>874200</v>
      </c>
      <c r="E156" s="224"/>
      <c r="F156" s="212">
        <f>F152/F154</f>
        <v>3615000</v>
      </c>
      <c r="G156" s="212">
        <f>G152/G154</f>
        <v>3615000</v>
      </c>
      <c r="H156" s="224"/>
      <c r="I156" s="224"/>
      <c r="J156" s="224"/>
      <c r="K156" s="224"/>
    </row>
    <row r="157" spans="1:11" ht="36" customHeight="1" x14ac:dyDescent="0.3">
      <c r="A157" s="211" t="s">
        <v>83</v>
      </c>
      <c r="B157" s="212"/>
      <c r="C157" s="212"/>
      <c r="D157" s="212"/>
      <c r="E157" s="224"/>
      <c r="F157" s="212"/>
      <c r="G157" s="212"/>
      <c r="H157" s="224"/>
      <c r="I157" s="224"/>
      <c r="J157" s="224"/>
      <c r="K157" s="224"/>
    </row>
    <row r="158" spans="1:11" ht="36" customHeight="1" x14ac:dyDescent="0.3">
      <c r="A158" s="209" t="s">
        <v>206</v>
      </c>
      <c r="B158" s="212"/>
      <c r="C158" s="212">
        <v>100</v>
      </c>
      <c r="D158" s="212">
        <v>100</v>
      </c>
      <c r="E158" s="224"/>
      <c r="F158" s="212">
        <v>100</v>
      </c>
      <c r="G158" s="212">
        <v>100</v>
      </c>
      <c r="H158" s="224"/>
      <c r="I158" s="224"/>
      <c r="J158" s="224"/>
      <c r="K158" s="224"/>
    </row>
    <row r="159" spans="1:11" ht="36" customHeight="1" x14ac:dyDescent="0.3">
      <c r="A159" s="472" t="s">
        <v>434</v>
      </c>
      <c r="B159" s="473"/>
      <c r="C159" s="473"/>
      <c r="D159" s="473"/>
      <c r="E159" s="473"/>
      <c r="F159" s="473"/>
      <c r="G159" s="473"/>
      <c r="H159" s="473"/>
      <c r="I159" s="473"/>
      <c r="J159" s="473"/>
      <c r="K159" s="474"/>
    </row>
    <row r="160" spans="1:11" ht="36" customHeight="1" x14ac:dyDescent="0.3">
      <c r="A160" s="211" t="s">
        <v>79</v>
      </c>
      <c r="B160" s="212"/>
      <c r="C160" s="212"/>
      <c r="D160" s="212"/>
      <c r="E160" s="224"/>
      <c r="F160" s="224"/>
      <c r="G160" s="224"/>
      <c r="H160" s="224"/>
      <c r="I160" s="224"/>
      <c r="J160" s="224"/>
      <c r="K160" s="224"/>
    </row>
    <row r="161" spans="1:11" ht="36" customHeight="1" x14ac:dyDescent="0.3">
      <c r="A161" s="209" t="s">
        <v>181</v>
      </c>
      <c r="B161" s="212">
        <f>C161+F161</f>
        <v>2000000</v>
      </c>
      <c r="C161" s="212">
        <f>D161</f>
        <v>1000000</v>
      </c>
      <c r="D161" s="212">
        <f>дод.1!I70*1000</f>
        <v>1000000</v>
      </c>
      <c r="E161" s="212"/>
      <c r="F161" s="212">
        <f>G161+H161</f>
        <v>1000000</v>
      </c>
      <c r="G161" s="212">
        <f>дод.1!J70*1000</f>
        <v>1000000</v>
      </c>
      <c r="H161" s="212"/>
      <c r="I161" s="212"/>
      <c r="J161" s="212"/>
      <c r="K161" s="212"/>
    </row>
    <row r="162" spans="1:11" ht="36" customHeight="1" x14ac:dyDescent="0.3">
      <c r="A162" s="211" t="s">
        <v>81</v>
      </c>
      <c r="B162" s="212"/>
      <c r="C162" s="212"/>
      <c r="D162" s="212"/>
      <c r="E162" s="224"/>
      <c r="F162" s="212"/>
      <c r="G162" s="212"/>
      <c r="H162" s="224"/>
      <c r="I162" s="224"/>
      <c r="J162" s="224"/>
      <c r="K162" s="224"/>
    </row>
    <row r="163" spans="1:11" ht="36" customHeight="1" x14ac:dyDescent="0.3">
      <c r="A163" s="209" t="s">
        <v>410</v>
      </c>
      <c r="B163" s="212"/>
      <c r="C163" s="212">
        <v>2</v>
      </c>
      <c r="D163" s="212">
        <v>2</v>
      </c>
      <c r="E163" s="224"/>
      <c r="F163" s="212">
        <v>2</v>
      </c>
      <c r="G163" s="212">
        <v>2</v>
      </c>
      <c r="H163" s="224"/>
      <c r="I163" s="224"/>
      <c r="J163" s="224"/>
      <c r="K163" s="224"/>
    </row>
    <row r="164" spans="1:11" ht="62.25" customHeight="1" x14ac:dyDescent="0.3">
      <c r="A164" s="209" t="s">
        <v>404</v>
      </c>
      <c r="B164" s="212"/>
      <c r="C164" s="212">
        <f>D164</f>
        <v>60</v>
      </c>
      <c r="D164" s="212">
        <f>50+10</f>
        <v>60</v>
      </c>
      <c r="E164" s="224"/>
      <c r="F164" s="212">
        <v>60</v>
      </c>
      <c r="G164" s="212">
        <v>60</v>
      </c>
      <c r="H164" s="224"/>
      <c r="I164" s="224"/>
      <c r="J164" s="224"/>
      <c r="K164" s="224"/>
    </row>
    <row r="165" spans="1:11" ht="36" customHeight="1" x14ac:dyDescent="0.3">
      <c r="A165" s="211" t="s">
        <v>82</v>
      </c>
      <c r="B165" s="212"/>
      <c r="C165" s="212"/>
      <c r="D165" s="212"/>
      <c r="E165" s="224"/>
      <c r="F165" s="212"/>
      <c r="G165" s="212"/>
      <c r="H165" s="224"/>
      <c r="I165" s="224"/>
      <c r="J165" s="224"/>
      <c r="K165" s="224"/>
    </row>
    <row r="166" spans="1:11" ht="36" customHeight="1" x14ac:dyDescent="0.3">
      <c r="A166" s="209" t="s">
        <v>405</v>
      </c>
      <c r="B166" s="212"/>
      <c r="C166" s="212">
        <f>D166</f>
        <v>16666.666666666668</v>
      </c>
      <c r="D166" s="212">
        <f>D161/D164</f>
        <v>16666.666666666668</v>
      </c>
      <c r="E166" s="224"/>
      <c r="F166" s="212">
        <f>F161/F164</f>
        <v>16666.666666666668</v>
      </c>
      <c r="G166" s="212">
        <f>G161/G164</f>
        <v>16666.666666666668</v>
      </c>
      <c r="H166" s="224"/>
      <c r="I166" s="224"/>
      <c r="J166" s="224"/>
      <c r="K166" s="224"/>
    </row>
    <row r="167" spans="1:11" ht="36" customHeight="1" x14ac:dyDescent="0.3">
      <c r="A167" s="472" t="s">
        <v>435</v>
      </c>
      <c r="B167" s="473"/>
      <c r="C167" s="473"/>
      <c r="D167" s="473"/>
      <c r="E167" s="473"/>
      <c r="F167" s="473"/>
      <c r="G167" s="473"/>
      <c r="H167" s="473"/>
      <c r="I167" s="473"/>
      <c r="J167" s="473"/>
      <c r="K167" s="474"/>
    </row>
    <row r="168" spans="1:11" ht="36" customHeight="1" x14ac:dyDescent="0.3">
      <c r="A168" s="211" t="s">
        <v>79</v>
      </c>
      <c r="B168" s="212"/>
      <c r="C168" s="212"/>
      <c r="D168" s="212"/>
      <c r="E168" s="224"/>
      <c r="F168" s="224"/>
      <c r="G168" s="224"/>
      <c r="H168" s="224"/>
      <c r="I168" s="224"/>
      <c r="J168" s="224"/>
      <c r="K168" s="224"/>
    </row>
    <row r="169" spans="1:11" ht="36" customHeight="1" x14ac:dyDescent="0.3">
      <c r="A169" s="209" t="s">
        <v>265</v>
      </c>
      <c r="B169" s="208">
        <f>C169+F169+I169</f>
        <v>8119900</v>
      </c>
      <c r="C169" s="208"/>
      <c r="D169" s="208"/>
      <c r="E169" s="225"/>
      <c r="F169" s="225">
        <f>G169</f>
        <v>8119900</v>
      </c>
      <c r="G169" s="225">
        <f>дод.1!J73*1000</f>
        <v>8119900</v>
      </c>
      <c r="H169" s="225"/>
      <c r="I169" s="224"/>
      <c r="J169" s="224"/>
      <c r="K169" s="224"/>
    </row>
    <row r="170" spans="1:11" ht="36" customHeight="1" x14ac:dyDescent="0.3">
      <c r="A170" s="209" t="s">
        <v>424</v>
      </c>
      <c r="B170" s="212"/>
      <c r="C170" s="212"/>
      <c r="D170" s="212"/>
      <c r="E170" s="224"/>
      <c r="F170" s="226">
        <f>G170</f>
        <v>27.25</v>
      </c>
      <c r="G170" s="226">
        <v>27.25</v>
      </c>
      <c r="H170" s="224"/>
      <c r="I170" s="224"/>
      <c r="J170" s="224"/>
      <c r="K170" s="224"/>
    </row>
    <row r="171" spans="1:11" ht="36" customHeight="1" x14ac:dyDescent="0.3">
      <c r="A171" s="209" t="s">
        <v>428</v>
      </c>
      <c r="B171" s="212"/>
      <c r="C171" s="212"/>
      <c r="D171" s="212"/>
      <c r="E171" s="224"/>
      <c r="F171" s="226"/>
      <c r="G171" s="226"/>
      <c r="H171" s="224"/>
      <c r="I171" s="224"/>
      <c r="J171" s="224"/>
      <c r="K171" s="224"/>
    </row>
    <row r="172" spans="1:11" ht="36" customHeight="1" x14ac:dyDescent="0.3">
      <c r="A172" s="209" t="s">
        <v>429</v>
      </c>
      <c r="B172" s="212"/>
      <c r="C172" s="212"/>
      <c r="D172" s="212"/>
      <c r="E172" s="224"/>
      <c r="F172" s="226">
        <f>G172</f>
        <v>5.25</v>
      </c>
      <c r="G172" s="226">
        <v>5.25</v>
      </c>
      <c r="H172" s="224"/>
      <c r="I172" s="224"/>
      <c r="J172" s="224"/>
      <c r="K172" s="224"/>
    </row>
    <row r="173" spans="1:11" ht="36" customHeight="1" x14ac:dyDescent="0.3">
      <c r="A173" s="209" t="s">
        <v>430</v>
      </c>
      <c r="B173" s="212"/>
      <c r="C173" s="212"/>
      <c r="D173" s="212"/>
      <c r="E173" s="224"/>
      <c r="F173" s="226">
        <f>G173</f>
        <v>26</v>
      </c>
      <c r="G173" s="226">
        <v>26</v>
      </c>
      <c r="H173" s="224"/>
      <c r="I173" s="224"/>
      <c r="J173" s="224"/>
      <c r="K173" s="224"/>
    </row>
    <row r="174" spans="1:11" ht="36" customHeight="1" x14ac:dyDescent="0.3">
      <c r="A174" s="209" t="s">
        <v>431</v>
      </c>
      <c r="B174" s="212"/>
      <c r="C174" s="212"/>
      <c r="D174" s="212"/>
      <c r="E174" s="224"/>
      <c r="F174" s="226"/>
      <c r="G174" s="226"/>
      <c r="H174" s="224"/>
      <c r="I174" s="224"/>
      <c r="J174" s="224"/>
      <c r="K174" s="224"/>
    </row>
    <row r="175" spans="1:11" ht="36" customHeight="1" x14ac:dyDescent="0.3">
      <c r="A175" s="211" t="s">
        <v>81</v>
      </c>
      <c r="B175" s="212"/>
      <c r="C175" s="212"/>
      <c r="D175" s="212"/>
      <c r="E175" s="224"/>
      <c r="F175" s="224"/>
      <c r="G175" s="224"/>
      <c r="H175" s="224"/>
      <c r="I175" s="224"/>
      <c r="J175" s="224"/>
      <c r="K175" s="224"/>
    </row>
    <row r="176" spans="1:11" ht="36" customHeight="1" x14ac:dyDescent="0.3">
      <c r="A176" s="209" t="s">
        <v>425</v>
      </c>
      <c r="B176" s="212"/>
      <c r="C176" s="212"/>
      <c r="D176" s="212"/>
      <c r="E176" s="224"/>
      <c r="F176" s="224">
        <f>G176</f>
        <v>1200</v>
      </c>
      <c r="G176" s="224">
        <v>1200</v>
      </c>
      <c r="H176" s="224"/>
      <c r="I176" s="224"/>
      <c r="J176" s="224"/>
      <c r="K176" s="224"/>
    </row>
    <row r="177" spans="1:11" ht="36" customHeight="1" x14ac:dyDescent="0.3">
      <c r="A177" s="211" t="s">
        <v>82</v>
      </c>
      <c r="B177" s="212"/>
      <c r="C177" s="212"/>
      <c r="D177" s="212"/>
      <c r="E177" s="224"/>
      <c r="F177" s="224"/>
      <c r="G177" s="224"/>
      <c r="H177" s="224"/>
      <c r="I177" s="224"/>
      <c r="J177" s="224"/>
      <c r="K177" s="224"/>
    </row>
    <row r="178" spans="1:11" ht="58.5" customHeight="1" x14ac:dyDescent="0.3">
      <c r="A178" s="209" t="s">
        <v>426</v>
      </c>
      <c r="B178" s="212"/>
      <c r="C178" s="212"/>
      <c r="D178" s="212"/>
      <c r="E178" s="224"/>
      <c r="F178" s="224">
        <f>G178</f>
        <v>229</v>
      </c>
      <c r="G178" s="224">
        <v>229</v>
      </c>
      <c r="H178" s="224"/>
      <c r="I178" s="224"/>
      <c r="J178" s="224"/>
      <c r="K178" s="224"/>
    </row>
    <row r="179" spans="1:11" ht="36" customHeight="1" x14ac:dyDescent="0.3">
      <c r="A179" s="211" t="s">
        <v>83</v>
      </c>
      <c r="B179" s="212"/>
      <c r="C179" s="212"/>
      <c r="D179" s="212"/>
      <c r="E179" s="224"/>
      <c r="F179" s="224"/>
      <c r="G179" s="224"/>
      <c r="H179" s="224"/>
      <c r="I179" s="224"/>
      <c r="J179" s="224"/>
      <c r="K179" s="224"/>
    </row>
    <row r="180" spans="1:11" ht="36" customHeight="1" x14ac:dyDescent="0.3">
      <c r="A180" s="209" t="s">
        <v>427</v>
      </c>
      <c r="B180" s="212"/>
      <c r="C180" s="212"/>
      <c r="D180" s="212"/>
      <c r="E180" s="224"/>
      <c r="F180" s="224"/>
      <c r="G180" s="224"/>
      <c r="H180" s="224"/>
      <c r="I180" s="224"/>
      <c r="J180" s="224"/>
      <c r="K180" s="224"/>
    </row>
    <row r="181" spans="1:11" ht="28.5" customHeight="1" x14ac:dyDescent="0.3">
      <c r="A181" s="472" t="s">
        <v>323</v>
      </c>
      <c r="B181" s="473"/>
      <c r="C181" s="473"/>
      <c r="D181" s="473"/>
      <c r="E181" s="473"/>
      <c r="F181" s="473"/>
      <c r="G181" s="473"/>
      <c r="H181" s="473"/>
      <c r="I181" s="473"/>
      <c r="J181" s="473"/>
      <c r="K181" s="474"/>
    </row>
    <row r="182" spans="1:11" ht="28.5" customHeight="1" x14ac:dyDescent="0.3">
      <c r="A182" s="475" t="s">
        <v>324</v>
      </c>
      <c r="B182" s="476"/>
      <c r="C182" s="476"/>
      <c r="D182" s="476"/>
      <c r="E182" s="476"/>
      <c r="F182" s="476"/>
      <c r="G182" s="476"/>
      <c r="H182" s="476"/>
      <c r="I182" s="476"/>
      <c r="J182" s="476"/>
      <c r="K182" s="477"/>
    </row>
    <row r="183" spans="1:11" ht="28.5" customHeight="1" x14ac:dyDescent="0.3">
      <c r="A183" s="211" t="s">
        <v>79</v>
      </c>
      <c r="B183" s="211"/>
      <c r="C183" s="211"/>
      <c r="D183" s="211"/>
      <c r="E183" s="211"/>
      <c r="F183" s="211"/>
      <c r="G183" s="211"/>
      <c r="H183" s="211"/>
      <c r="I183" s="211"/>
      <c r="J183" s="211"/>
      <c r="K183" s="211"/>
    </row>
    <row r="184" spans="1:11" ht="28.5" customHeight="1" x14ac:dyDescent="0.3">
      <c r="A184" s="209" t="s">
        <v>266</v>
      </c>
      <c r="B184" s="208">
        <f>C184+F184+I184</f>
        <v>16243100</v>
      </c>
      <c r="C184" s="208">
        <f>D184+E184</f>
        <v>5058300</v>
      </c>
      <c r="D184" s="208">
        <f>(дод.1!I91+дод.1!I92)*1000</f>
        <v>5058300</v>
      </c>
      <c r="E184" s="208"/>
      <c r="F184" s="208">
        <f>G184+H184</f>
        <v>5512000</v>
      </c>
      <c r="G184" s="208">
        <f>дод.1!J92*1000</f>
        <v>5512000</v>
      </c>
      <c r="H184" s="208"/>
      <c r="I184" s="208">
        <f>J184+K184</f>
        <v>5672800</v>
      </c>
      <c r="J184" s="208">
        <f>дод.1!K92*1000</f>
        <v>5672800</v>
      </c>
      <c r="K184" s="208"/>
    </row>
    <row r="185" spans="1:11" ht="28.5" customHeight="1" x14ac:dyDescent="0.3">
      <c r="A185" s="211" t="s">
        <v>124</v>
      </c>
      <c r="B185" s="208"/>
      <c r="C185" s="227"/>
      <c r="D185" s="227"/>
      <c r="E185" s="227"/>
      <c r="F185" s="227"/>
      <c r="G185" s="227"/>
      <c r="H185" s="227"/>
      <c r="I185" s="227"/>
      <c r="J185" s="227"/>
      <c r="K185" s="208"/>
    </row>
    <row r="186" spans="1:11" ht="28.5" customHeight="1" x14ac:dyDescent="0.3">
      <c r="A186" s="209" t="s">
        <v>186</v>
      </c>
      <c r="B186" s="208"/>
      <c r="C186" s="212">
        <v>1</v>
      </c>
      <c r="D186" s="212">
        <v>1</v>
      </c>
      <c r="E186" s="208"/>
      <c r="F186" s="212">
        <v>1</v>
      </c>
      <c r="G186" s="212">
        <v>1</v>
      </c>
      <c r="H186" s="212"/>
      <c r="I186" s="212">
        <v>1</v>
      </c>
      <c r="J186" s="212">
        <v>1</v>
      </c>
      <c r="K186" s="208"/>
    </row>
    <row r="187" spans="1:11" ht="28.5" customHeight="1" x14ac:dyDescent="0.3">
      <c r="A187" s="211" t="s">
        <v>82</v>
      </c>
      <c r="B187" s="208"/>
      <c r="C187" s="212"/>
      <c r="D187" s="212"/>
      <c r="E187" s="212"/>
      <c r="F187" s="212"/>
      <c r="G187" s="212"/>
      <c r="H187" s="212"/>
      <c r="I187" s="212"/>
      <c r="J187" s="212"/>
      <c r="K187" s="208"/>
    </row>
    <row r="188" spans="1:11" ht="28.5" customHeight="1" x14ac:dyDescent="0.3">
      <c r="A188" s="209" t="s">
        <v>255</v>
      </c>
      <c r="B188" s="208"/>
      <c r="C188" s="212">
        <f>C184/C186</f>
        <v>5058300</v>
      </c>
      <c r="D188" s="212">
        <f>D184/D186</f>
        <v>5058300</v>
      </c>
      <c r="E188" s="212"/>
      <c r="F188" s="212">
        <f t="shared" ref="F188:J188" si="20">F184/F186</f>
        <v>5512000</v>
      </c>
      <c r="G188" s="212">
        <f t="shared" si="20"/>
        <v>5512000</v>
      </c>
      <c r="H188" s="212"/>
      <c r="I188" s="212">
        <f t="shared" si="20"/>
        <v>5672800</v>
      </c>
      <c r="J188" s="212">
        <f t="shared" si="20"/>
        <v>5672800</v>
      </c>
      <c r="K188" s="208"/>
    </row>
    <row r="189" spans="1:11" ht="28.5" customHeight="1" x14ac:dyDescent="0.3">
      <c r="A189" s="211" t="s">
        <v>83</v>
      </c>
      <c r="B189" s="212"/>
      <c r="C189" s="212"/>
      <c r="D189" s="212"/>
      <c r="E189" s="212"/>
      <c r="F189" s="212"/>
      <c r="G189" s="212"/>
      <c r="H189" s="212"/>
      <c r="I189" s="212"/>
      <c r="J189" s="212"/>
      <c r="K189" s="208"/>
    </row>
    <row r="190" spans="1:11" ht="28.5" customHeight="1" x14ac:dyDescent="0.3">
      <c r="A190" s="209" t="s">
        <v>206</v>
      </c>
      <c r="B190" s="212"/>
      <c r="C190" s="212">
        <v>100</v>
      </c>
      <c r="D190" s="212">
        <v>100</v>
      </c>
      <c r="E190" s="212"/>
      <c r="F190" s="212">
        <v>100</v>
      </c>
      <c r="G190" s="212">
        <v>100</v>
      </c>
      <c r="H190" s="212"/>
      <c r="I190" s="212">
        <v>100</v>
      </c>
      <c r="J190" s="212">
        <v>100</v>
      </c>
      <c r="K190" s="208"/>
    </row>
    <row r="191" spans="1:11" ht="75.75" customHeight="1" x14ac:dyDescent="0.3">
      <c r="A191" s="209" t="s">
        <v>247</v>
      </c>
      <c r="B191" s="212"/>
      <c r="C191" s="212">
        <f>D191</f>
        <v>129.42260421829212</v>
      </c>
      <c r="D191" s="212">
        <f>D184/3908359*100</f>
        <v>129.42260421829212</v>
      </c>
      <c r="E191" s="212"/>
      <c r="F191" s="212">
        <f>G191</f>
        <v>108.96941660241583</v>
      </c>
      <c r="G191" s="212">
        <f>G184/D184*100</f>
        <v>108.96941660241583</v>
      </c>
      <c r="H191" s="212"/>
      <c r="I191" s="212">
        <f>J191</f>
        <v>102.91727140783745</v>
      </c>
      <c r="J191" s="212">
        <f>J184/G184*100</f>
        <v>102.91727140783745</v>
      </c>
      <c r="K191" s="208"/>
    </row>
    <row r="192" spans="1:11" ht="28.5" customHeight="1" x14ac:dyDescent="0.3">
      <c r="A192" s="472" t="s">
        <v>325</v>
      </c>
      <c r="B192" s="473"/>
      <c r="C192" s="473"/>
      <c r="D192" s="473"/>
      <c r="E192" s="473"/>
      <c r="F192" s="473"/>
      <c r="G192" s="473"/>
      <c r="H192" s="473"/>
      <c r="I192" s="473"/>
      <c r="J192" s="473"/>
      <c r="K192" s="474"/>
    </row>
    <row r="193" spans="1:11" ht="28.5" customHeight="1" x14ac:dyDescent="0.3">
      <c r="A193" s="475" t="s">
        <v>326</v>
      </c>
      <c r="B193" s="476"/>
      <c r="C193" s="476"/>
      <c r="D193" s="476"/>
      <c r="E193" s="476"/>
      <c r="F193" s="476"/>
      <c r="G193" s="476"/>
      <c r="H193" s="476"/>
      <c r="I193" s="476"/>
      <c r="J193" s="476"/>
      <c r="K193" s="477"/>
    </row>
    <row r="194" spans="1:11" ht="28.5" customHeight="1" x14ac:dyDescent="0.3">
      <c r="A194" s="211" t="s">
        <v>79</v>
      </c>
      <c r="B194" s="211"/>
      <c r="C194" s="211"/>
      <c r="D194" s="211"/>
      <c r="E194" s="211"/>
      <c r="F194" s="211"/>
      <c r="G194" s="211"/>
      <c r="H194" s="211"/>
      <c r="I194" s="211"/>
      <c r="J194" s="211"/>
      <c r="K194" s="211"/>
    </row>
    <row r="195" spans="1:11" ht="28.5" customHeight="1" x14ac:dyDescent="0.3">
      <c r="A195" s="209" t="s">
        <v>266</v>
      </c>
      <c r="B195" s="208">
        <f>C195+F195+I195</f>
        <v>31633300</v>
      </c>
      <c r="C195" s="208">
        <f>D195+E195</f>
        <v>11493100</v>
      </c>
      <c r="D195" s="208">
        <f>дод.1!I97*1000</f>
        <v>11493100</v>
      </c>
      <c r="E195" s="208"/>
      <c r="F195" s="208">
        <f>G195+H195</f>
        <v>11836100</v>
      </c>
      <c r="G195" s="208">
        <f>дод.1!J97*1000</f>
        <v>11836100</v>
      </c>
      <c r="H195" s="208"/>
      <c r="I195" s="208">
        <f>J195+K195</f>
        <v>8304100</v>
      </c>
      <c r="J195" s="208">
        <f>дод.1!K97*1000</f>
        <v>8304100</v>
      </c>
      <c r="K195" s="208"/>
    </row>
    <row r="196" spans="1:11" ht="28.5" customHeight="1" x14ac:dyDescent="0.3">
      <c r="A196" s="209" t="s">
        <v>186</v>
      </c>
      <c r="B196" s="208"/>
      <c r="C196" s="212">
        <v>1</v>
      </c>
      <c r="D196" s="212">
        <v>1</v>
      </c>
      <c r="E196" s="212"/>
      <c r="F196" s="212">
        <v>1</v>
      </c>
      <c r="G196" s="212">
        <v>1</v>
      </c>
      <c r="H196" s="212"/>
      <c r="I196" s="212">
        <v>1</v>
      </c>
      <c r="J196" s="212">
        <v>1</v>
      </c>
      <c r="K196" s="212"/>
    </row>
    <row r="197" spans="1:11" ht="28.5" customHeight="1" x14ac:dyDescent="0.3">
      <c r="A197" s="209" t="s">
        <v>194</v>
      </c>
      <c r="B197" s="208"/>
      <c r="C197" s="101">
        <f>D197</f>
        <v>63.5</v>
      </c>
      <c r="D197" s="101">
        <v>63.5</v>
      </c>
      <c r="E197" s="212"/>
      <c r="F197" s="101">
        <f>G197</f>
        <v>63.5</v>
      </c>
      <c r="G197" s="101">
        <v>63.5</v>
      </c>
      <c r="H197" s="212"/>
      <c r="I197" s="101">
        <f>J197</f>
        <v>63.5</v>
      </c>
      <c r="J197" s="101">
        <v>63.5</v>
      </c>
      <c r="K197" s="212"/>
    </row>
    <row r="198" spans="1:11" ht="28.5" customHeight="1" x14ac:dyDescent="0.3">
      <c r="A198" s="209" t="s">
        <v>230</v>
      </c>
      <c r="B198" s="208"/>
      <c r="C198" s="101">
        <f t="shared" ref="C198:C201" si="21">D198</f>
        <v>22.5</v>
      </c>
      <c r="D198" s="101">
        <v>22.5</v>
      </c>
      <c r="E198" s="212"/>
      <c r="F198" s="101">
        <f t="shared" ref="F198:F201" si="22">G198</f>
        <v>21</v>
      </c>
      <c r="G198" s="101">
        <v>21</v>
      </c>
      <c r="H198" s="212"/>
      <c r="I198" s="101">
        <f t="shared" ref="I198:I201" si="23">J198</f>
        <v>22.5</v>
      </c>
      <c r="J198" s="101">
        <v>22.5</v>
      </c>
      <c r="K198" s="212"/>
    </row>
    <row r="199" spans="1:11" ht="28.5" customHeight="1" x14ac:dyDescent="0.3">
      <c r="A199" s="211" t="s">
        <v>124</v>
      </c>
      <c r="B199" s="208"/>
      <c r="C199" s="101"/>
      <c r="D199" s="228"/>
      <c r="E199" s="212"/>
      <c r="F199" s="212"/>
      <c r="G199" s="212"/>
      <c r="H199" s="212"/>
      <c r="I199" s="212">
        <f t="shared" si="23"/>
        <v>0</v>
      </c>
      <c r="J199" s="212"/>
      <c r="K199" s="212"/>
    </row>
    <row r="200" spans="1:11" ht="28.5" customHeight="1" x14ac:dyDescent="0.3">
      <c r="A200" s="209" t="s">
        <v>187</v>
      </c>
      <c r="B200" s="208"/>
      <c r="C200" s="212">
        <f t="shared" si="21"/>
        <v>32550</v>
      </c>
      <c r="D200" s="212">
        <v>32550</v>
      </c>
      <c r="E200" s="212"/>
      <c r="F200" s="212">
        <f t="shared" si="22"/>
        <v>23274</v>
      </c>
      <c r="G200" s="212">
        <v>23274</v>
      </c>
      <c r="H200" s="212"/>
      <c r="I200" s="212">
        <f t="shared" si="23"/>
        <v>33000</v>
      </c>
      <c r="J200" s="212">
        <v>33000</v>
      </c>
      <c r="K200" s="212"/>
    </row>
    <row r="201" spans="1:11" ht="28.5" customHeight="1" x14ac:dyDescent="0.3">
      <c r="A201" s="209" t="s">
        <v>231</v>
      </c>
      <c r="B201" s="208"/>
      <c r="C201" s="212">
        <f t="shared" si="21"/>
        <v>8600</v>
      </c>
      <c r="D201" s="212">
        <v>8600</v>
      </c>
      <c r="E201" s="212"/>
      <c r="F201" s="212">
        <f t="shared" si="22"/>
        <v>8700</v>
      </c>
      <c r="G201" s="212">
        <v>8700</v>
      </c>
      <c r="H201" s="212"/>
      <c r="I201" s="212">
        <f t="shared" si="23"/>
        <v>2790</v>
      </c>
      <c r="J201" s="212">
        <v>2790</v>
      </c>
      <c r="K201" s="212"/>
    </row>
    <row r="202" spans="1:11" ht="28.5" customHeight="1" x14ac:dyDescent="0.3">
      <c r="A202" s="209" t="s">
        <v>199</v>
      </c>
      <c r="B202" s="208"/>
      <c r="C202" s="212"/>
      <c r="D202" s="212"/>
      <c r="E202" s="212"/>
      <c r="F202" s="212"/>
      <c r="G202" s="212"/>
      <c r="H202" s="212"/>
      <c r="I202" s="212"/>
      <c r="J202" s="212"/>
      <c r="K202" s="212"/>
    </row>
    <row r="203" spans="1:11" ht="28.5" customHeight="1" x14ac:dyDescent="0.3">
      <c r="A203" s="211" t="s">
        <v>123</v>
      </c>
      <c r="B203" s="212"/>
      <c r="C203" s="101"/>
      <c r="D203" s="212"/>
      <c r="E203" s="212"/>
      <c r="F203" s="212"/>
      <c r="G203" s="212"/>
      <c r="H203" s="212"/>
      <c r="I203" s="212"/>
      <c r="J203" s="212"/>
      <c r="K203" s="208"/>
    </row>
    <row r="204" spans="1:11" ht="39.75" customHeight="1" x14ac:dyDescent="0.3">
      <c r="A204" s="209" t="s">
        <v>354</v>
      </c>
      <c r="B204" s="212"/>
      <c r="C204" s="212">
        <f t="shared" ref="C204" si="24">D204</f>
        <v>382</v>
      </c>
      <c r="D204" s="212">
        <v>382</v>
      </c>
      <c r="E204" s="212"/>
      <c r="F204" s="212">
        <f t="shared" ref="F204" si="25">G204</f>
        <v>414</v>
      </c>
      <c r="G204" s="212">
        <v>414</v>
      </c>
      <c r="H204" s="212"/>
      <c r="I204" s="212">
        <f t="shared" ref="I204" si="26">J204</f>
        <v>391</v>
      </c>
      <c r="J204" s="212">
        <v>391</v>
      </c>
      <c r="K204" s="208"/>
    </row>
    <row r="205" spans="1:11" ht="45.75" customHeight="1" x14ac:dyDescent="0.3">
      <c r="A205" s="209" t="s">
        <v>268</v>
      </c>
      <c r="B205" s="212"/>
      <c r="C205" s="212">
        <f t="shared" ref="C205" si="27">C200/C198</f>
        <v>1446.6666666666667</v>
      </c>
      <c r="D205" s="212">
        <f>D200/D198</f>
        <v>1446.6666666666667</v>
      </c>
      <c r="E205" s="212"/>
      <c r="F205" s="212">
        <f t="shared" ref="F205:J205" si="28">F200/F198</f>
        <v>1108.2857142857142</v>
      </c>
      <c r="G205" s="212">
        <f t="shared" si="28"/>
        <v>1108.2857142857142</v>
      </c>
      <c r="H205" s="212"/>
      <c r="I205" s="212">
        <f t="shared" si="28"/>
        <v>1466.6666666666667</v>
      </c>
      <c r="J205" s="212">
        <f t="shared" si="28"/>
        <v>1466.6666666666667</v>
      </c>
      <c r="K205" s="208"/>
    </row>
    <row r="206" spans="1:11" ht="53.25" customHeight="1" x14ac:dyDescent="0.3">
      <c r="A206" s="209" t="s">
        <v>267</v>
      </c>
      <c r="B206" s="212"/>
      <c r="C206" s="212">
        <f>(C195+C209)/C200</f>
        <v>380.60522273425499</v>
      </c>
      <c r="D206" s="212">
        <v>353</v>
      </c>
      <c r="E206" s="212"/>
      <c r="F206" s="212">
        <f>G206</f>
        <v>508.5</v>
      </c>
      <c r="G206" s="212">
        <v>508.5</v>
      </c>
      <c r="H206" s="212"/>
      <c r="I206" s="212">
        <f>(I195+I209)/I200</f>
        <v>282.07575757575756</v>
      </c>
      <c r="J206" s="212">
        <f>(J195+J209)/J200</f>
        <v>282.07575757575756</v>
      </c>
      <c r="K206" s="208"/>
    </row>
    <row r="207" spans="1:11" ht="28.5" customHeight="1" x14ac:dyDescent="0.3">
      <c r="A207" s="475" t="s">
        <v>327</v>
      </c>
      <c r="B207" s="476"/>
      <c r="C207" s="476"/>
      <c r="D207" s="476"/>
      <c r="E207" s="476"/>
      <c r="F207" s="476"/>
      <c r="G207" s="476"/>
      <c r="H207" s="476"/>
      <c r="I207" s="476"/>
      <c r="J207" s="476"/>
      <c r="K207" s="477"/>
    </row>
    <row r="208" spans="1:11" ht="28.5" customHeight="1" x14ac:dyDescent="0.3">
      <c r="A208" s="211" t="s">
        <v>79</v>
      </c>
      <c r="B208" s="213"/>
      <c r="C208" s="213"/>
      <c r="D208" s="213"/>
      <c r="E208" s="213"/>
      <c r="F208" s="213"/>
      <c r="G208" s="213"/>
      <c r="H208" s="213"/>
      <c r="I208" s="213"/>
      <c r="J208" s="213"/>
      <c r="K208" s="213"/>
    </row>
    <row r="209" spans="1:12" ht="28.5" customHeight="1" x14ac:dyDescent="0.3">
      <c r="A209" s="209" t="s">
        <v>185</v>
      </c>
      <c r="B209" s="214">
        <f>C209+F209+I209</f>
        <v>2910700</v>
      </c>
      <c r="C209" s="214">
        <f>D209+E209</f>
        <v>895599.99999999988</v>
      </c>
      <c r="D209" s="214">
        <f>дод.1!I98*1000</f>
        <v>895599.99999999988</v>
      </c>
      <c r="E209" s="214"/>
      <c r="F209" s="214">
        <f>G209+H209</f>
        <v>1010700</v>
      </c>
      <c r="G209" s="214">
        <f>дод.1!J98*1000</f>
        <v>1010700</v>
      </c>
      <c r="H209" s="214"/>
      <c r="I209" s="214">
        <f>J209+K209</f>
        <v>1004400</v>
      </c>
      <c r="J209" s="214">
        <f>дод.1!K98*1000</f>
        <v>1004400</v>
      </c>
      <c r="K209" s="216"/>
    </row>
    <row r="210" spans="1:12" ht="28.5" customHeight="1" x14ac:dyDescent="0.3">
      <c r="A210" s="211" t="s">
        <v>124</v>
      </c>
      <c r="B210" s="216"/>
      <c r="C210" s="216"/>
      <c r="D210" s="216"/>
      <c r="E210" s="216"/>
      <c r="F210" s="216"/>
      <c r="G210" s="216"/>
      <c r="H210" s="216"/>
      <c r="I210" s="216"/>
      <c r="J210" s="216"/>
      <c r="K210" s="216"/>
    </row>
    <row r="211" spans="1:12" ht="28.5" customHeight="1" x14ac:dyDescent="0.3">
      <c r="A211" s="209" t="s">
        <v>186</v>
      </c>
      <c r="B211" s="216"/>
      <c r="C211" s="216">
        <v>1</v>
      </c>
      <c r="D211" s="216">
        <v>1</v>
      </c>
      <c r="E211" s="216"/>
      <c r="F211" s="216">
        <v>1</v>
      </c>
      <c r="G211" s="216">
        <v>1</v>
      </c>
      <c r="H211" s="216"/>
      <c r="I211" s="216">
        <v>1</v>
      </c>
      <c r="J211" s="216">
        <v>1</v>
      </c>
      <c r="K211" s="216"/>
    </row>
    <row r="212" spans="1:12" ht="28.5" customHeight="1" x14ac:dyDescent="0.3">
      <c r="A212" s="211" t="s">
        <v>82</v>
      </c>
      <c r="B212" s="216"/>
      <c r="C212" s="216"/>
      <c r="D212" s="216"/>
      <c r="E212" s="216"/>
      <c r="F212" s="216"/>
      <c r="G212" s="216"/>
      <c r="H212" s="216"/>
      <c r="I212" s="216"/>
      <c r="J212" s="216"/>
      <c r="K212" s="216"/>
    </row>
    <row r="213" spans="1:12" ht="28.5" customHeight="1" x14ac:dyDescent="0.3">
      <c r="A213" s="209" t="s">
        <v>255</v>
      </c>
      <c r="B213" s="216"/>
      <c r="C213" s="216">
        <f t="shared" ref="C213" si="29">C209/C211</f>
        <v>895599.99999999988</v>
      </c>
      <c r="D213" s="216">
        <f>D209/D211</f>
        <v>895599.99999999988</v>
      </c>
      <c r="E213" s="216"/>
      <c r="F213" s="216">
        <f t="shared" ref="F213:J213" si="30">F209/F211</f>
        <v>1010700</v>
      </c>
      <c r="G213" s="216">
        <f t="shared" si="30"/>
        <v>1010700</v>
      </c>
      <c r="H213" s="216"/>
      <c r="I213" s="216">
        <f t="shared" si="30"/>
        <v>1004400</v>
      </c>
      <c r="J213" s="216">
        <f t="shared" si="30"/>
        <v>1004400</v>
      </c>
      <c r="K213" s="216"/>
    </row>
    <row r="214" spans="1:12" ht="28.5" customHeight="1" x14ac:dyDescent="0.3">
      <c r="A214" s="211" t="s">
        <v>83</v>
      </c>
      <c r="B214" s="216"/>
      <c r="C214" s="216"/>
      <c r="D214" s="216"/>
      <c r="E214" s="216"/>
      <c r="F214" s="216"/>
      <c r="G214" s="216"/>
      <c r="H214" s="216"/>
      <c r="I214" s="216"/>
      <c r="J214" s="216"/>
      <c r="K214" s="216"/>
    </row>
    <row r="215" spans="1:12" ht="28.5" customHeight="1" x14ac:dyDescent="0.3">
      <c r="A215" s="209" t="s">
        <v>206</v>
      </c>
      <c r="B215" s="216"/>
      <c r="C215" s="216">
        <v>100</v>
      </c>
      <c r="D215" s="216">
        <v>100</v>
      </c>
      <c r="E215" s="216"/>
      <c r="F215" s="216">
        <v>100</v>
      </c>
      <c r="G215" s="216">
        <v>100</v>
      </c>
      <c r="H215" s="216"/>
      <c r="I215" s="216">
        <v>100</v>
      </c>
      <c r="J215" s="216">
        <v>100</v>
      </c>
      <c r="K215" s="216"/>
    </row>
    <row r="216" spans="1:12" ht="70.5" customHeight="1" x14ac:dyDescent="0.3">
      <c r="A216" s="209" t="s">
        <v>355</v>
      </c>
      <c r="B216" s="216"/>
      <c r="C216" s="216">
        <f>D216</f>
        <v>150.31738518913872</v>
      </c>
      <c r="D216" s="216">
        <f>D209/595806*100</f>
        <v>150.31738518913872</v>
      </c>
      <c r="E216" s="216"/>
      <c r="F216" s="216">
        <f>G216</f>
        <v>112.85171951764181</v>
      </c>
      <c r="G216" s="216">
        <f>G209/D209*100</f>
        <v>112.85171951764181</v>
      </c>
      <c r="H216" s="216"/>
      <c r="I216" s="216">
        <f>J216</f>
        <v>99.376669634906506</v>
      </c>
      <c r="J216" s="216">
        <f>J209/G209*100</f>
        <v>99.376669634906506</v>
      </c>
      <c r="K216" s="216"/>
    </row>
    <row r="217" spans="1:12" ht="36" customHeight="1" x14ac:dyDescent="0.3">
      <c r="A217" s="472" t="s">
        <v>356</v>
      </c>
      <c r="B217" s="473"/>
      <c r="C217" s="473"/>
      <c r="D217" s="473"/>
      <c r="E217" s="473"/>
      <c r="F217" s="473"/>
      <c r="G217" s="473"/>
      <c r="H217" s="473"/>
      <c r="I217" s="473"/>
      <c r="J217" s="473"/>
      <c r="K217" s="474"/>
    </row>
    <row r="218" spans="1:12" ht="36" customHeight="1" x14ac:dyDescent="0.3">
      <c r="A218" s="207" t="s">
        <v>269</v>
      </c>
      <c r="B218" s="211">
        <f>B221+B230+B246+B255</f>
        <v>54936200</v>
      </c>
      <c r="C218" s="211">
        <f>D218+E218</f>
        <v>17774900</v>
      </c>
      <c r="D218" s="211">
        <f>D221+D230+D246+D255</f>
        <v>17774900</v>
      </c>
      <c r="E218" s="211"/>
      <c r="F218" s="211">
        <f>G218+H218</f>
        <v>17796000</v>
      </c>
      <c r="G218" s="211">
        <f>G221+G230+G246+G255</f>
        <v>17796000</v>
      </c>
      <c r="H218" s="211"/>
      <c r="I218" s="211">
        <f>J218+K218</f>
        <v>19365300</v>
      </c>
      <c r="J218" s="211">
        <f>J221+J230+J246+J255</f>
        <v>19365300</v>
      </c>
      <c r="K218" s="211"/>
      <c r="L218" s="197" t="e">
        <f>#REF!-B218</f>
        <v>#REF!</v>
      </c>
    </row>
    <row r="219" spans="1:12" ht="28.5" customHeight="1" x14ac:dyDescent="0.3">
      <c r="A219" s="475" t="s">
        <v>225</v>
      </c>
      <c r="B219" s="476"/>
      <c r="C219" s="476"/>
      <c r="D219" s="476"/>
      <c r="E219" s="476"/>
      <c r="F219" s="476"/>
      <c r="G219" s="476"/>
      <c r="H219" s="476"/>
      <c r="I219" s="476"/>
      <c r="J219" s="476"/>
      <c r="K219" s="477"/>
    </row>
    <row r="220" spans="1:12" ht="28.5" customHeight="1" x14ac:dyDescent="0.3">
      <c r="A220" s="211" t="s">
        <v>79</v>
      </c>
      <c r="B220" s="211"/>
      <c r="C220" s="211"/>
      <c r="D220" s="211"/>
      <c r="E220" s="211"/>
      <c r="F220" s="211"/>
      <c r="G220" s="211"/>
      <c r="H220" s="211"/>
      <c r="I220" s="211"/>
      <c r="J220" s="211"/>
      <c r="K220" s="211"/>
    </row>
    <row r="221" spans="1:12" ht="28.5" customHeight="1" x14ac:dyDescent="0.3">
      <c r="A221" s="209" t="s">
        <v>266</v>
      </c>
      <c r="B221" s="208">
        <f>C221+F221+I221</f>
        <v>40781200</v>
      </c>
      <c r="C221" s="208">
        <f>D221+E221</f>
        <v>12542200</v>
      </c>
      <c r="D221" s="208">
        <f>дод.1!I126*1000</f>
        <v>12542200</v>
      </c>
      <c r="E221" s="208"/>
      <c r="F221" s="208">
        <f>G221+H221</f>
        <v>13799400</v>
      </c>
      <c r="G221" s="208">
        <f>дод.1!J126*1000</f>
        <v>13799400</v>
      </c>
      <c r="H221" s="208"/>
      <c r="I221" s="208">
        <f>J221+K221</f>
        <v>14439600</v>
      </c>
      <c r="J221" s="208">
        <f>дод.1!K126*1000</f>
        <v>14439600</v>
      </c>
      <c r="K221" s="211"/>
    </row>
    <row r="222" spans="1:12" ht="28.5" customHeight="1" x14ac:dyDescent="0.3">
      <c r="A222" s="211" t="s">
        <v>81</v>
      </c>
      <c r="B222" s="212"/>
      <c r="C222" s="212"/>
      <c r="D222" s="212"/>
      <c r="E222" s="212"/>
      <c r="F222" s="212"/>
      <c r="G222" s="212"/>
      <c r="H222" s="212"/>
      <c r="I222" s="212"/>
      <c r="J222" s="212"/>
      <c r="K222" s="211"/>
    </row>
    <row r="223" spans="1:12" ht="54.75" customHeight="1" x14ac:dyDescent="0.3">
      <c r="A223" s="209" t="s">
        <v>209</v>
      </c>
      <c r="B223" s="212"/>
      <c r="C223" s="212">
        <f>D223</f>
        <v>26112</v>
      </c>
      <c r="D223" s="212">
        <f>18554+7550+8</f>
        <v>26112</v>
      </c>
      <c r="E223" s="212"/>
      <c r="F223" s="212">
        <f>G223</f>
        <v>31340</v>
      </c>
      <c r="G223" s="212">
        <f>14338+16957+45</f>
        <v>31340</v>
      </c>
      <c r="H223" s="212"/>
      <c r="I223" s="212">
        <f>J223</f>
        <v>26112</v>
      </c>
      <c r="J223" s="212">
        <f>18554+7550+8</f>
        <v>26112</v>
      </c>
      <c r="K223" s="211"/>
    </row>
    <row r="224" spans="1:12" ht="28.5" customHeight="1" x14ac:dyDescent="0.3">
      <c r="A224" s="211" t="s">
        <v>82</v>
      </c>
      <c r="B224" s="212"/>
      <c r="C224" s="212"/>
      <c r="D224" s="212"/>
      <c r="E224" s="212"/>
      <c r="F224" s="212"/>
      <c r="G224" s="212"/>
      <c r="H224" s="212"/>
      <c r="I224" s="212"/>
      <c r="J224" s="212"/>
      <c r="K224" s="211"/>
    </row>
    <row r="225" spans="1:11" ht="28.5" customHeight="1" x14ac:dyDescent="0.3">
      <c r="A225" s="217" t="s">
        <v>256</v>
      </c>
      <c r="B225" s="212"/>
      <c r="C225" s="212">
        <f>C221/C223</f>
        <v>480.32322303921569</v>
      </c>
      <c r="D225" s="212">
        <f>D221/D223</f>
        <v>480.32322303921569</v>
      </c>
      <c r="E225" s="212"/>
      <c r="F225" s="212">
        <f>F221/F223</f>
        <v>440.3126994256541</v>
      </c>
      <c r="G225" s="212">
        <f>G221/G223</f>
        <v>440.3126994256541</v>
      </c>
      <c r="H225" s="212"/>
      <c r="I225" s="212">
        <f>I221/I223</f>
        <v>552.98713235294122</v>
      </c>
      <c r="J225" s="212">
        <f>J221/J223</f>
        <v>552.98713235294122</v>
      </c>
      <c r="K225" s="209"/>
    </row>
    <row r="226" spans="1:11" ht="28.5" customHeight="1" x14ac:dyDescent="0.3">
      <c r="A226" s="229" t="s">
        <v>83</v>
      </c>
      <c r="B226" s="212"/>
      <c r="C226" s="212"/>
      <c r="D226" s="212"/>
      <c r="E226" s="212"/>
      <c r="F226" s="212"/>
      <c r="G226" s="212"/>
      <c r="H226" s="212"/>
      <c r="I226" s="212"/>
      <c r="J226" s="212"/>
      <c r="K226" s="211"/>
    </row>
    <row r="227" spans="1:11" ht="96.75" customHeight="1" x14ac:dyDescent="0.3">
      <c r="A227" s="209" t="s">
        <v>210</v>
      </c>
      <c r="B227" s="212"/>
      <c r="C227" s="212">
        <f>D227</f>
        <v>100.41954234655479</v>
      </c>
      <c r="D227" s="212">
        <f>D221/12489800*100</f>
        <v>100.41954234655479</v>
      </c>
      <c r="E227" s="212"/>
      <c r="F227" s="212">
        <f>G227</f>
        <v>110.02375978695922</v>
      </c>
      <c r="G227" s="212">
        <f>G221/D221*100</f>
        <v>110.02375978695922</v>
      </c>
      <c r="H227" s="212"/>
      <c r="I227" s="212">
        <f>J227</f>
        <v>104.63933214487587</v>
      </c>
      <c r="J227" s="212">
        <f>J221/G221*100</f>
        <v>104.63933214487587</v>
      </c>
      <c r="K227" s="211"/>
    </row>
    <row r="228" spans="1:11" ht="28.5" customHeight="1" x14ac:dyDescent="0.3">
      <c r="A228" s="470" t="s">
        <v>328</v>
      </c>
      <c r="B228" s="470"/>
      <c r="C228" s="470"/>
      <c r="D228" s="470"/>
      <c r="E228" s="470"/>
      <c r="F228" s="470"/>
      <c r="G228" s="470"/>
      <c r="H228" s="470"/>
      <c r="I228" s="470"/>
      <c r="J228" s="470"/>
      <c r="K228" s="470"/>
    </row>
    <row r="229" spans="1:11" ht="28.5" customHeight="1" x14ac:dyDescent="0.3">
      <c r="A229" s="211" t="s">
        <v>79</v>
      </c>
      <c r="B229" s="211"/>
      <c r="C229" s="211"/>
      <c r="D229" s="211"/>
      <c r="E229" s="211"/>
      <c r="F229" s="211"/>
      <c r="G229" s="211"/>
      <c r="H229" s="211"/>
      <c r="I229" s="211"/>
      <c r="J229" s="211"/>
      <c r="K229" s="211"/>
    </row>
    <row r="230" spans="1:11" ht="28.5" customHeight="1" x14ac:dyDescent="0.3">
      <c r="A230" s="209" t="s">
        <v>265</v>
      </c>
      <c r="B230" s="208">
        <f>C230+F230+I230</f>
        <v>5964800</v>
      </c>
      <c r="C230" s="208">
        <f>D230+E230</f>
        <v>2806300</v>
      </c>
      <c r="D230" s="208">
        <f>дод.1!I130*1000</f>
        <v>2806300</v>
      </c>
      <c r="E230" s="208"/>
      <c r="F230" s="208">
        <f>G230+H230</f>
        <v>1500000</v>
      </c>
      <c r="G230" s="208">
        <f>дод.1!J130*1000</f>
        <v>1500000</v>
      </c>
      <c r="H230" s="208"/>
      <c r="I230" s="208">
        <f>J230+K230</f>
        <v>1658500</v>
      </c>
      <c r="J230" s="208">
        <f>дод.1!K130*1000</f>
        <v>1658500</v>
      </c>
      <c r="K230" s="211"/>
    </row>
    <row r="231" spans="1:11" ht="28.5" customHeight="1" x14ac:dyDescent="0.3">
      <c r="A231" s="209" t="s">
        <v>270</v>
      </c>
      <c r="B231" s="208"/>
      <c r="C231" s="212">
        <f>D231</f>
        <v>1916190</v>
      </c>
      <c r="D231" s="212">
        <f>1268520+627640+20030</f>
        <v>1916190</v>
      </c>
      <c r="E231" s="208"/>
      <c r="F231" s="212">
        <f>G231</f>
        <v>1002458</v>
      </c>
      <c r="G231" s="212">
        <f>585926+400000+16532</f>
        <v>1002458</v>
      </c>
      <c r="H231" s="208"/>
      <c r="I231" s="212">
        <f>J231</f>
        <v>1148830</v>
      </c>
      <c r="J231" s="212">
        <f>645000+482730+21100</f>
        <v>1148830</v>
      </c>
      <c r="K231" s="211"/>
    </row>
    <row r="232" spans="1:11" ht="53.25" customHeight="1" x14ac:dyDescent="0.3">
      <c r="A232" s="209" t="s">
        <v>271</v>
      </c>
      <c r="B232" s="208"/>
      <c r="C232" s="212">
        <f t="shared" ref="C232:C237" si="31">D232</f>
        <v>830234.17999999993</v>
      </c>
      <c r="D232" s="212">
        <f>365476+444728.18+20030</f>
        <v>830234.17999999993</v>
      </c>
      <c r="E232" s="208"/>
      <c r="F232" s="212">
        <f t="shared" ref="F232:F237" si="32">G232</f>
        <v>444572</v>
      </c>
      <c r="G232" s="212">
        <f>221104+200000+23468</f>
        <v>444572</v>
      </c>
      <c r="H232" s="208"/>
      <c r="I232" s="212">
        <f t="shared" ref="I232:I237" si="33">J232</f>
        <v>466350</v>
      </c>
      <c r="J232" s="212">
        <f>247480+196670+22200</f>
        <v>466350</v>
      </c>
      <c r="K232" s="211"/>
    </row>
    <row r="233" spans="1:11" ht="42" customHeight="1" x14ac:dyDescent="0.3">
      <c r="A233" s="209" t="s">
        <v>272</v>
      </c>
      <c r="B233" s="208"/>
      <c r="C233" s="212">
        <f t="shared" si="31"/>
        <v>59884</v>
      </c>
      <c r="D233" s="212">
        <f>46234+13650</f>
        <v>59884</v>
      </c>
      <c r="E233" s="208"/>
      <c r="F233" s="212">
        <f t="shared" si="32"/>
        <v>52970</v>
      </c>
      <c r="G233" s="212">
        <f>27970+25000</f>
        <v>52970</v>
      </c>
      <c r="H233" s="208"/>
      <c r="I233" s="212">
        <f t="shared" si="33"/>
        <v>42320</v>
      </c>
      <c r="J233" s="212">
        <f>33720+8600</f>
        <v>42320</v>
      </c>
      <c r="K233" s="211"/>
    </row>
    <row r="234" spans="1:11" ht="28.5" customHeight="1" x14ac:dyDescent="0.3">
      <c r="A234" s="211" t="s">
        <v>81</v>
      </c>
      <c r="B234" s="212"/>
      <c r="C234" s="212"/>
      <c r="D234" s="212"/>
      <c r="E234" s="212"/>
      <c r="F234" s="212"/>
      <c r="G234" s="212"/>
      <c r="H234" s="212"/>
      <c r="I234" s="212"/>
      <c r="J234" s="212"/>
      <c r="K234" s="211"/>
    </row>
    <row r="235" spans="1:11" ht="28.5" customHeight="1" x14ac:dyDescent="0.3">
      <c r="A235" s="209" t="s">
        <v>357</v>
      </c>
      <c r="B235" s="212"/>
      <c r="C235" s="212">
        <f t="shared" si="31"/>
        <v>281</v>
      </c>
      <c r="D235" s="212">
        <f>165+114+2</f>
        <v>281</v>
      </c>
      <c r="E235" s="212"/>
      <c r="F235" s="212">
        <f t="shared" si="32"/>
        <v>272</v>
      </c>
      <c r="G235" s="212">
        <f>154+114+4</f>
        <v>272</v>
      </c>
      <c r="H235" s="212"/>
      <c r="I235" s="212">
        <f t="shared" si="33"/>
        <v>284</v>
      </c>
      <c r="J235" s="212">
        <f>168+114+2</f>
        <v>284</v>
      </c>
      <c r="K235" s="211"/>
    </row>
    <row r="236" spans="1:11" ht="28.5" customHeight="1" x14ac:dyDescent="0.3">
      <c r="A236" s="209" t="s">
        <v>358</v>
      </c>
      <c r="B236" s="212"/>
      <c r="C236" s="212">
        <f t="shared" si="31"/>
        <v>80</v>
      </c>
      <c r="D236" s="212">
        <f>47+30+3</f>
        <v>80</v>
      </c>
      <c r="E236" s="212"/>
      <c r="F236" s="212">
        <f t="shared" si="32"/>
        <v>110</v>
      </c>
      <c r="G236" s="212">
        <f>75+33+2</f>
        <v>110</v>
      </c>
      <c r="H236" s="212"/>
      <c r="I236" s="212">
        <f t="shared" si="33"/>
        <v>83</v>
      </c>
      <c r="J236" s="212">
        <f>50+30+3</f>
        <v>83</v>
      </c>
      <c r="K236" s="211"/>
    </row>
    <row r="237" spans="1:11" ht="28.5" customHeight="1" x14ac:dyDescent="0.3">
      <c r="A237" s="209" t="s">
        <v>359</v>
      </c>
      <c r="B237" s="212"/>
      <c r="C237" s="212">
        <f t="shared" si="31"/>
        <v>36</v>
      </c>
      <c r="D237" s="212">
        <f>16+20</f>
        <v>36</v>
      </c>
      <c r="E237" s="212"/>
      <c r="F237" s="212">
        <f t="shared" si="32"/>
        <v>38</v>
      </c>
      <c r="G237" s="212">
        <f>18+20</f>
        <v>38</v>
      </c>
      <c r="H237" s="212"/>
      <c r="I237" s="212">
        <f t="shared" si="33"/>
        <v>37</v>
      </c>
      <c r="J237" s="212">
        <f>17+20</f>
        <v>37</v>
      </c>
      <c r="K237" s="211"/>
    </row>
    <row r="238" spans="1:11" ht="28.5" customHeight="1" x14ac:dyDescent="0.3">
      <c r="A238" s="211" t="s">
        <v>82</v>
      </c>
      <c r="B238" s="212"/>
      <c r="C238" s="212"/>
      <c r="D238" s="212"/>
      <c r="E238" s="212"/>
      <c r="F238" s="212"/>
      <c r="G238" s="212"/>
      <c r="H238" s="212"/>
      <c r="I238" s="212"/>
      <c r="J238" s="212"/>
      <c r="K238" s="211"/>
    </row>
    <row r="239" spans="1:11" ht="39.75" customHeight="1" x14ac:dyDescent="0.3">
      <c r="A239" s="217" t="s">
        <v>273</v>
      </c>
      <c r="B239" s="212"/>
      <c r="C239" s="212">
        <f>C231/C235</f>
        <v>6819.1814946619215</v>
      </c>
      <c r="D239" s="212">
        <f>D231/D235</f>
        <v>6819.1814946619215</v>
      </c>
      <c r="E239" s="212"/>
      <c r="F239" s="212">
        <f t="shared" ref="F239:F241" si="34">F231/F235</f>
        <v>3685.5073529411766</v>
      </c>
      <c r="G239" s="212">
        <f>G231/G235</f>
        <v>3685.5073529411766</v>
      </c>
      <c r="H239" s="212"/>
      <c r="I239" s="212">
        <f t="shared" ref="I239:J241" si="35">I231/I235</f>
        <v>4045.176056338028</v>
      </c>
      <c r="J239" s="212">
        <f>J231/J235</f>
        <v>4045.176056338028</v>
      </c>
      <c r="K239" s="211"/>
    </row>
    <row r="240" spans="1:11" ht="54.75" customHeight="1" x14ac:dyDescent="0.3">
      <c r="A240" s="217" t="s">
        <v>274</v>
      </c>
      <c r="B240" s="212"/>
      <c r="C240" s="212">
        <f t="shared" ref="C240:D241" si="36">C232/C236</f>
        <v>10377.927249999999</v>
      </c>
      <c r="D240" s="212">
        <f t="shared" si="36"/>
        <v>10377.927249999999</v>
      </c>
      <c r="E240" s="212"/>
      <c r="F240" s="212">
        <f t="shared" si="34"/>
        <v>4041.5636363636363</v>
      </c>
      <c r="G240" s="212">
        <f>G232/G236</f>
        <v>4041.5636363636363</v>
      </c>
      <c r="H240" s="212"/>
      <c r="I240" s="212">
        <f t="shared" si="35"/>
        <v>5618.674698795181</v>
      </c>
      <c r="J240" s="212">
        <f t="shared" si="35"/>
        <v>5618.674698795181</v>
      </c>
      <c r="K240" s="211"/>
    </row>
    <row r="241" spans="1:11" ht="60.75" customHeight="1" x14ac:dyDescent="0.3">
      <c r="A241" s="217" t="s">
        <v>275</v>
      </c>
      <c r="B241" s="212"/>
      <c r="C241" s="212">
        <f t="shared" si="36"/>
        <v>1663.4444444444443</v>
      </c>
      <c r="D241" s="212">
        <f t="shared" si="36"/>
        <v>1663.4444444444443</v>
      </c>
      <c r="E241" s="212"/>
      <c r="F241" s="212">
        <f t="shared" si="34"/>
        <v>1393.9473684210527</v>
      </c>
      <c r="G241" s="212">
        <f>G233/G237</f>
        <v>1393.9473684210527</v>
      </c>
      <c r="H241" s="212"/>
      <c r="I241" s="212">
        <f t="shared" si="35"/>
        <v>1143.7837837837837</v>
      </c>
      <c r="J241" s="212">
        <f t="shared" si="35"/>
        <v>1143.7837837837837</v>
      </c>
      <c r="K241" s="211"/>
    </row>
    <row r="242" spans="1:11" ht="28.5" customHeight="1" x14ac:dyDescent="0.3">
      <c r="A242" s="229" t="s">
        <v>83</v>
      </c>
      <c r="B242" s="212"/>
      <c r="C242" s="212"/>
      <c r="D242" s="212"/>
      <c r="E242" s="212"/>
      <c r="F242" s="212"/>
      <c r="G242" s="212"/>
      <c r="H242" s="212"/>
      <c r="I242" s="212"/>
      <c r="J242" s="212"/>
      <c r="K242" s="211"/>
    </row>
    <row r="243" spans="1:11" ht="70.5" customHeight="1" x14ac:dyDescent="0.3">
      <c r="A243" s="209" t="s">
        <v>360</v>
      </c>
      <c r="B243" s="212"/>
      <c r="C243" s="212">
        <f>D243</f>
        <v>311.45639688132957</v>
      </c>
      <c r="D243" s="212">
        <f>D230/901025*100</f>
        <v>311.45639688132957</v>
      </c>
      <c r="E243" s="212"/>
      <c r="F243" s="212">
        <f>G243</f>
        <v>53.451163453657848</v>
      </c>
      <c r="G243" s="212">
        <f>G230/D230*100</f>
        <v>53.451163453657848</v>
      </c>
      <c r="H243" s="212"/>
      <c r="I243" s="212">
        <f>J243</f>
        <v>110.56666666666666</v>
      </c>
      <c r="J243" s="212">
        <f>J230/G230*100</f>
        <v>110.56666666666666</v>
      </c>
      <c r="K243" s="211"/>
    </row>
    <row r="244" spans="1:11" ht="28.5" customHeight="1" x14ac:dyDescent="0.3">
      <c r="A244" s="475" t="s">
        <v>329</v>
      </c>
      <c r="B244" s="476"/>
      <c r="C244" s="476"/>
      <c r="D244" s="476"/>
      <c r="E244" s="476"/>
      <c r="F244" s="476"/>
      <c r="G244" s="476"/>
      <c r="H244" s="476"/>
      <c r="I244" s="476"/>
      <c r="J244" s="476"/>
      <c r="K244" s="477"/>
    </row>
    <row r="245" spans="1:11" ht="28.5" customHeight="1" x14ac:dyDescent="0.3">
      <c r="A245" s="211" t="s">
        <v>79</v>
      </c>
      <c r="B245" s="211"/>
      <c r="C245" s="211"/>
      <c r="D245" s="209"/>
      <c r="E245" s="211"/>
      <c r="F245" s="211"/>
      <c r="G245" s="211"/>
      <c r="H245" s="211"/>
      <c r="I245" s="211"/>
      <c r="J245" s="211"/>
      <c r="K245" s="211"/>
    </row>
    <row r="246" spans="1:11" ht="28.5" customHeight="1" x14ac:dyDescent="0.3">
      <c r="A246" s="209" t="s">
        <v>276</v>
      </c>
      <c r="B246" s="208">
        <f>C246+F246+I246</f>
        <v>7193700</v>
      </c>
      <c r="C246" s="208">
        <f>D246+E246</f>
        <v>2061600</v>
      </c>
      <c r="D246" s="208">
        <f>дод.1!I134*1000</f>
        <v>2061600</v>
      </c>
      <c r="E246" s="208"/>
      <c r="F246" s="208">
        <f>G246+H246</f>
        <v>2196600</v>
      </c>
      <c r="G246" s="208">
        <f>дод.1!J134*1000</f>
        <v>2196600</v>
      </c>
      <c r="H246" s="208"/>
      <c r="I246" s="208">
        <f>J246+K246</f>
        <v>2935500</v>
      </c>
      <c r="J246" s="208">
        <f>дод.1!K134*1000</f>
        <v>2935500</v>
      </c>
      <c r="K246" s="208"/>
    </row>
    <row r="247" spans="1:11" ht="28.5" customHeight="1" x14ac:dyDescent="0.3">
      <c r="A247" s="211" t="s">
        <v>81</v>
      </c>
      <c r="B247" s="212"/>
      <c r="C247" s="212"/>
      <c r="D247" s="212"/>
      <c r="E247" s="212"/>
      <c r="F247" s="212"/>
      <c r="G247" s="212"/>
      <c r="H247" s="212"/>
      <c r="I247" s="212"/>
      <c r="J247" s="212"/>
      <c r="K247" s="208"/>
    </row>
    <row r="248" spans="1:11" ht="57" customHeight="1" x14ac:dyDescent="0.3">
      <c r="A248" s="209" t="s">
        <v>213</v>
      </c>
      <c r="B248" s="212"/>
      <c r="C248" s="212">
        <f>D248</f>
        <v>742</v>
      </c>
      <c r="D248" s="212">
        <f>558+184</f>
        <v>742</v>
      </c>
      <c r="E248" s="212"/>
      <c r="F248" s="212">
        <f>G248</f>
        <v>654</v>
      </c>
      <c r="G248" s="212">
        <f>500+154</f>
        <v>654</v>
      </c>
      <c r="H248" s="212"/>
      <c r="I248" s="212">
        <f>J248</f>
        <v>742</v>
      </c>
      <c r="J248" s="212">
        <f>558+184</f>
        <v>742</v>
      </c>
      <c r="K248" s="208"/>
    </row>
    <row r="249" spans="1:11" ht="28.5" customHeight="1" x14ac:dyDescent="0.3">
      <c r="A249" s="211" t="s">
        <v>82</v>
      </c>
      <c r="B249" s="212"/>
      <c r="C249" s="212"/>
      <c r="D249" s="212"/>
      <c r="E249" s="212"/>
      <c r="F249" s="212"/>
      <c r="G249" s="212"/>
      <c r="H249" s="212"/>
      <c r="I249" s="212"/>
      <c r="J249" s="212"/>
      <c r="K249" s="208"/>
    </row>
    <row r="250" spans="1:11" ht="64.5" customHeight="1" x14ac:dyDescent="0.3">
      <c r="A250" s="217" t="s">
        <v>212</v>
      </c>
      <c r="B250" s="212"/>
      <c r="C250" s="212">
        <f>D250</f>
        <v>2778.4366576819407</v>
      </c>
      <c r="D250" s="212">
        <f>D246/D248</f>
        <v>2778.4366576819407</v>
      </c>
      <c r="E250" s="212"/>
      <c r="F250" s="212">
        <f>G250</f>
        <v>3358.7155963302753</v>
      </c>
      <c r="G250" s="212">
        <f>G246/G248</f>
        <v>3358.7155963302753</v>
      </c>
      <c r="H250" s="212"/>
      <c r="I250" s="212">
        <f>J250</f>
        <v>3956.1994609164421</v>
      </c>
      <c r="J250" s="212">
        <f>J246/J248</f>
        <v>3956.1994609164421</v>
      </c>
      <c r="K250" s="208"/>
    </row>
    <row r="251" spans="1:11" ht="28.5" customHeight="1" x14ac:dyDescent="0.3">
      <c r="A251" s="229" t="s">
        <v>83</v>
      </c>
      <c r="B251" s="212"/>
      <c r="C251" s="212"/>
      <c r="D251" s="212"/>
      <c r="E251" s="212"/>
      <c r="F251" s="212"/>
      <c r="G251" s="212"/>
      <c r="H251" s="212"/>
      <c r="I251" s="212"/>
      <c r="J251" s="212"/>
      <c r="K251" s="208"/>
    </row>
    <row r="252" spans="1:11" ht="72" customHeight="1" x14ac:dyDescent="0.3">
      <c r="A252" s="209" t="s">
        <v>211</v>
      </c>
      <c r="B252" s="212"/>
      <c r="C252" s="212">
        <f>D252</f>
        <v>82.463999999999999</v>
      </c>
      <c r="D252" s="212">
        <f>D246/2500000*100</f>
        <v>82.463999999999999</v>
      </c>
      <c r="E252" s="212"/>
      <c r="F252" s="212">
        <f>G252</f>
        <v>106.54831199068684</v>
      </c>
      <c r="G252" s="212">
        <f>G246/D246*100</f>
        <v>106.54831199068684</v>
      </c>
      <c r="H252" s="212"/>
      <c r="I252" s="212">
        <f>J252</f>
        <v>133.63835017754712</v>
      </c>
      <c r="J252" s="212">
        <f>J246/G246*100</f>
        <v>133.63835017754712</v>
      </c>
      <c r="K252" s="208"/>
    </row>
    <row r="253" spans="1:11" ht="28.5" customHeight="1" x14ac:dyDescent="0.3">
      <c r="A253" s="475" t="s">
        <v>420</v>
      </c>
      <c r="B253" s="476"/>
      <c r="C253" s="476"/>
      <c r="D253" s="476"/>
      <c r="E253" s="476"/>
      <c r="F253" s="476"/>
      <c r="G253" s="476"/>
      <c r="H253" s="476"/>
      <c r="I253" s="476"/>
      <c r="J253" s="476"/>
      <c r="K253" s="477"/>
    </row>
    <row r="254" spans="1:11" ht="28.5" customHeight="1" x14ac:dyDescent="0.3">
      <c r="A254" s="211" t="s">
        <v>79</v>
      </c>
      <c r="B254" s="211"/>
      <c r="C254" s="211"/>
      <c r="D254" s="209"/>
      <c r="E254" s="211"/>
      <c r="F254" s="211"/>
      <c r="G254" s="211"/>
      <c r="H254" s="211"/>
      <c r="I254" s="211"/>
      <c r="J254" s="211"/>
      <c r="K254" s="211"/>
    </row>
    <row r="255" spans="1:11" ht="28.5" customHeight="1" x14ac:dyDescent="0.3">
      <c r="A255" s="209" t="s">
        <v>276</v>
      </c>
      <c r="B255" s="208">
        <f>C255+F255+I255</f>
        <v>996500</v>
      </c>
      <c r="C255" s="208">
        <f>D255+E255</f>
        <v>364800</v>
      </c>
      <c r="D255" s="212">
        <f>дод.1!I137*1000</f>
        <v>364800</v>
      </c>
      <c r="E255" s="208"/>
      <c r="F255" s="208">
        <f>G255+H255</f>
        <v>300000</v>
      </c>
      <c r="G255" s="208">
        <f>дод.1!J137*1000</f>
        <v>300000</v>
      </c>
      <c r="H255" s="208"/>
      <c r="I255" s="208">
        <f>J255+K255</f>
        <v>331700</v>
      </c>
      <c r="J255" s="208">
        <f>дод.1!K137*1000</f>
        <v>331700</v>
      </c>
      <c r="K255" s="208"/>
    </row>
    <row r="256" spans="1:11" ht="28.5" customHeight="1" x14ac:dyDescent="0.3">
      <c r="A256" s="211" t="s">
        <v>81</v>
      </c>
      <c r="B256" s="212"/>
      <c r="C256" s="212"/>
      <c r="D256" s="212"/>
      <c r="E256" s="212"/>
      <c r="F256" s="212"/>
      <c r="G256" s="212"/>
      <c r="H256" s="212"/>
      <c r="I256" s="212"/>
      <c r="J256" s="212"/>
      <c r="K256" s="208"/>
    </row>
    <row r="257" spans="1:12" ht="28.5" customHeight="1" x14ac:dyDescent="0.3">
      <c r="A257" s="209" t="s">
        <v>80</v>
      </c>
      <c r="B257" s="212"/>
      <c r="C257" s="212">
        <f>D257</f>
        <v>1</v>
      </c>
      <c r="D257" s="212">
        <v>1</v>
      </c>
      <c r="E257" s="212"/>
      <c r="F257" s="212">
        <f>C257</f>
        <v>1</v>
      </c>
      <c r="G257" s="212">
        <v>1</v>
      </c>
      <c r="H257" s="212"/>
      <c r="I257" s="212">
        <f>F257</f>
        <v>1</v>
      </c>
      <c r="J257" s="212"/>
      <c r="K257" s="208"/>
    </row>
    <row r="258" spans="1:12" ht="60" customHeight="1" x14ac:dyDescent="0.3">
      <c r="A258" s="209" t="s">
        <v>86</v>
      </c>
      <c r="B258" s="212"/>
      <c r="C258" s="212">
        <f>D258</f>
        <v>99</v>
      </c>
      <c r="D258" s="212">
        <v>99</v>
      </c>
      <c r="E258" s="212"/>
      <c r="F258" s="212">
        <f>G258</f>
        <v>85</v>
      </c>
      <c r="G258" s="212">
        <v>85</v>
      </c>
      <c r="H258" s="212"/>
      <c r="I258" s="212"/>
      <c r="J258" s="212"/>
      <c r="K258" s="208"/>
    </row>
    <row r="259" spans="1:12" ht="60.75" customHeight="1" x14ac:dyDescent="0.3">
      <c r="A259" s="209" t="s">
        <v>406</v>
      </c>
      <c r="B259" s="212"/>
      <c r="C259" s="212">
        <f>D259</f>
        <v>4</v>
      </c>
      <c r="D259" s="212">
        <v>4</v>
      </c>
      <c r="E259" s="212"/>
      <c r="F259" s="212"/>
      <c r="G259" s="212"/>
      <c r="H259" s="212"/>
      <c r="I259" s="212"/>
      <c r="J259" s="212"/>
      <c r="K259" s="208"/>
    </row>
    <row r="260" spans="1:12" ht="28.5" customHeight="1" x14ac:dyDescent="0.3">
      <c r="A260" s="211" t="s">
        <v>82</v>
      </c>
      <c r="B260" s="212"/>
      <c r="C260" s="212"/>
      <c r="D260" s="212"/>
      <c r="E260" s="212"/>
      <c r="F260" s="212"/>
      <c r="G260" s="212"/>
      <c r="H260" s="212"/>
      <c r="I260" s="212"/>
      <c r="J260" s="212"/>
      <c r="K260" s="208"/>
    </row>
    <row r="261" spans="1:12" ht="59.25" customHeight="1" x14ac:dyDescent="0.3">
      <c r="A261" s="217" t="s">
        <v>408</v>
      </c>
      <c r="B261" s="212"/>
      <c r="C261" s="212">
        <f>D261</f>
        <v>3030.3030303030305</v>
      </c>
      <c r="D261" s="212">
        <f>300000/99</f>
        <v>3030.3030303030305</v>
      </c>
      <c r="E261" s="212"/>
      <c r="F261" s="212">
        <f>G261</f>
        <v>3529.4117647058824</v>
      </c>
      <c r="G261" s="212">
        <f>G255/G258</f>
        <v>3529.4117647058824</v>
      </c>
      <c r="H261" s="212"/>
      <c r="I261" s="212"/>
      <c r="J261" s="212"/>
      <c r="K261" s="208"/>
    </row>
    <row r="262" spans="1:12" ht="54" customHeight="1" x14ac:dyDescent="0.3">
      <c r="A262" s="217" t="s">
        <v>407</v>
      </c>
      <c r="B262" s="212"/>
      <c r="C262" s="212">
        <f>D262</f>
        <v>16200</v>
      </c>
      <c r="D262" s="212">
        <f>64800/4</f>
        <v>16200</v>
      </c>
      <c r="E262" s="212"/>
      <c r="F262" s="212"/>
      <c r="G262" s="212"/>
      <c r="H262" s="212"/>
      <c r="I262" s="212"/>
      <c r="J262" s="212"/>
      <c r="K262" s="208"/>
    </row>
    <row r="263" spans="1:12" ht="28.5" customHeight="1" x14ac:dyDescent="0.3">
      <c r="A263" s="230" t="s">
        <v>83</v>
      </c>
      <c r="B263" s="212"/>
      <c r="C263" s="212"/>
      <c r="D263" s="212"/>
      <c r="E263" s="212"/>
      <c r="F263" s="212"/>
      <c r="G263" s="212"/>
      <c r="H263" s="212"/>
      <c r="I263" s="212"/>
      <c r="J263" s="212"/>
      <c r="K263" s="208"/>
    </row>
    <row r="264" spans="1:12" ht="47.25" customHeight="1" x14ac:dyDescent="0.3">
      <c r="A264" s="217" t="s">
        <v>409</v>
      </c>
      <c r="B264" s="212"/>
      <c r="C264" s="212">
        <f>D264</f>
        <v>100</v>
      </c>
      <c r="D264" s="212">
        <v>100</v>
      </c>
      <c r="E264" s="212"/>
      <c r="F264" s="212">
        <v>100</v>
      </c>
      <c r="G264" s="212">
        <v>100</v>
      </c>
      <c r="H264" s="212"/>
      <c r="I264" s="212"/>
      <c r="J264" s="212"/>
      <c r="K264" s="208"/>
    </row>
    <row r="265" spans="1:12" ht="60.75" customHeight="1" x14ac:dyDescent="0.3">
      <c r="A265" s="217" t="s">
        <v>409</v>
      </c>
      <c r="B265" s="212"/>
      <c r="C265" s="212">
        <f>D265</f>
        <v>100</v>
      </c>
      <c r="D265" s="212">
        <v>100</v>
      </c>
      <c r="E265" s="212"/>
      <c r="F265" s="212">
        <f>G265</f>
        <v>85</v>
      </c>
      <c r="G265" s="212">
        <v>85</v>
      </c>
      <c r="H265" s="212"/>
      <c r="I265" s="212">
        <f>J265</f>
        <v>85</v>
      </c>
      <c r="J265" s="212">
        <v>85</v>
      </c>
      <c r="K265" s="208"/>
    </row>
    <row r="266" spans="1:12" ht="43.5" customHeight="1" x14ac:dyDescent="0.3">
      <c r="A266" s="470" t="s">
        <v>137</v>
      </c>
      <c r="B266" s="470"/>
      <c r="C266" s="470"/>
      <c r="D266" s="470"/>
      <c r="E266" s="470"/>
      <c r="F266" s="470"/>
      <c r="G266" s="470"/>
      <c r="H266" s="470"/>
      <c r="I266" s="470"/>
      <c r="J266" s="470"/>
      <c r="K266" s="470"/>
    </row>
    <row r="267" spans="1:12" ht="42" customHeight="1" x14ac:dyDescent="0.3">
      <c r="A267" s="207" t="s">
        <v>277</v>
      </c>
      <c r="B267" s="208">
        <f>C267+F267+I267</f>
        <v>27197800</v>
      </c>
      <c r="C267" s="208">
        <f>D267+E267</f>
        <v>19491400</v>
      </c>
      <c r="D267" s="208">
        <f>D271+D289+D296</f>
        <v>2954300</v>
      </c>
      <c r="E267" s="208">
        <f>E296</f>
        <v>16537099.999999998</v>
      </c>
      <c r="F267" s="208">
        <f>G267+H267</f>
        <v>3713000</v>
      </c>
      <c r="G267" s="208">
        <f>дод.1!J151*1000</f>
        <v>3713000</v>
      </c>
      <c r="H267" s="208">
        <f>H270</f>
        <v>0</v>
      </c>
      <c r="I267" s="208">
        <f>J267+K267</f>
        <v>3993400</v>
      </c>
      <c r="J267" s="208">
        <f>J271</f>
        <v>3993400</v>
      </c>
      <c r="K267" s="208">
        <f>K270</f>
        <v>0</v>
      </c>
      <c r="L267" s="197" t="e">
        <f>#REF!-B267</f>
        <v>#REF!</v>
      </c>
    </row>
    <row r="268" spans="1:12" ht="28.5" customHeight="1" x14ac:dyDescent="0.3">
      <c r="A268" s="231" t="s">
        <v>330</v>
      </c>
      <c r="B268" s="232"/>
      <c r="C268" s="232"/>
      <c r="D268" s="232"/>
      <c r="E268" s="232"/>
      <c r="F268" s="232"/>
      <c r="G268" s="232"/>
      <c r="H268" s="232"/>
      <c r="I268" s="232"/>
      <c r="J268" s="232"/>
      <c r="K268" s="233"/>
    </row>
    <row r="269" spans="1:12" ht="28.5" customHeight="1" x14ac:dyDescent="0.3">
      <c r="A269" s="475" t="s">
        <v>227</v>
      </c>
      <c r="B269" s="476"/>
      <c r="C269" s="476"/>
      <c r="D269" s="476"/>
      <c r="E269" s="476"/>
      <c r="F269" s="476"/>
      <c r="G269" s="476"/>
      <c r="H269" s="476"/>
      <c r="I269" s="476"/>
      <c r="J269" s="476"/>
      <c r="K269" s="477"/>
    </row>
    <row r="270" spans="1:12" ht="28.5" customHeight="1" x14ac:dyDescent="0.3">
      <c r="A270" s="211" t="s">
        <v>79</v>
      </c>
      <c r="B270" s="211"/>
      <c r="C270" s="211"/>
      <c r="D270" s="211"/>
      <c r="E270" s="211"/>
      <c r="F270" s="209"/>
      <c r="G270" s="209"/>
      <c r="H270" s="211"/>
      <c r="I270" s="211"/>
      <c r="J270" s="211"/>
      <c r="K270" s="211"/>
    </row>
    <row r="271" spans="1:12" ht="28.5" customHeight="1" x14ac:dyDescent="0.3">
      <c r="A271" s="209" t="s">
        <v>278</v>
      </c>
      <c r="B271" s="208">
        <f>C271+F271+I271</f>
        <v>10639500</v>
      </c>
      <c r="C271" s="208">
        <f>D271+E271</f>
        <v>2933100</v>
      </c>
      <c r="D271" s="208">
        <f>дод.1!I147*1000</f>
        <v>2933100</v>
      </c>
      <c r="E271" s="208"/>
      <c r="F271" s="208">
        <f>G271+H271</f>
        <v>3713000</v>
      </c>
      <c r="G271" s="208">
        <f>дод.1!J147*1000</f>
        <v>3713000</v>
      </c>
      <c r="H271" s="208"/>
      <c r="I271" s="208">
        <f>J271+K271</f>
        <v>3993400</v>
      </c>
      <c r="J271" s="208">
        <f>дод.1!K147*1000</f>
        <v>3993400</v>
      </c>
      <c r="K271" s="208"/>
    </row>
    <row r="272" spans="1:12" ht="28.5" customHeight="1" x14ac:dyDescent="0.3">
      <c r="A272" s="209" t="s">
        <v>201</v>
      </c>
      <c r="B272" s="208"/>
      <c r="C272" s="208">
        <v>2</v>
      </c>
      <c r="D272" s="208">
        <v>2</v>
      </c>
      <c r="E272" s="208"/>
      <c r="F272" s="208">
        <v>2</v>
      </c>
      <c r="G272" s="208">
        <v>2</v>
      </c>
      <c r="H272" s="208"/>
      <c r="I272" s="208">
        <v>2</v>
      </c>
      <c r="J272" s="208">
        <v>2</v>
      </c>
      <c r="K272" s="208"/>
    </row>
    <row r="273" spans="1:12" ht="28.5" customHeight="1" x14ac:dyDescent="0.3">
      <c r="A273" s="234" t="s">
        <v>361</v>
      </c>
      <c r="B273" s="208"/>
      <c r="C273" s="212">
        <f>D273</f>
        <v>1</v>
      </c>
      <c r="D273" s="212">
        <v>1</v>
      </c>
      <c r="E273" s="208"/>
      <c r="F273" s="212">
        <f>G273</f>
        <v>1</v>
      </c>
      <c r="G273" s="212">
        <v>1</v>
      </c>
      <c r="H273" s="208"/>
      <c r="I273" s="212">
        <f>J273</f>
        <v>1</v>
      </c>
      <c r="J273" s="212">
        <v>1</v>
      </c>
      <c r="K273" s="208"/>
    </row>
    <row r="274" spans="1:12" ht="28.5" customHeight="1" x14ac:dyDescent="0.3">
      <c r="A274" s="234" t="s">
        <v>362</v>
      </c>
      <c r="B274" s="208"/>
      <c r="C274" s="212">
        <v>1</v>
      </c>
      <c r="D274" s="212">
        <v>1</v>
      </c>
      <c r="E274" s="208"/>
      <c r="F274" s="212">
        <v>1</v>
      </c>
      <c r="G274" s="212">
        <v>1</v>
      </c>
      <c r="H274" s="208"/>
      <c r="I274" s="212">
        <v>1</v>
      </c>
      <c r="J274" s="212">
        <v>1</v>
      </c>
      <c r="K274" s="208"/>
    </row>
    <row r="275" spans="1:12" ht="28.5" customHeight="1" x14ac:dyDescent="0.3">
      <c r="A275" s="209" t="s">
        <v>279</v>
      </c>
      <c r="B275" s="208"/>
      <c r="C275" s="212">
        <f>C276+C277</f>
        <v>21</v>
      </c>
      <c r="D275" s="212">
        <f>D276+D277</f>
        <v>21</v>
      </c>
      <c r="E275" s="212"/>
      <c r="F275" s="212">
        <f t="shared" ref="F275:J275" si="37">F276+F277</f>
        <v>21</v>
      </c>
      <c r="G275" s="212">
        <f t="shared" si="37"/>
        <v>21</v>
      </c>
      <c r="H275" s="212"/>
      <c r="I275" s="212">
        <f t="shared" si="37"/>
        <v>21</v>
      </c>
      <c r="J275" s="212">
        <f t="shared" si="37"/>
        <v>21</v>
      </c>
      <c r="K275" s="208"/>
    </row>
    <row r="276" spans="1:12" ht="28.5" customHeight="1" x14ac:dyDescent="0.3">
      <c r="A276" s="234" t="s">
        <v>232</v>
      </c>
      <c r="B276" s="208"/>
      <c r="C276" s="212">
        <f t="shared" ref="C276:C286" si="38">D276</f>
        <v>10</v>
      </c>
      <c r="D276" s="212">
        <v>10</v>
      </c>
      <c r="E276" s="208"/>
      <c r="F276" s="212">
        <f t="shared" ref="F276:F286" si="39">G276</f>
        <v>10</v>
      </c>
      <c r="G276" s="212">
        <v>10</v>
      </c>
      <c r="H276" s="208"/>
      <c r="I276" s="212">
        <f t="shared" ref="I276:I286" si="40">J276</f>
        <v>10</v>
      </c>
      <c r="J276" s="212">
        <v>10</v>
      </c>
      <c r="K276" s="208"/>
    </row>
    <row r="277" spans="1:12" ht="28.5" customHeight="1" x14ac:dyDescent="0.3">
      <c r="A277" s="234" t="s">
        <v>233</v>
      </c>
      <c r="B277" s="208"/>
      <c r="C277" s="212">
        <f t="shared" si="38"/>
        <v>11</v>
      </c>
      <c r="D277" s="212">
        <v>11</v>
      </c>
      <c r="E277" s="208"/>
      <c r="F277" s="212">
        <f t="shared" si="39"/>
        <v>11</v>
      </c>
      <c r="G277" s="212">
        <v>11</v>
      </c>
      <c r="H277" s="208"/>
      <c r="I277" s="212">
        <f t="shared" si="40"/>
        <v>11</v>
      </c>
      <c r="J277" s="212">
        <v>11</v>
      </c>
      <c r="K277" s="208"/>
    </row>
    <row r="278" spans="1:12" ht="28.5" customHeight="1" x14ac:dyDescent="0.3">
      <c r="A278" s="211" t="s">
        <v>81</v>
      </c>
      <c r="B278" s="212"/>
      <c r="C278" s="212"/>
      <c r="D278" s="212"/>
      <c r="E278" s="212"/>
      <c r="F278" s="212"/>
      <c r="G278" s="212"/>
      <c r="H278" s="212"/>
      <c r="I278" s="212"/>
      <c r="J278" s="212"/>
      <c r="K278" s="208"/>
    </row>
    <row r="279" spans="1:12" ht="54.75" customHeight="1" x14ac:dyDescent="0.3">
      <c r="A279" s="209" t="s">
        <v>363</v>
      </c>
      <c r="B279" s="212"/>
      <c r="C279" s="212">
        <f t="shared" si="38"/>
        <v>9</v>
      </c>
      <c r="D279" s="216">
        <v>9</v>
      </c>
      <c r="E279" s="212"/>
      <c r="F279" s="212">
        <f t="shared" si="39"/>
        <v>9</v>
      </c>
      <c r="G279" s="216">
        <v>9</v>
      </c>
      <c r="H279" s="212"/>
      <c r="I279" s="212">
        <f t="shared" si="40"/>
        <v>9</v>
      </c>
      <c r="J279" s="216">
        <v>9</v>
      </c>
      <c r="K279" s="208"/>
    </row>
    <row r="280" spans="1:12" ht="53.25" customHeight="1" x14ac:dyDescent="0.3">
      <c r="A280" s="209" t="s">
        <v>364</v>
      </c>
      <c r="B280" s="212"/>
      <c r="C280" s="212">
        <f t="shared" si="38"/>
        <v>800</v>
      </c>
      <c r="D280" s="216">
        <v>800</v>
      </c>
      <c r="E280" s="212"/>
      <c r="F280" s="212">
        <f t="shared" si="39"/>
        <v>800</v>
      </c>
      <c r="G280" s="216">
        <v>800</v>
      </c>
      <c r="H280" s="212"/>
      <c r="I280" s="212">
        <f t="shared" si="40"/>
        <v>800</v>
      </c>
      <c r="J280" s="216">
        <v>800</v>
      </c>
      <c r="K280" s="208"/>
    </row>
    <row r="281" spans="1:12" ht="28.5" customHeight="1" x14ac:dyDescent="0.3">
      <c r="A281" s="209" t="s">
        <v>365</v>
      </c>
      <c r="B281" s="212"/>
      <c r="C281" s="212">
        <f t="shared" si="38"/>
        <v>42</v>
      </c>
      <c r="D281" s="216">
        <v>42</v>
      </c>
      <c r="E281" s="212"/>
      <c r="F281" s="212">
        <f t="shared" si="39"/>
        <v>42</v>
      </c>
      <c r="G281" s="216">
        <v>42</v>
      </c>
      <c r="H281" s="212"/>
      <c r="I281" s="212">
        <f t="shared" si="40"/>
        <v>42</v>
      </c>
      <c r="J281" s="216">
        <v>42</v>
      </c>
      <c r="K281" s="208"/>
    </row>
    <row r="282" spans="1:12" ht="83.25" customHeight="1" x14ac:dyDescent="0.3">
      <c r="A282" s="209" t="s">
        <v>214</v>
      </c>
      <c r="B282" s="212"/>
      <c r="C282" s="212">
        <f t="shared" si="38"/>
        <v>220</v>
      </c>
      <c r="D282" s="216">
        <v>220</v>
      </c>
      <c r="E282" s="212"/>
      <c r="F282" s="212">
        <f t="shared" si="39"/>
        <v>220</v>
      </c>
      <c r="G282" s="216">
        <v>220</v>
      </c>
      <c r="H282" s="212"/>
      <c r="I282" s="212">
        <f t="shared" si="40"/>
        <v>220</v>
      </c>
      <c r="J282" s="216">
        <v>220</v>
      </c>
      <c r="K282" s="208"/>
    </row>
    <row r="283" spans="1:12" ht="28.5" customHeight="1" x14ac:dyDescent="0.3">
      <c r="A283" s="211" t="s">
        <v>82</v>
      </c>
      <c r="B283" s="212"/>
      <c r="C283" s="212"/>
      <c r="D283" s="212"/>
      <c r="E283" s="212"/>
      <c r="F283" s="212"/>
      <c r="G283" s="212"/>
      <c r="H283" s="212"/>
      <c r="I283" s="212"/>
      <c r="J283" s="212"/>
      <c r="K283" s="208"/>
    </row>
    <row r="284" spans="1:12" ht="58.5" customHeight="1" x14ac:dyDescent="0.3">
      <c r="A284" s="209" t="s">
        <v>216</v>
      </c>
      <c r="B284" s="212"/>
      <c r="C284" s="212">
        <f t="shared" si="38"/>
        <v>80</v>
      </c>
      <c r="D284" s="212">
        <f>D280/D276</f>
        <v>80</v>
      </c>
      <c r="E284" s="212"/>
      <c r="F284" s="212">
        <f t="shared" si="39"/>
        <v>80</v>
      </c>
      <c r="G284" s="212">
        <f>G280/G276</f>
        <v>80</v>
      </c>
      <c r="H284" s="212"/>
      <c r="I284" s="212">
        <f t="shared" si="40"/>
        <v>80</v>
      </c>
      <c r="J284" s="212">
        <f>J280/J276</f>
        <v>80</v>
      </c>
      <c r="K284" s="208"/>
      <c r="L284" s="480"/>
    </row>
    <row r="285" spans="1:12" ht="60.75" customHeight="1" x14ac:dyDescent="0.3">
      <c r="A285" s="209" t="s">
        <v>215</v>
      </c>
      <c r="B285" s="212"/>
      <c r="C285" s="212">
        <f t="shared" si="38"/>
        <v>4.2</v>
      </c>
      <c r="D285" s="212">
        <f>D281/D276</f>
        <v>4.2</v>
      </c>
      <c r="E285" s="212"/>
      <c r="F285" s="212">
        <f t="shared" si="39"/>
        <v>4.2</v>
      </c>
      <c r="G285" s="212">
        <f>G281/G276</f>
        <v>4.2</v>
      </c>
      <c r="H285" s="212"/>
      <c r="I285" s="212">
        <f t="shared" si="40"/>
        <v>4.2</v>
      </c>
      <c r="J285" s="212">
        <f>J281/J276</f>
        <v>4.2</v>
      </c>
      <c r="K285" s="208"/>
      <c r="L285" s="480"/>
    </row>
    <row r="286" spans="1:12" ht="79.5" customHeight="1" x14ac:dyDescent="0.3">
      <c r="A286" s="209" t="s">
        <v>217</v>
      </c>
      <c r="B286" s="212"/>
      <c r="C286" s="212">
        <f t="shared" si="38"/>
        <v>20</v>
      </c>
      <c r="D286" s="212">
        <f>D282/D277</f>
        <v>20</v>
      </c>
      <c r="E286" s="212"/>
      <c r="F286" s="212">
        <f t="shared" si="39"/>
        <v>20</v>
      </c>
      <c r="G286" s="212">
        <f>G282/G277</f>
        <v>20</v>
      </c>
      <c r="H286" s="212"/>
      <c r="I286" s="212">
        <f t="shared" si="40"/>
        <v>20</v>
      </c>
      <c r="J286" s="212">
        <f>J282/J277</f>
        <v>20</v>
      </c>
      <c r="K286" s="208"/>
      <c r="L286" s="480"/>
    </row>
    <row r="287" spans="1:12" ht="32.25" customHeight="1" x14ac:dyDescent="0.85">
      <c r="A287" s="472" t="s">
        <v>447</v>
      </c>
      <c r="B287" s="473"/>
      <c r="C287" s="473"/>
      <c r="D287" s="473"/>
      <c r="E287" s="473"/>
      <c r="F287" s="473"/>
      <c r="G287" s="473"/>
      <c r="H287" s="473"/>
      <c r="I287" s="473"/>
      <c r="J287" s="473"/>
      <c r="K287" s="474"/>
      <c r="L287" s="235"/>
    </row>
    <row r="288" spans="1:12" ht="32.25" customHeight="1" x14ac:dyDescent="0.85">
      <c r="A288" s="211" t="s">
        <v>79</v>
      </c>
      <c r="B288" s="212"/>
      <c r="C288" s="212"/>
      <c r="D288" s="212"/>
      <c r="E288" s="212"/>
      <c r="F288" s="212"/>
      <c r="G288" s="212"/>
      <c r="H288" s="212"/>
      <c r="I288" s="212"/>
      <c r="J288" s="212"/>
      <c r="K288" s="208"/>
      <c r="L288" s="235"/>
    </row>
    <row r="289" spans="1:12" ht="32.25" customHeight="1" x14ac:dyDescent="0.85">
      <c r="A289" s="209" t="s">
        <v>276</v>
      </c>
      <c r="B289" s="208">
        <f>C289+F289+I289</f>
        <v>21200</v>
      </c>
      <c r="C289" s="208">
        <f>D289+E289</f>
        <v>21200</v>
      </c>
      <c r="D289" s="208">
        <f>дод.1!I148*1000</f>
        <v>21200</v>
      </c>
      <c r="E289" s="212"/>
      <c r="F289" s="208"/>
      <c r="G289" s="208"/>
      <c r="H289" s="212"/>
      <c r="I289" s="212"/>
      <c r="J289" s="212"/>
      <c r="K289" s="208"/>
      <c r="L289" s="235"/>
    </row>
    <row r="290" spans="1:12" ht="32.25" customHeight="1" x14ac:dyDescent="0.85">
      <c r="A290" s="211" t="s">
        <v>81</v>
      </c>
      <c r="B290" s="212"/>
      <c r="C290" s="212"/>
      <c r="D290" s="212"/>
      <c r="E290" s="212"/>
      <c r="F290" s="212"/>
      <c r="G290" s="212"/>
      <c r="H290" s="212"/>
      <c r="I290" s="212"/>
      <c r="J290" s="212"/>
      <c r="K290" s="208"/>
      <c r="L290" s="235"/>
    </row>
    <row r="291" spans="1:12" ht="32.25" customHeight="1" x14ac:dyDescent="0.85">
      <c r="A291" s="209" t="s">
        <v>448</v>
      </c>
      <c r="B291" s="212"/>
      <c r="C291" s="212">
        <f>D291</f>
        <v>2</v>
      </c>
      <c r="D291" s="212">
        <v>2</v>
      </c>
      <c r="E291" s="212"/>
      <c r="F291" s="212"/>
      <c r="G291" s="212"/>
      <c r="H291" s="212"/>
      <c r="I291" s="212"/>
      <c r="J291" s="212"/>
      <c r="K291" s="208"/>
      <c r="L291" s="235"/>
    </row>
    <row r="292" spans="1:12" ht="32.25" customHeight="1" x14ac:dyDescent="0.85">
      <c r="A292" s="211" t="s">
        <v>82</v>
      </c>
      <c r="B292" s="212"/>
      <c r="C292" s="212"/>
      <c r="D292" s="212"/>
      <c r="E292" s="212"/>
      <c r="F292" s="212"/>
      <c r="G292" s="212"/>
      <c r="H292" s="212"/>
      <c r="I292" s="212"/>
      <c r="J292" s="212"/>
      <c r="K292" s="208"/>
      <c r="L292" s="235"/>
    </row>
    <row r="293" spans="1:12" ht="34.5" customHeight="1" x14ac:dyDescent="0.85">
      <c r="A293" s="217" t="s">
        <v>235</v>
      </c>
      <c r="B293" s="212"/>
      <c r="C293" s="212">
        <f>D293</f>
        <v>10600</v>
      </c>
      <c r="D293" s="212">
        <f>D289/D291</f>
        <v>10600</v>
      </c>
      <c r="E293" s="212"/>
      <c r="F293" s="212"/>
      <c r="G293" s="212"/>
      <c r="H293" s="212"/>
      <c r="I293" s="212"/>
      <c r="J293" s="212"/>
      <c r="K293" s="208"/>
      <c r="L293" s="235"/>
    </row>
    <row r="294" spans="1:12" ht="34.5" customHeight="1" x14ac:dyDescent="0.85">
      <c r="A294" s="472" t="s">
        <v>459</v>
      </c>
      <c r="B294" s="473"/>
      <c r="C294" s="473"/>
      <c r="D294" s="473"/>
      <c r="E294" s="473"/>
      <c r="F294" s="473"/>
      <c r="G294" s="473"/>
      <c r="H294" s="473"/>
      <c r="I294" s="473"/>
      <c r="J294" s="473"/>
      <c r="K294" s="474"/>
      <c r="L294" s="235"/>
    </row>
    <row r="295" spans="1:12" ht="34.5" customHeight="1" x14ac:dyDescent="0.85">
      <c r="A295" s="211" t="s">
        <v>79</v>
      </c>
      <c r="B295" s="212"/>
      <c r="C295" s="212"/>
      <c r="D295" s="212"/>
      <c r="E295" s="212"/>
      <c r="F295" s="212"/>
      <c r="G295" s="212"/>
      <c r="H295" s="212"/>
      <c r="I295" s="212"/>
      <c r="J295" s="212"/>
      <c r="K295" s="208"/>
      <c r="L295" s="235"/>
    </row>
    <row r="296" spans="1:12" ht="34.5" customHeight="1" x14ac:dyDescent="0.85">
      <c r="A296" s="209" t="s">
        <v>465</v>
      </c>
      <c r="B296" s="208">
        <f>C296+F296+I296</f>
        <v>16537099.999999998</v>
      </c>
      <c r="C296" s="208">
        <f>D296+E296</f>
        <v>16537099.999999998</v>
      </c>
      <c r="D296" s="208"/>
      <c r="E296" s="212">
        <f>дод.1!I149*1000</f>
        <v>16537099.999999998</v>
      </c>
      <c r="F296" s="212"/>
      <c r="G296" s="212"/>
      <c r="H296" s="212"/>
      <c r="I296" s="212"/>
      <c r="J296" s="212"/>
      <c r="K296" s="208"/>
      <c r="L296" s="235"/>
    </row>
    <row r="297" spans="1:12" ht="47.25" customHeight="1" x14ac:dyDescent="0.3">
      <c r="A297" s="470" t="s">
        <v>102</v>
      </c>
      <c r="B297" s="470"/>
      <c r="C297" s="470"/>
      <c r="D297" s="470"/>
      <c r="E297" s="470"/>
      <c r="F297" s="470"/>
      <c r="G297" s="470"/>
      <c r="H297" s="470"/>
      <c r="I297" s="470"/>
      <c r="J297" s="470"/>
      <c r="K297" s="470"/>
    </row>
    <row r="298" spans="1:12" ht="43.5" customHeight="1" x14ac:dyDescent="0.3">
      <c r="A298" s="207" t="s">
        <v>280</v>
      </c>
      <c r="B298" s="208">
        <f>B302+B309+B337+B344+B353</f>
        <v>437397020</v>
      </c>
      <c r="C298" s="208">
        <f>D298+E298</f>
        <v>107551920</v>
      </c>
      <c r="D298" s="208">
        <f>D302+D309</f>
        <v>0</v>
      </c>
      <c r="E298" s="208">
        <f>E302+E309+E337+E344+E353</f>
        <v>107551920</v>
      </c>
      <c r="F298" s="208">
        <f>G298+H298</f>
        <v>221545100</v>
      </c>
      <c r="G298" s="208">
        <f>G302+G309</f>
        <v>0</v>
      </c>
      <c r="H298" s="208">
        <f>H302+H309+H337+H344+H353</f>
        <v>221545100</v>
      </c>
      <c r="I298" s="208">
        <f>J298+K298</f>
        <v>108300000</v>
      </c>
      <c r="J298" s="208">
        <f>J302+J309</f>
        <v>0</v>
      </c>
      <c r="K298" s="208">
        <f>K302+K309+K337</f>
        <v>108300000</v>
      </c>
    </row>
    <row r="299" spans="1:12" ht="28.5" customHeight="1" x14ac:dyDescent="0.3">
      <c r="A299" s="471" t="s">
        <v>331</v>
      </c>
      <c r="B299" s="471"/>
      <c r="C299" s="471"/>
      <c r="D299" s="471"/>
      <c r="E299" s="471"/>
      <c r="F299" s="471"/>
      <c r="G299" s="471"/>
      <c r="H299" s="471"/>
      <c r="I299" s="471"/>
      <c r="J299" s="471"/>
      <c r="K299" s="471"/>
    </row>
    <row r="300" spans="1:12" ht="28.5" customHeight="1" x14ac:dyDescent="0.3">
      <c r="A300" s="469" t="s">
        <v>332</v>
      </c>
      <c r="B300" s="469"/>
      <c r="C300" s="469"/>
      <c r="D300" s="469"/>
      <c r="E300" s="469"/>
      <c r="F300" s="469"/>
      <c r="G300" s="469"/>
      <c r="H300" s="469"/>
      <c r="I300" s="469"/>
      <c r="J300" s="469"/>
      <c r="K300" s="469"/>
    </row>
    <row r="301" spans="1:12" ht="28.5" customHeight="1" x14ac:dyDescent="0.3">
      <c r="A301" s="211" t="s">
        <v>79</v>
      </c>
      <c r="B301" s="210"/>
      <c r="C301" s="210"/>
      <c r="D301" s="213"/>
      <c r="E301" s="210"/>
      <c r="F301" s="210"/>
      <c r="G301" s="210"/>
      <c r="H301" s="210"/>
      <c r="I301" s="210"/>
      <c r="J301" s="210"/>
      <c r="K301" s="210"/>
    </row>
    <row r="302" spans="1:12" ht="63" customHeight="1" x14ac:dyDescent="0.3">
      <c r="A302" s="209" t="s">
        <v>413</v>
      </c>
      <c r="B302" s="216">
        <f>C302+F302+I302</f>
        <v>313269600</v>
      </c>
      <c r="C302" s="216">
        <f>E302+D302</f>
        <v>80593000</v>
      </c>
      <c r="D302" s="216"/>
      <c r="E302" s="216">
        <f>дод.1!I154*1000</f>
        <v>80593000</v>
      </c>
      <c r="F302" s="216">
        <f>H302</f>
        <v>152676600</v>
      </c>
      <c r="G302" s="216"/>
      <c r="H302" s="216">
        <f>дод.1!J154*1000</f>
        <v>152676600</v>
      </c>
      <c r="I302" s="216">
        <f>J302+K302</f>
        <v>80000000</v>
      </c>
      <c r="J302" s="216"/>
      <c r="K302" s="216">
        <f>дод.1!K154*1000</f>
        <v>80000000</v>
      </c>
    </row>
    <row r="303" spans="1:12" ht="28.5" customHeight="1" x14ac:dyDescent="0.3">
      <c r="A303" s="211" t="s">
        <v>81</v>
      </c>
      <c r="B303" s="216"/>
      <c r="C303" s="216"/>
      <c r="D303" s="216"/>
      <c r="E303" s="216"/>
      <c r="F303" s="216"/>
      <c r="G303" s="216"/>
      <c r="H303" s="216"/>
      <c r="I303" s="216"/>
      <c r="J303" s="216"/>
      <c r="K303" s="216"/>
    </row>
    <row r="304" spans="1:12" ht="28.5" customHeight="1" x14ac:dyDescent="0.3">
      <c r="A304" s="217" t="s">
        <v>219</v>
      </c>
      <c r="B304" s="214"/>
      <c r="C304" s="216">
        <f>E304</f>
        <v>9</v>
      </c>
      <c r="D304" s="216"/>
      <c r="E304" s="216">
        <f>4+5</f>
        <v>9</v>
      </c>
      <c r="F304" s="216">
        <f>H304</f>
        <v>43</v>
      </c>
      <c r="G304" s="227"/>
      <c r="H304" s="216">
        <v>43</v>
      </c>
      <c r="I304" s="216">
        <f>K304</f>
        <v>63</v>
      </c>
      <c r="J304" s="216"/>
      <c r="K304" s="216">
        <v>63</v>
      </c>
    </row>
    <row r="305" spans="1:11" ht="28.5" customHeight="1" x14ac:dyDescent="0.3">
      <c r="A305" s="211" t="s">
        <v>82</v>
      </c>
      <c r="B305" s="236"/>
      <c r="C305" s="236"/>
      <c r="D305" s="236"/>
      <c r="E305" s="236"/>
      <c r="F305" s="236"/>
      <c r="G305" s="236"/>
      <c r="H305" s="236"/>
      <c r="I305" s="236"/>
      <c r="J305" s="236"/>
      <c r="K305" s="236"/>
    </row>
    <row r="306" spans="1:11" ht="28.5" customHeight="1" x14ac:dyDescent="0.3">
      <c r="A306" s="217" t="s">
        <v>235</v>
      </c>
      <c r="B306" s="216"/>
      <c r="C306" s="216"/>
      <c r="D306" s="216"/>
      <c r="E306" s="216">
        <f>E302/E304</f>
        <v>8954777.777777778</v>
      </c>
      <c r="F306" s="216"/>
      <c r="G306" s="216"/>
      <c r="H306" s="216">
        <f>H302/H304</f>
        <v>3550618.6046511629</v>
      </c>
      <c r="I306" s="216"/>
      <c r="J306" s="216"/>
      <c r="K306" s="216">
        <f>K302/K304</f>
        <v>1269841.2698412698</v>
      </c>
    </row>
    <row r="307" spans="1:11" ht="32.25" customHeight="1" x14ac:dyDescent="0.3">
      <c r="A307" s="472" t="s">
        <v>388</v>
      </c>
      <c r="B307" s="473"/>
      <c r="C307" s="473"/>
      <c r="D307" s="473"/>
      <c r="E307" s="473"/>
      <c r="F307" s="473"/>
      <c r="G307" s="473"/>
      <c r="H307" s="473"/>
      <c r="I307" s="473"/>
      <c r="J307" s="473"/>
      <c r="K307" s="474"/>
    </row>
    <row r="308" spans="1:11" ht="32.25" customHeight="1" x14ac:dyDescent="0.3">
      <c r="A308" s="211" t="s">
        <v>79</v>
      </c>
      <c r="B308" s="211"/>
      <c r="C308" s="211"/>
      <c r="D308" s="211"/>
      <c r="E308" s="211"/>
      <c r="F308" s="211"/>
      <c r="G308" s="211"/>
      <c r="H308" s="211"/>
      <c r="I308" s="211"/>
      <c r="J308" s="211"/>
      <c r="K308" s="211"/>
    </row>
    <row r="309" spans="1:11" ht="53.25" customHeight="1" x14ac:dyDescent="0.3">
      <c r="A309" s="209" t="s">
        <v>414</v>
      </c>
      <c r="B309" s="216">
        <f>C309+F309+I309</f>
        <v>65975000</v>
      </c>
      <c r="C309" s="216">
        <f>E309+D309</f>
        <v>5300000</v>
      </c>
      <c r="D309" s="216"/>
      <c r="E309" s="216">
        <f>дод.1!I166*1000</f>
        <v>5300000</v>
      </c>
      <c r="F309" s="216">
        <f>H309</f>
        <v>32375000</v>
      </c>
      <c r="G309" s="216"/>
      <c r="H309" s="216">
        <f>дод.1!J166*1000</f>
        <v>32375000</v>
      </c>
      <c r="I309" s="216">
        <f>J309+K309</f>
        <v>28300000</v>
      </c>
      <c r="J309" s="216"/>
      <c r="K309" s="216">
        <f>дод.1!K166*1000</f>
        <v>28300000</v>
      </c>
    </row>
    <row r="310" spans="1:11" ht="28.5" customHeight="1" x14ac:dyDescent="0.3">
      <c r="A310" s="234" t="s">
        <v>188</v>
      </c>
      <c r="B310" s="216"/>
      <c r="C310" s="216"/>
      <c r="D310" s="216"/>
      <c r="E310" s="216"/>
      <c r="F310" s="216"/>
      <c r="G310" s="216"/>
      <c r="H310" s="216"/>
      <c r="I310" s="216">
        <f t="shared" ref="I310:I314" si="41">J310+K310</f>
        <v>5800</v>
      </c>
      <c r="J310" s="216"/>
      <c r="K310" s="216">
        <v>5800</v>
      </c>
    </row>
    <row r="311" spans="1:11" ht="28.5" customHeight="1" x14ac:dyDescent="0.3">
      <c r="A311" s="234" t="s">
        <v>189</v>
      </c>
      <c r="B311" s="216"/>
      <c r="C311" s="216"/>
      <c r="D311" s="216"/>
      <c r="E311" s="216"/>
      <c r="F311" s="216"/>
      <c r="G311" s="216"/>
      <c r="H311" s="216"/>
      <c r="I311" s="216">
        <f t="shared" si="41"/>
        <v>2640</v>
      </c>
      <c r="J311" s="216"/>
      <c r="K311" s="216">
        <v>2640</v>
      </c>
    </row>
    <row r="312" spans="1:11" ht="28.5" customHeight="1" x14ac:dyDescent="0.3">
      <c r="A312" s="234" t="s">
        <v>190</v>
      </c>
      <c r="B312" s="216"/>
      <c r="C312" s="216">
        <f t="shared" ref="C312" si="42">E312+D312</f>
        <v>2300000</v>
      </c>
      <c r="D312" s="216"/>
      <c r="E312" s="216">
        <f>300000+2000000</f>
        <v>2300000</v>
      </c>
      <c r="F312" s="216"/>
      <c r="G312" s="216"/>
      <c r="H312" s="216"/>
      <c r="I312" s="216">
        <f t="shared" si="41"/>
        <v>9360</v>
      </c>
      <c r="J312" s="216"/>
      <c r="K312" s="216">
        <v>9360</v>
      </c>
    </row>
    <row r="313" spans="1:11" ht="28.5" customHeight="1" x14ac:dyDescent="0.3">
      <c r="A313" s="234" t="s">
        <v>218</v>
      </c>
      <c r="B313" s="216"/>
      <c r="C313" s="216"/>
      <c r="D313" s="216"/>
      <c r="E313" s="216"/>
      <c r="F313" s="216"/>
      <c r="G313" s="216"/>
      <c r="H313" s="216"/>
      <c r="I313" s="216">
        <f t="shared" si="41"/>
        <v>2500</v>
      </c>
      <c r="J313" s="216"/>
      <c r="K313" s="216">
        <v>2500</v>
      </c>
    </row>
    <row r="314" spans="1:11" ht="28.5" customHeight="1" x14ac:dyDescent="0.3">
      <c r="A314" s="234" t="s">
        <v>192</v>
      </c>
      <c r="B314" s="216"/>
      <c r="C314" s="216"/>
      <c r="D314" s="216"/>
      <c r="E314" s="216">
        <f>2000000+1000000</f>
        <v>3000000</v>
      </c>
      <c r="F314" s="216"/>
      <c r="G314" s="216"/>
      <c r="H314" s="216"/>
      <c r="I314" s="216">
        <f t="shared" si="41"/>
        <v>8000</v>
      </c>
      <c r="J314" s="216"/>
      <c r="K314" s="216">
        <v>8000</v>
      </c>
    </row>
    <row r="315" spans="1:11" ht="28.5" customHeight="1" x14ac:dyDescent="0.3">
      <c r="A315" s="234" t="s">
        <v>436</v>
      </c>
      <c r="B315" s="216"/>
      <c r="C315" s="216"/>
      <c r="D315" s="216"/>
      <c r="E315" s="216"/>
      <c r="F315" s="216">
        <f>H315</f>
        <v>32000000</v>
      </c>
      <c r="G315" s="216"/>
      <c r="H315" s="216">
        <v>32000000</v>
      </c>
      <c r="I315" s="216"/>
      <c r="J315" s="216"/>
      <c r="K315" s="216"/>
    </row>
    <row r="316" spans="1:11" ht="28.5" customHeight="1" x14ac:dyDescent="0.3">
      <c r="A316" s="234" t="s">
        <v>460</v>
      </c>
      <c r="B316" s="216"/>
      <c r="C316" s="216"/>
      <c r="D316" s="216"/>
      <c r="E316" s="216"/>
      <c r="F316" s="216">
        <f>H316</f>
        <v>375000</v>
      </c>
      <c r="G316" s="216"/>
      <c r="H316" s="216">
        <v>375000</v>
      </c>
      <c r="I316" s="216"/>
      <c r="J316" s="216"/>
      <c r="K316" s="216"/>
    </row>
    <row r="317" spans="1:11" ht="28.5" customHeight="1" x14ac:dyDescent="0.3">
      <c r="A317" s="211" t="s">
        <v>81</v>
      </c>
      <c r="B317" s="216"/>
      <c r="C317" s="216"/>
      <c r="D317" s="216"/>
      <c r="E317" s="216"/>
      <c r="F317" s="216"/>
      <c r="G317" s="216"/>
      <c r="H317" s="216"/>
      <c r="I317" s="216"/>
      <c r="J317" s="216"/>
      <c r="K317" s="216"/>
    </row>
    <row r="318" spans="1:11" ht="45.75" customHeight="1" x14ac:dyDescent="0.3">
      <c r="A318" s="217" t="s">
        <v>282</v>
      </c>
      <c r="B318" s="214"/>
      <c r="C318" s="216"/>
      <c r="D318" s="216"/>
      <c r="E318" s="216"/>
      <c r="F318" s="216">
        <f t="shared" ref="F318" si="43">H318</f>
        <v>2</v>
      </c>
      <c r="G318" s="227"/>
      <c r="H318" s="216">
        <f>SUM(H320:H325)</f>
        <v>2</v>
      </c>
      <c r="I318" s="216">
        <f t="shared" ref="I318:I323" si="44">K318</f>
        <v>19</v>
      </c>
      <c r="J318" s="216"/>
      <c r="K318" s="216">
        <v>19</v>
      </c>
    </row>
    <row r="319" spans="1:11" ht="28.5" customHeight="1" x14ac:dyDescent="0.3">
      <c r="A319" s="234" t="s">
        <v>188</v>
      </c>
      <c r="B319" s="214"/>
      <c r="C319" s="216"/>
      <c r="D319" s="216"/>
      <c r="E319" s="216"/>
      <c r="F319" s="216"/>
      <c r="G319" s="227"/>
      <c r="H319" s="216"/>
      <c r="I319" s="216">
        <f t="shared" si="44"/>
        <v>5</v>
      </c>
      <c r="J319" s="216"/>
      <c r="K319" s="216">
        <v>5</v>
      </c>
    </row>
    <row r="320" spans="1:11" ht="28.5" customHeight="1" x14ac:dyDescent="0.3">
      <c r="A320" s="234" t="s">
        <v>189</v>
      </c>
      <c r="B320" s="214"/>
      <c r="C320" s="216"/>
      <c r="D320" s="216"/>
      <c r="E320" s="216"/>
      <c r="F320" s="216"/>
      <c r="G320" s="227"/>
      <c r="H320" s="216"/>
      <c r="I320" s="216">
        <f t="shared" si="44"/>
        <v>5</v>
      </c>
      <c r="J320" s="216"/>
      <c r="K320" s="216">
        <v>5</v>
      </c>
    </row>
    <row r="321" spans="1:11" ht="28.5" customHeight="1" x14ac:dyDescent="0.3">
      <c r="A321" s="234" t="s">
        <v>190</v>
      </c>
      <c r="B321" s="214"/>
      <c r="C321" s="216">
        <f t="shared" ref="C321" si="45">E321</f>
        <v>2</v>
      </c>
      <c r="D321" s="216"/>
      <c r="E321" s="216">
        <v>2</v>
      </c>
      <c r="F321" s="216"/>
      <c r="G321" s="227"/>
      <c r="H321" s="216"/>
      <c r="I321" s="216">
        <f t="shared" si="44"/>
        <v>6</v>
      </c>
      <c r="J321" s="216"/>
      <c r="K321" s="216">
        <v>6</v>
      </c>
    </row>
    <row r="322" spans="1:11" ht="28.5" customHeight="1" x14ac:dyDescent="0.3">
      <c r="A322" s="234" t="s">
        <v>191</v>
      </c>
      <c r="B322" s="214"/>
      <c r="C322" s="216"/>
      <c r="D322" s="216"/>
      <c r="E322" s="216"/>
      <c r="F322" s="216"/>
      <c r="G322" s="227"/>
      <c r="H322" s="216"/>
      <c r="I322" s="216">
        <f t="shared" si="44"/>
        <v>1</v>
      </c>
      <c r="J322" s="216"/>
      <c r="K322" s="216">
        <v>1</v>
      </c>
    </row>
    <row r="323" spans="1:11" ht="28.5" customHeight="1" x14ac:dyDescent="0.3">
      <c r="A323" s="234" t="s">
        <v>192</v>
      </c>
      <c r="B323" s="214"/>
      <c r="C323" s="216">
        <f>E323</f>
        <v>2</v>
      </c>
      <c r="D323" s="216"/>
      <c r="E323" s="216">
        <v>2</v>
      </c>
      <c r="F323" s="216"/>
      <c r="G323" s="227"/>
      <c r="H323" s="216"/>
      <c r="I323" s="216">
        <f t="shared" si="44"/>
        <v>2</v>
      </c>
      <c r="J323" s="216"/>
      <c r="K323" s="216">
        <v>2</v>
      </c>
    </row>
    <row r="324" spans="1:11" ht="28.5" customHeight="1" x14ac:dyDescent="0.3">
      <c r="A324" s="234" t="s">
        <v>436</v>
      </c>
      <c r="B324" s="214"/>
      <c r="C324" s="216"/>
      <c r="D324" s="216"/>
      <c r="E324" s="216"/>
      <c r="F324" s="216">
        <f>H324</f>
        <v>1</v>
      </c>
      <c r="G324" s="227"/>
      <c r="H324" s="216">
        <v>1</v>
      </c>
      <c r="I324" s="216"/>
      <c r="J324" s="216"/>
      <c r="K324" s="216"/>
    </row>
    <row r="325" spans="1:11" ht="28.5" customHeight="1" x14ac:dyDescent="0.3">
      <c r="A325" s="234" t="s">
        <v>460</v>
      </c>
      <c r="B325" s="214"/>
      <c r="C325" s="216"/>
      <c r="D325" s="216"/>
      <c r="E325" s="216"/>
      <c r="F325" s="216">
        <f>H325</f>
        <v>1</v>
      </c>
      <c r="G325" s="227"/>
      <c r="H325" s="216">
        <v>1</v>
      </c>
      <c r="I325" s="216"/>
      <c r="J325" s="216"/>
      <c r="K325" s="216"/>
    </row>
    <row r="326" spans="1:11" ht="28.5" customHeight="1" x14ac:dyDescent="0.3">
      <c r="A326" s="211" t="s">
        <v>82</v>
      </c>
      <c r="B326" s="216"/>
      <c r="C326" s="216"/>
      <c r="D326" s="216"/>
      <c r="E326" s="216"/>
      <c r="F326" s="216"/>
      <c r="G326" s="216"/>
      <c r="H326" s="216"/>
      <c r="I326" s="216"/>
      <c r="J326" s="216"/>
      <c r="K326" s="216"/>
    </row>
    <row r="327" spans="1:11" ht="28.5" customHeight="1" x14ac:dyDescent="0.3">
      <c r="A327" s="217" t="s">
        <v>281</v>
      </c>
      <c r="B327" s="216"/>
      <c r="C327" s="216"/>
      <c r="D327" s="216"/>
      <c r="E327" s="216"/>
      <c r="F327" s="216"/>
      <c r="G327" s="216"/>
      <c r="H327" s="216"/>
      <c r="I327" s="216"/>
      <c r="J327" s="216"/>
      <c r="K327" s="216"/>
    </row>
    <row r="328" spans="1:11" ht="28.5" customHeight="1" x14ac:dyDescent="0.3">
      <c r="A328" s="234" t="s">
        <v>188</v>
      </c>
      <c r="B328" s="216"/>
      <c r="C328" s="216"/>
      <c r="D328" s="216"/>
      <c r="E328" s="216"/>
      <c r="F328" s="216"/>
      <c r="G328" s="216"/>
      <c r="H328" s="216"/>
      <c r="I328" s="216"/>
      <c r="J328" s="216"/>
      <c r="K328" s="216">
        <f>K310/K319</f>
        <v>1160</v>
      </c>
    </row>
    <row r="329" spans="1:11" ht="28.5" customHeight="1" x14ac:dyDescent="0.3">
      <c r="A329" s="234" t="s">
        <v>189</v>
      </c>
      <c r="B329" s="216"/>
      <c r="C329" s="216"/>
      <c r="D329" s="216"/>
      <c r="E329" s="216"/>
      <c r="F329" s="216"/>
      <c r="G329" s="216"/>
      <c r="H329" s="216"/>
      <c r="I329" s="216"/>
      <c r="J329" s="216"/>
      <c r="K329" s="216">
        <f>K311/K320</f>
        <v>528</v>
      </c>
    </row>
    <row r="330" spans="1:11" ht="28.5" customHeight="1" x14ac:dyDescent="0.3">
      <c r="A330" s="234" t="s">
        <v>190</v>
      </c>
      <c r="B330" s="216"/>
      <c r="C330" s="216"/>
      <c r="D330" s="216"/>
      <c r="E330" s="216">
        <f>E312/E321</f>
        <v>1150000</v>
      </c>
      <c r="F330" s="216"/>
      <c r="G330" s="216"/>
      <c r="H330" s="216"/>
      <c r="I330" s="216"/>
      <c r="J330" s="216"/>
      <c r="K330" s="216">
        <f>K312/K321</f>
        <v>1560</v>
      </c>
    </row>
    <row r="331" spans="1:11" ht="28.5" customHeight="1" x14ac:dyDescent="0.3">
      <c r="A331" s="234" t="s">
        <v>191</v>
      </c>
      <c r="B331" s="216"/>
      <c r="C331" s="216"/>
      <c r="D331" s="216"/>
      <c r="E331" s="216"/>
      <c r="F331" s="216"/>
      <c r="G331" s="216"/>
      <c r="H331" s="216"/>
      <c r="I331" s="216"/>
      <c r="J331" s="216"/>
      <c r="K331" s="216">
        <f>K313/K322</f>
        <v>2500</v>
      </c>
    </row>
    <row r="332" spans="1:11" ht="28.5" customHeight="1" x14ac:dyDescent="0.3">
      <c r="A332" s="234" t="s">
        <v>192</v>
      </c>
      <c r="B332" s="216"/>
      <c r="C332" s="216"/>
      <c r="D332" s="216"/>
      <c r="E332" s="216">
        <f>E314/E323</f>
        <v>1500000</v>
      </c>
      <c r="F332" s="216"/>
      <c r="G332" s="216"/>
      <c r="H332" s="216"/>
      <c r="I332" s="216"/>
      <c r="J332" s="216"/>
      <c r="K332" s="216">
        <f>K314/K323</f>
        <v>4000</v>
      </c>
    </row>
    <row r="333" spans="1:11" ht="28.5" customHeight="1" x14ac:dyDescent="0.3">
      <c r="A333" s="234" t="s">
        <v>436</v>
      </c>
      <c r="B333" s="216"/>
      <c r="C333" s="216"/>
      <c r="D333" s="216"/>
      <c r="E333" s="216"/>
      <c r="F333" s="216"/>
      <c r="G333" s="216"/>
      <c r="H333" s="216">
        <f>H315/H325</f>
        <v>32000000</v>
      </c>
      <c r="I333" s="216"/>
      <c r="J333" s="216"/>
      <c r="K333" s="216"/>
    </row>
    <row r="334" spans="1:11" ht="28.5" customHeight="1" x14ac:dyDescent="0.3">
      <c r="A334" s="234" t="s">
        <v>461</v>
      </c>
      <c r="B334" s="216"/>
      <c r="C334" s="216"/>
      <c r="D334" s="216"/>
      <c r="E334" s="216"/>
      <c r="F334" s="216"/>
      <c r="G334" s="216"/>
      <c r="H334" s="216">
        <f>H316/H325</f>
        <v>375000</v>
      </c>
      <c r="I334" s="216"/>
      <c r="J334" s="216"/>
      <c r="K334" s="216"/>
    </row>
    <row r="335" spans="1:11" ht="28.5" customHeight="1" x14ac:dyDescent="0.3">
      <c r="A335" s="472" t="s">
        <v>389</v>
      </c>
      <c r="B335" s="473"/>
      <c r="C335" s="473"/>
      <c r="D335" s="473"/>
      <c r="E335" s="473"/>
      <c r="F335" s="473"/>
      <c r="G335" s="473"/>
      <c r="H335" s="473"/>
      <c r="I335" s="473"/>
      <c r="J335" s="473"/>
      <c r="K335" s="474"/>
    </row>
    <row r="336" spans="1:11" ht="28.5" customHeight="1" x14ac:dyDescent="0.3">
      <c r="A336" s="211" t="s">
        <v>79</v>
      </c>
      <c r="B336" s="211"/>
      <c r="C336" s="211"/>
      <c r="D336" s="211"/>
      <c r="E336" s="211"/>
      <c r="F336" s="211"/>
      <c r="G336" s="211"/>
      <c r="H336" s="211"/>
      <c r="I336" s="211"/>
      <c r="J336" s="211"/>
      <c r="K336" s="211"/>
    </row>
    <row r="337" spans="1:11" ht="54.75" customHeight="1" x14ac:dyDescent="0.3">
      <c r="A337" s="209" t="s">
        <v>415</v>
      </c>
      <c r="B337" s="216">
        <f>C337+F337+I337</f>
        <v>16907200</v>
      </c>
      <c r="C337" s="216">
        <f>дод.1!H178*1000</f>
        <v>16907200</v>
      </c>
      <c r="D337" s="216"/>
      <c r="E337" s="216">
        <f>дод.1!I178*1000</f>
        <v>16800000</v>
      </c>
      <c r="F337" s="216"/>
      <c r="G337" s="216"/>
      <c r="H337" s="216">
        <f>дод.1!J179*1000</f>
        <v>107200</v>
      </c>
      <c r="I337" s="216"/>
      <c r="J337" s="216"/>
      <c r="K337" s="216">
        <f>дод.1!K179*1000</f>
        <v>0</v>
      </c>
    </row>
    <row r="338" spans="1:11" ht="33.75" customHeight="1" x14ac:dyDescent="0.3">
      <c r="A338" s="211" t="s">
        <v>81</v>
      </c>
      <c r="B338" s="216"/>
      <c r="C338" s="216"/>
      <c r="D338" s="216"/>
      <c r="E338" s="216"/>
      <c r="F338" s="216"/>
      <c r="G338" s="216"/>
      <c r="H338" s="216"/>
      <c r="I338" s="216"/>
      <c r="J338" s="216"/>
      <c r="K338" s="216"/>
    </row>
    <row r="339" spans="1:11" ht="54.75" customHeight="1" x14ac:dyDescent="0.3">
      <c r="A339" s="217" t="s">
        <v>220</v>
      </c>
      <c r="B339" s="214"/>
      <c r="C339" s="216">
        <v>1</v>
      </c>
      <c r="D339" s="216"/>
      <c r="E339" s="216">
        <v>1</v>
      </c>
      <c r="F339" s="216">
        <v>1</v>
      </c>
      <c r="G339" s="227"/>
      <c r="H339" s="216">
        <v>1</v>
      </c>
      <c r="I339" s="216">
        <v>1</v>
      </c>
      <c r="J339" s="216"/>
      <c r="K339" s="216">
        <v>1</v>
      </c>
    </row>
    <row r="340" spans="1:11" ht="28.5" customHeight="1" x14ac:dyDescent="0.3">
      <c r="A340" s="211" t="s">
        <v>82</v>
      </c>
      <c r="B340" s="216"/>
      <c r="C340" s="216"/>
      <c r="D340" s="216"/>
      <c r="E340" s="216"/>
      <c r="F340" s="216"/>
      <c r="G340" s="216"/>
      <c r="H340" s="216"/>
      <c r="I340" s="216"/>
      <c r="J340" s="216"/>
      <c r="K340" s="216"/>
    </row>
    <row r="341" spans="1:11" ht="28.5" customHeight="1" x14ac:dyDescent="0.3">
      <c r="A341" s="217" t="s">
        <v>234</v>
      </c>
      <c r="B341" s="216"/>
      <c r="C341" s="216"/>
      <c r="D341" s="216"/>
      <c r="E341" s="216">
        <f>E337/E339</f>
        <v>16800000</v>
      </c>
      <c r="F341" s="216"/>
      <c r="G341" s="216"/>
      <c r="H341" s="216">
        <f>H337/H339</f>
        <v>107200</v>
      </c>
      <c r="I341" s="216"/>
      <c r="J341" s="216"/>
      <c r="K341" s="216"/>
    </row>
    <row r="342" spans="1:11" ht="30" customHeight="1" x14ac:dyDescent="0.3">
      <c r="A342" s="469" t="s">
        <v>417</v>
      </c>
      <c r="B342" s="469"/>
      <c r="C342" s="469"/>
      <c r="D342" s="469"/>
      <c r="E342" s="469"/>
      <c r="F342" s="469"/>
      <c r="G342" s="469"/>
      <c r="H342" s="469"/>
      <c r="I342" s="469"/>
      <c r="J342" s="469"/>
      <c r="K342" s="469"/>
    </row>
    <row r="343" spans="1:11" ht="28.5" customHeight="1" x14ac:dyDescent="0.3">
      <c r="A343" s="211" t="s">
        <v>79</v>
      </c>
      <c r="B343" s="216"/>
      <c r="C343" s="216"/>
      <c r="D343" s="216"/>
      <c r="E343" s="216"/>
      <c r="F343" s="216"/>
      <c r="G343" s="216"/>
      <c r="H343" s="216"/>
      <c r="I343" s="216"/>
      <c r="J343" s="216"/>
      <c r="K343" s="216"/>
    </row>
    <row r="344" spans="1:11" ht="58.5" customHeight="1" x14ac:dyDescent="0.3">
      <c r="A344" s="209" t="s">
        <v>392</v>
      </c>
      <c r="B344" s="237">
        <f>C344+F344+I344</f>
        <v>5693820</v>
      </c>
      <c r="C344" s="237">
        <f>дод.1!H182*1000</f>
        <v>5693820</v>
      </c>
      <c r="D344" s="236"/>
      <c r="E344" s="237">
        <f>дод.1!I182*1000</f>
        <v>4498920</v>
      </c>
      <c r="F344" s="237"/>
      <c r="G344" s="237"/>
      <c r="H344" s="237">
        <f>дод.1!J182*1000</f>
        <v>1194900</v>
      </c>
      <c r="I344" s="237"/>
      <c r="J344" s="237"/>
      <c r="K344" s="237">
        <f>дод.1!K182*1000</f>
        <v>0</v>
      </c>
    </row>
    <row r="345" spans="1:11" ht="29.25" customHeight="1" x14ac:dyDescent="0.3">
      <c r="A345" s="211" t="s">
        <v>81</v>
      </c>
      <c r="B345" s="237"/>
      <c r="C345" s="237"/>
      <c r="D345" s="236"/>
      <c r="E345" s="237"/>
      <c r="F345" s="237"/>
      <c r="G345" s="237"/>
      <c r="H345" s="237"/>
      <c r="I345" s="237"/>
      <c r="J345" s="237"/>
      <c r="K345" s="237"/>
    </row>
    <row r="346" spans="1:11" ht="28.5" customHeight="1" x14ac:dyDescent="0.3">
      <c r="A346" s="238" t="s">
        <v>393</v>
      </c>
      <c r="B346" s="237"/>
      <c r="C346" s="237">
        <f>E346</f>
        <v>3</v>
      </c>
      <c r="D346" s="236"/>
      <c r="E346" s="237">
        <v>3</v>
      </c>
      <c r="F346" s="237"/>
      <c r="G346" s="237"/>
      <c r="H346" s="237">
        <v>0</v>
      </c>
      <c r="I346" s="237"/>
      <c r="J346" s="237"/>
      <c r="K346" s="237">
        <v>0</v>
      </c>
    </row>
    <row r="347" spans="1:11" ht="28.5" customHeight="1" x14ac:dyDescent="0.3">
      <c r="A347" s="211" t="s">
        <v>82</v>
      </c>
      <c r="B347" s="237"/>
      <c r="C347" s="237"/>
      <c r="D347" s="236"/>
      <c r="E347" s="236"/>
      <c r="F347" s="236"/>
      <c r="G347" s="236"/>
      <c r="H347" s="236"/>
      <c r="I347" s="236"/>
      <c r="J347" s="236"/>
      <c r="K347" s="236"/>
    </row>
    <row r="348" spans="1:11" ht="57" customHeight="1" x14ac:dyDescent="0.3">
      <c r="A348" s="217" t="s">
        <v>394</v>
      </c>
      <c r="B348" s="237"/>
      <c r="C348" s="237">
        <f>C344/C346</f>
        <v>1897940</v>
      </c>
      <c r="D348" s="236"/>
      <c r="E348" s="237">
        <f>E344/E346</f>
        <v>1499640</v>
      </c>
      <c r="F348" s="236"/>
      <c r="G348" s="236"/>
      <c r="H348" s="236"/>
      <c r="I348" s="236"/>
      <c r="J348" s="236"/>
      <c r="K348" s="236"/>
    </row>
    <row r="349" spans="1:11" ht="27" customHeight="1" x14ac:dyDescent="0.3">
      <c r="A349" s="230" t="s">
        <v>83</v>
      </c>
      <c r="B349" s="237"/>
      <c r="C349" s="237"/>
      <c r="D349" s="236"/>
      <c r="E349" s="237"/>
      <c r="F349" s="236"/>
      <c r="G349" s="236"/>
      <c r="H349" s="236"/>
      <c r="I349" s="236"/>
      <c r="J349" s="236"/>
      <c r="K349" s="236"/>
    </row>
    <row r="350" spans="1:11" ht="53.25" customHeight="1" x14ac:dyDescent="0.3">
      <c r="A350" s="217" t="s">
        <v>395</v>
      </c>
      <c r="B350" s="237"/>
      <c r="C350" s="237">
        <v>100</v>
      </c>
      <c r="D350" s="236"/>
      <c r="E350" s="237">
        <v>100</v>
      </c>
      <c r="F350" s="236"/>
      <c r="G350" s="236"/>
      <c r="H350" s="236"/>
      <c r="I350" s="236"/>
      <c r="J350" s="236"/>
      <c r="K350" s="236"/>
    </row>
    <row r="351" spans="1:11" ht="32.25" customHeight="1" x14ac:dyDescent="0.3">
      <c r="A351" s="469" t="s">
        <v>437</v>
      </c>
      <c r="B351" s="469"/>
      <c r="C351" s="469"/>
      <c r="D351" s="469"/>
      <c r="E351" s="469"/>
      <c r="F351" s="469"/>
      <c r="G351" s="469"/>
      <c r="H351" s="469"/>
      <c r="I351" s="469"/>
      <c r="J351" s="469"/>
      <c r="K351" s="469"/>
    </row>
    <row r="352" spans="1:11" ht="30.75" customHeight="1" x14ac:dyDescent="0.3">
      <c r="A352" s="211" t="s">
        <v>79</v>
      </c>
      <c r="B352" s="237"/>
      <c r="C352" s="237"/>
      <c r="D352" s="236"/>
      <c r="E352" s="237"/>
      <c r="F352" s="236"/>
      <c r="G352" s="236"/>
      <c r="H352" s="236"/>
      <c r="I352" s="236"/>
      <c r="J352" s="236"/>
      <c r="K352" s="236"/>
    </row>
    <row r="353" spans="1:11" ht="53.25" customHeight="1" x14ac:dyDescent="0.3">
      <c r="A353" s="217" t="s">
        <v>411</v>
      </c>
      <c r="B353" s="237">
        <f>C353+F353+I353</f>
        <v>35551400</v>
      </c>
      <c r="C353" s="237">
        <f>E353</f>
        <v>360000</v>
      </c>
      <c r="D353" s="236"/>
      <c r="E353" s="237">
        <f>дод.1!I189*1000</f>
        <v>360000</v>
      </c>
      <c r="F353" s="236">
        <f>G353+H353</f>
        <v>35191400</v>
      </c>
      <c r="G353" s="236"/>
      <c r="H353" s="236">
        <f>дод.1!J189*1000</f>
        <v>35191400</v>
      </c>
      <c r="I353" s="236"/>
      <c r="J353" s="236"/>
      <c r="K353" s="236"/>
    </row>
    <row r="354" spans="1:11" ht="34.5" customHeight="1" x14ac:dyDescent="0.3">
      <c r="A354" s="211" t="s">
        <v>81</v>
      </c>
      <c r="B354" s="237"/>
      <c r="C354" s="237"/>
      <c r="D354" s="236"/>
      <c r="E354" s="237"/>
      <c r="F354" s="236"/>
      <c r="G354" s="236"/>
      <c r="H354" s="236"/>
      <c r="I354" s="236"/>
      <c r="J354" s="236"/>
      <c r="K354" s="236"/>
    </row>
    <row r="355" spans="1:11" ht="32.25" customHeight="1" x14ac:dyDescent="0.3">
      <c r="A355" s="224" t="s">
        <v>410</v>
      </c>
      <c r="B355" s="237"/>
      <c r="C355" s="237">
        <f>E355</f>
        <v>1</v>
      </c>
      <c r="D355" s="236"/>
      <c r="E355" s="237">
        <v>1</v>
      </c>
      <c r="F355" s="236">
        <f>H355</f>
        <v>3</v>
      </c>
      <c r="G355" s="236"/>
      <c r="H355" s="236">
        <v>3</v>
      </c>
      <c r="I355" s="236"/>
      <c r="J355" s="236"/>
      <c r="K355" s="236"/>
    </row>
    <row r="356" spans="1:11" ht="38.25" customHeight="1" x14ac:dyDescent="0.3">
      <c r="A356" s="211" t="s">
        <v>82</v>
      </c>
      <c r="B356" s="237"/>
      <c r="C356" s="237"/>
      <c r="D356" s="236"/>
      <c r="E356" s="237"/>
      <c r="F356" s="236"/>
      <c r="G356" s="236"/>
      <c r="H356" s="236"/>
      <c r="I356" s="236"/>
      <c r="J356" s="236"/>
      <c r="K356" s="236"/>
    </row>
    <row r="357" spans="1:11" ht="53.25" customHeight="1" x14ac:dyDescent="0.3">
      <c r="A357" s="209" t="s">
        <v>412</v>
      </c>
      <c r="B357" s="237"/>
      <c r="C357" s="237">
        <f>E357</f>
        <v>360000</v>
      </c>
      <c r="D357" s="236"/>
      <c r="E357" s="237">
        <f>E353/E355</f>
        <v>360000</v>
      </c>
      <c r="F357" s="236"/>
      <c r="G357" s="236"/>
      <c r="H357" s="236">
        <f>H353/H355</f>
        <v>11730466.666666666</v>
      </c>
      <c r="I357" s="236"/>
      <c r="J357" s="236"/>
      <c r="K357" s="236"/>
    </row>
    <row r="358" spans="1:11" s="242" customFormat="1" ht="28.5" customHeight="1" x14ac:dyDescent="0.35">
      <c r="A358" s="239"/>
      <c r="B358" s="240"/>
      <c r="C358" s="241"/>
      <c r="D358" s="241"/>
      <c r="E358" s="241"/>
      <c r="F358" s="241"/>
      <c r="G358" s="241"/>
      <c r="H358" s="241"/>
      <c r="I358" s="241"/>
      <c r="J358" s="241"/>
      <c r="K358" s="241"/>
    </row>
    <row r="359" spans="1:11" s="242" customFormat="1" ht="28.5" customHeight="1" x14ac:dyDescent="0.4">
      <c r="A359" s="243" t="s">
        <v>146</v>
      </c>
      <c r="B359" s="240"/>
      <c r="C359" s="241"/>
      <c r="D359" s="241"/>
      <c r="E359" s="241"/>
      <c r="F359" s="241"/>
      <c r="G359" s="241"/>
      <c r="H359" s="241"/>
      <c r="I359" s="244" t="s">
        <v>374</v>
      </c>
      <c r="J359" s="241"/>
      <c r="K359" s="241"/>
    </row>
    <row r="360" spans="1:11" s="242" customFormat="1" ht="28.5" customHeight="1" x14ac:dyDescent="0.35">
      <c r="A360" s="239"/>
      <c r="B360" s="240"/>
      <c r="C360" s="241"/>
      <c r="D360" s="241"/>
      <c r="E360" s="241"/>
      <c r="F360" s="241"/>
      <c r="G360" s="241"/>
      <c r="H360" s="241"/>
      <c r="I360" s="241"/>
      <c r="J360" s="241"/>
      <c r="K360" s="241"/>
    </row>
    <row r="361" spans="1:11" s="242" customFormat="1" ht="28.5" customHeight="1" x14ac:dyDescent="0.4">
      <c r="A361" s="245" t="s">
        <v>25</v>
      </c>
      <c r="B361" s="243"/>
      <c r="C361" s="246"/>
      <c r="D361" s="247"/>
      <c r="E361" s="243"/>
      <c r="F361" s="248"/>
      <c r="G361" s="248"/>
      <c r="H361" s="248"/>
      <c r="J361" s="249"/>
      <c r="K361" s="250"/>
    </row>
    <row r="362" spans="1:11" s="242" customFormat="1" ht="28.5" customHeight="1" x14ac:dyDescent="0.35">
      <c r="A362" s="251"/>
      <c r="B362" s="251"/>
      <c r="C362" s="252"/>
      <c r="D362" s="253"/>
      <c r="E362" s="251"/>
      <c r="F362" s="249"/>
      <c r="G362" s="249"/>
      <c r="H362" s="249"/>
      <c r="I362" s="254"/>
      <c r="J362" s="249"/>
      <c r="K362" s="250"/>
    </row>
    <row r="363" spans="1:11" ht="28.5" customHeight="1" x14ac:dyDescent="0.35">
      <c r="B363" s="251"/>
      <c r="C363" s="255"/>
      <c r="D363" s="253"/>
      <c r="E363" s="251"/>
      <c r="F363" s="249"/>
      <c r="G363" s="249"/>
      <c r="H363" s="249"/>
      <c r="I363" s="249"/>
      <c r="J363" s="249"/>
      <c r="K363" s="256"/>
    </row>
    <row r="364" spans="1:11" ht="28.5" customHeight="1" x14ac:dyDescent="0.35">
      <c r="A364" s="251"/>
      <c r="B364" s="251"/>
      <c r="C364" s="251"/>
      <c r="D364" s="253"/>
      <c r="E364" s="251"/>
      <c r="F364" s="249"/>
      <c r="G364" s="249"/>
      <c r="H364" s="249"/>
      <c r="I364" s="249"/>
      <c r="J364" s="249"/>
      <c r="K364" s="256"/>
    </row>
    <row r="365" spans="1:11" ht="28.5" customHeight="1" x14ac:dyDescent="0.35">
      <c r="A365" s="251"/>
      <c r="B365" s="251"/>
      <c r="C365" s="251"/>
      <c r="D365" s="251"/>
      <c r="E365" s="251"/>
      <c r="F365" s="251"/>
      <c r="G365" s="251"/>
      <c r="H365" s="251"/>
      <c r="I365" s="251"/>
      <c r="J365" s="251"/>
    </row>
  </sheetData>
  <mergeCells count="57">
    <mergeCell ref="B16:K16"/>
    <mergeCell ref="D9:E9"/>
    <mergeCell ref="F9:F10"/>
    <mergeCell ref="A21:K21"/>
    <mergeCell ref="A68:K68"/>
    <mergeCell ref="B17:K17"/>
    <mergeCell ref="A22:K22"/>
    <mergeCell ref="A32:K32"/>
    <mergeCell ref="A41:K41"/>
    <mergeCell ref="A58:K58"/>
    <mergeCell ref="A57:K57"/>
    <mergeCell ref="H2:K2"/>
    <mergeCell ref="A14:K14"/>
    <mergeCell ref="A13:K13"/>
    <mergeCell ref="H3:K3"/>
    <mergeCell ref="A5:K5"/>
    <mergeCell ref="A7:A10"/>
    <mergeCell ref="B7:B10"/>
    <mergeCell ref="C7:E8"/>
    <mergeCell ref="F7:H8"/>
    <mergeCell ref="I7:K8"/>
    <mergeCell ref="C9:C10"/>
    <mergeCell ref="G9:H9"/>
    <mergeCell ref="I9:I10"/>
    <mergeCell ref="J9:K9"/>
    <mergeCell ref="A351:K351"/>
    <mergeCell ref="L108:T109"/>
    <mergeCell ref="A207:K207"/>
    <mergeCell ref="A219:K219"/>
    <mergeCell ref="A228:K228"/>
    <mergeCell ref="A244:K244"/>
    <mergeCell ref="A150:K150"/>
    <mergeCell ref="L284:L286"/>
    <mergeCell ref="A266:K266"/>
    <mergeCell ref="A269:K269"/>
    <mergeCell ref="A307:K307"/>
    <mergeCell ref="A335:K335"/>
    <mergeCell ref="A342:K342"/>
    <mergeCell ref="A253:K253"/>
    <mergeCell ref="A123:K123"/>
    <mergeCell ref="A134:K134"/>
    <mergeCell ref="A300:K300"/>
    <mergeCell ref="A297:K297"/>
    <mergeCell ref="A299:K299"/>
    <mergeCell ref="A77:K77"/>
    <mergeCell ref="A84:K84"/>
    <mergeCell ref="A93:K93"/>
    <mergeCell ref="A181:K181"/>
    <mergeCell ref="A182:K182"/>
    <mergeCell ref="A193:K193"/>
    <mergeCell ref="A192:K192"/>
    <mergeCell ref="A159:K159"/>
    <mergeCell ref="A217:K217"/>
    <mergeCell ref="A167:K167"/>
    <mergeCell ref="A287:K287"/>
    <mergeCell ref="A107:K107"/>
    <mergeCell ref="A294:K294"/>
  </mergeCells>
  <pageMargins left="0.78740157480314965" right="0.78740157480314965" top="1.1023622047244095" bottom="0.39370078740157483" header="0.31496062992125984" footer="0.31496062992125984"/>
  <pageSetup paperSize="9" scale="38" fitToHeight="11" orientation="landscape" r:id="rId1"/>
  <rowBreaks count="3" manualBreakCount="3">
    <brk id="59" max="10" man="1"/>
    <brk id="91" max="10" man="1"/>
    <brk id="12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zoomScale="50" zoomScaleNormal="50" workbookViewId="0">
      <selection activeCell="G14" sqref="G14"/>
    </sheetView>
  </sheetViews>
  <sheetFormatPr defaultColWidth="9.140625" defaultRowHeight="18.75" x14ac:dyDescent="0.3"/>
  <cols>
    <col min="1" max="1" width="6.85546875" style="8" customWidth="1"/>
    <col min="2" max="2" width="24.140625" style="8" customWidth="1"/>
    <col min="3" max="3" width="54.140625" style="8" customWidth="1"/>
    <col min="4" max="4" width="24.710937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3" x14ac:dyDescent="0.3">
      <c r="A2" s="500" t="s">
        <v>391</v>
      </c>
      <c r="B2" s="500"/>
      <c r="C2" s="500"/>
      <c r="D2" s="500"/>
      <c r="E2" s="500"/>
      <c r="F2" s="500"/>
      <c r="G2" s="500"/>
      <c r="H2" s="500"/>
      <c r="I2" s="500"/>
    </row>
    <row r="3" spans="1:13" x14ac:dyDescent="0.3">
      <c r="A3" s="501"/>
      <c r="B3" s="501"/>
      <c r="C3" s="501"/>
      <c r="D3" s="501"/>
      <c r="E3" s="501"/>
      <c r="F3" s="501"/>
      <c r="G3" s="501"/>
      <c r="H3" s="501"/>
      <c r="I3" s="501"/>
    </row>
    <row r="4" spans="1:13" x14ac:dyDescent="0.3">
      <c r="A4" s="502" t="s">
        <v>1</v>
      </c>
      <c r="B4" s="502" t="s">
        <v>2</v>
      </c>
      <c r="C4" s="502" t="s">
        <v>3</v>
      </c>
      <c r="D4" s="502" t="s">
        <v>4</v>
      </c>
      <c r="E4" s="503" t="s">
        <v>381</v>
      </c>
      <c r="F4" s="503" t="s">
        <v>377</v>
      </c>
      <c r="G4" s="503" t="s">
        <v>464</v>
      </c>
      <c r="H4" s="504" t="s">
        <v>378</v>
      </c>
      <c r="I4" s="505"/>
    </row>
    <row r="5" spans="1:13" x14ac:dyDescent="0.3">
      <c r="A5" s="502"/>
      <c r="B5" s="502"/>
      <c r="C5" s="502"/>
      <c r="D5" s="502"/>
      <c r="E5" s="503"/>
      <c r="F5" s="503"/>
      <c r="G5" s="503"/>
      <c r="H5" s="506"/>
      <c r="I5" s="507"/>
    </row>
    <row r="6" spans="1:13" ht="113.25" customHeight="1" x14ac:dyDescent="0.3">
      <c r="A6" s="502"/>
      <c r="B6" s="502"/>
      <c r="C6" s="502"/>
      <c r="D6" s="502"/>
      <c r="E6" s="503"/>
      <c r="F6" s="503"/>
      <c r="G6" s="503"/>
      <c r="H6" s="508"/>
      <c r="I6" s="509"/>
    </row>
    <row r="7" spans="1:13" x14ac:dyDescent="0.3">
      <c r="A7" s="34">
        <v>1</v>
      </c>
      <c r="B7" s="34">
        <v>2</v>
      </c>
      <c r="C7" s="34">
        <v>3</v>
      </c>
      <c r="D7" s="34">
        <v>4</v>
      </c>
      <c r="E7" s="22">
        <v>5</v>
      </c>
      <c r="F7" s="22">
        <v>6</v>
      </c>
      <c r="G7" s="22">
        <v>7</v>
      </c>
      <c r="H7" s="498"/>
      <c r="I7" s="499"/>
    </row>
    <row r="8" spans="1:13" ht="146.25" customHeight="1" x14ac:dyDescent="0.3">
      <c r="A8" s="39" t="s">
        <v>103</v>
      </c>
      <c r="B8" s="40" t="s">
        <v>104</v>
      </c>
      <c r="C8" s="38" t="s">
        <v>451</v>
      </c>
      <c r="D8" s="36" t="s">
        <v>169</v>
      </c>
      <c r="E8" s="35">
        <v>152676.6</v>
      </c>
      <c r="F8" s="37">
        <f>G8-E8</f>
        <v>0</v>
      </c>
      <c r="G8" s="35">
        <v>152676.6</v>
      </c>
      <c r="H8" s="496" t="s">
        <v>468</v>
      </c>
      <c r="I8" s="497"/>
    </row>
    <row r="9" spans="1:13" ht="46.5" customHeight="1" x14ac:dyDescent="0.3">
      <c r="A9" s="488" t="s">
        <v>390</v>
      </c>
      <c r="B9" s="489"/>
      <c r="C9" s="490"/>
      <c r="D9" s="33"/>
      <c r="E9" s="35">
        <v>221545.10000000003</v>
      </c>
      <c r="F9" s="37">
        <f>G9-E9</f>
        <v>0</v>
      </c>
      <c r="G9" s="35">
        <v>221545.1</v>
      </c>
      <c r="H9" s="491"/>
      <c r="I9" s="492"/>
      <c r="L9" s="23"/>
      <c r="M9" s="23"/>
    </row>
    <row r="10" spans="1:13" ht="35.25" customHeight="1" x14ac:dyDescent="0.3">
      <c r="A10" s="493" t="s">
        <v>379</v>
      </c>
      <c r="B10" s="494"/>
      <c r="C10" s="495"/>
      <c r="D10" s="33"/>
      <c r="E10" s="24">
        <v>341740.80000000005</v>
      </c>
      <c r="F10" s="24">
        <f>G10-E10</f>
        <v>0</v>
      </c>
      <c r="G10" s="24">
        <v>341740.80000000005</v>
      </c>
      <c r="H10" s="491"/>
      <c r="I10" s="492"/>
      <c r="J10" s="23"/>
    </row>
    <row r="11" spans="1:13" x14ac:dyDescent="0.3">
      <c r="I11" s="23"/>
    </row>
    <row r="12" spans="1:13" x14ac:dyDescent="0.3">
      <c r="A12" s="21" t="s">
        <v>146</v>
      </c>
      <c r="B12" s="21"/>
      <c r="C12" s="25"/>
      <c r="D12" s="26"/>
      <c r="E12" s="21"/>
      <c r="F12" s="27" t="s">
        <v>380</v>
      </c>
      <c r="G12" s="28"/>
      <c r="H12" s="28"/>
    </row>
    <row r="13" spans="1:13" x14ac:dyDescent="0.3">
      <c r="A13" s="21"/>
      <c r="B13" s="21"/>
      <c r="C13" s="25"/>
      <c r="D13" s="26"/>
      <c r="E13" s="21"/>
      <c r="F13" s="28"/>
      <c r="G13" s="28"/>
      <c r="H13" s="28"/>
      <c r="I13" s="27"/>
    </row>
    <row r="14" spans="1:13" x14ac:dyDescent="0.3">
      <c r="A14" s="29" t="s">
        <v>25</v>
      </c>
      <c r="B14" s="21"/>
      <c r="C14" s="30"/>
      <c r="D14" s="26"/>
      <c r="E14" s="21"/>
      <c r="F14" s="31"/>
      <c r="G14" s="28"/>
      <c r="H14" s="28"/>
      <c r="I14" s="28"/>
    </row>
    <row r="16" spans="1:13" x14ac:dyDescent="0.3">
      <c r="F16" s="32"/>
    </row>
    <row r="18" spans="5:7" x14ac:dyDescent="0.3">
      <c r="G18" s="32"/>
    </row>
    <row r="19" spans="5:7" x14ac:dyDescent="0.3">
      <c r="F19" s="23"/>
    </row>
    <row r="20" spans="5:7" x14ac:dyDescent="0.3">
      <c r="E20" s="23"/>
      <c r="F20" s="23"/>
      <c r="G20" s="23"/>
    </row>
    <row r="21" spans="5:7" x14ac:dyDescent="0.3">
      <c r="E21" s="32"/>
    </row>
  </sheetData>
  <mergeCells count="15">
    <mergeCell ref="H7:I7"/>
    <mergeCell ref="A2:I3"/>
    <mergeCell ref="A4:A6"/>
    <mergeCell ref="B4:B6"/>
    <mergeCell ref="C4:C6"/>
    <mergeCell ref="D4:D6"/>
    <mergeCell ref="E4:E6"/>
    <mergeCell ref="F4:F6"/>
    <mergeCell ref="G4:G6"/>
    <mergeCell ref="H4:I6"/>
    <mergeCell ref="A9:C9"/>
    <mergeCell ref="H9:I9"/>
    <mergeCell ref="A10:C10"/>
    <mergeCell ref="H10:I10"/>
    <mergeCell ref="H8:I8"/>
  </mergeCells>
  <pageMargins left="0.70866141732283472" right="0.70866141732283472" top="0.74803149606299213" bottom="0.74803149606299213" header="0.31496062992125984" footer="0.31496062992125984"/>
  <pageSetup paperSize="9"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Додаток 1</vt:lpstr>
      <vt:lpstr>дод.1</vt:lpstr>
      <vt:lpstr>дод.2</vt:lpstr>
      <vt:lpstr>порівняльна</vt:lpstr>
      <vt:lpstr>дод.1!Заголовки_для_печати</vt:lpstr>
      <vt:lpstr>дод.2!Заголовки_для_печати</vt:lpstr>
      <vt:lpstr>дод.1!Область_печати</vt:lpstr>
      <vt:lpstr>дод.2!Область_печати</vt:lpstr>
      <vt:lpstr>'Додаток 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2023-04-07T07:46:17Z</cp:lastPrinted>
  <dcterms:created xsi:type="dcterms:W3CDTF">1996-10-08T23:32:33Z</dcterms:created>
  <dcterms:modified xsi:type="dcterms:W3CDTF">2023-04-12T08:07:33Z</dcterms:modified>
</cp:coreProperties>
</file>