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'Sheet1'!$A$1:$P$1010</definedName>
  </definedNames>
  <calcPr fullCalcOnLoad="1"/>
</workbook>
</file>

<file path=xl/sharedStrings.xml><?xml version="1.0" encoding="utf-8"?>
<sst xmlns="http://schemas.openxmlformats.org/spreadsheetml/2006/main" count="1025" uniqueCount="573">
  <si>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</si>
  <si>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</si>
  <si>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</si>
  <si>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</si>
  <si>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</si>
  <si>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</si>
  <si>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</si>
  <si>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</si>
  <si>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</si>
  <si>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</si>
  <si>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</si>
  <si>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</si>
  <si>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</si>
  <si>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</si>
  <si>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</si>
  <si>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</si>
  <si>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</si>
  <si>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</si>
  <si>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</si>
  <si>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</si>
  <si>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</si>
  <si>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</si>
  <si>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</si>
  <si>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</si>
  <si>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</si>
  <si>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</si>
  <si>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</si>
  <si>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</si>
  <si>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</si>
  <si>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</si>
  <si>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</si>
  <si>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</si>
  <si>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</si>
  <si>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</si>
  <si>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</si>
  <si>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</si>
  <si>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</si>
  <si>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</si>
  <si>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</si>
  <si>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</si>
  <si>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</si>
  <si>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</si>
  <si>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</si>
  <si>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</si>
  <si>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</si>
  <si>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</si>
  <si>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</si>
  <si>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</si>
  <si>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</si>
  <si>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</si>
  <si>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</si>
  <si>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</si>
  <si>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</si>
  <si>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</si>
  <si>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</si>
  <si>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</si>
  <si>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</si>
  <si>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</si>
  <si>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</si>
  <si>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</si>
  <si>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</si>
  <si>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</si>
  <si>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</si>
  <si>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</si>
  <si>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</si>
  <si>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</si>
  <si>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</si>
  <si>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</si>
  <si>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</si>
  <si>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</si>
  <si>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</si>
  <si>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</si>
  <si>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</si>
  <si>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</si>
  <si>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</si>
  <si>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</si>
  <si>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</si>
  <si>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</si>
  <si>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</si>
  <si>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</si>
  <si>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</si>
  <si>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</si>
  <si>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</si>
  <si>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</si>
  <si>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</si>
  <si>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</si>
  <si>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</si>
  <si>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</si>
  <si>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</si>
  <si>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</si>
  <si>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</si>
  <si>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</si>
  <si>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</si>
  <si>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</si>
  <si>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</si>
  <si>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</si>
  <si>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</si>
  <si>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</si>
  <si>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</si>
  <si>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</si>
  <si>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</si>
  <si>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</si>
  <si>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</si>
  <si>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</si>
  <si>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</si>
  <si>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</si>
  <si>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</si>
  <si>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</si>
  <si>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</si>
  <si>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</si>
  <si>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</si>
  <si>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</si>
  <si>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</si>
  <si>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</si>
  <si>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</si>
  <si>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</si>
  <si>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</si>
  <si>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</si>
  <si>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</si>
  <si>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</si>
  <si>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</si>
  <si>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</si>
  <si>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</si>
  <si>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</si>
  <si>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</si>
  <si>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</si>
  <si>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</si>
  <si>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</si>
  <si>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</si>
  <si>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</si>
  <si>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</si>
  <si>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</si>
  <si>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</si>
  <si>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</si>
  <si>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</si>
  <si>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</si>
  <si>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</si>
  <si>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</si>
  <si>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</si>
  <si>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</si>
  <si>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</si>
  <si>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</si>
  <si>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</si>
  <si>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</si>
  <si>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</si>
  <si>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</si>
  <si>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</si>
  <si>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</si>
  <si>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</si>
  <si>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</si>
  <si>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</si>
  <si>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</si>
  <si>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</si>
  <si>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</si>
  <si>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</si>
  <si>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</si>
  <si>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</si>
  <si>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</si>
  <si>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</si>
  <si>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</si>
  <si>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</si>
  <si>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</si>
  <si>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</si>
  <si>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</si>
  <si>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</si>
  <si>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</si>
  <si>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</si>
  <si>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</si>
  <si>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</si>
  <si>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</si>
  <si>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</si>
  <si>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</si>
  <si>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</si>
  <si>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</si>
  <si>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</si>
  <si>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</si>
  <si>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</si>
  <si>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</si>
  <si>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</si>
  <si>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</si>
  <si>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</si>
  <si>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</si>
  <si>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</si>
  <si>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</si>
  <si>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</si>
  <si>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</si>
  <si>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</si>
  <si>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</si>
  <si>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</si>
  <si>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</si>
  <si>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</si>
  <si>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</si>
  <si>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</si>
  <si>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</si>
  <si>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</si>
  <si>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</si>
  <si>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</si>
  <si>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</si>
  <si>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</si>
  <si>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</si>
  <si>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</si>
  <si>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</si>
  <si>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</si>
  <si>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</si>
  <si>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</si>
  <si>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</si>
  <si>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</si>
  <si>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</si>
  <si>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</si>
  <si>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</si>
  <si>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</si>
  <si>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</si>
  <si>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</si>
  <si>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</si>
  <si>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</si>
  <si>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</si>
  <si>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</si>
  <si>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</si>
  <si>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</si>
  <si>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</si>
  <si>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</si>
  <si>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</si>
  <si>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</si>
  <si>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</si>
  <si>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</si>
  <si>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</si>
  <si>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</si>
  <si>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</si>
  <si>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</si>
  <si>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</si>
  <si>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</si>
  <si>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</si>
  <si>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</si>
  <si>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</si>
  <si>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</si>
  <si>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</si>
  <si>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</si>
  <si>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</si>
  <si>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</si>
  <si>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</si>
  <si>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</si>
  <si>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</si>
  <si>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</si>
  <si>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</si>
  <si>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</si>
  <si>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</si>
  <si>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</si>
  <si>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</si>
  <si>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</si>
  <si>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</si>
  <si>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</si>
  <si>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</si>
  <si>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</si>
  <si>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</si>
  <si>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</si>
  <si>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</si>
  <si>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</si>
  <si>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</si>
  <si>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</si>
  <si>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</si>
  <si>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</si>
  <si>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</si>
  <si>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</si>
  <si>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</si>
  <si>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</si>
  <si>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</si>
  <si>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</si>
  <si>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</si>
  <si>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</si>
  <si>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</si>
  <si>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</si>
  <si>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</si>
  <si>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</si>
  <si>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</si>
  <si>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</si>
  <si>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</si>
  <si>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</si>
  <si>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</si>
  <si>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</si>
  <si>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</si>
  <si>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</si>
  <si>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</si>
  <si>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</si>
  <si>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</si>
  <si>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</si>
  <si>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</si>
  <si>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</si>
  <si>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</si>
  <si>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</si>
  <si>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</si>
  <si>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</si>
  <si>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</si>
  <si>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</si>
  <si>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</si>
  <si>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</si>
  <si>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</si>
  <si>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</si>
  <si>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</si>
  <si>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</si>
  <si>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</si>
  <si>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</si>
  <si>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</si>
  <si>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</si>
  <si>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</si>
  <si>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</si>
  <si>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</si>
  <si>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</si>
  <si>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</si>
  <si>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</si>
  <si>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</si>
  <si>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</si>
  <si>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</si>
  <si>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</si>
  <si>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</si>
  <si>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</si>
  <si>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</si>
  <si>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</si>
  <si>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</si>
  <si>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</si>
  <si>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</si>
  <si>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</si>
  <si>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</si>
  <si>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</si>
  <si>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</si>
  <si>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</si>
  <si>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</si>
  <si>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</si>
  <si>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</si>
  <si>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</si>
  <si>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</si>
  <si>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</si>
  <si>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</si>
  <si>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</si>
  <si>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</si>
  <si>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</si>
  <si>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</si>
  <si>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</si>
  <si>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</si>
  <si>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</si>
  <si>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</si>
  <si>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</si>
  <si>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</si>
  <si>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</si>
  <si>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</si>
  <si>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</si>
  <si>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</si>
  <si>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</si>
  <si>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</si>
  <si>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</si>
  <si>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</si>
  <si>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</si>
  <si>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</si>
  <si>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</si>
  <si>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</si>
  <si>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</si>
  <si>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</si>
  <si>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</si>
  <si>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</si>
  <si>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</si>
  <si>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</si>
  <si>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</si>
  <si>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</si>
  <si>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</si>
  <si>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</si>
  <si>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</si>
  <si>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</si>
  <si>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</si>
  <si>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</si>
  <si>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</si>
  <si>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</si>
  <si>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</si>
  <si>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</si>
  <si>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</si>
  <si>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</si>
  <si>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</si>
  <si>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</si>
  <si>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</si>
  <si>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</si>
  <si>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</si>
  <si>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</si>
  <si>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</si>
  <si>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</si>
  <si>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</si>
  <si>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</si>
  <si>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</si>
  <si>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</si>
  <si>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</si>
  <si>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</si>
  <si>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</si>
  <si>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</si>
  <si>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</si>
  <si>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</si>
  <si>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</si>
  <si>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</si>
  <si>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</si>
  <si>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</si>
  <si>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</si>
  <si>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</si>
  <si>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</si>
  <si>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</si>
  <si>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</si>
  <si>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</si>
  <si>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</si>
  <si>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</si>
  <si>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</si>
  <si>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</si>
  <si>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</si>
  <si>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</si>
  <si>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</si>
  <si>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</si>
  <si>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</si>
  <si>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</si>
  <si>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</si>
  <si>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</si>
  <si>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</si>
  <si>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</si>
  <si>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</si>
  <si>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</si>
  <si>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</si>
  <si>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</si>
  <si>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</si>
  <si>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</si>
  <si>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</si>
  <si>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</si>
  <si>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</si>
  <si>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</si>
  <si>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</si>
  <si>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</si>
  <si>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</si>
  <si>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</si>
  <si>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</si>
  <si>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</si>
  <si>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</si>
  <si>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</si>
  <si>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</si>
  <si>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</si>
  <si>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</si>
  <si>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</si>
  <si>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</si>
  <si>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</si>
  <si>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</si>
  <si>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</si>
  <si>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</si>
  <si>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</si>
  <si>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</si>
  <si>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</si>
  <si>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</si>
  <si>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</si>
  <si>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</si>
  <si>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</si>
  <si>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</si>
  <si>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</si>
  <si>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</si>
  <si>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</si>
  <si>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</si>
  <si>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</si>
  <si>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</si>
  <si>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</si>
  <si>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</si>
  <si>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</si>
  <si>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</si>
  <si>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</si>
  <si>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</si>
  <si>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</si>
  <si>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</si>
  <si>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</si>
  <si>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</si>
  <si>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</si>
  <si>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</si>
  <si>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</si>
  <si>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</si>
  <si>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</si>
  <si>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</si>
  <si>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</si>
  <si>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</si>
  <si>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</si>
  <si>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</si>
  <si>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</si>
  <si>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</si>
  <si>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</si>
  <si>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</si>
  <si>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</si>
  <si>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</si>
  <si>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>Мета: Покращення стану автомобільних доріг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</si>
  <si>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</si>
  <si>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</si>
  <si>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</si>
  <si>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</si>
  <si>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</si>
  <si>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</si>
  <si>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</si>
  <si>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</si>
  <si>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</si>
  <si>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</si>
  <si>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</si>
  <si>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</si>
  <si>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</si>
  <si>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</si>
  <si>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</si>
  <si>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</si>
  <si>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</si>
  <si>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</si>
  <si>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</si>
  <si>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</si>
  <si>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</si>
  <si>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</si>
  <si>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</si>
  <si>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</si>
  <si>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</si>
  <si>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</si>
  <si>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</si>
  <si>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</si>
  <si>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</si>
  <si>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</si>
  <si>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</si>
  <si>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</si>
  <si>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</si>
  <si>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</si>
  <si>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</si>
  <si>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</si>
  <si>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</si>
  <si>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</si>
  <si>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</si>
  <si>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</si>
  <si>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</si>
  <si>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</si>
  <si>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</si>
  <si>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</si>
  <si>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</si>
  <si>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</si>
  <si>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</si>
  <si>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</si>
  <si>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</si>
  <si>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</si>
  <si>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</si>
  <si>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</si>
  <si>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</si>
  <si>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</si>
  <si>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</si>
  <si>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</si>
  <si>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</si>
  <si>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</si>
  <si>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</si>
  <si>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</si>
  <si>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>Показник: кількість місяців передбачених для безперебійної роботи насосних станцій по вул. Тихорецька та вул. Кругова, міс.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</si>
  <si>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</si>
  <si>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середні витрати на утримання 1 туалету на  місяць, грн.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</si>
  <si>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</si>
  <si>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   Показник: обсяг видатків на поточний та капітальний ремонт, грн.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</si>
  <si>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 (програма "Енергодім")</t>
  </si>
  <si>
    <t>Показник: кількість місяців, що планується утримувати майданчик для складування відходів по вул. М.Лукаша, міс</t>
  </si>
  <si>
    <t>Показник: кількість місяців передбачених для технічного обслуговування камер відеоспостереження,міс</t>
  </si>
  <si>
    <t>Виконавець: Олександр Журба</t>
  </si>
  <si>
    <t>Олександр ЛИСЕНКО</t>
  </si>
  <si>
    <t>5</t>
  </si>
  <si>
    <t xml:space="preserve">    Показник: площа території дитячого парку "Казка", на якій планується косіння та прибирання трави, га</t>
  </si>
  <si>
    <t xml:space="preserve">    Показник: площа території дитячого парку "Казка", яка підлягає викашуванню та прибиранню трави, га</t>
  </si>
  <si>
    <t xml:space="preserve">    Показник: середні витрати на косіння та прибирання трави на  території дитячого парку "Казка",  грн.</t>
  </si>
  <si>
    <t>Завдання: 16.6. Проведення капітального та поточного ремонту колекторів та каналізаційних мереж (водопостачання), каналізаційних колодязів</t>
  </si>
  <si>
    <t xml:space="preserve">від                грудня  2021 року №         - МР </t>
  </si>
  <si>
    <t xml:space="preserve"> Завдання: 13. Проведення ремонту та утримання об'єктів транспортної інфраструктури за рахунок субвенції з державного бюджету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</si>
  <si>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</si>
  <si>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</si>
  <si>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 xml:space="preserve">    Показник: площа вулично-дорожньої мережі, яка охоплена утриманням, кв.м</t>
  </si>
  <si>
    <t xml:space="preserve">    Показник: середня вартість утримання 1 кв. м вулично- дорожньої мережі, грн.</t>
  </si>
  <si>
    <t xml:space="preserve">  Завдання: 13.1. Забезпечення проведення поточного ремонту  вулично-дорожньої мережі та штучних споруд  за рахунок субвенції з державного бюджету</t>
  </si>
  <si>
    <t xml:space="preserve">  Завдання: 13.1. Забезпечення проведення  утримання вулично-дорожньої мережі та штучних споруд  за рахунок субвенції з державного бюджету</t>
  </si>
  <si>
    <t>КПКВК 6072</t>
  </si>
  <si>
    <t xml:space="preserve">  Завдання: 29.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</t>
  </si>
  <si>
    <t>2</t>
  </si>
  <si>
    <t xml:space="preserve">    Показник:кількість суб'єктів господарювання, од.</t>
  </si>
  <si>
    <t xml:space="preserve">    Показник: середній обсяг заборгованості, який буде погашатися, грн.</t>
  </si>
  <si>
    <t>Додаток 8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</si>
</sst>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9830796"/>
        <c:axId val="41709"/>
      </c:bar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107"/>
  <sheetViews>
    <sheetView tabSelected="1" view="pageBreakPreview" zoomScale="106" zoomScaleNormal="85" zoomScaleSheetLayoutView="106" workbookViewId="0" topLeftCell="A1">
      <pane ySplit="17" topLeftCell="A18" activePane="bottomLeft" state="frozen"/>
      <selection pane="topLeft" activeCell="A2" sqref="A2"/>
      <selection pane="bottomLeft" activeCell="N2" sqref="N2:P2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0"/>
      <c r="B2" s="60"/>
      <c r="C2" s="60"/>
      <c r="D2" s="91"/>
      <c r="E2" s="92"/>
      <c r="F2" s="93"/>
      <c r="G2" s="93"/>
      <c r="H2" s="65"/>
      <c r="I2" s="65"/>
      <c r="J2" s="297"/>
      <c r="K2" s="297"/>
      <c r="L2" s="297"/>
      <c r="M2" s="56"/>
      <c r="N2" s="297" t="s">
        <v>572</v>
      </c>
      <c r="O2" s="297"/>
      <c r="P2" s="297"/>
      <c r="Q2" s="56"/>
      <c r="R2" s="56"/>
      <c r="S2" s="56"/>
    </row>
    <row r="3" spans="1:19" ht="14.25" customHeight="1">
      <c r="A3" s="60"/>
      <c r="B3" s="60"/>
      <c r="C3" s="60"/>
      <c r="D3" s="298"/>
      <c r="E3" s="298"/>
      <c r="F3" s="298"/>
      <c r="G3" s="298"/>
      <c r="H3" s="65"/>
      <c r="I3" s="65"/>
      <c r="J3" s="56"/>
      <c r="K3" s="56"/>
      <c r="L3" s="56"/>
      <c r="M3" s="56"/>
      <c r="N3" s="56" t="s">
        <v>164</v>
      </c>
      <c r="O3" s="56"/>
      <c r="P3" s="56"/>
      <c r="Q3" s="56"/>
      <c r="R3" s="56"/>
      <c r="S3" s="56"/>
    </row>
    <row r="4" spans="1:19" ht="14.25" customHeight="1">
      <c r="A4" s="60"/>
      <c r="B4" s="60"/>
      <c r="C4" s="60"/>
      <c r="D4" s="298"/>
      <c r="E4" s="298"/>
      <c r="F4" s="298"/>
      <c r="G4" s="298"/>
      <c r="H4" s="65"/>
      <c r="I4" s="65"/>
      <c r="J4" s="56"/>
      <c r="K4" s="56"/>
      <c r="L4" s="56"/>
      <c r="M4" s="56"/>
      <c r="N4" s="56" t="s">
        <v>476</v>
      </c>
      <c r="O4" s="56"/>
      <c r="P4" s="56"/>
      <c r="Q4" s="56"/>
      <c r="R4" s="56"/>
      <c r="S4" s="56"/>
    </row>
    <row r="5" spans="1:19" ht="14.25" customHeight="1">
      <c r="A5" s="66"/>
      <c r="B5" s="66"/>
      <c r="C5" s="66"/>
      <c r="D5" s="298"/>
      <c r="E5" s="298"/>
      <c r="F5" s="298"/>
      <c r="G5" s="298"/>
      <c r="H5" s="67"/>
      <c r="I5" s="67"/>
      <c r="J5" s="56"/>
      <c r="K5" s="56"/>
      <c r="L5" s="56"/>
      <c r="M5" s="56"/>
      <c r="N5" s="56" t="s">
        <v>471</v>
      </c>
      <c r="O5" s="56"/>
      <c r="P5" s="56"/>
      <c r="Q5" s="56"/>
      <c r="R5" s="56"/>
      <c r="S5" s="56"/>
    </row>
    <row r="6" spans="1:19" ht="14.25" customHeight="1">
      <c r="A6" s="66"/>
      <c r="B6" s="66"/>
      <c r="C6" s="66"/>
      <c r="D6" s="298"/>
      <c r="E6" s="298"/>
      <c r="F6" s="298"/>
      <c r="G6" s="298"/>
      <c r="H6" s="67"/>
      <c r="I6" s="67"/>
      <c r="J6" s="56"/>
      <c r="K6" s="56"/>
      <c r="L6" s="56"/>
      <c r="M6" s="56"/>
      <c r="N6" s="56" t="s">
        <v>185</v>
      </c>
      <c r="O6" s="56"/>
      <c r="P6" s="56"/>
      <c r="Q6" s="56"/>
      <c r="R6" s="56"/>
      <c r="S6" s="56"/>
    </row>
    <row r="7" spans="1:19" ht="14.25" customHeight="1">
      <c r="A7" s="66"/>
      <c r="B7" s="66"/>
      <c r="C7" s="66"/>
      <c r="D7" s="298"/>
      <c r="E7" s="298"/>
      <c r="F7" s="298"/>
      <c r="G7" s="298"/>
      <c r="H7" s="67"/>
      <c r="I7" s="67"/>
      <c r="J7" s="56"/>
      <c r="K7" s="56"/>
      <c r="L7" s="56"/>
      <c r="M7" s="56"/>
      <c r="N7" s="56" t="s">
        <v>472</v>
      </c>
      <c r="O7" s="56"/>
      <c r="P7" s="56"/>
      <c r="Q7" s="56"/>
      <c r="R7" s="56"/>
      <c r="S7" s="56"/>
    </row>
    <row r="8" spans="1:19" ht="14.25" customHeight="1">
      <c r="A8" s="66"/>
      <c r="B8" s="66"/>
      <c r="C8" s="66"/>
      <c r="D8" s="298"/>
      <c r="E8" s="298"/>
      <c r="F8" s="298"/>
      <c r="G8" s="298"/>
      <c r="H8" s="67"/>
      <c r="I8" s="67"/>
      <c r="J8" s="56"/>
      <c r="K8" s="56"/>
      <c r="L8" s="56"/>
      <c r="M8" s="56"/>
      <c r="N8" s="56" t="s">
        <v>477</v>
      </c>
      <c r="O8" s="56"/>
      <c r="P8" s="56"/>
      <c r="Q8" s="56"/>
      <c r="R8" s="56"/>
      <c r="S8" s="56"/>
    </row>
    <row r="9" spans="1:19" ht="14.25" customHeight="1">
      <c r="A9" s="66"/>
      <c r="B9" s="66"/>
      <c r="C9" s="66"/>
      <c r="D9" s="298"/>
      <c r="E9" s="298"/>
      <c r="F9" s="298"/>
      <c r="G9" s="298"/>
      <c r="H9" s="67"/>
      <c r="I9" s="67"/>
      <c r="J9" s="56"/>
      <c r="K9" s="56"/>
      <c r="L9" s="56"/>
      <c r="M9" s="56"/>
      <c r="N9" s="56" t="s">
        <v>502</v>
      </c>
      <c r="O9" s="56"/>
      <c r="P9" s="56"/>
      <c r="Q9" s="56"/>
      <c r="R9" s="56"/>
      <c r="S9" s="56"/>
    </row>
    <row r="10" spans="1:19" ht="14.25" customHeight="1">
      <c r="A10" s="66"/>
      <c r="B10" s="66"/>
      <c r="C10" s="66"/>
      <c r="D10" s="262"/>
      <c r="E10" s="262"/>
      <c r="F10" s="262"/>
      <c r="G10" s="262"/>
      <c r="H10" s="67"/>
      <c r="I10" s="67"/>
      <c r="J10" s="56"/>
      <c r="K10" s="56"/>
      <c r="L10" s="56"/>
      <c r="M10" s="56"/>
      <c r="N10" s="56" t="s">
        <v>559</v>
      </c>
      <c r="O10" s="56"/>
      <c r="P10" s="56"/>
      <c r="Q10" s="56"/>
      <c r="R10" s="56"/>
      <c r="S10" s="56"/>
    </row>
    <row r="11" spans="1:16" ht="9.75" customHeight="1">
      <c r="A11" s="66"/>
      <c r="B11" s="66"/>
      <c r="C11" s="66"/>
      <c r="D11" s="67"/>
      <c r="E11" s="67"/>
      <c r="F11" s="67"/>
      <c r="G11" s="67"/>
      <c r="H11" s="67"/>
      <c r="I11" s="67"/>
      <c r="J11" s="56"/>
      <c r="K11" s="56"/>
      <c r="L11" s="56"/>
      <c r="M11" s="56"/>
      <c r="N11" s="56"/>
      <c r="O11" s="56"/>
      <c r="P11" s="56"/>
    </row>
    <row r="12" spans="1:16" ht="33.75" customHeight="1">
      <c r="A12" s="300" t="s">
        <v>473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</row>
    <row r="13" spans="1:16" ht="16.5" customHeight="1">
      <c r="A13" s="68"/>
      <c r="B13" s="68"/>
      <c r="C13" s="68"/>
      <c r="D13" s="69"/>
      <c r="E13" s="69"/>
      <c r="F13" s="299" t="s">
        <v>186</v>
      </c>
      <c r="G13" s="299"/>
      <c r="H13" s="69"/>
      <c r="I13" s="69"/>
      <c r="J13" s="65"/>
      <c r="K13" s="69"/>
      <c r="L13" s="65"/>
      <c r="M13" s="65"/>
      <c r="N13" s="65"/>
      <c r="O13" s="65"/>
      <c r="P13" s="88" t="s">
        <v>21</v>
      </c>
    </row>
    <row r="14" spans="1:137" ht="20.25" customHeight="1">
      <c r="A14" s="305"/>
      <c r="B14" s="308" t="s">
        <v>17</v>
      </c>
      <c r="C14" s="308" t="s">
        <v>18</v>
      </c>
      <c r="D14" s="287">
        <v>2021</v>
      </c>
      <c r="E14" s="288"/>
      <c r="F14" s="289"/>
      <c r="G14" s="302">
        <v>2022</v>
      </c>
      <c r="H14" s="302"/>
      <c r="I14" s="302"/>
      <c r="J14" s="302"/>
      <c r="K14" s="21"/>
      <c r="L14" s="21"/>
      <c r="M14" s="21"/>
      <c r="N14" s="287">
        <v>2023</v>
      </c>
      <c r="O14" s="288"/>
      <c r="P14" s="289"/>
      <c r="EB14" s="15"/>
      <c r="EC14" s="15"/>
      <c r="ED14" s="15"/>
      <c r="EE14" s="15"/>
      <c r="EF14" s="15"/>
      <c r="EG14" s="15"/>
    </row>
    <row r="15" spans="1:137" ht="15.75" customHeight="1">
      <c r="A15" s="306"/>
      <c r="B15" s="306"/>
      <c r="C15" s="306"/>
      <c r="D15" s="290" t="s">
        <v>19</v>
      </c>
      <c r="E15" s="291"/>
      <c r="F15" s="292" t="s">
        <v>16</v>
      </c>
      <c r="G15" s="304" t="s">
        <v>19</v>
      </c>
      <c r="H15" s="304"/>
      <c r="I15" s="304"/>
      <c r="J15" s="301" t="s">
        <v>16</v>
      </c>
      <c r="K15" s="294" t="s">
        <v>15</v>
      </c>
      <c r="L15" s="295"/>
      <c r="M15" s="296"/>
      <c r="N15" s="290" t="s">
        <v>19</v>
      </c>
      <c r="O15" s="291"/>
      <c r="P15" s="292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7"/>
      <c r="B16" s="307"/>
      <c r="C16" s="307"/>
      <c r="D16" s="21" t="s">
        <v>0</v>
      </c>
      <c r="E16" s="21" t="s">
        <v>1</v>
      </c>
      <c r="F16" s="293"/>
      <c r="G16" s="21" t="s">
        <v>0</v>
      </c>
      <c r="H16" s="21" t="s">
        <v>1</v>
      </c>
      <c r="I16" s="21" t="s">
        <v>103</v>
      </c>
      <c r="J16" s="301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93"/>
      <c r="EB16" s="15"/>
      <c r="EC16" s="15"/>
      <c r="ED16" s="15"/>
      <c r="EE16" s="15"/>
      <c r="EF16" s="15"/>
      <c r="EG16" s="15"/>
    </row>
    <row r="17" spans="1:137" s="64" customFormat="1" ht="12.75">
      <c r="A17" s="70">
        <v>1</v>
      </c>
      <c r="B17" s="70"/>
      <c r="C17" s="70"/>
      <c r="D17" s="70">
        <v>2</v>
      </c>
      <c r="E17" s="70">
        <v>3</v>
      </c>
      <c r="F17" s="70">
        <v>4</v>
      </c>
      <c r="G17" s="70">
        <v>5</v>
      </c>
      <c r="H17" s="70">
        <v>6</v>
      </c>
      <c r="I17" s="70">
        <v>10</v>
      </c>
      <c r="J17" s="70">
        <v>7</v>
      </c>
      <c r="K17" s="70">
        <v>12</v>
      </c>
      <c r="L17" s="70">
        <v>13</v>
      </c>
      <c r="M17" s="70">
        <v>14</v>
      </c>
      <c r="N17" s="70">
        <v>8</v>
      </c>
      <c r="O17" s="70">
        <v>9</v>
      </c>
      <c r="P17" s="70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D23+D458+D478+D696+D713+D722+D860+D885+D894+D912+D922+D930+D939+D948+D957+D966+D683+D975+D991</f>
        <v>330368910.13372403</v>
      </c>
      <c r="E18" s="21">
        <f>E23+E458+E478+E696+E713+E722+E860+E885+E894+E912+E922+E930+E939+E948+E957+E966+E683+E975+E991+E999</f>
        <v>301437769.00793</v>
      </c>
      <c r="F18" s="21">
        <f>F23+F458+F478+F696+F713+F722+F860+F885+F894+F912+F922+F930+F939+F948+F957+F966+F683+F975+F991+F999</f>
        <v>631806679.141654</v>
      </c>
      <c r="G18" s="21">
        <f>G23+G458+G478+G696+G713+G722+G860+G885+G894+G912+G922+G930+G939+G948+G957+G966</f>
        <v>438019494.0068245</v>
      </c>
      <c r="H18" s="21">
        <f>H23+H458+H478+H696+H713+H722+H860+H885+H894+H912+H922+H930+H939+H948+H957+H966</f>
        <v>219714200.0013</v>
      </c>
      <c r="I18" s="21" t="e">
        <f>I23+I458+I478+I696+I713+I722+I860+I885+I894+I912+I922+I930+I939+I948+I957+I966</f>
        <v>#REF!</v>
      </c>
      <c r="J18" s="21">
        <f>G18+H18</f>
        <v>657733694.0081245</v>
      </c>
      <c r="K18" s="21" t="e">
        <f>K23+K458+K478+K696+K713+K722+K860+K885+K894+K912+K922+K930+K939+K948+K957+K966</f>
        <v>#REF!</v>
      </c>
      <c r="L18" s="21" t="e">
        <f>L23+L458+L478+L696+L713+L722+L860+L885+L894+L912+L922+L930+L939+L948+L957+L966</f>
        <v>#REF!</v>
      </c>
      <c r="M18" s="21" t="e">
        <f>M23+M458+M478+M696+M713+M722+M860+M885+M894+M912+M922+M930+M939+M948+M957+M966</f>
        <v>#REF!</v>
      </c>
      <c r="N18" s="21">
        <f>N23+N458+N478+N696+N713+N722+N860+N885+N894+N912+N922+N930+N939+N948+N957+N966</f>
        <v>475117608.0026548</v>
      </c>
      <c r="O18" s="21">
        <f>O23+O458+O478+O696+O713+O722+O860+O885+O894+O912+O922+O930+O939+O948+O957+O966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61000000</v>
      </c>
      <c r="F19" s="21">
        <f>F24</f>
        <v>61000000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D479</f>
        <v>177740</v>
      </c>
      <c r="E20" s="21">
        <f aca="true" t="shared" si="1" ref="E20:Q20">E479</f>
        <v>223400</v>
      </c>
      <c r="F20" s="21">
        <f>F479</f>
        <v>401140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0" customFormat="1" ht="20.25" customHeight="1">
      <c r="A21" s="247" t="s">
        <v>69</v>
      </c>
      <c r="B21" s="247"/>
      <c r="C21" s="247"/>
      <c r="D21" s="248">
        <f>D18+D19+D20</f>
        <v>330546650.13372403</v>
      </c>
      <c r="E21" s="248">
        <f>E18+E19+E20</f>
        <v>362661169.00793</v>
      </c>
      <c r="F21" s="248">
        <f>F18+F19+F20</f>
        <v>693207819.141654</v>
      </c>
      <c r="G21" s="248">
        <f>G18+G19+G20</f>
        <v>438333224.0068245</v>
      </c>
      <c r="H21" s="248">
        <f>H18+H19+H20</f>
        <v>316374570.0013</v>
      </c>
      <c r="I21" s="248" t="e">
        <f aca="true" t="shared" si="2" ref="I21:Q21">I18+I19+I20</f>
        <v>#REF!</v>
      </c>
      <c r="J21" s="248">
        <f>J18+J19+J20</f>
        <v>754707794.0081245</v>
      </c>
      <c r="K21" s="248" t="e">
        <f t="shared" si="2"/>
        <v>#REF!</v>
      </c>
      <c r="L21" s="248" t="e">
        <f t="shared" si="2"/>
        <v>#REF!</v>
      </c>
      <c r="M21" s="248" t="e">
        <f t="shared" si="2"/>
        <v>#REF!</v>
      </c>
      <c r="N21" s="248">
        <f>N18+N19+N20</f>
        <v>475439618.0026548</v>
      </c>
      <c r="O21" s="248">
        <f t="shared" si="2"/>
        <v>356564679.9968</v>
      </c>
      <c r="P21" s="248">
        <f>P18+P19+P20</f>
        <v>832004297.9994547</v>
      </c>
      <c r="Q21" s="248">
        <f t="shared" si="2"/>
        <v>0</v>
      </c>
      <c r="R21" s="16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</row>
    <row r="22" spans="1:131" s="76" customFormat="1" ht="30.75" customHeight="1">
      <c r="A22" s="198" t="s">
        <v>422</v>
      </c>
      <c r="B22" s="187"/>
      <c r="C22" s="187"/>
      <c r="D22" s="199">
        <f>D25+D156+D180+D253+D310+D353+D443+D451</f>
        <v>259820005.13018087</v>
      </c>
      <c r="E22" s="199">
        <f>E25+E156+E180+E253+E310+E353+E443+E451</f>
        <v>105837000.00793</v>
      </c>
      <c r="F22" s="199">
        <f>D22+E22</f>
        <v>365657005.1381109</v>
      </c>
      <c r="G22" s="199">
        <f>G25+G156+G180+G253+G310+G353+G443+G451</f>
        <v>422737565.0068245</v>
      </c>
      <c r="H22" s="199">
        <f>H25+H156+H180+H253+H310+H353+H443+H451</f>
        <v>192440000.0013</v>
      </c>
      <c r="I22" s="199">
        <f>I25+I156+I180+I253+I310+I353+I443+I451</f>
        <v>0</v>
      </c>
      <c r="J22" s="199">
        <f>G22+H22</f>
        <v>615177565.0081245</v>
      </c>
      <c r="K22" s="199" t="e">
        <f>K25+K156+K180+K253+K310+K353+K443+K451</f>
        <v>#REF!</v>
      </c>
      <c r="L22" s="199" t="e">
        <f>L25+L156+L180+L253+L310+L353+L443+L451</f>
        <v>#REF!</v>
      </c>
      <c r="M22" s="199" t="e">
        <f>M25+M156+M180+M253+M310+M353+M443+M451</f>
        <v>#REF!</v>
      </c>
      <c r="N22" s="199">
        <f>N25+N156+N180+N253+N310+N353+N443+N451</f>
        <v>459088100.0026548</v>
      </c>
      <c r="O22" s="199">
        <f>O25+O156+O180+O253+O310+O353+O443+O451</f>
        <v>203385899.9968</v>
      </c>
      <c r="P22" s="199">
        <f>N22+O22</f>
        <v>662473999.9994547</v>
      </c>
      <c r="Q22" s="79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</row>
    <row r="23" spans="1:131" s="76" customFormat="1" ht="15" customHeight="1">
      <c r="A23" s="80" t="s">
        <v>32</v>
      </c>
      <c r="B23" s="80"/>
      <c r="C23" s="80"/>
      <c r="D23" s="78">
        <f>D22-D24</f>
        <v>259820005.13018087</v>
      </c>
      <c r="E23" s="78">
        <f>E22-E24</f>
        <v>44837000.007929996</v>
      </c>
      <c r="F23" s="78">
        <f>D23+E23</f>
        <v>304657005.1381109</v>
      </c>
      <c r="G23" s="78">
        <f>G22-G24</f>
        <v>422737565.0068245</v>
      </c>
      <c r="H23" s="78">
        <f>H22-H24</f>
        <v>96410000.0013</v>
      </c>
      <c r="I23" s="78" t="e">
        <f>I92+#REF!+I108+#REF!+I156+I181+#REF!+#REF!+#REF!+I443+I451</f>
        <v>#REF!</v>
      </c>
      <c r="J23" s="78">
        <f>G23+H23</f>
        <v>519147565.0081245</v>
      </c>
      <c r="K23" s="78" t="e">
        <f>K92+#REF!+K108+#REF!+K156+K181+#REF!+#REF!+#REF!+K443+K451</f>
        <v>#REF!</v>
      </c>
      <c r="L23" s="78" t="e">
        <f>L92+#REF!+L108+#REF!+L156+L181+#REF!+#REF!+#REF!+L443+L451</f>
        <v>#REF!</v>
      </c>
      <c r="M23" s="78" t="e">
        <f>M92+#REF!+M108+#REF!+M156+M181+#REF!+#REF!+#REF!+M443+M451</f>
        <v>#REF!</v>
      </c>
      <c r="N23" s="78">
        <f>N22-N24</f>
        <v>459088100.0026548</v>
      </c>
      <c r="O23" s="78">
        <f>O22-O24</f>
        <v>101594099.9968</v>
      </c>
      <c r="P23" s="78">
        <f>N23+O23</f>
        <v>560682199.9994547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</row>
    <row r="24" spans="1:131" s="76" customFormat="1" ht="28.5" customHeight="1">
      <c r="A24" s="80" t="s">
        <v>33</v>
      </c>
      <c r="B24" s="80"/>
      <c r="C24" s="80"/>
      <c r="D24" s="78">
        <f>D26</f>
        <v>0</v>
      </c>
      <c r="E24" s="78">
        <f>E26-7000000</f>
        <v>61000000</v>
      </c>
      <c r="F24" s="78">
        <f>SUM(D24)+E24</f>
        <v>61000000</v>
      </c>
      <c r="G24" s="78">
        <f>G26</f>
        <v>0</v>
      </c>
      <c r="H24" s="78">
        <f>H26</f>
        <v>96030000</v>
      </c>
      <c r="I24" s="78" t="e">
        <f>I26+I35+#REF!+#REF!+#REF!-2000000</f>
        <v>#REF!</v>
      </c>
      <c r="J24" s="78">
        <f>G24+H24</f>
        <v>96030000</v>
      </c>
      <c r="K24" s="78" t="e">
        <f>K26+K35+#REF!+#REF!+#REF!-2000000</f>
        <v>#REF!</v>
      </c>
      <c r="L24" s="78" t="e">
        <f>L26+L35+#REF!+#REF!+#REF!-2000000</f>
        <v>#REF!</v>
      </c>
      <c r="M24" s="78" t="e">
        <f>M26+M35+#REF!+#REF!+#REF!-2000000</f>
        <v>#REF!</v>
      </c>
      <c r="N24" s="78">
        <f>N26</f>
        <v>0</v>
      </c>
      <c r="O24" s="78">
        <f>O26</f>
        <v>101791800</v>
      </c>
      <c r="P24" s="78">
        <f>N24+O24</f>
        <v>101791800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</row>
    <row r="25" spans="1:131" s="76" customFormat="1" ht="36" hidden="1">
      <c r="A25" s="188" t="s">
        <v>514</v>
      </c>
      <c r="B25" s="80"/>
      <c r="C25" s="80"/>
      <c r="D25" s="189">
        <f>D26+D35+D45+D62+D69+D76+D85+D92+D101+D108+D121+D128+D135+D142+D149</f>
        <v>148599100.0048</v>
      </c>
      <c r="E25" s="189">
        <f>E26+E35+E45+E62+E69+E76+E85+E92+E101+E108+E121+E128+E135+E142+E149</f>
        <v>81137000.00453</v>
      </c>
      <c r="F25" s="189">
        <f>F26+F35+F45+F62+F69+F76+F85+F92+F101+F108+F121+F128+F135+F142+F149-0.01</f>
        <v>229736099.99933</v>
      </c>
      <c r="G25" s="189">
        <f aca="true" t="shared" si="3" ref="G25:P25">G26+G35+G45+G62+G69+G76+G85+G92+G101+G108+G121+G128+G135+G142+G149</f>
        <v>270401099.999815</v>
      </c>
      <c r="H25" s="189">
        <f t="shared" si="3"/>
        <v>143060600.0013</v>
      </c>
      <c r="I25" s="189">
        <f t="shared" si="3"/>
        <v>0</v>
      </c>
      <c r="J25" s="189">
        <f t="shared" si="3"/>
        <v>413461700.00111496</v>
      </c>
      <c r="K25" s="189">
        <f t="shared" si="3"/>
        <v>0</v>
      </c>
      <c r="L25" s="189">
        <f t="shared" si="3"/>
        <v>0</v>
      </c>
      <c r="M25" s="189">
        <f t="shared" si="3"/>
        <v>0</v>
      </c>
      <c r="N25" s="189">
        <f t="shared" si="3"/>
        <v>296913000.00081503</v>
      </c>
      <c r="O25" s="189">
        <f t="shared" si="3"/>
        <v>151643800.0008</v>
      </c>
      <c r="P25" s="189">
        <f t="shared" si="3"/>
        <v>448556800.00161505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</row>
    <row r="26" spans="1:131" s="117" customFormat="1" ht="45" hidden="1">
      <c r="A26" s="85" t="s">
        <v>515</v>
      </c>
      <c r="B26" s="77"/>
      <c r="C26" s="77"/>
      <c r="D26" s="81"/>
      <c r="E26" s="81">
        <f>90000000-29000000+7000000</f>
        <v>68000000</v>
      </c>
      <c r="F26" s="81">
        <f>SUM(D26)+E26</f>
        <v>68000000</v>
      </c>
      <c r="G26" s="81"/>
      <c r="H26" s="81">
        <v>96030000</v>
      </c>
      <c r="I26" s="81"/>
      <c r="J26" s="81">
        <f>H26</f>
        <v>96030000</v>
      </c>
      <c r="K26" s="81"/>
      <c r="L26" s="81"/>
      <c r="M26" s="81"/>
      <c r="N26" s="81"/>
      <c r="O26" s="81">
        <v>101791800</v>
      </c>
      <c r="P26" s="81">
        <f>(P32*P30)</f>
        <v>101791800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</row>
    <row r="27" spans="1:16" ht="11.25" hidden="1">
      <c r="A27" s="165" t="s">
        <v>2</v>
      </c>
      <c r="B27" s="83"/>
      <c r="C27" s="83"/>
      <c r="D27" s="81"/>
      <c r="E27" s="81"/>
      <c r="F27" s="81"/>
      <c r="G27" s="81"/>
      <c r="H27" s="81"/>
      <c r="I27" s="81"/>
      <c r="J27" s="81"/>
      <c r="K27" s="74"/>
      <c r="L27" s="74"/>
      <c r="M27" s="74"/>
      <c r="N27" s="81"/>
      <c r="O27" s="81"/>
      <c r="P27" s="81"/>
    </row>
    <row r="28" spans="1:16" ht="27" customHeight="1" hidden="1">
      <c r="A28" s="72" t="s">
        <v>6</v>
      </c>
      <c r="B28" s="73"/>
      <c r="C28" s="73"/>
      <c r="D28" s="74"/>
      <c r="E28" s="74">
        <v>270000</v>
      </c>
      <c r="F28" s="74">
        <f>E28</f>
        <v>270000</v>
      </c>
      <c r="G28" s="74"/>
      <c r="H28" s="74">
        <v>270000</v>
      </c>
      <c r="I28" s="74"/>
      <c r="J28" s="74">
        <f>H28</f>
        <v>270000</v>
      </c>
      <c r="K28" s="74"/>
      <c r="L28" s="74"/>
      <c r="M28" s="74"/>
      <c r="N28" s="74"/>
      <c r="O28" s="74">
        <v>270000</v>
      </c>
      <c r="P28" s="74">
        <f>O28</f>
        <v>270000</v>
      </c>
    </row>
    <row r="29" spans="1:16" ht="11.25" hidden="1">
      <c r="A29" s="165" t="s">
        <v>3</v>
      </c>
      <c r="B29" s="83"/>
      <c r="C29" s="83"/>
      <c r="D29" s="74"/>
      <c r="E29" s="81"/>
      <c r="F29" s="81"/>
      <c r="G29" s="74"/>
      <c r="H29" s="81"/>
      <c r="I29" s="81"/>
      <c r="J29" s="81"/>
      <c r="K29" s="74"/>
      <c r="L29" s="74"/>
      <c r="M29" s="74"/>
      <c r="N29" s="74"/>
      <c r="O29" s="81"/>
      <c r="P29" s="81"/>
    </row>
    <row r="30" spans="1:16" ht="22.5" hidden="1">
      <c r="A30" s="72" t="s">
        <v>9</v>
      </c>
      <c r="B30" s="73"/>
      <c r="C30" s="73"/>
      <c r="D30" s="74"/>
      <c r="E30" s="74">
        <f>E26/E32</f>
        <v>55915.07486864068</v>
      </c>
      <c r="F30" s="74">
        <f>E30</f>
        <v>55915.07486864068</v>
      </c>
      <c r="G30" s="74"/>
      <c r="H30" s="74">
        <f>H26/H32</f>
        <v>74005.28664236558</v>
      </c>
      <c r="I30" s="74"/>
      <c r="J30" s="74">
        <f>H30</f>
        <v>74005.28664236558</v>
      </c>
      <c r="K30" s="74"/>
      <c r="L30" s="74"/>
      <c r="M30" s="74"/>
      <c r="N30" s="74"/>
      <c r="O30" s="74">
        <f>O26/O32</f>
        <v>74005.10371000458</v>
      </c>
      <c r="P30" s="74">
        <f>O30</f>
        <v>74005.10371000458</v>
      </c>
    </row>
    <row r="31" spans="1:16" ht="11.25" hidden="1">
      <c r="A31" s="165" t="s">
        <v>5</v>
      </c>
      <c r="B31" s="83"/>
      <c r="C31" s="83"/>
      <c r="D31" s="74"/>
      <c r="E31" s="81"/>
      <c r="F31" s="81"/>
      <c r="G31" s="74"/>
      <c r="H31" s="81"/>
      <c r="I31" s="81"/>
      <c r="J31" s="81"/>
      <c r="K31" s="74"/>
      <c r="L31" s="74"/>
      <c r="M31" s="74"/>
      <c r="N31" s="74"/>
      <c r="O31" s="81"/>
      <c r="P31" s="81"/>
    </row>
    <row r="32" spans="1:16" ht="22.5" hidden="1">
      <c r="A32" s="72" t="s">
        <v>10</v>
      </c>
      <c r="B32" s="73"/>
      <c r="C32" s="73"/>
      <c r="D32" s="74"/>
      <c r="E32" s="74">
        <v>1216.13</v>
      </c>
      <c r="F32" s="74">
        <f>E32</f>
        <v>1216.13</v>
      </c>
      <c r="G32" s="74"/>
      <c r="H32" s="74">
        <v>1297.61</v>
      </c>
      <c r="I32" s="74"/>
      <c r="J32" s="74">
        <f>H32</f>
        <v>1297.61</v>
      </c>
      <c r="K32" s="74"/>
      <c r="L32" s="74"/>
      <c r="M32" s="74"/>
      <c r="N32" s="74"/>
      <c r="O32" s="74">
        <v>1375.47</v>
      </c>
      <c r="P32" s="74">
        <f>O32</f>
        <v>1375.47</v>
      </c>
    </row>
    <row r="33" spans="1:16" ht="11.25" hidden="1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 hidden="1">
      <c r="A34" s="6" t="s">
        <v>14</v>
      </c>
      <c r="B34" s="4"/>
      <c r="C34" s="4"/>
      <c r="D34" s="5"/>
      <c r="E34" s="5">
        <f>E30/E28*100</f>
        <v>20.709286988385436</v>
      </c>
      <c r="F34" s="5">
        <f>F30/F28*100</f>
        <v>20.709286988385436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7" customFormat="1" ht="35.25" customHeight="1" hidden="1">
      <c r="A35" s="85" t="s">
        <v>516</v>
      </c>
      <c r="B35" s="77"/>
      <c r="C35" s="77"/>
      <c r="D35" s="81">
        <f>156000000+25000000-63000000-25000000</f>
        <v>93000000</v>
      </c>
      <c r="E35" s="81"/>
      <c r="F35" s="81">
        <f>F41*F39</f>
        <v>93000000</v>
      </c>
      <c r="G35" s="81">
        <v>165000000</v>
      </c>
      <c r="H35" s="81"/>
      <c r="I35" s="81"/>
      <c r="J35" s="81">
        <f>G35</f>
        <v>165000000</v>
      </c>
      <c r="K35" s="81"/>
      <c r="L35" s="81"/>
      <c r="M35" s="81"/>
      <c r="N35" s="81">
        <v>181500000</v>
      </c>
      <c r="O35" s="81"/>
      <c r="P35" s="81">
        <f>N35</f>
        <v>181500000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</row>
    <row r="36" spans="1:16" ht="11.25" hidden="1">
      <c r="A36" s="165" t="s">
        <v>2</v>
      </c>
      <c r="B36" s="83"/>
      <c r="C36" s="8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22.5" hidden="1">
      <c r="A37" s="72" t="s">
        <v>7</v>
      </c>
      <c r="B37" s="73"/>
      <c r="C37" s="73"/>
      <c r="D37" s="74">
        <v>292000</v>
      </c>
      <c r="E37" s="74"/>
      <c r="F37" s="74">
        <f>D37</f>
        <v>292000</v>
      </c>
      <c r="G37" s="74">
        <v>292000</v>
      </c>
      <c r="H37" s="74"/>
      <c r="I37" s="74"/>
      <c r="J37" s="74">
        <f>G37</f>
        <v>292000</v>
      </c>
      <c r="K37" s="74"/>
      <c r="L37" s="74"/>
      <c r="M37" s="74"/>
      <c r="N37" s="74">
        <v>300000</v>
      </c>
      <c r="O37" s="74"/>
      <c r="P37" s="74">
        <f>N37</f>
        <v>300000</v>
      </c>
    </row>
    <row r="38" spans="1:16" ht="11.25" hidden="1">
      <c r="A38" s="165" t="s">
        <v>3</v>
      </c>
      <c r="B38" s="83"/>
      <c r="C38" s="8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22.5" hidden="1">
      <c r="A39" s="72" t="s">
        <v>8</v>
      </c>
      <c r="B39" s="73"/>
      <c r="C39" s="73"/>
      <c r="D39" s="74">
        <f>D35/D41</f>
        <v>57343.692193858675</v>
      </c>
      <c r="E39" s="74"/>
      <c r="F39" s="74">
        <f>D39</f>
        <v>57343.692193858675</v>
      </c>
      <c r="G39" s="74">
        <f>G35/G41</f>
        <v>95350.36926597552</v>
      </c>
      <c r="H39" s="74"/>
      <c r="I39" s="74"/>
      <c r="J39" s="74">
        <f>G39</f>
        <v>95350.36926597552</v>
      </c>
      <c r="K39" s="74"/>
      <c r="L39" s="74"/>
      <c r="M39" s="74"/>
      <c r="N39" s="74">
        <f>N35/N41</f>
        <v>98948.36694306789</v>
      </c>
      <c r="O39" s="74"/>
      <c r="P39" s="74">
        <f>N39</f>
        <v>98948.36694306789</v>
      </c>
    </row>
    <row r="40" spans="1:16" ht="11.25" hidden="1">
      <c r="A40" s="165" t="s">
        <v>5</v>
      </c>
      <c r="B40" s="83"/>
      <c r="C40" s="8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24" customHeight="1" hidden="1">
      <c r="A41" s="72" t="s">
        <v>12</v>
      </c>
      <c r="B41" s="73"/>
      <c r="C41" s="73"/>
      <c r="D41" s="74">
        <v>1621.8</v>
      </c>
      <c r="E41" s="74"/>
      <c r="F41" s="74">
        <f>D41</f>
        <v>1621.8</v>
      </c>
      <c r="G41" s="74">
        <v>1730.46</v>
      </c>
      <c r="H41" s="74"/>
      <c r="I41" s="74"/>
      <c r="J41" s="74">
        <f>G41</f>
        <v>1730.46</v>
      </c>
      <c r="K41" s="74"/>
      <c r="L41" s="74"/>
      <c r="M41" s="74"/>
      <c r="N41" s="74">
        <v>1834.29</v>
      </c>
      <c r="O41" s="74"/>
      <c r="P41" s="74">
        <f>N41</f>
        <v>1834.29</v>
      </c>
    </row>
    <row r="42" spans="1:16" ht="11.25" hidden="1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 hidden="1">
      <c r="A43" s="6" t="s">
        <v>13</v>
      </c>
      <c r="B43" s="4"/>
      <c r="C43" s="4"/>
      <c r="D43" s="5">
        <f>D39/D37*100</f>
        <v>19.638250751321465</v>
      </c>
      <c r="E43" s="5"/>
      <c r="F43" s="5">
        <f>F39/F37*100</f>
        <v>19.638250751321465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 hidden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7" customFormat="1" ht="48" customHeight="1" hidden="1">
      <c r="A45" s="85" t="s">
        <v>517</v>
      </c>
      <c r="B45" s="77"/>
      <c r="C45" s="77"/>
      <c r="D45" s="81">
        <f>(D49*D51)+(D59*D57)+5.05</f>
        <v>51000000.0048</v>
      </c>
      <c r="E45" s="81"/>
      <c r="F45" s="81">
        <f>D45</f>
        <v>51000000.0048</v>
      </c>
      <c r="G45" s="81">
        <f>G49*G51+G57*G59-0.01</f>
        <v>90950599.999815</v>
      </c>
      <c r="H45" s="81"/>
      <c r="I45" s="81"/>
      <c r="J45" s="81">
        <f>G45</f>
        <v>90950599.999815</v>
      </c>
      <c r="K45" s="81"/>
      <c r="L45" s="81"/>
      <c r="M45" s="81"/>
      <c r="N45" s="81">
        <f>N49*N51+N57*N59</f>
        <v>100045700.000815</v>
      </c>
      <c r="O45" s="81"/>
      <c r="P45" s="81">
        <f>N45</f>
        <v>100045700.000815</v>
      </c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22.87849</v>
      </c>
      <c r="E51" s="5"/>
      <c r="F51" s="5">
        <f>D51</f>
        <v>22.87849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143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142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18" customFormat="1" ht="30" customHeight="1" hidden="1">
      <c r="A62" s="85" t="s">
        <v>441</v>
      </c>
      <c r="B62" s="77"/>
      <c r="C62" s="77"/>
      <c r="D62" s="81">
        <f>1000000-600000</f>
        <v>400000</v>
      </c>
      <c r="E62" s="81"/>
      <c r="F62" s="81">
        <f>D62</f>
        <v>400000</v>
      </c>
      <c r="G62" s="81">
        <v>1200000</v>
      </c>
      <c r="H62" s="81"/>
      <c r="I62" s="81"/>
      <c r="J62" s="81">
        <f>G62</f>
        <v>1200000</v>
      </c>
      <c r="K62" s="81"/>
      <c r="L62" s="81"/>
      <c r="M62" s="81"/>
      <c r="N62" s="81">
        <v>1300000</v>
      </c>
      <c r="O62" s="81"/>
      <c r="P62" s="81">
        <f>N62</f>
        <v>1300000</v>
      </c>
      <c r="EB62" s="87"/>
      <c r="EC62" s="87"/>
      <c r="ED62" s="87"/>
      <c r="EE62" s="87"/>
      <c r="EF62" s="87"/>
      <c r="EG62" s="87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289</v>
      </c>
      <c r="B64" s="4"/>
      <c r="C64" s="4"/>
      <c r="D64" s="5">
        <f>D62</f>
        <v>400000</v>
      </c>
      <c r="E64" s="5"/>
      <c r="F64" s="5">
        <f>D64</f>
        <v>400000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231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290</v>
      </c>
      <c r="B66" s="4"/>
      <c r="C66" s="4"/>
      <c r="D66" s="5">
        <f>D64/D68</f>
        <v>2</v>
      </c>
      <c r="E66" s="5"/>
      <c r="F66" s="5">
        <f>D66</f>
        <v>2</v>
      </c>
      <c r="G66" s="89">
        <v>5</v>
      </c>
      <c r="H66" s="5"/>
      <c r="I66" s="5"/>
      <c r="J66" s="89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226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291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18" customFormat="1" ht="27" customHeight="1" hidden="1">
      <c r="A69" s="85" t="s">
        <v>442</v>
      </c>
      <c r="B69" s="77"/>
      <c r="C69" s="77"/>
      <c r="D69" s="81">
        <f>D71</f>
        <v>395000</v>
      </c>
      <c r="E69" s="81">
        <f aca="true" t="shared" si="4" ref="E69:O69">E71</f>
        <v>2327000</v>
      </c>
      <c r="F69" s="81">
        <f t="shared" si="4"/>
        <v>2722000</v>
      </c>
      <c r="G69" s="81">
        <f t="shared" si="4"/>
        <v>1595200</v>
      </c>
      <c r="H69" s="81">
        <f t="shared" si="4"/>
        <v>7818300</v>
      </c>
      <c r="I69" s="81">
        <f t="shared" si="4"/>
        <v>0</v>
      </c>
      <c r="J69" s="81">
        <f t="shared" si="4"/>
        <v>9413500</v>
      </c>
      <c r="K69" s="81">
        <f t="shared" si="4"/>
        <v>0</v>
      </c>
      <c r="L69" s="81">
        <f t="shared" si="4"/>
        <v>0</v>
      </c>
      <c r="M69" s="81">
        <f t="shared" si="4"/>
        <v>0</v>
      </c>
      <c r="N69" s="81">
        <f t="shared" si="4"/>
        <v>1690900</v>
      </c>
      <c r="O69" s="81">
        <f t="shared" si="4"/>
        <v>8287400</v>
      </c>
      <c r="P69" s="81">
        <f>P71</f>
        <v>9978300</v>
      </c>
      <c r="EB69" s="87"/>
      <c r="EC69" s="87"/>
      <c r="ED69" s="87"/>
      <c r="EE69" s="87"/>
      <c r="EF69" s="87"/>
      <c r="EG69" s="87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292</v>
      </c>
      <c r="B71" s="4"/>
      <c r="C71" s="4"/>
      <c r="D71" s="5">
        <f>1495000-1100000</f>
        <v>395000</v>
      </c>
      <c r="E71" s="5">
        <f>7327400-5000400</f>
        <v>2327000</v>
      </c>
      <c r="F71" s="5">
        <f>D71+E71</f>
        <v>2722000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11.25" hidden="1">
      <c r="A72" s="3" t="s">
        <v>231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11.25" hidden="1">
      <c r="A73" s="50" t="s">
        <v>293</v>
      </c>
      <c r="B73" s="4"/>
      <c r="C73" s="4"/>
      <c r="D73" s="89">
        <f>D71/D75</f>
        <v>2.6333333333333333</v>
      </c>
      <c r="E73" s="89">
        <v>4</v>
      </c>
      <c r="F73" s="89">
        <f>D73+E73</f>
        <v>6.633333333333333</v>
      </c>
      <c r="G73" s="89">
        <f>G71/G75</f>
        <v>9.97</v>
      </c>
      <c r="H73" s="89">
        <f>H71/H75</f>
        <v>14.654732895970008</v>
      </c>
      <c r="I73" s="5"/>
      <c r="J73" s="89">
        <f>G73+H73</f>
        <v>24.62473289597001</v>
      </c>
      <c r="K73" s="5"/>
      <c r="L73" s="5"/>
      <c r="M73" s="5"/>
      <c r="N73" s="89">
        <f>N71/N75</f>
        <v>9.952324896998235</v>
      </c>
      <c r="O73" s="89">
        <f>O71/O75</f>
        <v>14.65473643260066</v>
      </c>
      <c r="P73" s="89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11.25" hidden="1">
      <c r="A74" s="3" t="s">
        <v>226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294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7" customFormat="1" ht="24.75" customHeight="1" hidden="1">
      <c r="A76" s="85" t="s">
        <v>443</v>
      </c>
      <c r="B76" s="77"/>
      <c r="C76" s="77"/>
      <c r="D76" s="81">
        <f>D78</f>
        <v>3000000</v>
      </c>
      <c r="E76" s="81"/>
      <c r="F76" s="81">
        <f>D76</f>
        <v>3000000</v>
      </c>
      <c r="G76" s="81">
        <f>G78</f>
        <v>7469000</v>
      </c>
      <c r="H76" s="81"/>
      <c r="I76" s="81"/>
      <c r="J76" s="81">
        <f>G76+H76</f>
        <v>7469000</v>
      </c>
      <c r="K76" s="81"/>
      <c r="L76" s="81"/>
      <c r="M76" s="81"/>
      <c r="N76" s="81">
        <f>N78</f>
        <v>7917000</v>
      </c>
      <c r="O76" s="81"/>
      <c r="P76" s="81">
        <f>N76</f>
        <v>7917000</v>
      </c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2.5" hidden="1">
      <c r="A78" s="6" t="s">
        <v>433</v>
      </c>
      <c r="B78" s="4"/>
      <c r="C78" s="4"/>
      <c r="D78" s="5">
        <f>9000000+6000000-12000000</f>
        <v>3000000</v>
      </c>
      <c r="E78" s="5"/>
      <c r="F78" s="5">
        <f>D78</f>
        <v>3000000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434</v>
      </c>
      <c r="B80" s="4"/>
      <c r="C80" s="4"/>
      <c r="D80" s="5">
        <f>D78/D82</f>
        <v>3703.703703703704</v>
      </c>
      <c r="E80" s="5"/>
      <c r="F80" s="5">
        <f>D80</f>
        <v>3703.703703703704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435</v>
      </c>
      <c r="B82" s="4"/>
      <c r="C82" s="4"/>
      <c r="D82" s="74">
        <v>810</v>
      </c>
      <c r="E82" s="74"/>
      <c r="F82" s="74">
        <f>D82</f>
        <v>810</v>
      </c>
      <c r="G82" s="74">
        <v>864</v>
      </c>
      <c r="H82" s="74"/>
      <c r="I82" s="74"/>
      <c r="J82" s="74">
        <f>G82</f>
        <v>864</v>
      </c>
      <c r="K82" s="74"/>
      <c r="L82" s="74"/>
      <c r="M82" s="74"/>
      <c r="N82" s="74">
        <v>916</v>
      </c>
      <c r="O82" s="74"/>
      <c r="P82" s="74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436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5" customFormat="1" ht="37.5" customHeight="1" hidden="1">
      <c r="A85" s="85" t="s">
        <v>444</v>
      </c>
      <c r="B85" s="73"/>
      <c r="C85" s="73"/>
      <c r="D85" s="81">
        <f>D87</f>
        <v>0</v>
      </c>
      <c r="E85" s="81"/>
      <c r="F85" s="81">
        <f>D85</f>
        <v>0</v>
      </c>
      <c r="G85" s="81">
        <f>G87</f>
        <v>894600</v>
      </c>
      <c r="H85" s="81"/>
      <c r="I85" s="81"/>
      <c r="J85" s="81">
        <f>G85</f>
        <v>894600</v>
      </c>
      <c r="K85" s="81"/>
      <c r="L85" s="81"/>
      <c r="M85" s="81"/>
      <c r="N85" s="81">
        <f>N87</f>
        <v>936300</v>
      </c>
      <c r="O85" s="81"/>
      <c r="P85" s="81">
        <f>N85</f>
        <v>936300</v>
      </c>
      <c r="EB85" s="76"/>
      <c r="EC85" s="76"/>
      <c r="ED85" s="76"/>
      <c r="EE85" s="76"/>
      <c r="EF85" s="76"/>
      <c r="EG85" s="76"/>
    </row>
    <row r="86" spans="1:137" s="15" customFormat="1" ht="11.25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310</v>
      </c>
      <c r="B87" s="4"/>
      <c r="C87" s="4"/>
      <c r="D87" s="5">
        <f>851000-851000</f>
        <v>0</v>
      </c>
      <c r="E87" s="5"/>
      <c r="F87" s="5">
        <f>D87</f>
        <v>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1.25" hidden="1">
      <c r="A88" s="3" t="s">
        <v>231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1.25" hidden="1">
      <c r="A89" s="50" t="s">
        <v>312</v>
      </c>
      <c r="B89" s="4"/>
      <c r="C89" s="4"/>
      <c r="D89" s="89"/>
      <c r="E89" s="89"/>
      <c r="F89" s="89">
        <f>D89</f>
        <v>0</v>
      </c>
      <c r="G89" s="89">
        <f>G87/G91</f>
        <v>15.76358221326615</v>
      </c>
      <c r="H89" s="89"/>
      <c r="I89" s="89"/>
      <c r="J89" s="89">
        <f>G89</f>
        <v>15.76358221326615</v>
      </c>
      <c r="K89" s="89"/>
      <c r="L89" s="89"/>
      <c r="M89" s="89"/>
      <c r="N89" s="89">
        <f>N87/N91</f>
        <v>15.564498580610156</v>
      </c>
      <c r="O89" s="89"/>
      <c r="P89" s="89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11.25" hidden="1">
      <c r="A90" s="3" t="s">
        <v>226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311</v>
      </c>
      <c r="B91" s="4"/>
      <c r="C91" s="4"/>
      <c r="D91" s="5"/>
      <c r="E91" s="5"/>
      <c r="F91" s="5">
        <f>D91</f>
        <v>0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5" t="s">
        <v>445</v>
      </c>
      <c r="B92" s="77"/>
      <c r="C92" s="77"/>
      <c r="D92" s="81">
        <f>2754100-2200000</f>
        <v>554100</v>
      </c>
      <c r="E92" s="81">
        <f>20000000-20000000</f>
        <v>0</v>
      </c>
      <c r="F92" s="81">
        <f>E92+D92</f>
        <v>554100</v>
      </c>
      <c r="G92" s="81">
        <v>2191700</v>
      </c>
      <c r="H92" s="81">
        <v>21340000</v>
      </c>
      <c r="I92" s="81"/>
      <c r="J92" s="81">
        <f>G92+H92</f>
        <v>23531700</v>
      </c>
      <c r="K92" s="81"/>
      <c r="L92" s="81"/>
      <c r="M92" s="81"/>
      <c r="N92" s="81">
        <v>2323100</v>
      </c>
      <c r="O92" s="81">
        <v>22620000</v>
      </c>
      <c r="P92" s="81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89">
        <f>N96</f>
        <v>3.728958296213898</v>
      </c>
      <c r="O94" s="5">
        <v>2</v>
      </c>
      <c r="P94" s="89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288</v>
      </c>
      <c r="B96" s="4"/>
      <c r="C96" s="4"/>
      <c r="D96" s="5">
        <v>3</v>
      </c>
      <c r="E96" s="5"/>
      <c r="F96" s="5">
        <f>E96+D96</f>
        <v>3</v>
      </c>
      <c r="G96" s="89">
        <f>G92/G98</f>
        <v>3.729125015951338</v>
      </c>
      <c r="H96" s="5">
        <v>2</v>
      </c>
      <c r="I96" s="5"/>
      <c r="J96" s="89">
        <f>G96+H96</f>
        <v>5.729125015951338</v>
      </c>
      <c r="K96" s="5"/>
      <c r="L96" s="5"/>
      <c r="M96" s="5"/>
      <c r="N96" s="89">
        <f>N92/N98</f>
        <v>3.728958296213898</v>
      </c>
      <c r="O96" s="5">
        <v>2</v>
      </c>
      <c r="P96" s="89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2" t="s">
        <v>107</v>
      </c>
      <c r="B98" s="73"/>
      <c r="C98" s="73"/>
      <c r="D98" s="74">
        <f>D92/D96</f>
        <v>184700</v>
      </c>
      <c r="E98" s="74" t="e">
        <f>E92/E96</f>
        <v>#DIV/0!</v>
      </c>
      <c r="F98" s="74" t="e">
        <f>E98+D98</f>
        <v>#DIV/0!</v>
      </c>
      <c r="G98" s="74">
        <v>587725</v>
      </c>
      <c r="H98" s="74">
        <f>H92/H96</f>
        <v>10670000</v>
      </c>
      <c r="I98" s="74"/>
      <c r="J98" s="74">
        <f>G98+H98</f>
        <v>11257725</v>
      </c>
      <c r="K98" s="74"/>
      <c r="L98" s="74"/>
      <c r="M98" s="74"/>
      <c r="N98" s="74">
        <v>622989</v>
      </c>
      <c r="O98" s="74">
        <v>14550000</v>
      </c>
      <c r="P98" s="74">
        <f>N98+O98</f>
        <v>15172989</v>
      </c>
    </row>
    <row r="99" spans="1:16" ht="11.25" hidden="1">
      <c r="A99" s="165" t="s">
        <v>4</v>
      </c>
      <c r="B99" s="83"/>
      <c r="C99" s="83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1:16" ht="21.75" customHeight="1" hidden="1">
      <c r="A100" s="72" t="s">
        <v>117</v>
      </c>
      <c r="B100" s="73"/>
      <c r="C100" s="73"/>
      <c r="D100" s="74">
        <f>D96/D94*100</f>
        <v>60</v>
      </c>
      <c r="E100" s="74">
        <f>E96/E94*100</f>
        <v>0</v>
      </c>
      <c r="F100" s="74">
        <f>F96/F94*100</f>
        <v>42.857142857142854</v>
      </c>
      <c r="G100" s="74">
        <v>100</v>
      </c>
      <c r="H100" s="74">
        <f>H96/H94*100</f>
        <v>100</v>
      </c>
      <c r="I100" s="74"/>
      <c r="J100" s="74">
        <v>100</v>
      </c>
      <c r="K100" s="74"/>
      <c r="L100" s="74"/>
      <c r="M100" s="74"/>
      <c r="N100" s="74">
        <f>N96/N94*100</f>
        <v>100</v>
      </c>
      <c r="O100" s="74">
        <f>O96/O94*100</f>
        <v>100</v>
      </c>
      <c r="P100" s="74">
        <f>P96/P94*100</f>
        <v>100</v>
      </c>
    </row>
    <row r="101" spans="1:137" s="75" customFormat="1" ht="38.25" customHeight="1" hidden="1">
      <c r="A101" s="85" t="s">
        <v>446</v>
      </c>
      <c r="B101" s="73"/>
      <c r="C101" s="73"/>
      <c r="D101" s="81">
        <f>D103</f>
        <v>250000</v>
      </c>
      <c r="E101" s="81">
        <f aca="true" t="shared" si="5" ref="E101:P101">E103</f>
        <v>0</v>
      </c>
      <c r="F101" s="81">
        <f t="shared" si="5"/>
        <v>250000</v>
      </c>
      <c r="G101" s="81">
        <f t="shared" si="5"/>
        <v>1100000</v>
      </c>
      <c r="H101" s="81">
        <f t="shared" si="5"/>
        <v>2667500</v>
      </c>
      <c r="I101" s="81">
        <f t="shared" si="5"/>
        <v>0</v>
      </c>
      <c r="J101" s="81">
        <f t="shared" si="5"/>
        <v>3767500</v>
      </c>
      <c r="K101" s="81">
        <f t="shared" si="5"/>
        <v>0</v>
      </c>
      <c r="L101" s="81">
        <f t="shared" si="5"/>
        <v>0</v>
      </c>
      <c r="M101" s="81">
        <f t="shared" si="5"/>
        <v>0</v>
      </c>
      <c r="N101" s="81">
        <f t="shared" si="5"/>
        <v>1200000</v>
      </c>
      <c r="O101" s="81">
        <f t="shared" si="5"/>
        <v>2827600</v>
      </c>
      <c r="P101" s="81">
        <f t="shared" si="5"/>
        <v>4027600</v>
      </c>
      <c r="EB101" s="76"/>
      <c r="EC101" s="76"/>
      <c r="ED101" s="76"/>
      <c r="EE101" s="76"/>
      <c r="EF101" s="76"/>
      <c r="EG101" s="76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307</v>
      </c>
      <c r="B103" s="4"/>
      <c r="C103" s="4"/>
      <c r="D103" s="5">
        <f>1000000-750000</f>
        <v>250000</v>
      </c>
      <c r="E103" s="5">
        <f>2500000-2500000</f>
        <v>0</v>
      </c>
      <c r="F103" s="5">
        <f>D103+E103</f>
        <v>250000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231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308</v>
      </c>
      <c r="B105" s="4"/>
      <c r="C105" s="4"/>
      <c r="D105" s="5">
        <f>D103/D107</f>
        <v>8</v>
      </c>
      <c r="E105" s="5"/>
      <c r="F105" s="5">
        <f>D105+E105</f>
        <v>8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226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309</v>
      </c>
      <c r="B107" s="4"/>
      <c r="C107" s="4"/>
      <c r="D107" s="5">
        <v>31250</v>
      </c>
      <c r="E107" s="5"/>
      <c r="F107" s="5">
        <f>D107</f>
        <v>31250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7" customFormat="1" ht="36" customHeight="1" hidden="1">
      <c r="A108" s="85" t="s">
        <v>447</v>
      </c>
      <c r="B108" s="77"/>
      <c r="C108" s="77"/>
      <c r="D108" s="81"/>
      <c r="E108" s="81">
        <f>(E113*E116)+(E114*E117)-0.27</f>
        <v>10050000.004530001</v>
      </c>
      <c r="F108" s="81">
        <f>E108</f>
        <v>10050000.004530001</v>
      </c>
      <c r="G108" s="81"/>
      <c r="H108" s="81">
        <f>(H113*H116)+(H114*H117)</f>
        <v>15204800.001300002</v>
      </c>
      <c r="I108" s="81"/>
      <c r="J108" s="81">
        <f>H108</f>
        <v>15204800.001300002</v>
      </c>
      <c r="K108" s="81">
        <f aca="true" t="shared" si="6" ref="K108:P108">(K113*K116)+(K114*K117)</f>
        <v>0</v>
      </c>
      <c r="L108" s="81">
        <f t="shared" si="6"/>
        <v>0</v>
      </c>
      <c r="M108" s="81">
        <f t="shared" si="6"/>
        <v>0</v>
      </c>
      <c r="N108" s="81"/>
      <c r="O108" s="81">
        <f>(O113*O116)+(O114*O117)</f>
        <v>16117000.0008</v>
      </c>
      <c r="P108" s="81">
        <f t="shared" si="6"/>
        <v>16117000.0008</v>
      </c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437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2.5" hidden="1">
      <c r="A113" s="6" t="s">
        <v>438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11867.22561</v>
      </c>
      <c r="F114" s="5">
        <f>E114</f>
        <v>11867.22561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439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440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3.75" hidden="1">
      <c r="A120" s="6" t="s">
        <v>72</v>
      </c>
      <c r="B120" s="4"/>
      <c r="C120" s="4"/>
      <c r="D120" s="5"/>
      <c r="E120" s="5">
        <f>E114/E111*100</f>
        <v>15.614770539473682</v>
      </c>
      <c r="F120" s="5">
        <f aca="true" t="shared" si="9" ref="F120:P120">F114/F111*100</f>
        <v>15.614770539473682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5" customFormat="1" ht="30" customHeight="1" hidden="1">
      <c r="A121" s="85" t="s">
        <v>448</v>
      </c>
      <c r="B121" s="73"/>
      <c r="C121" s="73"/>
      <c r="D121" s="81">
        <f>D123</f>
        <v>0</v>
      </c>
      <c r="E121" s="81"/>
      <c r="F121" s="81">
        <f>D121</f>
        <v>0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EB121" s="76"/>
      <c r="EC121" s="76"/>
      <c r="ED121" s="76"/>
      <c r="EE121" s="76"/>
      <c r="EF121" s="76"/>
      <c r="EG121" s="76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295</v>
      </c>
      <c r="B123" s="4"/>
      <c r="C123" s="4"/>
      <c r="D123" s="5">
        <f>2000000-2000000</f>
        <v>0</v>
      </c>
      <c r="E123" s="5"/>
      <c r="F123" s="5">
        <f>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231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296</v>
      </c>
      <c r="B125" s="4"/>
      <c r="C125" s="4"/>
      <c r="D125" s="5" t="e">
        <f>D123/D127</f>
        <v>#DIV/0!</v>
      </c>
      <c r="E125" s="5"/>
      <c r="F125" s="5" t="e">
        <f>D125</f>
        <v>#DIV/0!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11.25" hidden="1">
      <c r="A126" s="3" t="s">
        <v>226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22.5" hidden="1">
      <c r="A127" s="6" t="s">
        <v>297</v>
      </c>
      <c r="B127" s="4"/>
      <c r="C127" s="4"/>
      <c r="D127" s="5"/>
      <c r="E127" s="5"/>
      <c r="F127" s="5">
        <f>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5" customFormat="1" ht="30" customHeight="1" hidden="1">
      <c r="A128" s="85" t="s">
        <v>449</v>
      </c>
      <c r="B128" s="73"/>
      <c r="C128" s="73"/>
      <c r="D128" s="81">
        <f>D130</f>
        <v>0</v>
      </c>
      <c r="E128" s="81"/>
      <c r="F128" s="81">
        <f>D128</f>
        <v>0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EB128" s="76"/>
      <c r="EC128" s="76"/>
      <c r="ED128" s="76"/>
      <c r="EE128" s="76"/>
      <c r="EF128" s="76"/>
      <c r="EG128" s="76"/>
    </row>
    <row r="129" spans="1:137" s="15" customFormat="1" ht="11.25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3.75" hidden="1">
      <c r="A130" s="6" t="s">
        <v>298</v>
      </c>
      <c r="B130" s="4"/>
      <c r="C130" s="4"/>
      <c r="D130" s="5">
        <f>5000000-5000000</f>
        <v>0</v>
      </c>
      <c r="E130" s="5"/>
      <c r="F130" s="5">
        <f>D130</f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11.25" hidden="1">
      <c r="A131" s="3" t="s">
        <v>231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299</v>
      </c>
      <c r="B132" s="4"/>
      <c r="C132" s="4"/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11.25" hidden="1">
      <c r="A133" s="3" t="s">
        <v>226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11.25" hidden="1">
      <c r="A134" s="6" t="s">
        <v>300</v>
      </c>
      <c r="B134" s="4"/>
      <c r="C134" s="4"/>
      <c r="D134" s="5" t="e">
        <f>D130/D132</f>
        <v>#DIV/0!</v>
      </c>
      <c r="E134" s="5"/>
      <c r="F134" s="5" t="e">
        <f>D134</f>
        <v>#DIV/0!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5" customFormat="1" ht="22.5" hidden="1">
      <c r="A135" s="85" t="s">
        <v>450</v>
      </c>
      <c r="B135" s="73"/>
      <c r="C135" s="73"/>
      <c r="D135" s="81">
        <f>D137</f>
        <v>0</v>
      </c>
      <c r="E135" s="81"/>
      <c r="F135" s="81">
        <f>D135</f>
        <v>0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EB135" s="76"/>
      <c r="EC135" s="76"/>
      <c r="ED135" s="76"/>
      <c r="EE135" s="76"/>
      <c r="EF135" s="76"/>
      <c r="EG135" s="76"/>
    </row>
    <row r="136" spans="1:137" s="15" customFormat="1" ht="11.25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301</v>
      </c>
      <c r="B137" s="4"/>
      <c r="C137" s="4"/>
      <c r="D137" s="5">
        <f>5000000-5000000</f>
        <v>0</v>
      </c>
      <c r="E137" s="5"/>
      <c r="F137" s="5">
        <f>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1.25" hidden="1">
      <c r="A138" s="3" t="s">
        <v>231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1.25" hidden="1">
      <c r="A139" s="50" t="s">
        <v>299</v>
      </c>
      <c r="B139" s="4"/>
      <c r="C139" s="4"/>
      <c r="D139" s="5" t="e">
        <f>D137/D141</f>
        <v>#DIV/0!</v>
      </c>
      <c r="E139" s="5"/>
      <c r="F139" s="5" t="e">
        <f>D139</f>
        <v>#DIV/0!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11.25" hidden="1">
      <c r="A140" s="3" t="s">
        <v>226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302</v>
      </c>
      <c r="B141" s="4"/>
      <c r="C141" s="4"/>
      <c r="D141" s="5"/>
      <c r="E141" s="5"/>
      <c r="F141" s="5">
        <f>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5" customFormat="1" ht="24" customHeight="1" hidden="1">
      <c r="A142" s="85" t="s">
        <v>451</v>
      </c>
      <c r="B142" s="73"/>
      <c r="C142" s="73"/>
      <c r="D142" s="81">
        <f>D144</f>
        <v>0</v>
      </c>
      <c r="E142" s="81"/>
      <c r="F142" s="81">
        <f>D142</f>
        <v>0</v>
      </c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EB142" s="76"/>
      <c r="EC142" s="76"/>
      <c r="ED142" s="76"/>
      <c r="EE142" s="76"/>
      <c r="EF142" s="76"/>
      <c r="EG142" s="76"/>
    </row>
    <row r="143" spans="1:137" s="15" customFormat="1" ht="11.25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303</v>
      </c>
      <c r="B144" s="4"/>
      <c r="C144" s="4"/>
      <c r="D144" s="5">
        <f>1000000-1000000</f>
        <v>0</v>
      </c>
      <c r="E144" s="5"/>
      <c r="F144" s="5">
        <f>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11.25" hidden="1">
      <c r="A145" s="3" t="s">
        <v>231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1.25" hidden="1">
      <c r="A146" s="50" t="s">
        <v>299</v>
      </c>
      <c r="B146" s="4"/>
      <c r="C146" s="4"/>
      <c r="D146" s="5"/>
      <c r="E146" s="5"/>
      <c r="F146" s="5">
        <f>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11.25" hidden="1">
      <c r="A147" s="3" t="s">
        <v>226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304</v>
      </c>
      <c r="B148" s="4"/>
      <c r="C148" s="4"/>
      <c r="D148" s="5" t="e">
        <f>D144/D146</f>
        <v>#DIV/0!</v>
      </c>
      <c r="E148" s="5"/>
      <c r="F148" s="5" t="e">
        <f>D148</f>
        <v>#DIV/0!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5" customFormat="1" ht="24" customHeight="1" hidden="1">
      <c r="A149" s="85" t="s">
        <v>399</v>
      </c>
      <c r="B149" s="73"/>
      <c r="C149" s="73"/>
      <c r="D149" s="74"/>
      <c r="E149" s="81">
        <f>600000+1200000+3500000-2800000-600000-1200000-700000+760000</f>
        <v>760000</v>
      </c>
      <c r="F149" s="81">
        <f>E149</f>
        <v>760000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EB149" s="76"/>
      <c r="EC149" s="76"/>
      <c r="ED149" s="76"/>
      <c r="EE149" s="76"/>
      <c r="EF149" s="76"/>
      <c r="EG149" s="76"/>
    </row>
    <row r="150" spans="1:137" s="15" customFormat="1" ht="11.25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305</v>
      </c>
      <c r="B151" s="4"/>
      <c r="C151" s="4"/>
      <c r="D151" s="5"/>
      <c r="E151" s="5">
        <f>E149</f>
        <v>760000</v>
      </c>
      <c r="F151" s="5">
        <f>E151</f>
        <v>760000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11.25" hidden="1">
      <c r="A152" s="3" t="s">
        <v>231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306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11.25" hidden="1">
      <c r="A154" s="3" t="s">
        <v>226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313</v>
      </c>
      <c r="B155" s="4"/>
      <c r="C155" s="4"/>
      <c r="D155" s="5"/>
      <c r="E155" s="5">
        <f>E151/E153</f>
        <v>253333.33333333334</v>
      </c>
      <c r="F155" s="5">
        <f>F151/F153</f>
        <v>253333.33333333334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6" customFormat="1" ht="36" customHeight="1">
      <c r="A156" s="194" t="s">
        <v>513</v>
      </c>
      <c r="B156" s="195"/>
      <c r="C156" s="195"/>
      <c r="D156" s="193">
        <f>(D162*D175)+(D165*D171)+(D167*D173)+(D168*D174)-56.51</f>
        <v>51868200.00376924</v>
      </c>
      <c r="E156" s="193">
        <f>E166*E172-2.77</f>
        <v>3700000.0034</v>
      </c>
      <c r="F156" s="193">
        <f>D156+E156-0.01</f>
        <v>55568199.99716924</v>
      </c>
      <c r="G156" s="193">
        <f>(G175*G169)+0.15+(G165*G171)+(G167*G173)+(G168*G174)-0.03</f>
        <v>69476000.00386953</v>
      </c>
      <c r="H156" s="193">
        <f>H166*H172</f>
        <v>18267000</v>
      </c>
      <c r="I156" s="193"/>
      <c r="J156" s="193">
        <f>G156+H156</f>
        <v>87743000.00386953</v>
      </c>
      <c r="K156" s="193">
        <f>(K165*K171)+(K166*K172)+(K168*K174)+(K167*K173)+(K169*K175)+100</f>
        <v>100</v>
      </c>
      <c r="L156" s="193">
        <f>(L165*L171)+(L166*L172)+(L168*L174)+(L167*L173)+(L169*L175)+100</f>
        <v>100</v>
      </c>
      <c r="M156" s="193">
        <f>(M165*M171)+(M166*M172)+(M168*M174)+(M167*M173)+(M169*M175)+100</f>
        <v>100</v>
      </c>
      <c r="N156" s="193">
        <f>(N175*N169)+(N165*N171)+(N167*N173)+(N168*N174)-0.01</f>
        <v>73644300.00451978</v>
      </c>
      <c r="O156" s="193">
        <f>O172*O166-0.02</f>
        <v>19362999.996</v>
      </c>
      <c r="P156" s="193">
        <f>N156+O156</f>
        <v>93007300.00051978</v>
      </c>
      <c r="EB156" s="197"/>
      <c r="EC156" s="197"/>
      <c r="ED156" s="197"/>
      <c r="EE156" s="197"/>
      <c r="EF156" s="197"/>
      <c r="EG156" s="197"/>
    </row>
    <row r="157" spans="1:137" s="271" customFormat="1" ht="21" customHeight="1">
      <c r="A157" s="269" t="s">
        <v>34</v>
      </c>
      <c r="B157" s="264"/>
      <c r="C157" s="264"/>
      <c r="D157" s="270">
        <v>664.71</v>
      </c>
      <c r="E157" s="270"/>
      <c r="F157" s="270">
        <f>D157</f>
        <v>664.71</v>
      </c>
      <c r="G157" s="270">
        <v>664.71</v>
      </c>
      <c r="H157" s="270"/>
      <c r="I157" s="270"/>
      <c r="J157" s="270">
        <f>G157</f>
        <v>664.71</v>
      </c>
      <c r="K157" s="270"/>
      <c r="L157" s="270"/>
      <c r="M157" s="270"/>
      <c r="N157" s="270">
        <v>664.71</v>
      </c>
      <c r="O157" s="270"/>
      <c r="P157" s="270">
        <f>N157</f>
        <v>664.71</v>
      </c>
      <c r="EB157" s="268"/>
      <c r="EC157" s="268"/>
      <c r="ED157" s="268"/>
      <c r="EE157" s="268"/>
      <c r="EF157" s="268"/>
      <c r="EG157" s="268"/>
    </row>
    <row r="158" spans="1:137" s="15" customFormat="1" ht="27" customHeight="1">
      <c r="A158" s="6" t="s">
        <v>35</v>
      </c>
      <c r="B158" s="4"/>
      <c r="C158" s="4"/>
      <c r="D158" s="74"/>
      <c r="E158" s="74">
        <v>462.13</v>
      </c>
      <c r="F158" s="74">
        <f>E158</f>
        <v>462.13</v>
      </c>
      <c r="G158" s="74"/>
      <c r="H158" s="74">
        <v>462.13</v>
      </c>
      <c r="I158" s="74"/>
      <c r="J158" s="74">
        <f>H158</f>
        <v>462.13</v>
      </c>
      <c r="K158" s="74"/>
      <c r="L158" s="74"/>
      <c r="M158" s="74"/>
      <c r="N158" s="74"/>
      <c r="O158" s="74">
        <v>462.13</v>
      </c>
      <c r="P158" s="74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>
      <c r="A159" s="6" t="s">
        <v>36</v>
      </c>
      <c r="B159" s="4"/>
      <c r="C159" s="4"/>
      <c r="D159" s="74">
        <v>105.83</v>
      </c>
      <c r="E159" s="74"/>
      <c r="F159" s="74">
        <f>D159</f>
        <v>105.83</v>
      </c>
      <c r="G159" s="74">
        <v>105.83</v>
      </c>
      <c r="H159" s="74"/>
      <c r="I159" s="74"/>
      <c r="J159" s="74">
        <f>G159</f>
        <v>105.83</v>
      </c>
      <c r="K159" s="74"/>
      <c r="L159" s="74"/>
      <c r="M159" s="74"/>
      <c r="N159" s="74">
        <v>105.83</v>
      </c>
      <c r="O159" s="74"/>
      <c r="P159" s="74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>
      <c r="A160" s="6" t="s">
        <v>37</v>
      </c>
      <c r="B160" s="4"/>
      <c r="C160" s="4"/>
      <c r="D160" s="74">
        <v>18995</v>
      </c>
      <c r="E160" s="74"/>
      <c r="F160" s="74">
        <f>D160</f>
        <v>18995</v>
      </c>
      <c r="G160" s="74">
        <v>18995</v>
      </c>
      <c r="H160" s="74"/>
      <c r="I160" s="74"/>
      <c r="J160" s="74">
        <f>G160</f>
        <v>18995</v>
      </c>
      <c r="K160" s="74"/>
      <c r="L160" s="74"/>
      <c r="M160" s="74"/>
      <c r="N160" s="74">
        <v>18995</v>
      </c>
      <c r="O160" s="74"/>
      <c r="P160" s="74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>
      <c r="A161" s="6" t="s">
        <v>38</v>
      </c>
      <c r="B161" s="4"/>
      <c r="C161" s="4"/>
      <c r="D161" s="74">
        <v>8000</v>
      </c>
      <c r="E161" s="74"/>
      <c r="F161" s="74">
        <f>D161</f>
        <v>8000</v>
      </c>
      <c r="G161" s="74">
        <f>F161</f>
        <v>8000</v>
      </c>
      <c r="H161" s="74"/>
      <c r="I161" s="74"/>
      <c r="J161" s="74">
        <f>G161</f>
        <v>8000</v>
      </c>
      <c r="K161" s="74"/>
      <c r="L161" s="74"/>
      <c r="M161" s="74"/>
      <c r="N161" s="74">
        <f>G161</f>
        <v>8000</v>
      </c>
      <c r="O161" s="74"/>
      <c r="P161" s="74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>
      <c r="A162" s="6" t="s">
        <v>39</v>
      </c>
      <c r="B162" s="4"/>
      <c r="C162" s="4"/>
      <c r="D162" s="74">
        <f>8922454.63+1851851.8518-10987.6543209-2106.70878787</f>
        <v>10761212.118691232</v>
      </c>
      <c r="E162" s="74"/>
      <c r="F162" s="74">
        <f>D162</f>
        <v>10761212.118691232</v>
      </c>
      <c r="G162" s="74">
        <v>8922454.63</v>
      </c>
      <c r="H162" s="74"/>
      <c r="I162" s="74"/>
      <c r="J162" s="74">
        <f>G162</f>
        <v>8922454.63</v>
      </c>
      <c r="K162" s="74"/>
      <c r="L162" s="74"/>
      <c r="M162" s="74"/>
      <c r="N162" s="74">
        <v>8922454.63</v>
      </c>
      <c r="O162" s="74"/>
      <c r="P162" s="74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3" t="s">
        <v>3</v>
      </c>
      <c r="B163" s="25"/>
      <c r="C163" s="25"/>
      <c r="D163" s="84"/>
      <c r="E163" s="84"/>
      <c r="F163" s="74"/>
      <c r="G163" s="84"/>
      <c r="H163" s="84"/>
      <c r="I163" s="84"/>
      <c r="J163" s="74"/>
      <c r="K163" s="74"/>
      <c r="L163" s="74"/>
      <c r="M163" s="74"/>
      <c r="N163" s="84"/>
      <c r="O163" s="84"/>
      <c r="P163" s="74"/>
      <c r="EB163" s="34"/>
      <c r="EC163" s="34"/>
      <c r="ED163" s="34"/>
      <c r="EE163" s="34"/>
      <c r="EF163" s="34"/>
      <c r="EG163" s="34"/>
    </row>
    <row r="164" spans="1:137" s="15" customFormat="1" ht="24" customHeight="1">
      <c r="A164" s="6" t="s">
        <v>260</v>
      </c>
      <c r="B164" s="4"/>
      <c r="C164" s="4"/>
      <c r="D164" s="74"/>
      <c r="E164" s="74"/>
      <c r="F164" s="74"/>
      <c r="G164" s="74"/>
      <c r="H164" s="74"/>
      <c r="I164" s="74"/>
      <c r="J164" s="74">
        <f>G164</f>
        <v>0</v>
      </c>
      <c r="K164" s="74"/>
      <c r="L164" s="74"/>
      <c r="M164" s="74"/>
      <c r="N164" s="74"/>
      <c r="O164" s="74"/>
      <c r="P164" s="74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>
      <c r="A165" s="6" t="s">
        <v>40</v>
      </c>
      <c r="B165" s="4"/>
      <c r="C165" s="4"/>
      <c r="D165" s="74">
        <v>33.701</v>
      </c>
      <c r="E165" s="74"/>
      <c r="F165" s="74">
        <f>D165</f>
        <v>33.701</v>
      </c>
      <c r="G165" s="74">
        <v>46</v>
      </c>
      <c r="H165" s="74"/>
      <c r="I165" s="74"/>
      <c r="J165" s="74">
        <f>G165</f>
        <v>46</v>
      </c>
      <c r="K165" s="74"/>
      <c r="L165" s="74"/>
      <c r="M165" s="74"/>
      <c r="N165" s="74">
        <v>46</v>
      </c>
      <c r="O165" s="74"/>
      <c r="P165" s="74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>
      <c r="A166" s="6" t="s">
        <v>41</v>
      </c>
      <c r="B166" s="4"/>
      <c r="C166" s="4"/>
      <c r="D166" s="74"/>
      <c r="E166" s="74">
        <v>10.41</v>
      </c>
      <c r="F166" s="74">
        <f>E166</f>
        <v>10.41</v>
      </c>
      <c r="G166" s="74"/>
      <c r="H166" s="176">
        <v>30</v>
      </c>
      <c r="I166" s="74"/>
      <c r="J166" s="74">
        <f>H166</f>
        <v>30</v>
      </c>
      <c r="K166" s="74"/>
      <c r="L166" s="74"/>
      <c r="M166" s="74"/>
      <c r="N166" s="74"/>
      <c r="O166" s="74">
        <v>30.4</v>
      </c>
      <c r="P166" s="74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>
      <c r="A167" s="6" t="s">
        <v>54</v>
      </c>
      <c r="B167" s="4"/>
      <c r="C167" s="4"/>
      <c r="D167" s="74">
        <f>D160</f>
        <v>18995</v>
      </c>
      <c r="E167" s="74"/>
      <c r="F167" s="74">
        <f>D167</f>
        <v>18995</v>
      </c>
      <c r="G167" s="74">
        <f>G160</f>
        <v>18995</v>
      </c>
      <c r="H167" s="74"/>
      <c r="I167" s="74"/>
      <c r="J167" s="74">
        <f>G167</f>
        <v>18995</v>
      </c>
      <c r="K167" s="74"/>
      <c r="L167" s="74"/>
      <c r="M167" s="74"/>
      <c r="N167" s="74">
        <f>N160</f>
        <v>18995</v>
      </c>
      <c r="O167" s="74"/>
      <c r="P167" s="74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>
      <c r="A168" s="6" t="s">
        <v>42</v>
      </c>
      <c r="B168" s="4"/>
      <c r="C168" s="4"/>
      <c r="D168" s="74">
        <v>1000</v>
      </c>
      <c r="E168" s="74"/>
      <c r="F168" s="74">
        <f>D168</f>
        <v>1000</v>
      </c>
      <c r="G168" s="74">
        <v>2482</v>
      </c>
      <c r="H168" s="74"/>
      <c r="I168" s="74"/>
      <c r="J168" s="74">
        <f>G168</f>
        <v>2482</v>
      </c>
      <c r="K168" s="74"/>
      <c r="L168" s="74"/>
      <c r="M168" s="74"/>
      <c r="N168" s="74">
        <v>2482</v>
      </c>
      <c r="O168" s="74"/>
      <c r="P168" s="74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>
      <c r="A169" s="6" t="s">
        <v>43</v>
      </c>
      <c r="B169" s="4"/>
      <c r="C169" s="4"/>
      <c r="D169" s="74">
        <f>8922454.63+1851851.8518+10987.6543209</f>
        <v>10785294.1361209</v>
      </c>
      <c r="E169" s="74"/>
      <c r="F169" s="74">
        <f>D169</f>
        <v>10785294.1361209</v>
      </c>
      <c r="G169" s="74">
        <v>8922454.63</v>
      </c>
      <c r="H169" s="74"/>
      <c r="I169" s="74"/>
      <c r="J169" s="74">
        <f>G169</f>
        <v>8922454.63</v>
      </c>
      <c r="K169" s="74"/>
      <c r="L169" s="74"/>
      <c r="M169" s="74"/>
      <c r="N169" s="74">
        <v>8922454.63</v>
      </c>
      <c r="O169" s="74"/>
      <c r="P169" s="74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>
      <c r="A170" s="3" t="s">
        <v>5</v>
      </c>
      <c r="B170" s="25"/>
      <c r="C170" s="25"/>
      <c r="D170" s="84"/>
      <c r="E170" s="84"/>
      <c r="F170" s="74"/>
      <c r="G170" s="84"/>
      <c r="H170" s="84"/>
      <c r="I170" s="84"/>
      <c r="J170" s="74"/>
      <c r="K170" s="74"/>
      <c r="L170" s="74"/>
      <c r="M170" s="74"/>
      <c r="N170" s="84"/>
      <c r="O170" s="84"/>
      <c r="P170" s="74"/>
      <c r="EB170" s="34"/>
      <c r="EC170" s="34"/>
      <c r="ED170" s="34"/>
      <c r="EE170" s="34"/>
      <c r="EF170" s="34"/>
      <c r="EG170" s="34"/>
    </row>
    <row r="171" spans="1:137" s="15" customFormat="1" ht="22.5">
      <c r="A171" s="6" t="s">
        <v>44</v>
      </c>
      <c r="B171" s="4"/>
      <c r="C171" s="4"/>
      <c r="D171" s="74">
        <f>121042.829565</f>
        <v>121042.829565</v>
      </c>
      <c r="E171" s="74"/>
      <c r="F171" s="74">
        <f>D171</f>
        <v>121042.829565</v>
      </c>
      <c r="G171" s="74">
        <v>333737.737</v>
      </c>
      <c r="H171" s="74"/>
      <c r="I171" s="74"/>
      <c r="J171" s="74">
        <f>G171</f>
        <v>333737.737</v>
      </c>
      <c r="K171" s="74"/>
      <c r="L171" s="74"/>
      <c r="M171" s="74"/>
      <c r="N171" s="74">
        <v>353762.65</v>
      </c>
      <c r="O171" s="74"/>
      <c r="P171" s="74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>
      <c r="A172" s="6" t="s">
        <v>45</v>
      </c>
      <c r="B172" s="4"/>
      <c r="C172" s="4"/>
      <c r="D172" s="74"/>
      <c r="E172" s="74">
        <v>355427.74</v>
      </c>
      <c r="F172" s="74">
        <f>E172</f>
        <v>355427.74</v>
      </c>
      <c r="G172" s="74"/>
      <c r="H172" s="74">
        <v>608900</v>
      </c>
      <c r="I172" s="74"/>
      <c r="J172" s="74">
        <f>H172</f>
        <v>608900</v>
      </c>
      <c r="K172" s="74"/>
      <c r="L172" s="74"/>
      <c r="M172" s="74"/>
      <c r="N172" s="74"/>
      <c r="O172" s="74">
        <v>636940.79</v>
      </c>
      <c r="P172" s="74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>
      <c r="A173" s="6" t="s">
        <v>46</v>
      </c>
      <c r="B173" s="4"/>
      <c r="C173" s="4"/>
      <c r="D173" s="74">
        <f>375.64125-42.116</f>
        <v>333.52525</v>
      </c>
      <c r="E173" s="74"/>
      <c r="F173" s="74">
        <v>420</v>
      </c>
      <c r="G173" s="74">
        <v>507.51</v>
      </c>
      <c r="H173" s="74"/>
      <c r="I173" s="74"/>
      <c r="J173" s="74">
        <f>G173</f>
        <v>507.51</v>
      </c>
      <c r="K173" s="74"/>
      <c r="L173" s="74"/>
      <c r="M173" s="74"/>
      <c r="N173" s="74">
        <v>537.95935</v>
      </c>
      <c r="O173" s="74"/>
      <c r="P173" s="74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>
      <c r="A174" s="6" t="s">
        <v>47</v>
      </c>
      <c r="B174" s="4"/>
      <c r="C174" s="4"/>
      <c r="D174" s="74">
        <v>2390.48</v>
      </c>
      <c r="E174" s="74"/>
      <c r="F174" s="74">
        <f>D174</f>
        <v>2390.48</v>
      </c>
      <c r="G174" s="74">
        <v>5538.24</v>
      </c>
      <c r="H174" s="74"/>
      <c r="I174" s="74"/>
      <c r="J174" s="74">
        <f>G174</f>
        <v>5538.24</v>
      </c>
      <c r="K174" s="74"/>
      <c r="L174" s="74"/>
      <c r="M174" s="74"/>
      <c r="N174" s="74">
        <v>5870.54</v>
      </c>
      <c r="O174" s="74"/>
      <c r="P174" s="74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>
      <c r="A175" s="6" t="s">
        <v>121</v>
      </c>
      <c r="B175" s="4"/>
      <c r="C175" s="4"/>
      <c r="D175" s="74">
        <v>3.63</v>
      </c>
      <c r="E175" s="74"/>
      <c r="F175" s="74">
        <f>D175</f>
        <v>3.63</v>
      </c>
      <c r="G175" s="74">
        <v>3.4450161</v>
      </c>
      <c r="H175" s="74"/>
      <c r="I175" s="74"/>
      <c r="J175" s="74">
        <f>G175</f>
        <v>3.4450161</v>
      </c>
      <c r="K175" s="74"/>
      <c r="L175" s="74"/>
      <c r="M175" s="74"/>
      <c r="N175" s="74">
        <v>3.6516857</v>
      </c>
      <c r="O175" s="74"/>
      <c r="P175" s="74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>
      <c r="A177" s="6" t="s">
        <v>49</v>
      </c>
      <c r="B177" s="4"/>
      <c r="C177" s="4"/>
      <c r="D177" s="5"/>
      <c r="E177" s="5">
        <f>E166/E158*100</f>
        <v>2.252612901131716</v>
      </c>
      <c r="F177" s="5">
        <f>E177</f>
        <v>2.252612901131716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>
      <c r="A178" s="6" t="s">
        <v>48</v>
      </c>
      <c r="B178" s="4"/>
      <c r="C178" s="4"/>
      <c r="D178" s="5">
        <f>D165/D159*100</f>
        <v>31.8444675422848</v>
      </c>
      <c r="E178" s="5"/>
      <c r="F178" s="5">
        <f>D178</f>
        <v>31.8444675422848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>
      <c r="A179" s="6" t="s">
        <v>50</v>
      </c>
      <c r="B179" s="4"/>
      <c r="C179" s="4"/>
      <c r="D179" s="5">
        <f>D168/D161*100</f>
        <v>12.5</v>
      </c>
      <c r="E179" s="5"/>
      <c r="F179" s="5">
        <f>D179</f>
        <v>12.5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 hidden="1">
      <c r="A180" s="188" t="s">
        <v>518</v>
      </c>
      <c r="B180" s="4"/>
      <c r="C180" s="4"/>
      <c r="D180" s="189">
        <f>D181+D225+D232+D239+D246</f>
        <v>20354205.12161162</v>
      </c>
      <c r="E180" s="189">
        <f>E181+E225+E232+E239+E246</f>
        <v>17000000</v>
      </c>
      <c r="F180" s="189">
        <f>D180+E180</f>
        <v>37354205.121611625</v>
      </c>
      <c r="G180" s="189">
        <f aca="true" t="shared" si="10" ref="G180:O180">G181+G225+G232+G239+G246</f>
        <v>30617000.003140002</v>
      </c>
      <c r="H180" s="189">
        <f t="shared" si="10"/>
        <v>10000000</v>
      </c>
      <c r="I180" s="189">
        <f t="shared" si="10"/>
        <v>0</v>
      </c>
      <c r="J180" s="189">
        <f>G180+H180</f>
        <v>40617000.00314</v>
      </c>
      <c r="K180" s="189">
        <f t="shared" si="10"/>
        <v>0</v>
      </c>
      <c r="L180" s="189">
        <f t="shared" si="10"/>
        <v>0</v>
      </c>
      <c r="M180" s="189">
        <f t="shared" si="10"/>
        <v>0</v>
      </c>
      <c r="N180" s="189">
        <f t="shared" si="10"/>
        <v>33454599.99732</v>
      </c>
      <c r="O180" s="189">
        <f t="shared" si="10"/>
        <v>10000000</v>
      </c>
      <c r="P180" s="189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6" customFormat="1" ht="31.5" customHeight="1" hidden="1">
      <c r="A181" s="85" t="s">
        <v>519</v>
      </c>
      <c r="B181" s="77"/>
      <c r="C181" s="77"/>
      <c r="D181" s="81">
        <f>D193*D208+D194*D209+D195*D210+D196*D211+D197*D212+D198*D213+D199*D214+D200*D215+D201*D216+D202*D217+D203*D218+D204*D220+D206*D221+D205*D219-10</f>
        <v>18744205.12161162</v>
      </c>
      <c r="E181" s="81">
        <f aca="true" t="shared" si="11" ref="E181:O181">E193*E208+E194*E209+E195*E210+E196*E211+E197*E212+E198*E213+E199*E214+E200*E215+E201*E216+E202*E217+E203*E218+E204*E220+E206*E221</f>
        <v>0</v>
      </c>
      <c r="F181" s="81">
        <f>D181+E181</f>
        <v>18744205.12161162</v>
      </c>
      <c r="G181" s="81">
        <f t="shared" si="11"/>
        <v>29035400.003140002</v>
      </c>
      <c r="H181" s="81">
        <f t="shared" si="11"/>
        <v>0</v>
      </c>
      <c r="I181" s="81">
        <f t="shared" si="11"/>
        <v>0</v>
      </c>
      <c r="J181" s="81">
        <f>G181+H181</f>
        <v>29035400.003140002</v>
      </c>
      <c r="K181" s="81">
        <f t="shared" si="11"/>
        <v>0</v>
      </c>
      <c r="L181" s="81">
        <f t="shared" si="11"/>
        <v>0</v>
      </c>
      <c r="M181" s="81">
        <f t="shared" si="11"/>
        <v>0</v>
      </c>
      <c r="N181" s="81">
        <f t="shared" si="11"/>
        <v>31733699.99732</v>
      </c>
      <c r="O181" s="81">
        <f t="shared" si="11"/>
        <v>0</v>
      </c>
      <c r="P181" s="81">
        <f>N181+O181</f>
        <v>31733699.99732</v>
      </c>
      <c r="EB181" s="117"/>
      <c r="EC181" s="117"/>
      <c r="ED181" s="117"/>
      <c r="EE181" s="117"/>
      <c r="EF181" s="117"/>
      <c r="EG181" s="117"/>
    </row>
    <row r="182" spans="1:137" s="15" customFormat="1" ht="11.25" hidden="1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3" customFormat="1" ht="34.5" customHeight="1" hidden="1">
      <c r="A183" s="6" t="s">
        <v>343</v>
      </c>
      <c r="B183" s="4"/>
      <c r="C183" s="4"/>
      <c r="D183" s="5">
        <v>175</v>
      </c>
      <c r="E183" s="5"/>
      <c r="F183" s="5">
        <f aca="true" t="shared" si="12" ref="F183:F190">D183</f>
        <v>175</v>
      </c>
      <c r="G183" s="5">
        <v>180</v>
      </c>
      <c r="H183" s="74"/>
      <c r="I183" s="5"/>
      <c r="J183" s="5">
        <f aca="true" t="shared" si="13" ref="J183:J191">G183</f>
        <v>180</v>
      </c>
      <c r="K183" s="5"/>
      <c r="L183" s="5"/>
      <c r="M183" s="5"/>
      <c r="N183" s="5">
        <v>187</v>
      </c>
      <c r="O183" s="5"/>
      <c r="P183" s="5">
        <f aca="true" t="shared" si="14" ref="P183:P191">N183</f>
        <v>187</v>
      </c>
      <c r="EB183" s="114"/>
      <c r="EC183" s="114"/>
      <c r="ED183" s="114"/>
      <c r="EE183" s="114"/>
      <c r="EF183" s="114"/>
      <c r="EG183" s="114"/>
    </row>
    <row r="184" spans="1:137" s="113" customFormat="1" ht="22.5" hidden="1">
      <c r="A184" s="6" t="s">
        <v>344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4"/>
      <c r="EC184" s="114"/>
      <c r="ED184" s="114"/>
      <c r="EE184" s="114"/>
      <c r="EF184" s="114"/>
      <c r="EG184" s="114"/>
    </row>
    <row r="185" spans="1:137" s="113" customFormat="1" ht="24.75" customHeight="1" hidden="1">
      <c r="A185" s="6" t="s">
        <v>122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4"/>
      <c r="EC185" s="114"/>
      <c r="ED185" s="114"/>
      <c r="EE185" s="114"/>
      <c r="EF185" s="114"/>
      <c r="EG185" s="114"/>
    </row>
    <row r="186" spans="1:137" s="113" customFormat="1" ht="25.5" customHeight="1" hidden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4"/>
      <c r="EC186" s="114"/>
      <c r="ED186" s="114"/>
      <c r="EE186" s="114"/>
      <c r="EF186" s="114"/>
      <c r="EG186" s="114"/>
    </row>
    <row r="187" spans="1:137" s="113" customFormat="1" ht="29.25" customHeight="1" hidden="1">
      <c r="A187" s="6" t="s">
        <v>348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4"/>
      <c r="EC187" s="114"/>
      <c r="ED187" s="114"/>
      <c r="EE187" s="114"/>
      <c r="EF187" s="114"/>
      <c r="EG187" s="114"/>
    </row>
    <row r="188" spans="1:137" s="113" customFormat="1" ht="29.25" customHeight="1" hidden="1">
      <c r="A188" s="6" t="s">
        <v>347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4"/>
      <c r="EC188" s="114"/>
      <c r="ED188" s="114"/>
      <c r="EE188" s="114"/>
      <c r="EF188" s="114"/>
      <c r="EG188" s="114"/>
    </row>
    <row r="189" spans="1:137" s="113" customFormat="1" ht="29.25" customHeight="1" hidden="1">
      <c r="A189" s="72" t="s">
        <v>556</v>
      </c>
      <c r="B189" s="4"/>
      <c r="C189" s="4"/>
      <c r="D189" s="5">
        <v>10.714</v>
      </c>
      <c r="E189" s="5"/>
      <c r="F189" s="5">
        <f t="shared" si="12"/>
        <v>10.714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EB189" s="114"/>
      <c r="EC189" s="114"/>
      <c r="ED189" s="114"/>
      <c r="EE189" s="114"/>
      <c r="EF189" s="114"/>
      <c r="EG189" s="114"/>
    </row>
    <row r="190" spans="1:137" s="113" customFormat="1" ht="29.25" customHeight="1" hidden="1">
      <c r="A190" s="6" t="s">
        <v>349</v>
      </c>
      <c r="B190" s="4"/>
      <c r="C190" s="4"/>
      <c r="D190" s="5">
        <v>9</v>
      </c>
      <c r="E190" s="5"/>
      <c r="F190" s="5">
        <f t="shared" si="12"/>
        <v>9</v>
      </c>
      <c r="G190" s="5">
        <v>9</v>
      </c>
      <c r="H190" s="5"/>
      <c r="I190" s="5"/>
      <c r="J190" s="5">
        <f t="shared" si="13"/>
        <v>9</v>
      </c>
      <c r="K190" s="5"/>
      <c r="L190" s="5"/>
      <c r="M190" s="5"/>
      <c r="N190" s="5">
        <v>9</v>
      </c>
      <c r="O190" s="5"/>
      <c r="P190" s="5">
        <f t="shared" si="14"/>
        <v>9</v>
      </c>
      <c r="EB190" s="114"/>
      <c r="EC190" s="114"/>
      <c r="ED190" s="114"/>
      <c r="EE190" s="114"/>
      <c r="EF190" s="114"/>
      <c r="EG190" s="114"/>
    </row>
    <row r="191" spans="1:137" s="15" customFormat="1" ht="26.25" customHeight="1" hidden="1">
      <c r="A191" s="6" t="s">
        <v>350</v>
      </c>
      <c r="B191" s="4"/>
      <c r="C191" s="4"/>
      <c r="D191" s="5">
        <v>62620</v>
      </c>
      <c r="E191" s="5"/>
      <c r="F191" s="5">
        <f>D191</f>
        <v>62620</v>
      </c>
      <c r="G191" s="5">
        <v>62633</v>
      </c>
      <c r="H191" s="5"/>
      <c r="I191" s="5"/>
      <c r="J191" s="5">
        <f t="shared" si="13"/>
        <v>62633</v>
      </c>
      <c r="K191" s="5"/>
      <c r="L191" s="5"/>
      <c r="M191" s="5"/>
      <c r="N191" s="5">
        <v>62625</v>
      </c>
      <c r="O191" s="5"/>
      <c r="P191" s="5">
        <f t="shared" si="14"/>
        <v>62625</v>
      </c>
      <c r="EB191" s="34"/>
      <c r="EC191" s="34"/>
      <c r="ED191" s="34"/>
      <c r="EE191" s="34"/>
      <c r="EF191" s="34"/>
      <c r="EG191" s="34"/>
    </row>
    <row r="192" spans="1:137" s="15" customFormat="1" ht="11.25" hidden="1">
      <c r="A192" s="3" t="s">
        <v>3</v>
      </c>
      <c r="B192" s="25"/>
      <c r="C192" s="25"/>
      <c r="D192" s="18"/>
      <c r="E192" s="18"/>
      <c r="F192" s="18"/>
      <c r="G192" s="18"/>
      <c r="H192" s="18"/>
      <c r="I192" s="18"/>
      <c r="J192" s="5"/>
      <c r="K192" s="5"/>
      <c r="L192" s="5"/>
      <c r="M192" s="5"/>
      <c r="N192" s="18"/>
      <c r="O192" s="18"/>
      <c r="P192" s="5"/>
      <c r="EB192" s="34"/>
      <c r="EC192" s="34"/>
      <c r="ED192" s="34"/>
      <c r="EE192" s="34"/>
      <c r="EF192" s="34"/>
      <c r="EG192" s="34"/>
    </row>
    <row r="193" spans="1:137" s="113" customFormat="1" ht="28.5" customHeight="1" hidden="1">
      <c r="A193" s="6" t="s">
        <v>320</v>
      </c>
      <c r="B193" s="4"/>
      <c r="C193" s="4"/>
      <c r="D193" s="5">
        <v>175</v>
      </c>
      <c r="E193" s="5"/>
      <c r="F193" s="5">
        <f>D193</f>
        <v>175</v>
      </c>
      <c r="G193" s="5">
        <v>180</v>
      </c>
      <c r="H193" s="5"/>
      <c r="I193" s="5"/>
      <c r="J193" s="5">
        <f aca="true" t="shared" si="15" ref="J193:J198">G193</f>
        <v>180</v>
      </c>
      <c r="K193" s="5"/>
      <c r="L193" s="5"/>
      <c r="M193" s="5"/>
      <c r="N193" s="5">
        <v>187</v>
      </c>
      <c r="O193" s="5"/>
      <c r="P193" s="5">
        <f aca="true" t="shared" si="16" ref="P193:P198">N193</f>
        <v>187</v>
      </c>
      <c r="EB193" s="114"/>
      <c r="EC193" s="114"/>
      <c r="ED193" s="114"/>
      <c r="EE193" s="114"/>
      <c r="EF193" s="114"/>
      <c r="EG193" s="114"/>
    </row>
    <row r="194" spans="1:137" s="113" customFormat="1" ht="22.5" hidden="1">
      <c r="A194" s="6" t="s">
        <v>318</v>
      </c>
      <c r="B194" s="4"/>
      <c r="C194" s="4"/>
      <c r="D194" s="74">
        <v>1628</v>
      </c>
      <c r="E194" s="5"/>
      <c r="F194" s="5">
        <f aca="true" t="shared" si="17" ref="F194:F206">D194</f>
        <v>1628</v>
      </c>
      <c r="G194" s="5">
        <v>1556</v>
      </c>
      <c r="H194" s="5"/>
      <c r="I194" s="5"/>
      <c r="J194" s="5">
        <f t="shared" si="15"/>
        <v>1556</v>
      </c>
      <c r="K194" s="5"/>
      <c r="L194" s="5"/>
      <c r="M194" s="5"/>
      <c r="N194" s="5">
        <v>1583</v>
      </c>
      <c r="O194" s="5"/>
      <c r="P194" s="5">
        <f t="shared" si="16"/>
        <v>1583</v>
      </c>
      <c r="EB194" s="114"/>
      <c r="EC194" s="114"/>
      <c r="ED194" s="114"/>
      <c r="EE194" s="114"/>
      <c r="EF194" s="114"/>
      <c r="EG194" s="114"/>
    </row>
    <row r="195" spans="1:137" s="113" customFormat="1" ht="22.5" hidden="1">
      <c r="A195" s="6" t="s">
        <v>341</v>
      </c>
      <c r="B195" s="4"/>
      <c r="C195" s="4"/>
      <c r="D195" s="74">
        <v>0</v>
      </c>
      <c r="E195" s="5"/>
      <c r="F195" s="5">
        <f>D195</f>
        <v>0</v>
      </c>
      <c r="G195" s="5">
        <v>7.33</v>
      </c>
      <c r="H195" s="5"/>
      <c r="I195" s="5"/>
      <c r="J195" s="5">
        <f>G195</f>
        <v>7.33</v>
      </c>
      <c r="K195" s="5"/>
      <c r="L195" s="5"/>
      <c r="M195" s="5"/>
      <c r="N195" s="5">
        <v>7.77</v>
      </c>
      <c r="O195" s="5"/>
      <c r="P195" s="5">
        <f>N195</f>
        <v>7.77</v>
      </c>
      <c r="EB195" s="114"/>
      <c r="EC195" s="114"/>
      <c r="ED195" s="114"/>
      <c r="EE195" s="114"/>
      <c r="EF195" s="114"/>
      <c r="EG195" s="114"/>
    </row>
    <row r="196" spans="1:137" s="113" customFormat="1" ht="26.25" customHeight="1" hidden="1">
      <c r="A196" s="6" t="s">
        <v>351</v>
      </c>
      <c r="B196" s="4"/>
      <c r="C196" s="4"/>
      <c r="D196" s="74">
        <v>200</v>
      </c>
      <c r="E196" s="5"/>
      <c r="F196" s="5">
        <f>D196</f>
        <v>200</v>
      </c>
      <c r="G196" s="5">
        <v>620</v>
      </c>
      <c r="H196" s="5"/>
      <c r="I196" s="5"/>
      <c r="J196" s="5">
        <f>G196</f>
        <v>620</v>
      </c>
      <c r="K196" s="5"/>
      <c r="L196" s="5"/>
      <c r="M196" s="5"/>
      <c r="N196" s="5">
        <v>645</v>
      </c>
      <c r="O196" s="5"/>
      <c r="P196" s="5">
        <f>N196</f>
        <v>645</v>
      </c>
      <c r="EB196" s="114"/>
      <c r="EC196" s="114"/>
      <c r="ED196" s="114"/>
      <c r="EE196" s="114"/>
      <c r="EF196" s="114"/>
      <c r="EG196" s="114"/>
    </row>
    <row r="197" spans="1:137" s="113" customFormat="1" ht="22.5" hidden="1">
      <c r="A197" s="6" t="s">
        <v>52</v>
      </c>
      <c r="B197" s="4"/>
      <c r="C197" s="4"/>
      <c r="D197" s="74">
        <v>458</v>
      </c>
      <c r="E197" s="5"/>
      <c r="F197" s="5">
        <f t="shared" si="17"/>
        <v>458</v>
      </c>
      <c r="G197" s="5">
        <v>472</v>
      </c>
      <c r="H197" s="5"/>
      <c r="I197" s="5"/>
      <c r="J197" s="5">
        <f t="shared" si="15"/>
        <v>472</v>
      </c>
      <c r="K197" s="5"/>
      <c r="L197" s="5"/>
      <c r="M197" s="5"/>
      <c r="N197" s="5">
        <v>490</v>
      </c>
      <c r="O197" s="5"/>
      <c r="P197" s="5">
        <f t="shared" si="16"/>
        <v>490</v>
      </c>
      <c r="EB197" s="114"/>
      <c r="EC197" s="114"/>
      <c r="ED197" s="114"/>
      <c r="EE197" s="114"/>
      <c r="EF197" s="114"/>
      <c r="EG197" s="114"/>
    </row>
    <row r="198" spans="1:137" s="113" customFormat="1" ht="22.5" hidden="1">
      <c r="A198" s="6" t="s">
        <v>321</v>
      </c>
      <c r="B198" s="4"/>
      <c r="C198" s="4"/>
      <c r="D198" s="74">
        <v>76.26</v>
      </c>
      <c r="E198" s="5"/>
      <c r="F198" s="5">
        <f t="shared" si="17"/>
        <v>76.26</v>
      </c>
      <c r="G198" s="5">
        <v>76.26</v>
      </c>
      <c r="H198" s="5"/>
      <c r="I198" s="5"/>
      <c r="J198" s="5">
        <f t="shared" si="15"/>
        <v>76.26</v>
      </c>
      <c r="K198" s="5"/>
      <c r="L198" s="5"/>
      <c r="M198" s="5"/>
      <c r="N198" s="5">
        <f>J198</f>
        <v>76.26</v>
      </c>
      <c r="O198" s="5"/>
      <c r="P198" s="5">
        <f t="shared" si="16"/>
        <v>76.26</v>
      </c>
      <c r="EB198" s="114"/>
      <c r="EC198" s="114"/>
      <c r="ED198" s="114"/>
      <c r="EE198" s="114"/>
      <c r="EF198" s="114"/>
      <c r="EG198" s="114"/>
    </row>
    <row r="199" spans="1:137" s="113" customFormat="1" ht="22.5" hidden="1">
      <c r="A199" s="6" t="s">
        <v>331</v>
      </c>
      <c r="B199" s="4"/>
      <c r="C199" s="4"/>
      <c r="D199" s="74">
        <v>11000</v>
      </c>
      <c r="E199" s="5"/>
      <c r="F199" s="5">
        <f>D199</f>
        <v>11000</v>
      </c>
      <c r="G199" s="5">
        <v>11000</v>
      </c>
      <c r="H199" s="5"/>
      <c r="I199" s="5"/>
      <c r="J199" s="5">
        <f>G199</f>
        <v>11000</v>
      </c>
      <c r="K199" s="5"/>
      <c r="L199" s="5"/>
      <c r="M199" s="5"/>
      <c r="N199" s="5">
        <v>11000</v>
      </c>
      <c r="O199" s="5"/>
      <c r="P199" s="5">
        <f>N199</f>
        <v>11000</v>
      </c>
      <c r="EB199" s="114"/>
      <c r="EC199" s="114"/>
      <c r="ED199" s="114"/>
      <c r="EE199" s="114"/>
      <c r="EF199" s="114"/>
      <c r="EG199" s="114"/>
    </row>
    <row r="200" spans="1:137" s="113" customFormat="1" ht="22.5" hidden="1">
      <c r="A200" s="6" t="s">
        <v>333</v>
      </c>
      <c r="B200" s="4"/>
      <c r="C200" s="4"/>
      <c r="D200" s="74">
        <v>1</v>
      </c>
      <c r="E200" s="5"/>
      <c r="F200" s="5">
        <f>D200</f>
        <v>1</v>
      </c>
      <c r="G200" s="5">
        <v>1</v>
      </c>
      <c r="H200" s="5"/>
      <c r="I200" s="5"/>
      <c r="J200" s="5">
        <f>G200</f>
        <v>1</v>
      </c>
      <c r="K200" s="5"/>
      <c r="L200" s="5"/>
      <c r="M200" s="5"/>
      <c r="N200" s="5">
        <v>1</v>
      </c>
      <c r="O200" s="5"/>
      <c r="P200" s="5">
        <f>N200</f>
        <v>1</v>
      </c>
      <c r="EB200" s="114"/>
      <c r="EC200" s="114"/>
      <c r="ED200" s="114"/>
      <c r="EE200" s="114"/>
      <c r="EF200" s="114"/>
      <c r="EG200" s="114"/>
    </row>
    <row r="201" spans="1:137" s="113" customFormat="1" ht="22.5" hidden="1">
      <c r="A201" s="6" t="s">
        <v>74</v>
      </c>
      <c r="B201" s="4"/>
      <c r="C201" s="4"/>
      <c r="D201" s="74">
        <v>11.549</v>
      </c>
      <c r="E201" s="5"/>
      <c r="F201" s="5">
        <f t="shared" si="17"/>
        <v>11.549</v>
      </c>
      <c r="G201" s="5">
        <v>11.549</v>
      </c>
      <c r="H201" s="5"/>
      <c r="I201" s="5"/>
      <c r="J201" s="5">
        <v>11.55</v>
      </c>
      <c r="K201" s="5"/>
      <c r="L201" s="5"/>
      <c r="M201" s="5"/>
      <c r="N201" s="5">
        <v>11.549</v>
      </c>
      <c r="O201" s="5"/>
      <c r="P201" s="5">
        <v>11.55</v>
      </c>
      <c r="EB201" s="114"/>
      <c r="EC201" s="114"/>
      <c r="ED201" s="114"/>
      <c r="EE201" s="114"/>
      <c r="EF201" s="114"/>
      <c r="EG201" s="114"/>
    </row>
    <row r="202" spans="1:137" s="113" customFormat="1" ht="28.5" customHeight="1" hidden="1">
      <c r="A202" s="6" t="s">
        <v>336</v>
      </c>
      <c r="B202" s="4"/>
      <c r="C202" s="4"/>
      <c r="D202" s="74">
        <v>26</v>
      </c>
      <c r="E202" s="5"/>
      <c r="F202" s="5">
        <f t="shared" si="17"/>
        <v>26</v>
      </c>
      <c r="G202" s="5">
        <v>14</v>
      </c>
      <c r="H202" s="5"/>
      <c r="I202" s="5"/>
      <c r="J202" s="5">
        <f>G202</f>
        <v>14</v>
      </c>
      <c r="K202" s="5"/>
      <c r="L202" s="5"/>
      <c r="M202" s="5"/>
      <c r="N202" s="5">
        <v>12</v>
      </c>
      <c r="O202" s="5"/>
      <c r="P202" s="5">
        <f>N202</f>
        <v>12</v>
      </c>
      <c r="EB202" s="114"/>
      <c r="EC202" s="114"/>
      <c r="ED202" s="114"/>
      <c r="EE202" s="114"/>
      <c r="EF202" s="114"/>
      <c r="EG202" s="114"/>
    </row>
    <row r="203" spans="1:137" s="113" customFormat="1" ht="22.5" hidden="1">
      <c r="A203" s="6" t="s">
        <v>337</v>
      </c>
      <c r="B203" s="4"/>
      <c r="C203" s="4"/>
      <c r="D203" s="74">
        <v>20</v>
      </c>
      <c r="E203" s="5"/>
      <c r="F203" s="5">
        <f t="shared" si="17"/>
        <v>20</v>
      </c>
      <c r="G203" s="5">
        <v>19</v>
      </c>
      <c r="H203" s="5"/>
      <c r="I203" s="5"/>
      <c r="J203" s="5">
        <f>G203</f>
        <v>19</v>
      </c>
      <c r="K203" s="5"/>
      <c r="L203" s="5"/>
      <c r="M203" s="5"/>
      <c r="N203" s="5">
        <v>18</v>
      </c>
      <c r="O203" s="5"/>
      <c r="P203" s="5">
        <f>N203</f>
        <v>18</v>
      </c>
      <c r="EB203" s="114"/>
      <c r="EC203" s="114"/>
      <c r="ED203" s="114"/>
      <c r="EE203" s="114"/>
      <c r="EF203" s="114"/>
      <c r="EG203" s="114"/>
    </row>
    <row r="204" spans="1:137" s="113" customFormat="1" ht="28.5" customHeight="1" hidden="1">
      <c r="A204" s="6" t="s">
        <v>339</v>
      </c>
      <c r="B204" s="4"/>
      <c r="C204" s="4"/>
      <c r="D204" s="74">
        <v>132.8</v>
      </c>
      <c r="E204" s="5"/>
      <c r="F204" s="5">
        <f t="shared" si="17"/>
        <v>132.8</v>
      </c>
      <c r="G204" s="5">
        <v>9298</v>
      </c>
      <c r="H204" s="5"/>
      <c r="I204" s="5"/>
      <c r="J204" s="5">
        <f>G204</f>
        <v>9298</v>
      </c>
      <c r="K204" s="5"/>
      <c r="L204" s="5"/>
      <c r="M204" s="5"/>
      <c r="N204" s="5">
        <v>9298</v>
      </c>
      <c r="O204" s="5"/>
      <c r="P204" s="5">
        <f>N204</f>
        <v>9298</v>
      </c>
      <c r="EB204" s="114"/>
      <c r="EC204" s="114"/>
      <c r="ED204" s="114"/>
      <c r="EE204" s="114"/>
      <c r="EF204" s="114"/>
      <c r="EG204" s="114"/>
    </row>
    <row r="205" spans="1:137" s="113" customFormat="1" ht="28.5" customHeight="1" hidden="1">
      <c r="A205" s="72" t="s">
        <v>555</v>
      </c>
      <c r="B205" s="4"/>
      <c r="C205" s="4"/>
      <c r="D205" s="74">
        <v>10.714</v>
      </c>
      <c r="E205" s="5"/>
      <c r="F205" s="5">
        <f t="shared" si="17"/>
        <v>10.714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EB205" s="114"/>
      <c r="EC205" s="114"/>
      <c r="ED205" s="114"/>
      <c r="EE205" s="114"/>
      <c r="EF205" s="114"/>
      <c r="EG205" s="114"/>
    </row>
    <row r="206" spans="1:137" s="113" customFormat="1" ht="28.5" customHeight="1" hidden="1">
      <c r="A206" s="6" t="s">
        <v>118</v>
      </c>
      <c r="B206" s="4"/>
      <c r="C206" s="4"/>
      <c r="D206" s="74">
        <v>9</v>
      </c>
      <c r="E206" s="5"/>
      <c r="F206" s="5">
        <f t="shared" si="17"/>
        <v>9</v>
      </c>
      <c r="G206" s="5">
        <v>9</v>
      </c>
      <c r="H206" s="5"/>
      <c r="I206" s="5"/>
      <c r="J206" s="5">
        <f>G206</f>
        <v>9</v>
      </c>
      <c r="K206" s="5"/>
      <c r="L206" s="5"/>
      <c r="M206" s="5"/>
      <c r="N206" s="5">
        <v>9</v>
      </c>
      <c r="O206" s="5"/>
      <c r="P206" s="5">
        <f>N206</f>
        <v>9</v>
      </c>
      <c r="EB206" s="114"/>
      <c r="EC206" s="114"/>
      <c r="ED206" s="114"/>
      <c r="EE206" s="114"/>
      <c r="EF206" s="114"/>
      <c r="EG206" s="114"/>
    </row>
    <row r="207" spans="1:137" s="15" customFormat="1" ht="11.25" hidden="1">
      <c r="A207" s="3" t="s">
        <v>5</v>
      </c>
      <c r="B207" s="25"/>
      <c r="C207" s="25"/>
      <c r="D207" s="18"/>
      <c r="E207" s="18"/>
      <c r="F207" s="5"/>
      <c r="G207" s="18"/>
      <c r="H207" s="18"/>
      <c r="I207" s="18"/>
      <c r="J207" s="5"/>
      <c r="K207" s="5"/>
      <c r="L207" s="5"/>
      <c r="M207" s="5"/>
      <c r="N207" s="18"/>
      <c r="O207" s="18"/>
      <c r="P207" s="5"/>
      <c r="EB207" s="34"/>
      <c r="EC207" s="34"/>
      <c r="ED207" s="34"/>
      <c r="EE207" s="34"/>
      <c r="EF207" s="34"/>
      <c r="EG207" s="34"/>
    </row>
    <row r="208" spans="1:137" s="113" customFormat="1" ht="22.5" hidden="1">
      <c r="A208" s="6" t="s">
        <v>319</v>
      </c>
      <c r="B208" s="25"/>
      <c r="C208" s="25"/>
      <c r="D208" s="74">
        <v>24000</v>
      </c>
      <c r="E208" s="18"/>
      <c r="F208" s="5">
        <f>D208</f>
        <v>24000</v>
      </c>
      <c r="G208" s="5">
        <v>62328</v>
      </c>
      <c r="H208" s="18"/>
      <c r="I208" s="18"/>
      <c r="J208" s="5">
        <f aca="true" t="shared" si="18" ref="J208:J215">G208</f>
        <v>62328</v>
      </c>
      <c r="K208" s="5"/>
      <c r="L208" s="5"/>
      <c r="M208" s="5"/>
      <c r="N208" s="5">
        <v>65750.26</v>
      </c>
      <c r="O208" s="18"/>
      <c r="P208" s="5">
        <f aca="true" t="shared" si="19" ref="P208:P221">N208</f>
        <v>65750.26</v>
      </c>
      <c r="EB208" s="114"/>
      <c r="EC208" s="114"/>
      <c r="ED208" s="114"/>
      <c r="EE208" s="114"/>
      <c r="EF208" s="114"/>
      <c r="EG208" s="114"/>
    </row>
    <row r="209" spans="1:137" s="113" customFormat="1" ht="22.5" hidden="1">
      <c r="A209" s="6" t="s">
        <v>317</v>
      </c>
      <c r="B209" s="4"/>
      <c r="C209" s="4"/>
      <c r="D209" s="74">
        <v>2183.66</v>
      </c>
      <c r="E209" s="5"/>
      <c r="F209" s="5">
        <f>D209</f>
        <v>2183.66</v>
      </c>
      <c r="G209" s="5">
        <v>2249.68</v>
      </c>
      <c r="H209" s="5"/>
      <c r="I209" s="5"/>
      <c r="J209" s="5">
        <f t="shared" si="18"/>
        <v>2249.68</v>
      </c>
      <c r="K209" s="5"/>
      <c r="L209" s="5"/>
      <c r="M209" s="5"/>
      <c r="N209" s="5">
        <v>2385.34</v>
      </c>
      <c r="O209" s="5"/>
      <c r="P209" s="5">
        <f t="shared" si="19"/>
        <v>2385.34</v>
      </c>
      <c r="EB209" s="114"/>
      <c r="EC209" s="114"/>
      <c r="ED209" s="114"/>
      <c r="EE209" s="114"/>
      <c r="EF209" s="114"/>
      <c r="EG209" s="114"/>
    </row>
    <row r="210" spans="1:137" s="113" customFormat="1" ht="22.5" customHeight="1" hidden="1">
      <c r="A210" s="6" t="s">
        <v>342</v>
      </c>
      <c r="B210" s="4"/>
      <c r="C210" s="4"/>
      <c r="D210" s="74">
        <v>0</v>
      </c>
      <c r="E210" s="5"/>
      <c r="F210" s="5">
        <f>D210</f>
        <v>0</v>
      </c>
      <c r="G210" s="5">
        <v>62633</v>
      </c>
      <c r="H210" s="5"/>
      <c r="I210" s="5"/>
      <c r="J210" s="5">
        <f t="shared" si="18"/>
        <v>62633</v>
      </c>
      <c r="K210" s="5"/>
      <c r="L210" s="5"/>
      <c r="M210" s="5"/>
      <c r="N210" s="5">
        <v>62625</v>
      </c>
      <c r="O210" s="5"/>
      <c r="P210" s="5">
        <f t="shared" si="19"/>
        <v>62625</v>
      </c>
      <c r="EB210" s="114"/>
      <c r="EC210" s="114"/>
      <c r="ED210" s="114"/>
      <c r="EE210" s="114"/>
      <c r="EF210" s="114"/>
      <c r="EG210" s="114"/>
    </row>
    <row r="211" spans="1:137" s="113" customFormat="1" ht="27" customHeight="1" hidden="1">
      <c r="A211" s="6" t="s">
        <v>156</v>
      </c>
      <c r="B211" s="4"/>
      <c r="C211" s="4"/>
      <c r="D211" s="74">
        <v>2500</v>
      </c>
      <c r="E211" s="5"/>
      <c r="F211" s="5">
        <f>D211</f>
        <v>2500</v>
      </c>
      <c r="G211" s="5">
        <v>2661.29</v>
      </c>
      <c r="H211" s="5"/>
      <c r="I211" s="5"/>
      <c r="J211" s="5">
        <f>G211</f>
        <v>2661.29</v>
      </c>
      <c r="K211" s="5"/>
      <c r="L211" s="5"/>
      <c r="M211" s="5"/>
      <c r="N211" s="5">
        <v>2813.95</v>
      </c>
      <c r="O211" s="5"/>
      <c r="P211" s="5">
        <f>N211</f>
        <v>2813.95</v>
      </c>
      <c r="EB211" s="114"/>
      <c r="EC211" s="114"/>
      <c r="ED211" s="114"/>
      <c r="EE211" s="114"/>
      <c r="EF211" s="114"/>
      <c r="EG211" s="114"/>
    </row>
    <row r="212" spans="1:137" s="113" customFormat="1" ht="22.5" hidden="1">
      <c r="A212" s="6" t="s">
        <v>51</v>
      </c>
      <c r="B212" s="4"/>
      <c r="C212" s="4"/>
      <c r="D212" s="74">
        <v>5021.83</v>
      </c>
      <c r="E212" s="5"/>
      <c r="F212" s="5">
        <f aca="true" t="shared" si="20" ref="F212:F221">D212</f>
        <v>5021.83</v>
      </c>
      <c r="G212" s="5">
        <v>8034.75</v>
      </c>
      <c r="H212" s="5"/>
      <c r="I212" s="5"/>
      <c r="J212" s="5">
        <f t="shared" si="18"/>
        <v>8034.75</v>
      </c>
      <c r="K212" s="5"/>
      <c r="L212" s="5"/>
      <c r="M212" s="5"/>
      <c r="N212" s="5">
        <v>8513.67</v>
      </c>
      <c r="O212" s="5"/>
      <c r="P212" s="5">
        <f t="shared" si="19"/>
        <v>8513.67</v>
      </c>
      <c r="EB212" s="114"/>
      <c r="EC212" s="114"/>
      <c r="ED212" s="114"/>
      <c r="EE212" s="114"/>
      <c r="EF212" s="114"/>
      <c r="EG212" s="114"/>
    </row>
    <row r="213" spans="1:137" s="113" customFormat="1" ht="22.5" hidden="1">
      <c r="A213" s="6" t="s">
        <v>352</v>
      </c>
      <c r="B213" s="4"/>
      <c r="C213" s="4"/>
      <c r="D213" s="74">
        <v>89299.76</v>
      </c>
      <c r="E213" s="5"/>
      <c r="F213" s="5">
        <f t="shared" si="20"/>
        <v>89299.76</v>
      </c>
      <c r="G213" s="5">
        <v>82987.15</v>
      </c>
      <c r="H213" s="5"/>
      <c r="I213" s="5"/>
      <c r="J213" s="5">
        <f t="shared" si="18"/>
        <v>82987.15</v>
      </c>
      <c r="K213" s="5"/>
      <c r="L213" s="5"/>
      <c r="M213" s="5"/>
      <c r="N213" s="5">
        <v>91252.29</v>
      </c>
      <c r="O213" s="5"/>
      <c r="P213" s="5">
        <f t="shared" si="19"/>
        <v>91252.29</v>
      </c>
      <c r="EB213" s="114"/>
      <c r="EC213" s="114"/>
      <c r="ED213" s="114"/>
      <c r="EE213" s="114"/>
      <c r="EF213" s="114"/>
      <c r="EG213" s="114"/>
    </row>
    <row r="214" spans="1:137" s="113" customFormat="1" ht="11.25" hidden="1">
      <c r="A214" s="6" t="s">
        <v>327</v>
      </c>
      <c r="B214" s="4"/>
      <c r="C214" s="4"/>
      <c r="D214" s="5">
        <v>22.73</v>
      </c>
      <c r="E214" s="5"/>
      <c r="F214" s="5">
        <f t="shared" si="20"/>
        <v>22.73</v>
      </c>
      <c r="G214" s="5">
        <v>48.109</v>
      </c>
      <c r="H214" s="5"/>
      <c r="I214" s="5"/>
      <c r="J214" s="5">
        <f t="shared" si="18"/>
        <v>48.109</v>
      </c>
      <c r="K214" s="5"/>
      <c r="L214" s="5"/>
      <c r="M214" s="5"/>
      <c r="N214" s="5">
        <v>52.918</v>
      </c>
      <c r="O214" s="5"/>
      <c r="P214" s="5">
        <f t="shared" si="19"/>
        <v>52.918</v>
      </c>
      <c r="EB214" s="114"/>
      <c r="EC214" s="114"/>
      <c r="ED214" s="114"/>
      <c r="EE214" s="114"/>
      <c r="EF214" s="114"/>
      <c r="EG214" s="114"/>
    </row>
    <row r="215" spans="1:137" s="113" customFormat="1" ht="22.5" hidden="1">
      <c r="A215" s="6" t="s">
        <v>332</v>
      </c>
      <c r="B215" s="4"/>
      <c r="C215" s="4"/>
      <c r="D215" s="74">
        <v>88200</v>
      </c>
      <c r="E215" s="5"/>
      <c r="F215" s="5">
        <f t="shared" si="20"/>
        <v>88200</v>
      </c>
      <c r="G215" s="5">
        <v>117400</v>
      </c>
      <c r="H215" s="5"/>
      <c r="I215" s="5"/>
      <c r="J215" s="5">
        <f t="shared" si="18"/>
        <v>117400</v>
      </c>
      <c r="K215" s="5"/>
      <c r="L215" s="5"/>
      <c r="M215" s="5"/>
      <c r="N215" s="5">
        <v>125700</v>
      </c>
      <c r="O215" s="5"/>
      <c r="P215" s="5">
        <f t="shared" si="19"/>
        <v>125700</v>
      </c>
      <c r="EB215" s="114"/>
      <c r="EC215" s="114"/>
      <c r="ED215" s="114"/>
      <c r="EE215" s="114"/>
      <c r="EF215" s="114"/>
      <c r="EG215" s="114"/>
    </row>
    <row r="216" spans="1:137" s="113" customFormat="1" ht="22.5" hidden="1">
      <c r="A216" s="6" t="s">
        <v>334</v>
      </c>
      <c r="B216" s="4"/>
      <c r="C216" s="4"/>
      <c r="D216" s="74">
        <v>11255.41</v>
      </c>
      <c r="E216" s="5"/>
      <c r="F216" s="5">
        <f t="shared" si="20"/>
        <v>11255.41</v>
      </c>
      <c r="G216" s="5">
        <v>21142.86</v>
      </c>
      <c r="H216" s="5"/>
      <c r="I216" s="5"/>
      <c r="J216" s="5">
        <f>G216</f>
        <v>21142.86</v>
      </c>
      <c r="K216" s="5"/>
      <c r="L216" s="5"/>
      <c r="M216" s="5"/>
      <c r="N216" s="5">
        <v>22415.58</v>
      </c>
      <c r="O216" s="5"/>
      <c r="P216" s="5">
        <f t="shared" si="19"/>
        <v>22415.58</v>
      </c>
      <c r="EB216" s="114"/>
      <c r="EC216" s="114"/>
      <c r="ED216" s="114"/>
      <c r="EE216" s="114"/>
      <c r="EF216" s="114"/>
      <c r="EG216" s="114"/>
    </row>
    <row r="217" spans="1:137" s="113" customFormat="1" ht="22.5" hidden="1">
      <c r="A217" s="6" t="s">
        <v>335</v>
      </c>
      <c r="B217" s="4"/>
      <c r="C217" s="4"/>
      <c r="D217" s="74">
        <v>7692.31</v>
      </c>
      <c r="E217" s="5"/>
      <c r="F217" s="5">
        <f t="shared" si="20"/>
        <v>7692.31</v>
      </c>
      <c r="G217" s="5">
        <v>2285.71</v>
      </c>
      <c r="H217" s="5"/>
      <c r="I217" s="5"/>
      <c r="J217" s="5">
        <f>G217</f>
        <v>2285.71</v>
      </c>
      <c r="K217" s="5"/>
      <c r="L217" s="5"/>
      <c r="M217" s="5"/>
      <c r="N217" s="5">
        <v>2825</v>
      </c>
      <c r="O217" s="5"/>
      <c r="P217" s="5">
        <f t="shared" si="19"/>
        <v>2825</v>
      </c>
      <c r="EB217" s="114"/>
      <c r="EC217" s="114"/>
      <c r="ED217" s="114"/>
      <c r="EE217" s="114"/>
      <c r="EF217" s="114"/>
      <c r="EG217" s="114"/>
    </row>
    <row r="218" spans="1:137" s="113" customFormat="1" ht="22.5" hidden="1">
      <c r="A218" s="6" t="s">
        <v>338</v>
      </c>
      <c r="B218" s="4"/>
      <c r="C218" s="4"/>
      <c r="D218" s="74">
        <v>2500</v>
      </c>
      <c r="E218" s="5"/>
      <c r="F218" s="5">
        <f t="shared" si="20"/>
        <v>2500</v>
      </c>
      <c r="G218" s="5">
        <v>2631.58</v>
      </c>
      <c r="H218" s="5"/>
      <c r="I218" s="5"/>
      <c r="J218" s="5">
        <f>G218</f>
        <v>2631.58</v>
      </c>
      <c r="K218" s="5"/>
      <c r="L218" s="5"/>
      <c r="M218" s="5"/>
      <c r="N218" s="5">
        <v>2777.78</v>
      </c>
      <c r="O218" s="5"/>
      <c r="P218" s="5">
        <f t="shared" si="19"/>
        <v>2777.78</v>
      </c>
      <c r="EB218" s="114"/>
      <c r="EC218" s="114"/>
      <c r="ED218" s="114"/>
      <c r="EE218" s="114"/>
      <c r="EF218" s="114"/>
      <c r="EG218" s="114"/>
    </row>
    <row r="219" spans="1:137" s="113" customFormat="1" ht="22.5" hidden="1">
      <c r="A219" s="72" t="s">
        <v>557</v>
      </c>
      <c r="B219" s="4"/>
      <c r="C219" s="4"/>
      <c r="D219" s="74">
        <v>5600.14933</v>
      </c>
      <c r="E219" s="5"/>
      <c r="F219" s="5">
        <f t="shared" si="20"/>
        <v>5600.14933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EB219" s="114"/>
      <c r="EC219" s="114"/>
      <c r="ED219" s="114"/>
      <c r="EE219" s="114"/>
      <c r="EF219" s="114"/>
      <c r="EG219" s="114"/>
    </row>
    <row r="220" spans="1:137" s="113" customFormat="1" ht="33.75" customHeight="1" hidden="1">
      <c r="A220" s="6" t="s">
        <v>340</v>
      </c>
      <c r="B220" s="4"/>
      <c r="C220" s="4"/>
      <c r="D220" s="74">
        <v>7.53</v>
      </c>
      <c r="E220" s="5"/>
      <c r="F220" s="5">
        <f t="shared" si="20"/>
        <v>7.53</v>
      </c>
      <c r="G220" s="5">
        <v>8.03</v>
      </c>
      <c r="H220" s="5"/>
      <c r="I220" s="5"/>
      <c r="J220" s="5">
        <f>G220</f>
        <v>8.03</v>
      </c>
      <c r="K220" s="5"/>
      <c r="L220" s="5"/>
      <c r="M220" s="5"/>
      <c r="N220" s="5">
        <v>8.52</v>
      </c>
      <c r="O220" s="5"/>
      <c r="P220" s="5">
        <f t="shared" si="19"/>
        <v>8.52</v>
      </c>
      <c r="EB220" s="114"/>
      <c r="EC220" s="114"/>
      <c r="ED220" s="114"/>
      <c r="EE220" s="114"/>
      <c r="EF220" s="114"/>
      <c r="EG220" s="114"/>
    </row>
    <row r="221" spans="1:137" s="113" customFormat="1" ht="22.5" hidden="1">
      <c r="A221" s="6" t="s">
        <v>119</v>
      </c>
      <c r="B221" s="4"/>
      <c r="C221" s="4"/>
      <c r="D221" s="74">
        <v>66666.67</v>
      </c>
      <c r="E221" s="5"/>
      <c r="F221" s="5">
        <f t="shared" si="20"/>
        <v>66666.67</v>
      </c>
      <c r="G221" s="5">
        <v>115368.376</v>
      </c>
      <c r="H221" s="5"/>
      <c r="I221" s="5"/>
      <c r="J221" s="5">
        <f>G221</f>
        <v>115368.376</v>
      </c>
      <c r="K221" s="5"/>
      <c r="L221" s="5"/>
      <c r="M221" s="5"/>
      <c r="N221" s="5">
        <v>122269.0765</v>
      </c>
      <c r="O221" s="5"/>
      <c r="P221" s="5">
        <f t="shared" si="19"/>
        <v>122269.0765</v>
      </c>
      <c r="EB221" s="114"/>
      <c r="EC221" s="114"/>
      <c r="ED221" s="114"/>
      <c r="EE221" s="114"/>
      <c r="EF221" s="114"/>
      <c r="EG221" s="114"/>
    </row>
    <row r="222" spans="1:137" s="15" customFormat="1" ht="11.25" hidden="1">
      <c r="A222" s="3" t="s">
        <v>4</v>
      </c>
      <c r="B222" s="25"/>
      <c r="C222" s="25"/>
      <c r="D222" s="18"/>
      <c r="E222" s="18"/>
      <c r="F222" s="5"/>
      <c r="G222" s="18"/>
      <c r="H222" s="18"/>
      <c r="I222" s="18"/>
      <c r="J222" s="5"/>
      <c r="K222" s="5"/>
      <c r="L222" s="5"/>
      <c r="M222" s="5"/>
      <c r="N222" s="18"/>
      <c r="O222" s="18"/>
      <c r="P222" s="5"/>
      <c r="EB222" s="34"/>
      <c r="EC222" s="34"/>
      <c r="ED222" s="34"/>
      <c r="EE222" s="34"/>
      <c r="EF222" s="34"/>
      <c r="EG222" s="34"/>
    </row>
    <row r="223" spans="1:137" s="15" customFormat="1" ht="22.5" hidden="1">
      <c r="A223" s="6" t="s">
        <v>345</v>
      </c>
      <c r="B223" s="4"/>
      <c r="C223" s="4"/>
      <c r="D223" s="5">
        <f>D193/D183*100</f>
        <v>100</v>
      </c>
      <c r="E223" s="5"/>
      <c r="F223" s="5">
        <f>F193/F183*100</f>
        <v>100</v>
      </c>
      <c r="G223" s="5">
        <f>G193/G183*100</f>
        <v>100</v>
      </c>
      <c r="H223" s="5"/>
      <c r="I223" s="5"/>
      <c r="J223" s="5">
        <f aca="true" t="shared" si="21" ref="J223:N224">J193/J183*100</f>
        <v>100</v>
      </c>
      <c r="K223" s="5" t="e">
        <f t="shared" si="21"/>
        <v>#DIV/0!</v>
      </c>
      <c r="L223" s="5" t="e">
        <f t="shared" si="21"/>
        <v>#DIV/0!</v>
      </c>
      <c r="M223" s="5" t="e">
        <f t="shared" si="21"/>
        <v>#DIV/0!</v>
      </c>
      <c r="N223" s="5">
        <f t="shared" si="21"/>
        <v>100</v>
      </c>
      <c r="O223" s="5"/>
      <c r="P223" s="5">
        <f>P193/P183*100</f>
        <v>100</v>
      </c>
      <c r="EB223" s="34"/>
      <c r="EC223" s="34"/>
      <c r="ED223" s="34"/>
      <c r="EE223" s="34"/>
      <c r="EF223" s="34"/>
      <c r="EG223" s="34"/>
    </row>
    <row r="224" spans="1:137" s="15" customFormat="1" ht="22.5" hidden="1">
      <c r="A224" s="6" t="s">
        <v>346</v>
      </c>
      <c r="B224" s="4"/>
      <c r="C224" s="4"/>
      <c r="D224" s="5">
        <f>D194/D184*100</f>
        <v>12.465543644716693</v>
      </c>
      <c r="E224" s="5"/>
      <c r="F224" s="5">
        <f>F194/F184*100</f>
        <v>12.465543644716693</v>
      </c>
      <c r="G224" s="5">
        <f>G194/G184*100</f>
        <v>11.914241960183768</v>
      </c>
      <c r="H224" s="5"/>
      <c r="I224" s="5"/>
      <c r="J224" s="5">
        <f t="shared" si="21"/>
        <v>11.914241960183768</v>
      </c>
      <c r="K224" s="5" t="e">
        <f t="shared" si="21"/>
        <v>#DIV/0!</v>
      </c>
      <c r="L224" s="5" t="e">
        <f t="shared" si="21"/>
        <v>#DIV/0!</v>
      </c>
      <c r="M224" s="5" t="e">
        <f t="shared" si="21"/>
        <v>#DIV/0!</v>
      </c>
      <c r="N224" s="5">
        <f t="shared" si="21"/>
        <v>12.120980091883613</v>
      </c>
      <c r="O224" s="5"/>
      <c r="P224" s="5">
        <f>P194/P184*100</f>
        <v>12.120980091883613</v>
      </c>
      <c r="EB224" s="34"/>
      <c r="EC224" s="34"/>
      <c r="ED224" s="34"/>
      <c r="EE224" s="34"/>
      <c r="EF224" s="34"/>
      <c r="EG224" s="34"/>
    </row>
    <row r="225" spans="1:137" s="116" customFormat="1" ht="41.25" customHeight="1" hidden="1">
      <c r="A225" s="85" t="s">
        <v>400</v>
      </c>
      <c r="B225" s="77"/>
      <c r="C225" s="77"/>
      <c r="D225" s="81">
        <f>D227</f>
        <v>650000</v>
      </c>
      <c r="E225" s="81"/>
      <c r="F225" s="81">
        <f>D225</f>
        <v>650000</v>
      </c>
      <c r="G225" s="81">
        <f>G227</f>
        <v>693600</v>
      </c>
      <c r="H225" s="81"/>
      <c r="I225" s="81"/>
      <c r="J225" s="81">
        <f>G225</f>
        <v>693600</v>
      </c>
      <c r="K225" s="81"/>
      <c r="L225" s="81"/>
      <c r="M225" s="81"/>
      <c r="N225" s="81">
        <f>N227</f>
        <v>735200</v>
      </c>
      <c r="O225" s="81"/>
      <c r="P225" s="81">
        <f>N225</f>
        <v>735200</v>
      </c>
      <c r="EB225" s="117"/>
      <c r="EC225" s="117"/>
      <c r="ED225" s="117"/>
      <c r="EE225" s="117"/>
      <c r="EF225" s="117"/>
      <c r="EG225" s="117"/>
    </row>
    <row r="226" spans="1:137" s="15" customFormat="1" ht="15.75" customHeight="1" hidden="1">
      <c r="A226" s="3" t="s">
        <v>77</v>
      </c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EB226" s="34"/>
      <c r="EC226" s="34"/>
      <c r="ED226" s="34"/>
      <c r="EE226" s="34"/>
      <c r="EF226" s="34"/>
      <c r="EG226" s="34"/>
    </row>
    <row r="227" spans="1:137" s="15" customFormat="1" ht="35.25" customHeight="1" hidden="1">
      <c r="A227" s="6" t="s">
        <v>322</v>
      </c>
      <c r="B227" s="4"/>
      <c r="C227" s="4"/>
      <c r="D227" s="5">
        <v>650000</v>
      </c>
      <c r="E227" s="5"/>
      <c r="F227" s="5">
        <f>D227</f>
        <v>650000</v>
      </c>
      <c r="G227" s="5">
        <v>693600</v>
      </c>
      <c r="H227" s="5"/>
      <c r="I227" s="5"/>
      <c r="J227" s="5">
        <f>G227</f>
        <v>693600</v>
      </c>
      <c r="K227" s="5"/>
      <c r="L227" s="5"/>
      <c r="M227" s="5"/>
      <c r="N227" s="5">
        <v>735200</v>
      </c>
      <c r="O227" s="5"/>
      <c r="P227" s="5">
        <f>N227</f>
        <v>735200</v>
      </c>
      <c r="EB227" s="34"/>
      <c r="EC227" s="34"/>
      <c r="ED227" s="34"/>
      <c r="EE227" s="34"/>
      <c r="EF227" s="34"/>
      <c r="EG227" s="34"/>
    </row>
    <row r="228" spans="1:137" s="15" customFormat="1" ht="11.25" hidden="1">
      <c r="A228" s="3" t="s">
        <v>231</v>
      </c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EB228" s="34"/>
      <c r="EC228" s="34"/>
      <c r="ED228" s="34"/>
      <c r="EE228" s="34"/>
      <c r="EF228" s="34"/>
      <c r="EG228" s="34"/>
    </row>
    <row r="229" spans="1:137" s="15" customFormat="1" ht="33.75" hidden="1">
      <c r="A229" s="50" t="s">
        <v>323</v>
      </c>
      <c r="B229" s="4"/>
      <c r="C229" s="4"/>
      <c r="D229" s="5">
        <v>13</v>
      </c>
      <c r="E229" s="5"/>
      <c r="F229" s="5">
        <f>D229</f>
        <v>13</v>
      </c>
      <c r="G229" s="5">
        <v>13</v>
      </c>
      <c r="H229" s="5"/>
      <c r="I229" s="5"/>
      <c r="J229" s="5">
        <f>G229</f>
        <v>13</v>
      </c>
      <c r="K229" s="5"/>
      <c r="L229" s="5"/>
      <c r="M229" s="5"/>
      <c r="N229" s="5">
        <v>13</v>
      </c>
      <c r="O229" s="5"/>
      <c r="P229" s="5">
        <f>N229</f>
        <v>13</v>
      </c>
      <c r="EB229" s="34"/>
      <c r="EC229" s="34"/>
      <c r="ED229" s="34"/>
      <c r="EE229" s="34"/>
      <c r="EF229" s="34"/>
      <c r="EG229" s="34"/>
    </row>
    <row r="230" spans="1:137" s="15" customFormat="1" ht="11.25" hidden="1">
      <c r="A230" s="3" t="s">
        <v>226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 hidden="1">
      <c r="A231" s="6" t="s">
        <v>324</v>
      </c>
      <c r="B231" s="4"/>
      <c r="C231" s="4"/>
      <c r="D231" s="5">
        <f>D227/D229</f>
        <v>50000</v>
      </c>
      <c r="E231" s="5"/>
      <c r="F231" s="5">
        <f>D231</f>
        <v>50000</v>
      </c>
      <c r="G231" s="5">
        <f>G227/G229</f>
        <v>53353.846153846156</v>
      </c>
      <c r="H231" s="5"/>
      <c r="I231" s="5"/>
      <c r="J231" s="5">
        <f>G231</f>
        <v>53353.846153846156</v>
      </c>
      <c r="K231" s="5"/>
      <c r="L231" s="5"/>
      <c r="M231" s="5"/>
      <c r="N231" s="5">
        <f>N227/N229</f>
        <v>56553.846153846156</v>
      </c>
      <c r="O231" s="5"/>
      <c r="P231" s="5">
        <f>N231</f>
        <v>56553.846153846156</v>
      </c>
      <c r="EB231" s="34"/>
      <c r="EC231" s="34"/>
      <c r="ED231" s="34"/>
      <c r="EE231" s="34"/>
      <c r="EF231" s="34"/>
      <c r="EG231" s="34"/>
    </row>
    <row r="232" spans="1:137" s="15" customFormat="1" ht="35.25" customHeight="1" hidden="1">
      <c r="A232" s="85" t="s">
        <v>401</v>
      </c>
      <c r="B232" s="73"/>
      <c r="C232" s="73"/>
      <c r="D232" s="81">
        <f>D234</f>
        <v>900000</v>
      </c>
      <c r="E232" s="81"/>
      <c r="F232" s="81">
        <f>D232</f>
        <v>900000</v>
      </c>
      <c r="G232" s="81">
        <f>G234</f>
        <v>760000</v>
      </c>
      <c r="H232" s="81"/>
      <c r="I232" s="81"/>
      <c r="J232" s="81">
        <f>G232</f>
        <v>760000</v>
      </c>
      <c r="K232" s="81"/>
      <c r="L232" s="81"/>
      <c r="M232" s="81"/>
      <c r="N232" s="81">
        <f>N234</f>
        <v>850000</v>
      </c>
      <c r="O232" s="81"/>
      <c r="P232" s="81">
        <f>N232</f>
        <v>850000</v>
      </c>
      <c r="EB232" s="34"/>
      <c r="EC232" s="34"/>
      <c r="ED232" s="34"/>
      <c r="EE232" s="34"/>
      <c r="EF232" s="34"/>
      <c r="EG232" s="34"/>
    </row>
    <row r="233" spans="1:137" s="15" customFormat="1" ht="11.25" hidden="1">
      <c r="A233" s="3" t="s">
        <v>77</v>
      </c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EB233" s="34"/>
      <c r="EC233" s="34"/>
      <c r="ED233" s="34"/>
      <c r="EE233" s="34"/>
      <c r="EF233" s="34"/>
      <c r="EG233" s="34"/>
    </row>
    <row r="234" spans="1:137" s="15" customFormat="1" ht="33.75" hidden="1">
      <c r="A234" s="6" t="s">
        <v>325</v>
      </c>
      <c r="B234" s="4"/>
      <c r="C234" s="4"/>
      <c r="D234" s="5">
        <f>640000+260000</f>
        <v>900000</v>
      </c>
      <c r="E234" s="5"/>
      <c r="F234" s="5">
        <f>D234</f>
        <v>900000</v>
      </c>
      <c r="G234" s="5">
        <v>760000</v>
      </c>
      <c r="H234" s="5"/>
      <c r="I234" s="5"/>
      <c r="J234" s="5">
        <f>G234</f>
        <v>760000</v>
      </c>
      <c r="K234" s="5"/>
      <c r="L234" s="5"/>
      <c r="M234" s="5"/>
      <c r="N234" s="5">
        <v>850000</v>
      </c>
      <c r="O234" s="5"/>
      <c r="P234" s="5">
        <f>N234</f>
        <v>850000</v>
      </c>
      <c r="EB234" s="34"/>
      <c r="EC234" s="34"/>
      <c r="ED234" s="34"/>
      <c r="EE234" s="34"/>
      <c r="EF234" s="34"/>
      <c r="EG234" s="34"/>
    </row>
    <row r="235" spans="1:137" s="15" customFormat="1" ht="11.25" hidden="1">
      <c r="A235" s="3" t="s">
        <v>231</v>
      </c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EB235" s="34"/>
      <c r="EC235" s="34"/>
      <c r="ED235" s="34"/>
      <c r="EE235" s="34"/>
      <c r="EF235" s="34"/>
      <c r="EG235" s="34"/>
    </row>
    <row r="236" spans="1:137" s="15" customFormat="1" ht="22.5" hidden="1">
      <c r="A236" s="50" t="s">
        <v>550</v>
      </c>
      <c r="B236" s="4"/>
      <c r="C236" s="4"/>
      <c r="D236" s="5">
        <v>12</v>
      </c>
      <c r="E236" s="5"/>
      <c r="F236" s="5">
        <f>D236</f>
        <v>12</v>
      </c>
      <c r="G236" s="5">
        <v>12</v>
      </c>
      <c r="H236" s="5"/>
      <c r="I236" s="5"/>
      <c r="J236" s="5">
        <f>G236</f>
        <v>12</v>
      </c>
      <c r="K236" s="5"/>
      <c r="L236" s="5"/>
      <c r="M236" s="5"/>
      <c r="N236" s="5">
        <v>12</v>
      </c>
      <c r="O236" s="5"/>
      <c r="P236" s="5">
        <f>N236</f>
        <v>12</v>
      </c>
      <c r="EB236" s="34"/>
      <c r="EC236" s="34"/>
      <c r="ED236" s="34"/>
      <c r="EE236" s="34"/>
      <c r="EF236" s="34"/>
      <c r="EG236" s="34"/>
    </row>
    <row r="237" spans="1:137" s="15" customFormat="1" ht="11.25" hidden="1">
      <c r="A237" s="3" t="s">
        <v>226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3.75" hidden="1">
      <c r="A238" s="6" t="s">
        <v>326</v>
      </c>
      <c r="B238" s="4"/>
      <c r="C238" s="4"/>
      <c r="D238" s="5">
        <f>D234/D236</f>
        <v>75000</v>
      </c>
      <c r="E238" s="5"/>
      <c r="F238" s="5">
        <f>D238</f>
        <v>75000</v>
      </c>
      <c r="G238" s="5">
        <f>G234/G236</f>
        <v>63333.333333333336</v>
      </c>
      <c r="H238" s="5"/>
      <c r="I238" s="5"/>
      <c r="J238" s="5">
        <f>G238</f>
        <v>63333.333333333336</v>
      </c>
      <c r="K238" s="5"/>
      <c r="L238" s="5"/>
      <c r="M238" s="5"/>
      <c r="N238" s="5">
        <f>N234/N236</f>
        <v>70833.33333333333</v>
      </c>
      <c r="O238" s="5"/>
      <c r="P238" s="5">
        <f>N238</f>
        <v>70833.33333333333</v>
      </c>
      <c r="EB238" s="34"/>
      <c r="EC238" s="34"/>
      <c r="ED238" s="34"/>
      <c r="EE238" s="34"/>
      <c r="EF238" s="34"/>
      <c r="EG238" s="34"/>
    </row>
    <row r="239" spans="1:137" s="113" customFormat="1" ht="22.5" hidden="1">
      <c r="A239" s="85" t="s">
        <v>402</v>
      </c>
      <c r="B239" s="73"/>
      <c r="C239" s="73"/>
      <c r="D239" s="81">
        <f>D241</f>
        <v>60000</v>
      </c>
      <c r="E239" s="81"/>
      <c r="F239" s="81">
        <f>D239</f>
        <v>60000</v>
      </c>
      <c r="G239" s="81">
        <f>G241</f>
        <v>128000</v>
      </c>
      <c r="H239" s="81"/>
      <c r="I239" s="81"/>
      <c r="J239" s="81">
        <f>G239</f>
        <v>128000</v>
      </c>
      <c r="K239" s="81"/>
      <c r="L239" s="81"/>
      <c r="M239" s="81"/>
      <c r="N239" s="81">
        <f>N241</f>
        <v>135700</v>
      </c>
      <c r="O239" s="81"/>
      <c r="P239" s="81">
        <f>N239</f>
        <v>135700</v>
      </c>
      <c r="EB239" s="114"/>
      <c r="EC239" s="114"/>
      <c r="ED239" s="114"/>
      <c r="EE239" s="114"/>
      <c r="EF239" s="114"/>
      <c r="EG239" s="114"/>
    </row>
    <row r="240" spans="1:137" s="15" customFormat="1" ht="23.25" customHeight="1" hidden="1">
      <c r="A240" s="3" t="s">
        <v>77</v>
      </c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EB240" s="34"/>
      <c r="EC240" s="34"/>
      <c r="ED240" s="34"/>
      <c r="EE240" s="34"/>
      <c r="EF240" s="34"/>
      <c r="EG240" s="34"/>
    </row>
    <row r="241" spans="1:137" s="15" customFormat="1" ht="22.5" hidden="1">
      <c r="A241" s="6" t="s">
        <v>328</v>
      </c>
      <c r="B241" s="4"/>
      <c r="C241" s="4"/>
      <c r="D241" s="5">
        <f>120000-60000</f>
        <v>60000</v>
      </c>
      <c r="E241" s="5"/>
      <c r="F241" s="5">
        <f>D241</f>
        <v>60000</v>
      </c>
      <c r="G241" s="5">
        <v>128000</v>
      </c>
      <c r="H241" s="5"/>
      <c r="I241" s="5"/>
      <c r="J241" s="5">
        <f>G241</f>
        <v>128000</v>
      </c>
      <c r="K241" s="5"/>
      <c r="L241" s="5"/>
      <c r="M241" s="5"/>
      <c r="N241" s="5">
        <v>135700</v>
      </c>
      <c r="O241" s="5"/>
      <c r="P241" s="5">
        <f>N241</f>
        <v>135700</v>
      </c>
      <c r="EB241" s="34"/>
      <c r="EC241" s="34"/>
      <c r="ED241" s="34"/>
      <c r="EE241" s="34"/>
      <c r="EF241" s="34"/>
      <c r="EG241" s="34"/>
    </row>
    <row r="242" spans="1:137" s="15" customFormat="1" ht="15.75" customHeight="1" hidden="1">
      <c r="A242" s="3" t="s">
        <v>231</v>
      </c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EB242" s="34"/>
      <c r="EC242" s="34"/>
      <c r="ED242" s="34"/>
      <c r="EE242" s="34"/>
      <c r="EF242" s="34"/>
      <c r="EG242" s="34"/>
    </row>
    <row r="243" spans="1:137" s="15" customFormat="1" ht="22.5" hidden="1">
      <c r="A243" s="50" t="s">
        <v>329</v>
      </c>
      <c r="B243" s="4"/>
      <c r="C243" s="4"/>
      <c r="D243" s="5">
        <v>15</v>
      </c>
      <c r="E243" s="5"/>
      <c r="F243" s="5">
        <f>D243</f>
        <v>15</v>
      </c>
      <c r="G243" s="5">
        <v>21</v>
      </c>
      <c r="H243" s="5"/>
      <c r="I243" s="5"/>
      <c r="J243" s="5">
        <f>G243</f>
        <v>21</v>
      </c>
      <c r="K243" s="5"/>
      <c r="L243" s="5"/>
      <c r="M243" s="5"/>
      <c r="N243" s="5">
        <v>21</v>
      </c>
      <c r="O243" s="5"/>
      <c r="P243" s="5">
        <f>N243</f>
        <v>21</v>
      </c>
      <c r="EB243" s="34"/>
      <c r="EC243" s="34"/>
      <c r="ED243" s="34"/>
      <c r="EE243" s="34"/>
      <c r="EF243" s="34"/>
      <c r="EG243" s="34"/>
    </row>
    <row r="244" spans="1:137" s="15" customFormat="1" ht="16.5" customHeight="1" hidden="1">
      <c r="A244" s="3" t="s">
        <v>226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22.5" hidden="1">
      <c r="A245" s="6" t="s">
        <v>330</v>
      </c>
      <c r="B245" s="4"/>
      <c r="C245" s="4"/>
      <c r="D245" s="5">
        <f>D241/D243</f>
        <v>4000</v>
      </c>
      <c r="E245" s="5"/>
      <c r="F245" s="5">
        <f>D245</f>
        <v>4000</v>
      </c>
      <c r="G245" s="5">
        <f>G241/G243</f>
        <v>6095.238095238095</v>
      </c>
      <c r="H245" s="5"/>
      <c r="I245" s="5"/>
      <c r="J245" s="5">
        <f>J241/J243</f>
        <v>6095.238095238095</v>
      </c>
      <c r="K245" s="5"/>
      <c r="L245" s="5"/>
      <c r="M245" s="5"/>
      <c r="N245" s="5">
        <f>N241/N243</f>
        <v>6461.9047619047615</v>
      </c>
      <c r="O245" s="5"/>
      <c r="P245" s="5">
        <f>N245</f>
        <v>6461.9047619047615</v>
      </c>
      <c r="EB245" s="34"/>
      <c r="EC245" s="34"/>
      <c r="ED245" s="34"/>
      <c r="EE245" s="34"/>
      <c r="EF245" s="34"/>
      <c r="EG245" s="34"/>
    </row>
    <row r="246" spans="1:137" s="113" customFormat="1" ht="22.5" hidden="1">
      <c r="A246" s="85" t="s">
        <v>403</v>
      </c>
      <c r="B246" s="73"/>
      <c r="C246" s="73"/>
      <c r="D246" s="74"/>
      <c r="E246" s="81">
        <f>E248</f>
        <v>17000000</v>
      </c>
      <c r="F246" s="81">
        <f>E246</f>
        <v>17000000</v>
      </c>
      <c r="G246" s="81"/>
      <c r="H246" s="81">
        <f>H248</f>
        <v>10000000</v>
      </c>
      <c r="I246" s="81"/>
      <c r="J246" s="81">
        <f>H246</f>
        <v>10000000</v>
      </c>
      <c r="K246" s="81"/>
      <c r="L246" s="81"/>
      <c r="M246" s="81"/>
      <c r="N246" s="81"/>
      <c r="O246" s="81">
        <f>O248</f>
        <v>10000000</v>
      </c>
      <c r="P246" s="81">
        <f>O246</f>
        <v>10000000</v>
      </c>
      <c r="EB246" s="114"/>
      <c r="EC246" s="114"/>
      <c r="ED246" s="114"/>
      <c r="EE246" s="114"/>
      <c r="EF246" s="114"/>
      <c r="EG246" s="114"/>
    </row>
    <row r="247" spans="1:137" s="15" customFormat="1" ht="20.25" customHeight="1" hidden="1">
      <c r="A247" s="3" t="s">
        <v>77</v>
      </c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EB247" s="34"/>
      <c r="EC247" s="34"/>
      <c r="ED247" s="34"/>
      <c r="EE247" s="34"/>
      <c r="EF247" s="34"/>
      <c r="EG247" s="34"/>
    </row>
    <row r="248" spans="1:137" s="15" customFormat="1" ht="22.5" hidden="1">
      <c r="A248" s="6" t="s">
        <v>314</v>
      </c>
      <c r="B248" s="4"/>
      <c r="C248" s="4"/>
      <c r="D248" s="5"/>
      <c r="E248" s="5">
        <f>32410000-15410000</f>
        <v>17000000</v>
      </c>
      <c r="F248" s="5">
        <f>E248</f>
        <v>17000000</v>
      </c>
      <c r="G248" s="5"/>
      <c r="H248" s="5">
        <v>10000000</v>
      </c>
      <c r="I248" s="5"/>
      <c r="J248" s="5">
        <f>H248</f>
        <v>10000000</v>
      </c>
      <c r="K248" s="5"/>
      <c r="L248" s="5"/>
      <c r="M248" s="5"/>
      <c r="N248" s="5"/>
      <c r="O248" s="5">
        <v>10000000</v>
      </c>
      <c r="P248" s="5">
        <f>O248</f>
        <v>10000000</v>
      </c>
      <c r="EB248" s="34"/>
      <c r="EC248" s="34"/>
      <c r="ED248" s="34"/>
      <c r="EE248" s="34"/>
      <c r="EF248" s="34"/>
      <c r="EG248" s="34"/>
    </row>
    <row r="249" spans="1:137" s="15" customFormat="1" ht="21" customHeight="1" hidden="1">
      <c r="A249" s="3" t="s">
        <v>231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EB249" s="34"/>
      <c r="EC249" s="34"/>
      <c r="ED249" s="34"/>
      <c r="EE249" s="34"/>
      <c r="EF249" s="34"/>
      <c r="EG249" s="34"/>
    </row>
    <row r="250" spans="1:137" s="15" customFormat="1" ht="22.5" hidden="1">
      <c r="A250" s="50" t="s">
        <v>315</v>
      </c>
      <c r="B250" s="4"/>
      <c r="C250" s="4"/>
      <c r="D250" s="5"/>
      <c r="E250" s="5">
        <v>2</v>
      </c>
      <c r="F250" s="5">
        <f>E250</f>
        <v>2</v>
      </c>
      <c r="G250" s="5"/>
      <c r="H250" s="5">
        <v>1</v>
      </c>
      <c r="I250" s="5"/>
      <c r="J250" s="5">
        <f>H250</f>
        <v>1</v>
      </c>
      <c r="K250" s="5"/>
      <c r="L250" s="5"/>
      <c r="M250" s="5"/>
      <c r="N250" s="5"/>
      <c r="O250" s="5">
        <v>1</v>
      </c>
      <c r="P250" s="5">
        <v>1</v>
      </c>
      <c r="EB250" s="34"/>
      <c r="EC250" s="34"/>
      <c r="ED250" s="34"/>
      <c r="EE250" s="34"/>
      <c r="EF250" s="34"/>
      <c r="EG250" s="34"/>
    </row>
    <row r="251" spans="1:137" s="15" customFormat="1" ht="21.75" customHeight="1" hidden="1">
      <c r="A251" s="3" t="s">
        <v>226</v>
      </c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EB251" s="34"/>
      <c r="EC251" s="34"/>
      <c r="ED251" s="34"/>
      <c r="EE251" s="34"/>
      <c r="EF251" s="34"/>
      <c r="EG251" s="34"/>
    </row>
    <row r="252" spans="1:137" s="15" customFormat="1" ht="22.5" hidden="1">
      <c r="A252" s="6" t="s">
        <v>316</v>
      </c>
      <c r="B252" s="4"/>
      <c r="C252" s="4"/>
      <c r="D252" s="5"/>
      <c r="E252" s="5">
        <f>E248/E250</f>
        <v>8500000</v>
      </c>
      <c r="F252" s="5">
        <f>E252</f>
        <v>8500000</v>
      </c>
      <c r="G252" s="5"/>
      <c r="H252" s="5">
        <f>H248/H250</f>
        <v>10000000</v>
      </c>
      <c r="I252" s="5"/>
      <c r="J252" s="5">
        <f>H252</f>
        <v>10000000</v>
      </c>
      <c r="K252" s="5"/>
      <c r="L252" s="5"/>
      <c r="M252" s="5"/>
      <c r="N252" s="5"/>
      <c r="O252" s="5">
        <f>O248/O250</f>
        <v>10000000</v>
      </c>
      <c r="P252" s="5">
        <f>O252</f>
        <v>10000000</v>
      </c>
      <c r="EB252" s="34"/>
      <c r="EC252" s="34"/>
      <c r="ED252" s="34"/>
      <c r="EE252" s="34"/>
      <c r="EF252" s="34"/>
      <c r="EG252" s="34"/>
    </row>
    <row r="253" spans="1:137" s="191" customFormat="1" ht="66" customHeight="1" hidden="1">
      <c r="A253" s="194" t="s">
        <v>404</v>
      </c>
      <c r="B253" s="190"/>
      <c r="C253" s="190"/>
      <c r="D253" s="193">
        <f>D254+D268+D261+D275+D282+D289+D303+D296</f>
        <v>15929400</v>
      </c>
      <c r="E253" s="193">
        <f aca="true" t="shared" si="22" ref="E253:O253">E254+E268+E261+E275+E282+E289+E303</f>
        <v>0</v>
      </c>
      <c r="F253" s="193">
        <f>D253+E253</f>
        <v>15929400</v>
      </c>
      <c r="G253" s="193">
        <f t="shared" si="22"/>
        <v>27723400</v>
      </c>
      <c r="H253" s="193">
        <f t="shared" si="22"/>
        <v>0</v>
      </c>
      <c r="I253" s="193">
        <f t="shared" si="22"/>
        <v>0</v>
      </c>
      <c r="J253" s="193">
        <f>G253+H253</f>
        <v>27723400</v>
      </c>
      <c r="K253" s="193">
        <f t="shared" si="22"/>
        <v>0</v>
      </c>
      <c r="L253" s="193">
        <f t="shared" si="22"/>
        <v>0</v>
      </c>
      <c r="M253" s="193">
        <f t="shared" si="22"/>
        <v>0</v>
      </c>
      <c r="N253" s="193">
        <f t="shared" si="22"/>
        <v>29970800</v>
      </c>
      <c r="O253" s="193">
        <f t="shared" si="22"/>
        <v>0</v>
      </c>
      <c r="P253" s="193">
        <f>N253+O253</f>
        <v>29970800</v>
      </c>
      <c r="EB253" s="192"/>
      <c r="EC253" s="192"/>
      <c r="ED253" s="192"/>
      <c r="EE253" s="192"/>
      <c r="EF253" s="192"/>
      <c r="EG253" s="192"/>
    </row>
    <row r="254" spans="1:137" s="113" customFormat="1" ht="11.25" hidden="1">
      <c r="A254" s="85" t="s">
        <v>405</v>
      </c>
      <c r="B254" s="73"/>
      <c r="C254" s="73"/>
      <c r="D254" s="81">
        <f>D256</f>
        <v>9715300</v>
      </c>
      <c r="E254" s="81"/>
      <c r="F254" s="81">
        <f>D254</f>
        <v>9715300</v>
      </c>
      <c r="G254" s="81">
        <f>G256</f>
        <v>16498100</v>
      </c>
      <c r="H254" s="81"/>
      <c r="I254" s="81"/>
      <c r="J254" s="81">
        <f>G254</f>
        <v>16498100</v>
      </c>
      <c r="K254" s="81"/>
      <c r="L254" s="81"/>
      <c r="M254" s="81"/>
      <c r="N254" s="81">
        <f>N256</f>
        <v>17435000</v>
      </c>
      <c r="O254" s="81"/>
      <c r="P254" s="81">
        <f>N254</f>
        <v>17435000</v>
      </c>
      <c r="EB254" s="114"/>
      <c r="EC254" s="114"/>
      <c r="ED254" s="114"/>
      <c r="EE254" s="114"/>
      <c r="EF254" s="114"/>
      <c r="EG254" s="114"/>
    </row>
    <row r="255" spans="1:137" s="15" customFormat="1" ht="18.75" customHeight="1" hidden="1">
      <c r="A255" s="3" t="s">
        <v>77</v>
      </c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EB255" s="34"/>
      <c r="EC255" s="34"/>
      <c r="ED255" s="34"/>
      <c r="EE255" s="34"/>
      <c r="EF255" s="34"/>
      <c r="EG255" s="34"/>
    </row>
    <row r="256" spans="1:137" s="15" customFormat="1" ht="11.25" hidden="1">
      <c r="A256" s="6" t="s">
        <v>261</v>
      </c>
      <c r="B256" s="4"/>
      <c r="C256" s="4"/>
      <c r="D256" s="5">
        <f>15415300+50000-5750000</f>
        <v>9715300</v>
      </c>
      <c r="E256" s="5"/>
      <c r="F256" s="5">
        <f>D256</f>
        <v>9715300</v>
      </c>
      <c r="G256" s="5">
        <f>16448100+50000</f>
        <v>16498100</v>
      </c>
      <c r="H256" s="5"/>
      <c r="I256" s="5"/>
      <c r="J256" s="5">
        <f>G256</f>
        <v>16498100</v>
      </c>
      <c r="K256" s="5"/>
      <c r="L256" s="5"/>
      <c r="M256" s="5"/>
      <c r="N256" s="5">
        <v>17435000</v>
      </c>
      <c r="O256" s="5"/>
      <c r="P256" s="5">
        <f>N256</f>
        <v>17435000</v>
      </c>
      <c r="EB256" s="34"/>
      <c r="EC256" s="34"/>
      <c r="ED256" s="34"/>
      <c r="EE256" s="34"/>
      <c r="EF256" s="34"/>
      <c r="EG256" s="34"/>
    </row>
    <row r="257" spans="1:137" s="15" customFormat="1" ht="17.25" customHeight="1" hidden="1">
      <c r="A257" s="3" t="s">
        <v>231</v>
      </c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EB257" s="34"/>
      <c r="EC257" s="34"/>
      <c r="ED257" s="34"/>
      <c r="EE257" s="34"/>
      <c r="EF257" s="34"/>
      <c r="EG257" s="34"/>
    </row>
    <row r="258" spans="1:137" s="15" customFormat="1" ht="22.5" hidden="1">
      <c r="A258" s="50" t="s">
        <v>262</v>
      </c>
      <c r="B258" s="4"/>
      <c r="C258" s="4"/>
      <c r="D258" s="5">
        <v>36</v>
      </c>
      <c r="E258" s="5"/>
      <c r="F258" s="5">
        <f>D258</f>
        <v>36</v>
      </c>
      <c r="G258" s="5">
        <f>D258</f>
        <v>36</v>
      </c>
      <c r="H258" s="5"/>
      <c r="I258" s="5"/>
      <c r="J258" s="5">
        <f>G258</f>
        <v>36</v>
      </c>
      <c r="K258" s="5"/>
      <c r="L258" s="5"/>
      <c r="M258" s="5"/>
      <c r="N258" s="5">
        <f>J258</f>
        <v>36</v>
      </c>
      <c r="O258" s="5"/>
      <c r="P258" s="5">
        <f>N258</f>
        <v>36</v>
      </c>
      <c r="EB258" s="34"/>
      <c r="EC258" s="34"/>
      <c r="ED258" s="34"/>
      <c r="EE258" s="34"/>
      <c r="EF258" s="34"/>
      <c r="EG258" s="34"/>
    </row>
    <row r="259" spans="1:137" s="15" customFormat="1" ht="18.75" customHeight="1" hidden="1">
      <c r="A259" s="3" t="s">
        <v>226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263</v>
      </c>
      <c r="B260" s="4"/>
      <c r="C260" s="4"/>
      <c r="D260" s="5">
        <f>D256/D258</f>
        <v>269869.44444444444</v>
      </c>
      <c r="E260" s="5"/>
      <c r="F260" s="5">
        <f>D260</f>
        <v>269869.44444444444</v>
      </c>
      <c r="G260" s="5">
        <f>G256/G258</f>
        <v>458280.55555555556</v>
      </c>
      <c r="H260" s="5"/>
      <c r="I260" s="5"/>
      <c r="J260" s="5">
        <f>G260</f>
        <v>458280.55555555556</v>
      </c>
      <c r="K260" s="5"/>
      <c r="L260" s="5"/>
      <c r="M260" s="5"/>
      <c r="N260" s="5">
        <f>N256/N258</f>
        <v>484305.55555555556</v>
      </c>
      <c r="O260" s="5"/>
      <c r="P260" s="5">
        <f>N260</f>
        <v>484305.55555555556</v>
      </c>
      <c r="EB260" s="34"/>
      <c r="EC260" s="34"/>
      <c r="ED260" s="34"/>
      <c r="EE260" s="34"/>
      <c r="EF260" s="34"/>
      <c r="EG260" s="34"/>
    </row>
    <row r="261" spans="1:137" s="113" customFormat="1" ht="27.75" customHeight="1" hidden="1">
      <c r="A261" s="85" t="s">
        <v>406</v>
      </c>
      <c r="B261" s="73"/>
      <c r="C261" s="73"/>
      <c r="D261" s="74">
        <f>D263</f>
        <v>1674800</v>
      </c>
      <c r="E261" s="74"/>
      <c r="F261" s="74">
        <f>D261</f>
        <v>1674800</v>
      </c>
      <c r="G261" s="74">
        <f>G263</f>
        <v>4826500</v>
      </c>
      <c r="H261" s="74"/>
      <c r="I261" s="74"/>
      <c r="J261" s="74">
        <f>G261</f>
        <v>4826500</v>
      </c>
      <c r="K261" s="74"/>
      <c r="L261" s="74"/>
      <c r="M261" s="74"/>
      <c r="N261" s="74">
        <f>N263</f>
        <v>5385700</v>
      </c>
      <c r="O261" s="74"/>
      <c r="P261" s="74">
        <f>N261</f>
        <v>5385700</v>
      </c>
      <c r="EB261" s="114"/>
      <c r="EC261" s="114"/>
      <c r="ED261" s="114"/>
      <c r="EE261" s="114"/>
      <c r="EF261" s="114"/>
      <c r="EG261" s="114"/>
    </row>
    <row r="262" spans="1:137" s="15" customFormat="1" ht="19.5" customHeight="1" hidden="1">
      <c r="A262" s="3" t="s">
        <v>77</v>
      </c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EB262" s="34"/>
      <c r="EC262" s="34"/>
      <c r="ED262" s="34"/>
      <c r="EE262" s="34"/>
      <c r="EF262" s="34"/>
      <c r="EG262" s="34"/>
    </row>
    <row r="263" spans="1:137" s="15" customFormat="1" ht="22.5" hidden="1">
      <c r="A263" s="6" t="s">
        <v>264</v>
      </c>
      <c r="B263" s="4"/>
      <c r="C263" s="4"/>
      <c r="D263" s="5">
        <f>4674800-3000000</f>
        <v>1674800</v>
      </c>
      <c r="E263" s="5"/>
      <c r="F263" s="5">
        <f>D263</f>
        <v>1674800</v>
      </c>
      <c r="G263" s="5">
        <v>4826500</v>
      </c>
      <c r="H263" s="5"/>
      <c r="I263" s="5"/>
      <c r="J263" s="5">
        <f>G263</f>
        <v>4826500</v>
      </c>
      <c r="K263" s="5"/>
      <c r="L263" s="5"/>
      <c r="M263" s="5"/>
      <c r="N263" s="5">
        <v>5385700</v>
      </c>
      <c r="O263" s="5"/>
      <c r="P263" s="5">
        <f>N263</f>
        <v>5385700</v>
      </c>
      <c r="EB263" s="34"/>
      <c r="EC263" s="34"/>
      <c r="ED263" s="34"/>
      <c r="EE263" s="34"/>
      <c r="EF263" s="34"/>
      <c r="EG263" s="34"/>
    </row>
    <row r="264" spans="1:137" s="15" customFormat="1" ht="11.25" hidden="1">
      <c r="A264" s="3" t="s">
        <v>231</v>
      </c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EB264" s="34"/>
      <c r="EC264" s="34"/>
      <c r="ED264" s="34"/>
      <c r="EE264" s="34"/>
      <c r="EF264" s="34"/>
      <c r="EG264" s="34"/>
    </row>
    <row r="265" spans="1:137" s="15" customFormat="1" ht="33.75" hidden="1">
      <c r="A265" s="50" t="s">
        <v>265</v>
      </c>
      <c r="B265" s="4"/>
      <c r="C265" s="4"/>
      <c r="D265" s="5">
        <v>36</v>
      </c>
      <c r="E265" s="5"/>
      <c r="F265" s="5">
        <f>D265</f>
        <v>36</v>
      </c>
      <c r="G265" s="5">
        <f>F265</f>
        <v>36</v>
      </c>
      <c r="H265" s="5"/>
      <c r="I265" s="5"/>
      <c r="J265" s="5">
        <f>G265</f>
        <v>36</v>
      </c>
      <c r="K265" s="5"/>
      <c r="L265" s="5"/>
      <c r="M265" s="5"/>
      <c r="N265" s="5">
        <v>36</v>
      </c>
      <c r="O265" s="5"/>
      <c r="P265" s="5">
        <f>N265</f>
        <v>36</v>
      </c>
      <c r="EB265" s="34"/>
      <c r="EC265" s="34"/>
      <c r="ED265" s="34"/>
      <c r="EE265" s="34"/>
      <c r="EF265" s="34"/>
      <c r="EG265" s="34"/>
    </row>
    <row r="266" spans="1:137" s="15" customFormat="1" ht="18" customHeight="1" hidden="1">
      <c r="A266" s="3" t="s">
        <v>226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33.75" hidden="1">
      <c r="A267" s="6" t="s">
        <v>266</v>
      </c>
      <c r="B267" s="4"/>
      <c r="C267" s="4"/>
      <c r="D267" s="5">
        <f>D263/D265</f>
        <v>46522.22222222222</v>
      </c>
      <c r="E267" s="5"/>
      <c r="F267" s="5">
        <f>F263/F265</f>
        <v>46522.22222222222</v>
      </c>
      <c r="G267" s="5">
        <f>G263/G265</f>
        <v>134069.44444444444</v>
      </c>
      <c r="H267" s="5"/>
      <c r="I267" s="5"/>
      <c r="J267" s="5">
        <f>G267</f>
        <v>134069.44444444444</v>
      </c>
      <c r="K267" s="5"/>
      <c r="L267" s="5"/>
      <c r="M267" s="5"/>
      <c r="N267" s="5">
        <f>N263/N265</f>
        <v>149602.77777777778</v>
      </c>
      <c r="O267" s="5"/>
      <c r="P267" s="5">
        <f>N267</f>
        <v>149602.77777777778</v>
      </c>
      <c r="EB267" s="34"/>
      <c r="EC267" s="34"/>
      <c r="ED267" s="34"/>
      <c r="EE267" s="34"/>
      <c r="EF267" s="34"/>
      <c r="EG267" s="34"/>
    </row>
    <row r="268" spans="1:137" s="116" customFormat="1" ht="11.25" hidden="1">
      <c r="A268" s="85" t="s">
        <v>407</v>
      </c>
      <c r="B268" s="77"/>
      <c r="C268" s="77"/>
      <c r="D268" s="81">
        <f>D270</f>
        <v>4230300</v>
      </c>
      <c r="E268" s="81"/>
      <c r="F268" s="81">
        <f>D268</f>
        <v>4230300</v>
      </c>
      <c r="G268" s="81">
        <f>G270</f>
        <v>5928700</v>
      </c>
      <c r="H268" s="81"/>
      <c r="I268" s="81"/>
      <c r="J268" s="81">
        <f>G268</f>
        <v>5928700</v>
      </c>
      <c r="K268" s="81"/>
      <c r="L268" s="81"/>
      <c r="M268" s="81"/>
      <c r="N268" s="81">
        <f>N270</f>
        <v>6628300</v>
      </c>
      <c r="O268" s="81"/>
      <c r="P268" s="81">
        <f>N268</f>
        <v>6628300</v>
      </c>
      <c r="EB268" s="117"/>
      <c r="EC268" s="117"/>
      <c r="ED268" s="117"/>
      <c r="EE268" s="117"/>
      <c r="EF268" s="117"/>
      <c r="EG268" s="117"/>
    </row>
    <row r="269" spans="1:137" s="15" customFormat="1" ht="11.25" hidden="1">
      <c r="A269" s="3" t="s">
        <v>77</v>
      </c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EB269" s="34"/>
      <c r="EC269" s="34"/>
      <c r="ED269" s="34"/>
      <c r="EE269" s="34"/>
      <c r="EF269" s="34"/>
      <c r="EG269" s="34"/>
    </row>
    <row r="270" spans="1:137" s="15" customFormat="1" ht="22.5" hidden="1">
      <c r="A270" s="6" t="s">
        <v>267</v>
      </c>
      <c r="B270" s="4"/>
      <c r="C270" s="4"/>
      <c r="D270" s="5">
        <f>5251300-1021000</f>
        <v>4230300</v>
      </c>
      <c r="E270" s="5"/>
      <c r="F270" s="5">
        <f>D270</f>
        <v>4230300</v>
      </c>
      <c r="G270" s="5">
        <v>5928700</v>
      </c>
      <c r="H270" s="5"/>
      <c r="I270" s="5"/>
      <c r="J270" s="5">
        <f>G270</f>
        <v>5928700</v>
      </c>
      <c r="K270" s="5"/>
      <c r="L270" s="5"/>
      <c r="M270" s="5"/>
      <c r="N270" s="5">
        <v>6628300</v>
      </c>
      <c r="O270" s="5"/>
      <c r="P270" s="5">
        <f>N270</f>
        <v>6628300</v>
      </c>
      <c r="EB270" s="34"/>
      <c r="EC270" s="34"/>
      <c r="ED270" s="34"/>
      <c r="EE270" s="34"/>
      <c r="EF270" s="34"/>
      <c r="EG270" s="34"/>
    </row>
    <row r="271" spans="1:137" s="15" customFormat="1" ht="11.25" hidden="1">
      <c r="A271" s="3" t="s">
        <v>231</v>
      </c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EB271" s="34"/>
      <c r="EC271" s="34"/>
      <c r="ED271" s="34"/>
      <c r="EE271" s="34"/>
      <c r="EF271" s="34"/>
      <c r="EG271" s="34"/>
    </row>
    <row r="272" spans="1:137" s="15" customFormat="1" ht="11.25" hidden="1">
      <c r="A272" s="6" t="s">
        <v>101</v>
      </c>
      <c r="B272" s="4"/>
      <c r="C272" s="4"/>
      <c r="D272" s="5">
        <v>1600</v>
      </c>
      <c r="E272" s="5"/>
      <c r="F272" s="5">
        <f>D272</f>
        <v>1600</v>
      </c>
      <c r="G272" s="5">
        <v>1600</v>
      </c>
      <c r="H272" s="5"/>
      <c r="I272" s="5"/>
      <c r="J272" s="5">
        <f>G272</f>
        <v>1600</v>
      </c>
      <c r="K272" s="5"/>
      <c r="L272" s="5"/>
      <c r="M272" s="5"/>
      <c r="N272" s="5">
        <f>J272</f>
        <v>1600</v>
      </c>
      <c r="O272" s="5"/>
      <c r="P272" s="5">
        <f>N272</f>
        <v>1600</v>
      </c>
      <c r="EB272" s="34"/>
      <c r="EC272" s="34"/>
      <c r="ED272" s="34"/>
      <c r="EE272" s="34"/>
      <c r="EF272" s="34"/>
      <c r="EG272" s="34"/>
    </row>
    <row r="273" spans="1:137" s="15" customFormat="1" ht="11.25" hidden="1">
      <c r="A273" s="3" t="s">
        <v>226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11.25" hidden="1">
      <c r="A274" s="6" t="s">
        <v>268</v>
      </c>
      <c r="B274" s="4"/>
      <c r="C274" s="4"/>
      <c r="D274" s="5">
        <f>D270/D272</f>
        <v>2643.9375</v>
      </c>
      <c r="E274" s="5"/>
      <c r="F274" s="5">
        <f>D274</f>
        <v>2643.9375</v>
      </c>
      <c r="G274" s="5">
        <f>G270/G272</f>
        <v>3705.4375</v>
      </c>
      <c r="H274" s="5"/>
      <c r="I274" s="5"/>
      <c r="J274" s="5">
        <f>G274</f>
        <v>3705.4375</v>
      </c>
      <c r="K274" s="5"/>
      <c r="L274" s="5"/>
      <c r="M274" s="5"/>
      <c r="N274" s="5">
        <f>N270/N272</f>
        <v>4142.6875</v>
      </c>
      <c r="O274" s="5"/>
      <c r="P274" s="5">
        <f>N274</f>
        <v>4142.6875</v>
      </c>
      <c r="EB274" s="34"/>
      <c r="EC274" s="34"/>
      <c r="ED274" s="34"/>
      <c r="EE274" s="34"/>
      <c r="EF274" s="34"/>
      <c r="EG274" s="34"/>
    </row>
    <row r="275" spans="1:137" s="116" customFormat="1" ht="11.25" hidden="1">
      <c r="A275" s="85" t="s">
        <v>408</v>
      </c>
      <c r="B275" s="77"/>
      <c r="C275" s="77"/>
      <c r="D275" s="81">
        <f>D277</f>
        <v>209000</v>
      </c>
      <c r="E275" s="81"/>
      <c r="F275" s="81">
        <f>D275</f>
        <v>209000</v>
      </c>
      <c r="G275" s="81">
        <f>G277</f>
        <v>406100</v>
      </c>
      <c r="H275" s="81"/>
      <c r="I275" s="81"/>
      <c r="J275" s="81">
        <f>G275</f>
        <v>406100</v>
      </c>
      <c r="K275" s="81"/>
      <c r="L275" s="81"/>
      <c r="M275" s="81"/>
      <c r="N275" s="81">
        <f>N277</f>
        <v>454000</v>
      </c>
      <c r="O275" s="81"/>
      <c r="P275" s="81">
        <f>N275</f>
        <v>454000</v>
      </c>
      <c r="EB275" s="117"/>
      <c r="EC275" s="117"/>
      <c r="ED275" s="117"/>
      <c r="EE275" s="117"/>
      <c r="EF275" s="117"/>
      <c r="EG275" s="117"/>
    </row>
    <row r="276" spans="1:137" s="15" customFormat="1" ht="11.25" hidden="1">
      <c r="A276" s="3" t="s">
        <v>77</v>
      </c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EB276" s="34"/>
      <c r="EC276" s="34"/>
      <c r="ED276" s="34"/>
      <c r="EE276" s="34"/>
      <c r="EF276" s="34"/>
      <c r="EG276" s="34"/>
    </row>
    <row r="277" spans="1:137" s="15" customFormat="1" ht="22.5" hidden="1">
      <c r="A277" s="6" t="s">
        <v>269</v>
      </c>
      <c r="B277" s="4"/>
      <c r="C277" s="4"/>
      <c r="D277" s="5">
        <f>359700-150700</f>
        <v>209000</v>
      </c>
      <c r="E277" s="5"/>
      <c r="F277" s="5">
        <f>D277</f>
        <v>209000</v>
      </c>
      <c r="G277" s="5">
        <v>406100</v>
      </c>
      <c r="H277" s="5"/>
      <c r="I277" s="5"/>
      <c r="J277" s="5">
        <f>G277</f>
        <v>406100</v>
      </c>
      <c r="K277" s="5"/>
      <c r="L277" s="5"/>
      <c r="M277" s="5"/>
      <c r="N277" s="5">
        <v>454000</v>
      </c>
      <c r="O277" s="5"/>
      <c r="P277" s="5">
        <f>N277</f>
        <v>454000</v>
      </c>
      <c r="EB277" s="34"/>
      <c r="EC277" s="34"/>
      <c r="ED277" s="34"/>
      <c r="EE277" s="34"/>
      <c r="EF277" s="34"/>
      <c r="EG277" s="34"/>
    </row>
    <row r="278" spans="1:137" s="15" customFormat="1" ht="11.25" hidden="1">
      <c r="A278" s="3" t="s">
        <v>231</v>
      </c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EB278" s="34"/>
      <c r="EC278" s="34"/>
      <c r="ED278" s="34"/>
      <c r="EE278" s="34"/>
      <c r="EF278" s="34"/>
      <c r="EG278" s="34"/>
    </row>
    <row r="279" spans="1:137" s="15" customFormat="1" ht="11.25" hidden="1">
      <c r="A279" s="6" t="s">
        <v>159</v>
      </c>
      <c r="B279" s="4"/>
      <c r="C279" s="4"/>
      <c r="D279" s="5">
        <v>89</v>
      </c>
      <c r="E279" s="5"/>
      <c r="F279" s="5">
        <f>D279</f>
        <v>89</v>
      </c>
      <c r="G279" s="5">
        <v>90</v>
      </c>
      <c r="H279" s="5"/>
      <c r="I279" s="5"/>
      <c r="J279" s="5">
        <f>G279</f>
        <v>90</v>
      </c>
      <c r="K279" s="5"/>
      <c r="L279" s="5"/>
      <c r="M279" s="5"/>
      <c r="N279" s="5">
        <v>90</v>
      </c>
      <c r="O279" s="5"/>
      <c r="P279" s="5">
        <v>90</v>
      </c>
      <c r="EB279" s="34"/>
      <c r="EC279" s="34"/>
      <c r="ED279" s="34"/>
      <c r="EE279" s="34"/>
      <c r="EF279" s="34"/>
      <c r="EG279" s="34"/>
    </row>
    <row r="280" spans="1:137" s="15" customFormat="1" ht="11.25" hidden="1">
      <c r="A280" s="3" t="s">
        <v>226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11.25" hidden="1">
      <c r="A281" s="6" t="s">
        <v>108</v>
      </c>
      <c r="B281" s="4"/>
      <c r="C281" s="4"/>
      <c r="D281" s="5">
        <f>D277/D279</f>
        <v>2348.3146067415732</v>
      </c>
      <c r="E281" s="5"/>
      <c r="F281" s="5">
        <f>D281</f>
        <v>2348.3146067415732</v>
      </c>
      <c r="G281" s="5">
        <f>G277/G279</f>
        <v>4512.222222222223</v>
      </c>
      <c r="H281" s="5"/>
      <c r="I281" s="5"/>
      <c r="J281" s="5">
        <f>G281</f>
        <v>4512.222222222223</v>
      </c>
      <c r="K281" s="5"/>
      <c r="L281" s="5"/>
      <c r="M281" s="5"/>
      <c r="N281" s="5">
        <f>N277/N279</f>
        <v>5044.444444444444</v>
      </c>
      <c r="O281" s="5"/>
      <c r="P281" s="5">
        <f>N281</f>
        <v>5044.444444444444</v>
      </c>
      <c r="EB281" s="34"/>
      <c r="EC281" s="34"/>
      <c r="ED281" s="34"/>
      <c r="EE281" s="34"/>
      <c r="EF281" s="34"/>
      <c r="EG281" s="34"/>
    </row>
    <row r="282" spans="1:137" s="116" customFormat="1" ht="24" customHeight="1" hidden="1">
      <c r="A282" s="85" t="s">
        <v>409</v>
      </c>
      <c r="B282" s="77"/>
      <c r="C282" s="77"/>
      <c r="D282" s="81">
        <f>D284</f>
        <v>50000</v>
      </c>
      <c r="E282" s="81"/>
      <c r="F282" s="81">
        <f>D282</f>
        <v>50000</v>
      </c>
      <c r="G282" s="81">
        <f>G284</f>
        <v>64000</v>
      </c>
      <c r="H282" s="81"/>
      <c r="I282" s="81"/>
      <c r="J282" s="81">
        <f>G282</f>
        <v>64000</v>
      </c>
      <c r="K282" s="81"/>
      <c r="L282" s="81"/>
      <c r="M282" s="81"/>
      <c r="N282" s="81">
        <f>N284</f>
        <v>67800</v>
      </c>
      <c r="O282" s="81"/>
      <c r="P282" s="81">
        <f>N282</f>
        <v>67800</v>
      </c>
      <c r="EB282" s="117"/>
      <c r="EC282" s="117"/>
      <c r="ED282" s="117"/>
      <c r="EE282" s="117"/>
      <c r="EF282" s="117"/>
      <c r="EG282" s="117"/>
    </row>
    <row r="283" spans="1:137" s="15" customFormat="1" ht="11.25" hidden="1">
      <c r="A283" s="3" t="s">
        <v>77</v>
      </c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EB283" s="34"/>
      <c r="EC283" s="34"/>
      <c r="ED283" s="34"/>
      <c r="EE283" s="34"/>
      <c r="EF283" s="34"/>
      <c r="EG283" s="34"/>
    </row>
    <row r="284" spans="1:137" s="15" customFormat="1" ht="21.75" customHeight="1" hidden="1">
      <c r="A284" s="6" t="s">
        <v>270</v>
      </c>
      <c r="B284" s="4"/>
      <c r="C284" s="4"/>
      <c r="D284" s="5">
        <f>D286*D288</f>
        <v>50000</v>
      </c>
      <c r="E284" s="5"/>
      <c r="F284" s="5">
        <f>D284</f>
        <v>50000</v>
      </c>
      <c r="G284" s="5">
        <f>G286*G288</f>
        <v>64000</v>
      </c>
      <c r="H284" s="5"/>
      <c r="I284" s="5"/>
      <c r="J284" s="5">
        <f>G284</f>
        <v>64000</v>
      </c>
      <c r="K284" s="5"/>
      <c r="L284" s="5"/>
      <c r="M284" s="5"/>
      <c r="N284" s="5">
        <f>N286*N288</f>
        <v>67800</v>
      </c>
      <c r="O284" s="5"/>
      <c r="P284" s="5">
        <f>N284</f>
        <v>67800</v>
      </c>
      <c r="EB284" s="34"/>
      <c r="EC284" s="34"/>
      <c r="ED284" s="34"/>
      <c r="EE284" s="34"/>
      <c r="EF284" s="34"/>
      <c r="EG284" s="34"/>
    </row>
    <row r="285" spans="1:137" s="15" customFormat="1" ht="14.25" customHeight="1" hidden="1">
      <c r="A285" s="3" t="s">
        <v>231</v>
      </c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EB285" s="34"/>
      <c r="EC285" s="34"/>
      <c r="ED285" s="34"/>
      <c r="EE285" s="34"/>
      <c r="EF285" s="34"/>
      <c r="EG285" s="34"/>
    </row>
    <row r="286" spans="1:137" s="15" customFormat="1" ht="15.75" customHeight="1" hidden="1">
      <c r="A286" s="6" t="s">
        <v>271</v>
      </c>
      <c r="B286" s="4"/>
      <c r="C286" s="4"/>
      <c r="D286" s="5">
        <v>4</v>
      </c>
      <c r="E286" s="5"/>
      <c r="F286" s="5">
        <f>D286</f>
        <v>4</v>
      </c>
      <c r="G286" s="5">
        <v>4</v>
      </c>
      <c r="H286" s="5"/>
      <c r="I286" s="5"/>
      <c r="J286" s="5">
        <f>G286</f>
        <v>4</v>
      </c>
      <c r="K286" s="5"/>
      <c r="L286" s="5"/>
      <c r="M286" s="5"/>
      <c r="N286" s="5">
        <f>J286</f>
        <v>4</v>
      </c>
      <c r="O286" s="5"/>
      <c r="P286" s="5">
        <f>N286</f>
        <v>4</v>
      </c>
      <c r="EB286" s="34"/>
      <c r="EC286" s="34"/>
      <c r="ED286" s="34"/>
      <c r="EE286" s="34"/>
      <c r="EF286" s="34"/>
      <c r="EG286" s="34"/>
    </row>
    <row r="287" spans="1:137" s="15" customFormat="1" ht="15.75" customHeight="1" hidden="1">
      <c r="A287" s="3" t="s">
        <v>226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21.75" customHeight="1" hidden="1">
      <c r="A288" s="6" t="s">
        <v>272</v>
      </c>
      <c r="B288" s="4"/>
      <c r="C288" s="4"/>
      <c r="D288" s="5">
        <v>12500</v>
      </c>
      <c r="E288" s="5"/>
      <c r="F288" s="5">
        <f>D288</f>
        <v>12500</v>
      </c>
      <c r="G288" s="5">
        <v>16000</v>
      </c>
      <c r="H288" s="5"/>
      <c r="I288" s="5"/>
      <c r="J288" s="5">
        <f>G288</f>
        <v>16000</v>
      </c>
      <c r="K288" s="5"/>
      <c r="L288" s="5"/>
      <c r="M288" s="5"/>
      <c r="N288" s="5">
        <v>16950</v>
      </c>
      <c r="O288" s="5"/>
      <c r="P288" s="5">
        <f>N288</f>
        <v>16950</v>
      </c>
      <c r="EB288" s="34"/>
      <c r="EC288" s="34"/>
      <c r="ED288" s="34"/>
      <c r="EE288" s="34"/>
      <c r="EF288" s="34"/>
      <c r="EG288" s="34"/>
    </row>
    <row r="289" spans="1:137" s="113" customFormat="1" ht="21.75" customHeight="1" hidden="1">
      <c r="A289" s="85" t="s">
        <v>410</v>
      </c>
      <c r="B289" s="73"/>
      <c r="C289" s="73"/>
      <c r="D289" s="81">
        <f>D291</f>
        <v>0</v>
      </c>
      <c r="E289" s="81"/>
      <c r="F289" s="81">
        <f>D289</f>
        <v>0</v>
      </c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EB289" s="114"/>
      <c r="EC289" s="114"/>
      <c r="ED289" s="114"/>
      <c r="EE289" s="114"/>
      <c r="EF289" s="114"/>
      <c r="EG289" s="114"/>
    </row>
    <row r="290" spans="1:137" s="15" customFormat="1" ht="11.25" hidden="1">
      <c r="A290" s="3" t="s">
        <v>77</v>
      </c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16.5" customHeight="1" hidden="1">
      <c r="A291" s="6" t="s">
        <v>273</v>
      </c>
      <c r="B291" s="4"/>
      <c r="C291" s="4"/>
      <c r="D291" s="5">
        <f>280000-280000</f>
        <v>0</v>
      </c>
      <c r="E291" s="5"/>
      <c r="F291" s="5">
        <f>D291</f>
        <v>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11.25" hidden="1">
      <c r="A292" s="3" t="s">
        <v>231</v>
      </c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11.25" hidden="1">
      <c r="A293" s="6" t="s">
        <v>271</v>
      </c>
      <c r="B293" s="4"/>
      <c r="C293" s="4"/>
      <c r="D293" s="5">
        <v>0</v>
      </c>
      <c r="E293" s="5"/>
      <c r="F293" s="5">
        <f>D293</f>
        <v>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11.25" hidden="1">
      <c r="A294" s="3" t="s">
        <v>226</v>
      </c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11.25" hidden="1">
      <c r="A295" s="6" t="s">
        <v>274</v>
      </c>
      <c r="B295" s="4"/>
      <c r="C295" s="4"/>
      <c r="D295" s="5" t="e">
        <f>D291/D293</f>
        <v>#DIV/0!</v>
      </c>
      <c r="E295" s="5"/>
      <c r="F295" s="5" t="e">
        <f>D295</f>
        <v>#DIV/0!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4.75" customHeight="1" hidden="1">
      <c r="A296" s="85" t="s">
        <v>509</v>
      </c>
      <c r="B296" s="4"/>
      <c r="C296" s="4"/>
      <c r="D296" s="24">
        <f>D298</f>
        <v>50000</v>
      </c>
      <c r="E296" s="24"/>
      <c r="F296" s="24">
        <f>D296+E296</f>
        <v>50000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11.25" hidden="1">
      <c r="A297" s="3" t="s">
        <v>77</v>
      </c>
      <c r="B297" s="4"/>
      <c r="C297" s="4"/>
      <c r="D297" s="5"/>
      <c r="E297" s="5"/>
      <c r="F297" s="5">
        <f aca="true" t="shared" si="23" ref="F297:F302">D297+E297</f>
        <v>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6" t="s">
        <v>353</v>
      </c>
      <c r="B298" s="4"/>
      <c r="C298" s="4"/>
      <c r="D298" s="5">
        <f>D300*D302</f>
        <v>50000</v>
      </c>
      <c r="E298" s="5"/>
      <c r="F298" s="5">
        <f t="shared" si="23"/>
        <v>50000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11.25" hidden="1">
      <c r="A299" s="3" t="s">
        <v>231</v>
      </c>
      <c r="B299" s="4"/>
      <c r="C299" s="4"/>
      <c r="D299" s="5"/>
      <c r="E299" s="5"/>
      <c r="F299" s="5">
        <f t="shared" si="23"/>
        <v>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5" customFormat="1" ht="11.25" hidden="1">
      <c r="A300" s="6" t="s">
        <v>354</v>
      </c>
      <c r="B300" s="4"/>
      <c r="C300" s="4"/>
      <c r="D300" s="5">
        <v>1</v>
      </c>
      <c r="E300" s="5"/>
      <c r="F300" s="5">
        <f t="shared" si="23"/>
        <v>1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EB300" s="34"/>
      <c r="EC300" s="34"/>
      <c r="ED300" s="34"/>
      <c r="EE300" s="34"/>
      <c r="EF300" s="34"/>
      <c r="EG300" s="34"/>
    </row>
    <row r="301" spans="1:137" s="15" customFormat="1" ht="11.25" hidden="1">
      <c r="A301" s="3" t="s">
        <v>226</v>
      </c>
      <c r="B301" s="4"/>
      <c r="C301" s="4"/>
      <c r="D301" s="5"/>
      <c r="E301" s="5"/>
      <c r="F301" s="5">
        <f t="shared" si="23"/>
        <v>0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355</v>
      </c>
      <c r="B302" s="4"/>
      <c r="C302" s="4"/>
      <c r="D302" s="5">
        <v>50000</v>
      </c>
      <c r="E302" s="5"/>
      <c r="F302" s="5">
        <f t="shared" si="23"/>
        <v>50000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16" customFormat="1" ht="24.75" customHeight="1" hidden="1">
      <c r="A303" s="85" t="s">
        <v>510</v>
      </c>
      <c r="B303" s="77"/>
      <c r="C303" s="77"/>
      <c r="D303" s="81"/>
      <c r="E303" s="81">
        <f>E305</f>
        <v>0</v>
      </c>
      <c r="F303" s="81">
        <f>E303</f>
        <v>0</v>
      </c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EB303" s="117"/>
      <c r="EC303" s="117"/>
      <c r="ED303" s="117"/>
      <c r="EE303" s="117"/>
      <c r="EF303" s="117"/>
      <c r="EG303" s="117"/>
    </row>
    <row r="304" spans="1:137" s="15" customFormat="1" ht="11.25" hidden="1">
      <c r="A304" s="3" t="s">
        <v>77</v>
      </c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6" t="s">
        <v>353</v>
      </c>
      <c r="B305" s="4"/>
      <c r="C305" s="4"/>
      <c r="D305" s="5"/>
      <c r="E305" s="5">
        <f>150000-50000-100000</f>
        <v>0</v>
      </c>
      <c r="F305" s="5">
        <f>E305</f>
        <v>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1.75" customHeight="1" hidden="1">
      <c r="A306" s="3" t="s">
        <v>231</v>
      </c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5" customFormat="1" ht="11.25" hidden="1">
      <c r="A307" s="6" t="s">
        <v>354</v>
      </c>
      <c r="B307" s="4"/>
      <c r="C307" s="4"/>
      <c r="D307" s="5"/>
      <c r="E307" s="5">
        <v>0</v>
      </c>
      <c r="F307" s="5">
        <f>E307</f>
        <v>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EB307" s="34"/>
      <c r="EC307" s="34"/>
      <c r="ED307" s="34"/>
      <c r="EE307" s="34"/>
      <c r="EF307" s="34"/>
      <c r="EG307" s="34"/>
    </row>
    <row r="308" spans="1:137" s="15" customFormat="1" ht="11.25" hidden="1">
      <c r="A308" s="3" t="s">
        <v>226</v>
      </c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EB308" s="34"/>
      <c r="EC308" s="34"/>
      <c r="ED308" s="34"/>
      <c r="EE308" s="34"/>
      <c r="EF308" s="34"/>
      <c r="EG308" s="34"/>
    </row>
    <row r="309" spans="1:137" s="15" customFormat="1" ht="11.25" hidden="1">
      <c r="A309" s="6" t="s">
        <v>355</v>
      </c>
      <c r="B309" s="4"/>
      <c r="C309" s="4"/>
      <c r="D309" s="5"/>
      <c r="E309" s="5">
        <v>0</v>
      </c>
      <c r="F309" s="5">
        <f>E309</f>
        <v>0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EB309" s="34"/>
      <c r="EC309" s="34"/>
      <c r="ED309" s="34"/>
      <c r="EE309" s="34"/>
      <c r="EF309" s="34"/>
      <c r="EG309" s="34"/>
    </row>
    <row r="310" spans="1:137" s="196" customFormat="1" ht="53.25" customHeight="1" hidden="1">
      <c r="A310" s="194" t="s">
        <v>520</v>
      </c>
      <c r="B310" s="195"/>
      <c r="C310" s="195"/>
      <c r="D310" s="193">
        <f>D311+D318+D325+D332+D339+D346</f>
        <v>7011500</v>
      </c>
      <c r="E310" s="193">
        <f aca="true" t="shared" si="24" ref="E310:P310">E311+E318+E325+E332+E339+E346</f>
        <v>0</v>
      </c>
      <c r="F310" s="193">
        <f t="shared" si="24"/>
        <v>7011500</v>
      </c>
      <c r="G310" s="193">
        <f t="shared" si="24"/>
        <v>10971100</v>
      </c>
      <c r="H310" s="193">
        <f t="shared" si="24"/>
        <v>0</v>
      </c>
      <c r="I310" s="193">
        <f t="shared" si="24"/>
        <v>0</v>
      </c>
      <c r="J310" s="193">
        <f t="shared" si="24"/>
        <v>10971100</v>
      </c>
      <c r="K310" s="193">
        <f t="shared" si="24"/>
        <v>0</v>
      </c>
      <c r="L310" s="193">
        <f t="shared" si="24"/>
        <v>0</v>
      </c>
      <c r="M310" s="193">
        <f t="shared" si="24"/>
        <v>0</v>
      </c>
      <c r="N310" s="193">
        <f t="shared" si="24"/>
        <v>11611300</v>
      </c>
      <c r="O310" s="193">
        <f t="shared" si="24"/>
        <v>0</v>
      </c>
      <c r="P310" s="193">
        <f t="shared" si="24"/>
        <v>11611300</v>
      </c>
      <c r="EB310" s="197"/>
      <c r="EC310" s="197"/>
      <c r="ED310" s="197"/>
      <c r="EE310" s="197"/>
      <c r="EF310" s="197"/>
      <c r="EG310" s="197"/>
    </row>
    <row r="311" spans="1:137" s="116" customFormat="1" ht="56.25" hidden="1">
      <c r="A311" s="85" t="s">
        <v>411</v>
      </c>
      <c r="B311" s="77"/>
      <c r="C311" s="77"/>
      <c r="D311" s="81">
        <f>D313</f>
        <v>788000</v>
      </c>
      <c r="E311" s="81"/>
      <c r="F311" s="81">
        <f>D311</f>
        <v>788000</v>
      </c>
      <c r="G311" s="81">
        <f>G313</f>
        <v>1651700</v>
      </c>
      <c r="H311" s="81"/>
      <c r="I311" s="81"/>
      <c r="J311" s="81">
        <f>G311</f>
        <v>1651700</v>
      </c>
      <c r="K311" s="81"/>
      <c r="L311" s="81"/>
      <c r="M311" s="81"/>
      <c r="N311" s="81">
        <f>N313</f>
        <v>1750800</v>
      </c>
      <c r="O311" s="81"/>
      <c r="P311" s="81">
        <f>N311</f>
        <v>1750800</v>
      </c>
      <c r="EB311" s="117"/>
      <c r="EC311" s="117"/>
      <c r="ED311" s="117"/>
      <c r="EE311" s="117"/>
      <c r="EF311" s="117"/>
      <c r="EG311" s="117"/>
    </row>
    <row r="312" spans="1:137" s="113" customFormat="1" ht="17.25" customHeight="1" hidden="1">
      <c r="A312" s="3" t="s">
        <v>77</v>
      </c>
      <c r="B312" s="112"/>
      <c r="C312" s="112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EB312" s="114"/>
      <c r="EC312" s="114"/>
      <c r="ED312" s="114"/>
      <c r="EE312" s="114"/>
      <c r="EF312" s="114"/>
      <c r="EG312" s="114"/>
    </row>
    <row r="313" spans="1:137" s="113" customFormat="1" ht="38.25" customHeight="1" hidden="1">
      <c r="A313" s="6" t="s">
        <v>276</v>
      </c>
      <c r="B313" s="112"/>
      <c r="C313" s="112"/>
      <c r="D313" s="74">
        <f>1548000-760000</f>
        <v>788000</v>
      </c>
      <c r="E313" s="74"/>
      <c r="F313" s="74">
        <f>D313</f>
        <v>788000</v>
      </c>
      <c r="G313" s="74">
        <v>1651700</v>
      </c>
      <c r="H313" s="74"/>
      <c r="I313" s="74"/>
      <c r="J313" s="74">
        <f>G313</f>
        <v>1651700</v>
      </c>
      <c r="K313" s="74"/>
      <c r="L313" s="74"/>
      <c r="M313" s="74"/>
      <c r="N313" s="74">
        <v>1750800</v>
      </c>
      <c r="O313" s="74"/>
      <c r="P313" s="74">
        <f>N313</f>
        <v>1750800</v>
      </c>
      <c r="EB313" s="114"/>
      <c r="EC313" s="114"/>
      <c r="ED313" s="114"/>
      <c r="EE313" s="114"/>
      <c r="EF313" s="114"/>
      <c r="EG313" s="114"/>
    </row>
    <row r="314" spans="1:137" s="113" customFormat="1" ht="16.5" customHeight="1" hidden="1">
      <c r="A314" s="3" t="s">
        <v>275</v>
      </c>
      <c r="B314" s="112"/>
      <c r="C314" s="112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EB314" s="114"/>
      <c r="EC314" s="114"/>
      <c r="ED314" s="114"/>
      <c r="EE314" s="114"/>
      <c r="EF314" s="114"/>
      <c r="EG314" s="114"/>
    </row>
    <row r="315" spans="1:137" s="113" customFormat="1" ht="38.25" customHeight="1" hidden="1">
      <c r="A315" s="6" t="s">
        <v>123</v>
      </c>
      <c r="B315" s="112"/>
      <c r="C315" s="112"/>
      <c r="D315" s="74">
        <v>155760</v>
      </c>
      <c r="E315" s="74"/>
      <c r="F315" s="74">
        <f>D315</f>
        <v>155760</v>
      </c>
      <c r="G315" s="74">
        <v>155760</v>
      </c>
      <c r="H315" s="74"/>
      <c r="I315" s="74"/>
      <c r="J315" s="74">
        <f>G315</f>
        <v>155760</v>
      </c>
      <c r="K315" s="74"/>
      <c r="L315" s="74"/>
      <c r="M315" s="74"/>
      <c r="N315" s="74">
        <v>155760</v>
      </c>
      <c r="O315" s="74"/>
      <c r="P315" s="74">
        <f>N315</f>
        <v>155760</v>
      </c>
      <c r="EB315" s="114"/>
      <c r="EC315" s="114"/>
      <c r="ED315" s="114"/>
      <c r="EE315" s="114"/>
      <c r="EF315" s="114"/>
      <c r="EG315" s="114"/>
    </row>
    <row r="316" spans="1:137" s="113" customFormat="1" ht="17.25" customHeight="1" hidden="1">
      <c r="A316" s="3" t="s">
        <v>226</v>
      </c>
      <c r="B316" s="112"/>
      <c r="C316" s="112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EB316" s="114"/>
      <c r="EC316" s="114"/>
      <c r="ED316" s="114"/>
      <c r="EE316" s="114"/>
      <c r="EF316" s="114"/>
      <c r="EG316" s="114"/>
    </row>
    <row r="317" spans="1:137" s="113" customFormat="1" ht="38.25" customHeight="1" hidden="1">
      <c r="A317" s="6" t="s">
        <v>124</v>
      </c>
      <c r="B317" s="112"/>
      <c r="C317" s="112"/>
      <c r="D317" s="74">
        <f>D313/D315</f>
        <v>5.059065228556754</v>
      </c>
      <c r="E317" s="74"/>
      <c r="F317" s="74">
        <f>D317</f>
        <v>5.059065228556754</v>
      </c>
      <c r="G317" s="74">
        <f>G313/G315</f>
        <v>10.604134565998972</v>
      </c>
      <c r="H317" s="74"/>
      <c r="I317" s="74"/>
      <c r="J317" s="74">
        <f>G317</f>
        <v>10.604134565998972</v>
      </c>
      <c r="K317" s="74"/>
      <c r="L317" s="74"/>
      <c r="M317" s="74"/>
      <c r="N317" s="74">
        <f>N311/N315</f>
        <v>11.240369799691834</v>
      </c>
      <c r="O317" s="74"/>
      <c r="P317" s="74">
        <f>N317</f>
        <v>11.240369799691834</v>
      </c>
      <c r="EB317" s="114"/>
      <c r="EC317" s="114"/>
      <c r="ED317" s="114"/>
      <c r="EE317" s="114"/>
      <c r="EF317" s="114"/>
      <c r="EG317" s="114"/>
    </row>
    <row r="318" spans="1:137" s="116" customFormat="1" ht="42" customHeight="1" hidden="1">
      <c r="A318" s="85" t="s">
        <v>412</v>
      </c>
      <c r="B318" s="77"/>
      <c r="C318" s="77"/>
      <c r="D318" s="81">
        <f>D320</f>
        <v>3610000</v>
      </c>
      <c r="E318" s="81"/>
      <c r="F318" s="81">
        <f>D318</f>
        <v>3610000</v>
      </c>
      <c r="G318" s="81">
        <f>G320</f>
        <v>6519400</v>
      </c>
      <c r="H318" s="81"/>
      <c r="I318" s="81"/>
      <c r="J318" s="81">
        <f>G318</f>
        <v>6519400</v>
      </c>
      <c r="K318" s="81"/>
      <c r="L318" s="81"/>
      <c r="M318" s="81"/>
      <c r="N318" s="81">
        <f>N320</f>
        <v>6910500</v>
      </c>
      <c r="O318" s="81"/>
      <c r="P318" s="81">
        <f>N318</f>
        <v>6910500</v>
      </c>
      <c r="EB318" s="117"/>
      <c r="EC318" s="117"/>
      <c r="ED318" s="117"/>
      <c r="EE318" s="117"/>
      <c r="EF318" s="117"/>
      <c r="EG318" s="117"/>
    </row>
    <row r="319" spans="1:137" s="113" customFormat="1" ht="11.25" hidden="1">
      <c r="A319" s="3" t="s">
        <v>77</v>
      </c>
      <c r="B319" s="112"/>
      <c r="C319" s="112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EB319" s="114"/>
      <c r="EC319" s="114"/>
      <c r="ED319" s="114"/>
      <c r="EE319" s="114"/>
      <c r="EF319" s="114"/>
      <c r="EG319" s="114"/>
    </row>
    <row r="320" spans="1:137" s="113" customFormat="1" ht="38.25" customHeight="1" hidden="1">
      <c r="A320" s="6" t="s">
        <v>277</v>
      </c>
      <c r="B320" s="112"/>
      <c r="C320" s="112"/>
      <c r="D320" s="74">
        <f>6110000-2500000</f>
        <v>3610000</v>
      </c>
      <c r="E320" s="74"/>
      <c r="F320" s="74">
        <f>D320</f>
        <v>3610000</v>
      </c>
      <c r="G320" s="74">
        <v>6519400</v>
      </c>
      <c r="H320" s="74"/>
      <c r="I320" s="74"/>
      <c r="J320" s="74">
        <f>G320</f>
        <v>6519400</v>
      </c>
      <c r="K320" s="74"/>
      <c r="L320" s="74"/>
      <c r="M320" s="74"/>
      <c r="N320" s="74">
        <v>6910500</v>
      </c>
      <c r="O320" s="74"/>
      <c r="P320" s="74">
        <f>N320</f>
        <v>6910500</v>
      </c>
      <c r="EB320" s="114"/>
      <c r="EC320" s="114"/>
      <c r="ED320" s="114"/>
      <c r="EE320" s="114"/>
      <c r="EF320" s="114"/>
      <c r="EG320" s="114"/>
    </row>
    <row r="321" spans="1:137" s="113" customFormat="1" ht="11.25" hidden="1">
      <c r="A321" s="3" t="s">
        <v>275</v>
      </c>
      <c r="B321" s="112"/>
      <c r="C321" s="112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EB321" s="114"/>
      <c r="EC321" s="114"/>
      <c r="ED321" s="114"/>
      <c r="EE321" s="114"/>
      <c r="EF321" s="114"/>
      <c r="EG321" s="114"/>
    </row>
    <row r="322" spans="1:137" s="113" customFormat="1" ht="18.75" customHeight="1" hidden="1">
      <c r="A322" s="6" t="s">
        <v>278</v>
      </c>
      <c r="B322" s="112"/>
      <c r="C322" s="112"/>
      <c r="D322" s="74">
        <v>390</v>
      </c>
      <c r="E322" s="74"/>
      <c r="F322" s="74">
        <f>D322</f>
        <v>390</v>
      </c>
      <c r="G322" s="74">
        <f>F322</f>
        <v>390</v>
      </c>
      <c r="H322" s="74"/>
      <c r="I322" s="74"/>
      <c r="J322" s="74">
        <f>G322</f>
        <v>390</v>
      </c>
      <c r="K322" s="74"/>
      <c r="L322" s="74"/>
      <c r="M322" s="74"/>
      <c r="N322" s="74">
        <f>J322</f>
        <v>390</v>
      </c>
      <c r="O322" s="74"/>
      <c r="P322" s="74">
        <f>N322</f>
        <v>390</v>
      </c>
      <c r="EB322" s="114"/>
      <c r="EC322" s="114"/>
      <c r="ED322" s="114"/>
      <c r="EE322" s="114"/>
      <c r="EF322" s="114"/>
      <c r="EG322" s="114"/>
    </row>
    <row r="323" spans="1:137" s="113" customFormat="1" ht="11.25" hidden="1">
      <c r="A323" s="3" t="s">
        <v>226</v>
      </c>
      <c r="B323" s="112"/>
      <c r="C323" s="112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EB323" s="114"/>
      <c r="EC323" s="114"/>
      <c r="ED323" s="114"/>
      <c r="EE323" s="114"/>
      <c r="EF323" s="114"/>
      <c r="EG323" s="114"/>
    </row>
    <row r="324" spans="1:137" s="113" customFormat="1" ht="38.25" customHeight="1" hidden="1">
      <c r="A324" s="6" t="s">
        <v>356</v>
      </c>
      <c r="B324" s="112"/>
      <c r="C324" s="112"/>
      <c r="D324" s="74">
        <f>D320/D322/12</f>
        <v>771.3675213675214</v>
      </c>
      <c r="E324" s="74"/>
      <c r="F324" s="74">
        <f>D324</f>
        <v>771.3675213675214</v>
      </c>
      <c r="G324" s="74">
        <f>G320/G322/12</f>
        <v>1393.0341880341882</v>
      </c>
      <c r="H324" s="74"/>
      <c r="I324" s="74"/>
      <c r="J324" s="74">
        <f>G324</f>
        <v>1393.0341880341882</v>
      </c>
      <c r="K324" s="74"/>
      <c r="L324" s="74"/>
      <c r="M324" s="74"/>
      <c r="N324" s="74">
        <f>N320/N322/12</f>
        <v>1476.6025641025642</v>
      </c>
      <c r="O324" s="74"/>
      <c r="P324" s="74">
        <f>N324</f>
        <v>1476.6025641025642</v>
      </c>
      <c r="EB324" s="114"/>
      <c r="EC324" s="114"/>
      <c r="ED324" s="114"/>
      <c r="EE324" s="114"/>
      <c r="EF324" s="114"/>
      <c r="EG324" s="114"/>
    </row>
    <row r="325" spans="1:137" s="113" customFormat="1" ht="22.5" hidden="1">
      <c r="A325" s="85" t="s">
        <v>413</v>
      </c>
      <c r="B325" s="73"/>
      <c r="C325" s="73"/>
      <c r="D325" s="81">
        <f>D327</f>
        <v>300000</v>
      </c>
      <c r="E325" s="81"/>
      <c r="F325" s="81">
        <f>D325</f>
        <v>300000</v>
      </c>
      <c r="G325" s="81">
        <f>G327</f>
        <v>300000</v>
      </c>
      <c r="H325" s="81"/>
      <c r="I325" s="81"/>
      <c r="J325" s="81">
        <f>G325</f>
        <v>300000</v>
      </c>
      <c r="K325" s="81"/>
      <c r="L325" s="81"/>
      <c r="M325" s="81"/>
      <c r="N325" s="81">
        <f>N327</f>
        <v>300000</v>
      </c>
      <c r="O325" s="81"/>
      <c r="P325" s="81">
        <f>N325</f>
        <v>300000</v>
      </c>
      <c r="EB325" s="114"/>
      <c r="EC325" s="114"/>
      <c r="ED325" s="114"/>
      <c r="EE325" s="114"/>
      <c r="EF325" s="114"/>
      <c r="EG325" s="114"/>
    </row>
    <row r="326" spans="1:137" s="113" customFormat="1" ht="11.25" hidden="1">
      <c r="A326" s="3" t="s">
        <v>77</v>
      </c>
      <c r="B326" s="112"/>
      <c r="C326" s="112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EB326" s="114"/>
      <c r="EC326" s="114"/>
      <c r="ED326" s="114"/>
      <c r="EE326" s="114"/>
      <c r="EF326" s="114"/>
      <c r="EG326" s="114"/>
    </row>
    <row r="327" spans="1:137" s="113" customFormat="1" ht="22.5" hidden="1">
      <c r="A327" s="72" t="s">
        <v>357</v>
      </c>
      <c r="B327" s="112"/>
      <c r="C327" s="112"/>
      <c r="D327" s="74">
        <v>300000</v>
      </c>
      <c r="E327" s="74"/>
      <c r="F327" s="74">
        <f>D327</f>
        <v>300000</v>
      </c>
      <c r="G327" s="74">
        <v>300000</v>
      </c>
      <c r="H327" s="74"/>
      <c r="I327" s="74"/>
      <c r="J327" s="74">
        <f>G327</f>
        <v>300000</v>
      </c>
      <c r="K327" s="74"/>
      <c r="L327" s="74"/>
      <c r="M327" s="74"/>
      <c r="N327" s="74">
        <v>300000</v>
      </c>
      <c r="O327" s="74"/>
      <c r="P327" s="74">
        <f>N327</f>
        <v>300000</v>
      </c>
      <c r="EB327" s="114"/>
      <c r="EC327" s="114"/>
      <c r="ED327" s="114"/>
      <c r="EE327" s="114"/>
      <c r="EF327" s="114"/>
      <c r="EG327" s="114"/>
    </row>
    <row r="328" spans="1:137" s="113" customFormat="1" ht="11.25" hidden="1">
      <c r="A328" s="165" t="s">
        <v>275</v>
      </c>
      <c r="B328" s="112"/>
      <c r="C328" s="112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EB328" s="114"/>
      <c r="EC328" s="114"/>
      <c r="ED328" s="114"/>
      <c r="EE328" s="114"/>
      <c r="EF328" s="114"/>
      <c r="EG328" s="114"/>
    </row>
    <row r="329" spans="1:137" s="113" customFormat="1" ht="22.5" hidden="1">
      <c r="A329" s="72" t="s">
        <v>358</v>
      </c>
      <c r="B329" s="112"/>
      <c r="C329" s="112"/>
      <c r="D329" s="74">
        <v>183</v>
      </c>
      <c r="E329" s="74"/>
      <c r="F329" s="74">
        <f>D329</f>
        <v>183</v>
      </c>
      <c r="G329" s="74">
        <v>172</v>
      </c>
      <c r="H329" s="74"/>
      <c r="I329" s="74"/>
      <c r="J329" s="74">
        <f>G329</f>
        <v>172</v>
      </c>
      <c r="K329" s="74"/>
      <c r="L329" s="74"/>
      <c r="M329" s="74"/>
      <c r="N329" s="74">
        <v>162</v>
      </c>
      <c r="O329" s="74"/>
      <c r="P329" s="74">
        <f>N329</f>
        <v>162</v>
      </c>
      <c r="EB329" s="114"/>
      <c r="EC329" s="114"/>
      <c r="ED329" s="114"/>
      <c r="EE329" s="114"/>
      <c r="EF329" s="114"/>
      <c r="EG329" s="114"/>
    </row>
    <row r="330" spans="1:137" s="113" customFormat="1" ht="11.25" hidden="1">
      <c r="A330" s="165" t="s">
        <v>226</v>
      </c>
      <c r="B330" s="112"/>
      <c r="C330" s="112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EB330" s="114"/>
      <c r="EC330" s="114"/>
      <c r="ED330" s="114"/>
      <c r="EE330" s="114"/>
      <c r="EF330" s="114"/>
      <c r="EG330" s="114"/>
    </row>
    <row r="331" spans="1:137" s="113" customFormat="1" ht="22.5" hidden="1">
      <c r="A331" s="72" t="s">
        <v>359</v>
      </c>
      <c r="B331" s="112"/>
      <c r="C331" s="112"/>
      <c r="D331" s="74">
        <f>D327/D329</f>
        <v>1639.344262295082</v>
      </c>
      <c r="E331" s="74"/>
      <c r="F331" s="74">
        <f>D331</f>
        <v>1639.344262295082</v>
      </c>
      <c r="G331" s="74">
        <f>G327/G329</f>
        <v>1744.1860465116279</v>
      </c>
      <c r="H331" s="74"/>
      <c r="I331" s="74"/>
      <c r="J331" s="74">
        <f>G331</f>
        <v>1744.1860465116279</v>
      </c>
      <c r="K331" s="74"/>
      <c r="L331" s="74"/>
      <c r="M331" s="74"/>
      <c r="N331" s="74">
        <f>N327/N329</f>
        <v>1851.851851851852</v>
      </c>
      <c r="O331" s="74"/>
      <c r="P331" s="74">
        <f>N331</f>
        <v>1851.851851851852</v>
      </c>
      <c r="EB331" s="114"/>
      <c r="EC331" s="114"/>
      <c r="ED331" s="114"/>
      <c r="EE331" s="114"/>
      <c r="EF331" s="114"/>
      <c r="EG331" s="114"/>
    </row>
    <row r="332" spans="1:137" s="75" customFormat="1" ht="46.5" customHeight="1" hidden="1">
      <c r="A332" s="85" t="s">
        <v>521</v>
      </c>
      <c r="B332" s="73"/>
      <c r="C332" s="73"/>
      <c r="D332" s="81">
        <f>D334</f>
        <v>413500</v>
      </c>
      <c r="E332" s="81"/>
      <c r="F332" s="81">
        <f>D332</f>
        <v>413500</v>
      </c>
      <c r="G332" s="81">
        <f>G334</f>
        <v>250000</v>
      </c>
      <c r="H332" s="81"/>
      <c r="I332" s="81"/>
      <c r="J332" s="81">
        <f>G332</f>
        <v>250000</v>
      </c>
      <c r="K332" s="81"/>
      <c r="L332" s="81"/>
      <c r="M332" s="81"/>
      <c r="N332" s="81">
        <f>N334</f>
        <v>300000</v>
      </c>
      <c r="O332" s="81"/>
      <c r="P332" s="81">
        <f>N332</f>
        <v>300000</v>
      </c>
      <c r="EB332" s="76"/>
      <c r="EC332" s="76"/>
      <c r="ED332" s="76"/>
      <c r="EE332" s="76"/>
      <c r="EF332" s="76"/>
      <c r="EG332" s="76"/>
    </row>
    <row r="333" spans="1:137" s="113" customFormat="1" ht="21.75" customHeight="1" hidden="1">
      <c r="A333" s="3" t="s">
        <v>77</v>
      </c>
      <c r="B333" s="112"/>
      <c r="C333" s="112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EB333" s="114"/>
      <c r="EC333" s="114"/>
      <c r="ED333" s="114"/>
      <c r="EE333" s="114"/>
      <c r="EF333" s="114"/>
      <c r="EG333" s="114"/>
    </row>
    <row r="334" spans="1:137" s="113" customFormat="1" ht="33" customHeight="1" hidden="1">
      <c r="A334" s="72" t="s">
        <v>360</v>
      </c>
      <c r="B334" s="112"/>
      <c r="C334" s="112"/>
      <c r="D334" s="74">
        <f>200000+213500</f>
        <v>413500</v>
      </c>
      <c r="E334" s="74"/>
      <c r="F334" s="74">
        <f>D334</f>
        <v>413500</v>
      </c>
      <c r="G334" s="74">
        <v>250000</v>
      </c>
      <c r="H334" s="74"/>
      <c r="I334" s="74"/>
      <c r="J334" s="74">
        <f>G334</f>
        <v>250000</v>
      </c>
      <c r="K334" s="74"/>
      <c r="L334" s="74"/>
      <c r="M334" s="74"/>
      <c r="N334" s="74">
        <v>300000</v>
      </c>
      <c r="O334" s="74"/>
      <c r="P334" s="74">
        <f>N334</f>
        <v>300000</v>
      </c>
      <c r="EB334" s="114"/>
      <c r="EC334" s="114"/>
      <c r="ED334" s="114"/>
      <c r="EE334" s="114"/>
      <c r="EF334" s="114"/>
      <c r="EG334" s="114"/>
    </row>
    <row r="335" spans="1:137" s="113" customFormat="1" ht="11.25" hidden="1">
      <c r="A335" s="165" t="s">
        <v>275</v>
      </c>
      <c r="B335" s="112"/>
      <c r="C335" s="112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EB335" s="114"/>
      <c r="EC335" s="114"/>
      <c r="ED335" s="114"/>
      <c r="EE335" s="114"/>
      <c r="EF335" s="114"/>
      <c r="EG335" s="114"/>
    </row>
    <row r="336" spans="1:137" s="113" customFormat="1" ht="22.5" hidden="1">
      <c r="A336" s="72" t="s">
        <v>361</v>
      </c>
      <c r="B336" s="112"/>
      <c r="C336" s="112"/>
      <c r="D336" s="74">
        <v>685</v>
      </c>
      <c r="E336" s="74"/>
      <c r="F336" s="74">
        <f>D336</f>
        <v>685</v>
      </c>
      <c r="G336" s="74">
        <v>802</v>
      </c>
      <c r="H336" s="74"/>
      <c r="I336" s="74"/>
      <c r="J336" s="74">
        <f>G336</f>
        <v>802</v>
      </c>
      <c r="K336" s="74"/>
      <c r="L336" s="74"/>
      <c r="M336" s="74"/>
      <c r="N336" s="74">
        <v>908</v>
      </c>
      <c r="O336" s="74"/>
      <c r="P336" s="74">
        <f>N336</f>
        <v>908</v>
      </c>
      <c r="EB336" s="114"/>
      <c r="EC336" s="114"/>
      <c r="ED336" s="114"/>
      <c r="EE336" s="114"/>
      <c r="EF336" s="114"/>
      <c r="EG336" s="114"/>
    </row>
    <row r="337" spans="1:137" s="113" customFormat="1" ht="11.25" hidden="1">
      <c r="A337" s="165" t="s">
        <v>226</v>
      </c>
      <c r="B337" s="112"/>
      <c r="C337" s="112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EB337" s="114"/>
      <c r="EC337" s="114"/>
      <c r="ED337" s="114"/>
      <c r="EE337" s="114"/>
      <c r="EF337" s="114"/>
      <c r="EG337" s="114"/>
    </row>
    <row r="338" spans="1:137" s="113" customFormat="1" ht="22.5" hidden="1">
      <c r="A338" s="72" t="s">
        <v>362</v>
      </c>
      <c r="B338" s="112"/>
      <c r="C338" s="112"/>
      <c r="D338" s="74">
        <f>D334/D336</f>
        <v>603.6496350364963</v>
      </c>
      <c r="E338" s="74"/>
      <c r="F338" s="74">
        <f>D338</f>
        <v>603.6496350364963</v>
      </c>
      <c r="G338" s="74">
        <f>G334/G336</f>
        <v>311.7206982543641</v>
      </c>
      <c r="H338" s="74"/>
      <c r="I338" s="74"/>
      <c r="J338" s="74">
        <f>G338</f>
        <v>311.7206982543641</v>
      </c>
      <c r="K338" s="74"/>
      <c r="L338" s="74"/>
      <c r="M338" s="74"/>
      <c r="N338" s="74">
        <f>N334/N336</f>
        <v>330.3964757709251</v>
      </c>
      <c r="O338" s="74"/>
      <c r="P338" s="74">
        <f>N338</f>
        <v>330.3964757709251</v>
      </c>
      <c r="EB338" s="114"/>
      <c r="EC338" s="114"/>
      <c r="ED338" s="114"/>
      <c r="EE338" s="114"/>
      <c r="EF338" s="114"/>
      <c r="EG338" s="114"/>
    </row>
    <row r="339" spans="1:137" s="113" customFormat="1" ht="45.75" customHeight="1" hidden="1">
      <c r="A339" s="85" t="s">
        <v>522</v>
      </c>
      <c r="B339" s="112"/>
      <c r="C339" s="112"/>
      <c r="D339" s="81">
        <f>D341</f>
        <v>1500000</v>
      </c>
      <c r="E339" s="81"/>
      <c r="F339" s="81">
        <f>D339</f>
        <v>1500000</v>
      </c>
      <c r="G339" s="81">
        <f>G341</f>
        <v>1500000</v>
      </c>
      <c r="H339" s="81"/>
      <c r="I339" s="81"/>
      <c r="J339" s="81">
        <f>G339</f>
        <v>1500000</v>
      </c>
      <c r="K339" s="81"/>
      <c r="L339" s="81"/>
      <c r="M339" s="81"/>
      <c r="N339" s="81">
        <f>N341</f>
        <v>1500000</v>
      </c>
      <c r="O339" s="81"/>
      <c r="P339" s="81">
        <f>N339</f>
        <v>1500000</v>
      </c>
      <c r="EB339" s="114"/>
      <c r="EC339" s="114"/>
      <c r="ED339" s="114"/>
      <c r="EE339" s="114"/>
      <c r="EF339" s="114"/>
      <c r="EG339" s="114"/>
    </row>
    <row r="340" spans="1:137" s="113" customFormat="1" ht="21.75" customHeight="1" hidden="1">
      <c r="A340" s="3" t="s">
        <v>77</v>
      </c>
      <c r="B340" s="112"/>
      <c r="C340" s="112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EB340" s="114"/>
      <c r="EC340" s="114"/>
      <c r="ED340" s="114"/>
      <c r="EE340" s="114"/>
      <c r="EF340" s="114"/>
      <c r="EG340" s="114"/>
    </row>
    <row r="341" spans="1:137" s="113" customFormat="1" ht="37.5" customHeight="1" hidden="1">
      <c r="A341" s="72" t="s">
        <v>363</v>
      </c>
      <c r="B341" s="112"/>
      <c r="C341" s="112"/>
      <c r="D341" s="74">
        <f>1000000+500000</f>
        <v>1500000</v>
      </c>
      <c r="E341" s="74"/>
      <c r="F341" s="74">
        <f>D341</f>
        <v>1500000</v>
      </c>
      <c r="G341" s="74">
        <v>1500000</v>
      </c>
      <c r="H341" s="74"/>
      <c r="I341" s="74"/>
      <c r="J341" s="74">
        <f>G341</f>
        <v>1500000</v>
      </c>
      <c r="K341" s="74"/>
      <c r="L341" s="74"/>
      <c r="M341" s="74"/>
      <c r="N341" s="74">
        <v>1500000</v>
      </c>
      <c r="O341" s="74"/>
      <c r="P341" s="74">
        <f>N341</f>
        <v>1500000</v>
      </c>
      <c r="EB341" s="114"/>
      <c r="EC341" s="114"/>
      <c r="ED341" s="114"/>
      <c r="EE341" s="114"/>
      <c r="EF341" s="114"/>
      <c r="EG341" s="114"/>
    </row>
    <row r="342" spans="1:137" s="113" customFormat="1" ht="22.5" customHeight="1" hidden="1">
      <c r="A342" s="165" t="s">
        <v>275</v>
      </c>
      <c r="B342" s="112"/>
      <c r="C342" s="112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EB342" s="114"/>
      <c r="EC342" s="114"/>
      <c r="ED342" s="114"/>
      <c r="EE342" s="114"/>
      <c r="EF342" s="114"/>
      <c r="EG342" s="114"/>
    </row>
    <row r="343" spans="1:137" s="113" customFormat="1" ht="22.5" hidden="1">
      <c r="A343" s="72" t="s">
        <v>361</v>
      </c>
      <c r="B343" s="112"/>
      <c r="C343" s="112"/>
      <c r="D343" s="74">
        <f>3425+50</f>
        <v>3475</v>
      </c>
      <c r="E343" s="74"/>
      <c r="F343" s="74">
        <f>D343</f>
        <v>3475</v>
      </c>
      <c r="G343" s="74">
        <v>4812.01</v>
      </c>
      <c r="H343" s="74"/>
      <c r="I343" s="74"/>
      <c r="J343" s="74">
        <f>G343</f>
        <v>4812.01</v>
      </c>
      <c r="K343" s="74"/>
      <c r="L343" s="74"/>
      <c r="M343" s="74"/>
      <c r="N343" s="74">
        <v>4539.95</v>
      </c>
      <c r="O343" s="74"/>
      <c r="P343" s="74">
        <f>N343</f>
        <v>4539.95</v>
      </c>
      <c r="EB343" s="114"/>
      <c r="EC343" s="114"/>
      <c r="ED343" s="114"/>
      <c r="EE343" s="114"/>
      <c r="EF343" s="114"/>
      <c r="EG343" s="114"/>
    </row>
    <row r="344" spans="1:137" s="113" customFormat="1" ht="11.25" hidden="1">
      <c r="A344" s="165" t="s">
        <v>226</v>
      </c>
      <c r="B344" s="112"/>
      <c r="C344" s="112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EB344" s="114"/>
      <c r="EC344" s="114"/>
      <c r="ED344" s="114"/>
      <c r="EE344" s="114"/>
      <c r="EF344" s="114"/>
      <c r="EG344" s="114"/>
    </row>
    <row r="345" spans="1:137" s="113" customFormat="1" ht="22.5" hidden="1">
      <c r="A345" s="72" t="s">
        <v>362</v>
      </c>
      <c r="B345" s="112"/>
      <c r="C345" s="112"/>
      <c r="D345" s="74">
        <f>D341/D343</f>
        <v>431.6546762589928</v>
      </c>
      <c r="E345" s="74"/>
      <c r="F345" s="74">
        <f>D345</f>
        <v>431.6546762589928</v>
      </c>
      <c r="G345" s="74">
        <f>G341/G343</f>
        <v>311.7200504570855</v>
      </c>
      <c r="H345" s="74"/>
      <c r="I345" s="74"/>
      <c r="J345" s="74">
        <f>G345</f>
        <v>311.7200504570855</v>
      </c>
      <c r="K345" s="74"/>
      <c r="L345" s="74"/>
      <c r="M345" s="74"/>
      <c r="N345" s="74">
        <f>N341/N343</f>
        <v>330.40011453870636</v>
      </c>
      <c r="O345" s="74"/>
      <c r="P345" s="74">
        <f>N345</f>
        <v>330.40011453870636</v>
      </c>
      <c r="EB345" s="114"/>
      <c r="EC345" s="114"/>
      <c r="ED345" s="114"/>
      <c r="EE345" s="114"/>
      <c r="EF345" s="114"/>
      <c r="EG345" s="114"/>
    </row>
    <row r="346" spans="1:137" s="113" customFormat="1" ht="39" customHeight="1" hidden="1">
      <c r="A346" s="85" t="s">
        <v>414</v>
      </c>
      <c r="B346" s="112"/>
      <c r="C346" s="112"/>
      <c r="D346" s="74">
        <f>D348</f>
        <v>400000</v>
      </c>
      <c r="E346" s="74"/>
      <c r="F346" s="74">
        <f>D346</f>
        <v>400000</v>
      </c>
      <c r="G346" s="74">
        <f>G348</f>
        <v>750000</v>
      </c>
      <c r="H346" s="74"/>
      <c r="I346" s="74"/>
      <c r="J346" s="74">
        <f>G346</f>
        <v>750000</v>
      </c>
      <c r="K346" s="74"/>
      <c r="L346" s="74"/>
      <c r="M346" s="74"/>
      <c r="N346" s="74">
        <f>N348</f>
        <v>850000</v>
      </c>
      <c r="O346" s="74"/>
      <c r="P346" s="74">
        <f>N346</f>
        <v>850000</v>
      </c>
      <c r="EB346" s="114"/>
      <c r="EC346" s="114"/>
      <c r="ED346" s="114"/>
      <c r="EE346" s="114"/>
      <c r="EF346" s="114"/>
      <c r="EG346" s="114"/>
    </row>
    <row r="347" spans="1:137" s="113" customFormat="1" ht="11.25" hidden="1">
      <c r="A347" s="3" t="s">
        <v>77</v>
      </c>
      <c r="B347" s="112"/>
      <c r="C347" s="112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EB347" s="114"/>
      <c r="EC347" s="114"/>
      <c r="ED347" s="114"/>
      <c r="EE347" s="114"/>
      <c r="EF347" s="114"/>
      <c r="EG347" s="114"/>
    </row>
    <row r="348" spans="1:137" s="113" customFormat="1" ht="33" customHeight="1" hidden="1">
      <c r="A348" s="72" t="s">
        <v>364</v>
      </c>
      <c r="B348" s="112"/>
      <c r="C348" s="112"/>
      <c r="D348" s="74">
        <f>650000-250000</f>
        <v>400000</v>
      </c>
      <c r="E348" s="74"/>
      <c r="F348" s="74">
        <f>D348</f>
        <v>400000</v>
      </c>
      <c r="G348" s="74">
        <v>750000</v>
      </c>
      <c r="H348" s="74"/>
      <c r="I348" s="74"/>
      <c r="J348" s="74">
        <f>G348</f>
        <v>750000</v>
      </c>
      <c r="K348" s="74"/>
      <c r="L348" s="74"/>
      <c r="M348" s="74"/>
      <c r="N348" s="74">
        <v>850000</v>
      </c>
      <c r="O348" s="74"/>
      <c r="P348" s="74">
        <f>N348</f>
        <v>850000</v>
      </c>
      <c r="EB348" s="114"/>
      <c r="EC348" s="114"/>
      <c r="ED348" s="114"/>
      <c r="EE348" s="114"/>
      <c r="EF348" s="114"/>
      <c r="EG348" s="114"/>
    </row>
    <row r="349" spans="1:137" s="113" customFormat="1" ht="11.25" hidden="1">
      <c r="A349" s="165" t="s">
        <v>275</v>
      </c>
      <c r="B349" s="112"/>
      <c r="C349" s="112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EB349" s="114"/>
      <c r="EC349" s="114"/>
      <c r="ED349" s="114"/>
      <c r="EE349" s="114"/>
      <c r="EF349" s="114"/>
      <c r="EG349" s="114"/>
    </row>
    <row r="350" spans="1:137" s="113" customFormat="1" ht="22.5" hidden="1">
      <c r="A350" s="72" t="s">
        <v>365</v>
      </c>
      <c r="B350" s="112"/>
      <c r="C350" s="112"/>
      <c r="D350" s="74">
        <v>321.6</v>
      </c>
      <c r="E350" s="74"/>
      <c r="F350" s="74">
        <f>D350</f>
        <v>321.6</v>
      </c>
      <c r="G350" s="74">
        <v>321.6</v>
      </c>
      <c r="H350" s="74"/>
      <c r="I350" s="74"/>
      <c r="J350" s="74">
        <f>G350</f>
        <v>321.6</v>
      </c>
      <c r="K350" s="74"/>
      <c r="L350" s="74"/>
      <c r="M350" s="74"/>
      <c r="N350" s="74">
        <v>321.6</v>
      </c>
      <c r="O350" s="74"/>
      <c r="P350" s="74">
        <f>N350</f>
        <v>321.6</v>
      </c>
      <c r="EB350" s="114"/>
      <c r="EC350" s="114"/>
      <c r="ED350" s="114"/>
      <c r="EE350" s="114"/>
      <c r="EF350" s="114"/>
      <c r="EG350" s="114"/>
    </row>
    <row r="351" spans="1:137" s="113" customFormat="1" ht="11.25" hidden="1">
      <c r="A351" s="165" t="s">
        <v>226</v>
      </c>
      <c r="B351" s="112"/>
      <c r="C351" s="112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EB351" s="114"/>
      <c r="EC351" s="114"/>
      <c r="ED351" s="114"/>
      <c r="EE351" s="114"/>
      <c r="EF351" s="114"/>
      <c r="EG351" s="114"/>
    </row>
    <row r="352" spans="1:137" s="185" customFormat="1" ht="22.5" hidden="1">
      <c r="A352" s="72" t="s">
        <v>366</v>
      </c>
      <c r="B352" s="184"/>
      <c r="C352" s="184"/>
      <c r="D352" s="74">
        <f>D348/D350</f>
        <v>1243.7810945273632</v>
      </c>
      <c r="E352" s="74"/>
      <c r="F352" s="74">
        <f>D352</f>
        <v>1243.7810945273632</v>
      </c>
      <c r="G352" s="74">
        <f>G348/G350</f>
        <v>2332.089552238806</v>
      </c>
      <c r="H352" s="74"/>
      <c r="I352" s="74"/>
      <c r="J352" s="74">
        <f>G352</f>
        <v>2332.089552238806</v>
      </c>
      <c r="K352" s="74"/>
      <c r="L352" s="74"/>
      <c r="M352" s="74"/>
      <c r="N352" s="74">
        <f>N348/N350</f>
        <v>2643.0348258706467</v>
      </c>
      <c r="O352" s="74"/>
      <c r="P352" s="74">
        <f>N352</f>
        <v>2643.0348258706467</v>
      </c>
      <c r="EB352" s="186"/>
      <c r="EC352" s="186"/>
      <c r="ED352" s="186"/>
      <c r="EE352" s="186"/>
      <c r="EF352" s="186"/>
      <c r="EG352" s="186"/>
    </row>
    <row r="353" spans="1:137" s="191" customFormat="1" ht="34.5" customHeight="1" hidden="1">
      <c r="A353" s="194" t="s">
        <v>415</v>
      </c>
      <c r="B353" s="190"/>
      <c r="C353" s="190"/>
      <c r="D353" s="193">
        <f>D354+D361+D368+D375+D384+D393+D402+D411+D420+D429+D436</f>
        <v>14895600</v>
      </c>
      <c r="E353" s="193">
        <f aca="true" t="shared" si="25" ref="E353:P353">E354+E361+E368+E375+E384+E393+E402+E411+E420+E429+E436</f>
        <v>0</v>
      </c>
      <c r="F353" s="193">
        <f t="shared" si="25"/>
        <v>14895600</v>
      </c>
      <c r="G353" s="193">
        <f t="shared" si="25"/>
        <v>11654665</v>
      </c>
      <c r="H353" s="193">
        <f t="shared" si="25"/>
        <v>0</v>
      </c>
      <c r="I353" s="193">
        <f t="shared" si="25"/>
        <v>0</v>
      </c>
      <c r="J353" s="193">
        <f t="shared" si="25"/>
        <v>11654665</v>
      </c>
      <c r="K353" s="193" t="e">
        <f t="shared" si="25"/>
        <v>#REF!</v>
      </c>
      <c r="L353" s="193" t="e">
        <f t="shared" si="25"/>
        <v>#REF!</v>
      </c>
      <c r="M353" s="193" t="e">
        <f t="shared" si="25"/>
        <v>#REF!</v>
      </c>
      <c r="N353" s="193">
        <f t="shared" si="25"/>
        <v>11486200</v>
      </c>
      <c r="O353" s="193">
        <f t="shared" si="25"/>
        <v>0</v>
      </c>
      <c r="P353" s="193">
        <f t="shared" si="25"/>
        <v>11486200</v>
      </c>
      <c r="Q353" s="193" t="e">
        <f>Q354+Q361+Q368+#REF!+Q384+Q393+Q402+#REF!+Q420+Q429+Q436+#REF!</f>
        <v>#REF!</v>
      </c>
      <c r="EB353" s="192"/>
      <c r="EC353" s="192"/>
      <c r="ED353" s="192"/>
      <c r="EE353" s="192"/>
      <c r="EF353" s="192"/>
      <c r="EG353" s="192"/>
    </row>
    <row r="354" spans="1:137" s="185" customFormat="1" ht="22.5" hidden="1">
      <c r="A354" s="85" t="s">
        <v>478</v>
      </c>
      <c r="B354" s="184"/>
      <c r="C354" s="184"/>
      <c r="D354" s="81">
        <f>D356</f>
        <v>550000</v>
      </c>
      <c r="E354" s="81"/>
      <c r="F354" s="81">
        <f>D354</f>
        <v>550000</v>
      </c>
      <c r="G354" s="81">
        <f>G356</f>
        <v>755300</v>
      </c>
      <c r="H354" s="81"/>
      <c r="I354" s="81"/>
      <c r="J354" s="81">
        <f>G354</f>
        <v>755300</v>
      </c>
      <c r="K354" s="81"/>
      <c r="L354" s="81"/>
      <c r="M354" s="81"/>
      <c r="N354" s="81">
        <f>N356</f>
        <v>835000</v>
      </c>
      <c r="O354" s="81"/>
      <c r="P354" s="81">
        <f>N354</f>
        <v>835000</v>
      </c>
      <c r="EB354" s="186"/>
      <c r="EC354" s="186"/>
      <c r="ED354" s="186"/>
      <c r="EE354" s="186"/>
      <c r="EF354" s="186"/>
      <c r="EG354" s="186"/>
    </row>
    <row r="355" spans="1:137" s="185" customFormat="1" ht="11.25" hidden="1">
      <c r="A355" s="3" t="s">
        <v>77</v>
      </c>
      <c r="B355" s="184"/>
      <c r="C355" s="18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EB355" s="186"/>
      <c r="EC355" s="186"/>
      <c r="ED355" s="186"/>
      <c r="EE355" s="186"/>
      <c r="EF355" s="186"/>
      <c r="EG355" s="186"/>
    </row>
    <row r="356" spans="1:137" s="185" customFormat="1" ht="33" customHeight="1" hidden="1">
      <c r="A356" s="72" t="s">
        <v>367</v>
      </c>
      <c r="B356" s="184"/>
      <c r="C356" s="184"/>
      <c r="D356" s="74">
        <f>677400-127400</f>
        <v>550000</v>
      </c>
      <c r="E356" s="74"/>
      <c r="F356" s="74">
        <f>D356</f>
        <v>550000</v>
      </c>
      <c r="G356" s="74">
        <v>755300</v>
      </c>
      <c r="H356" s="74"/>
      <c r="I356" s="74"/>
      <c r="J356" s="74">
        <f>G356</f>
        <v>755300</v>
      </c>
      <c r="K356" s="74"/>
      <c r="L356" s="74"/>
      <c r="M356" s="74"/>
      <c r="N356" s="74">
        <v>835000</v>
      </c>
      <c r="O356" s="74"/>
      <c r="P356" s="74">
        <f>N356</f>
        <v>835000</v>
      </c>
      <c r="EB356" s="186"/>
      <c r="EC356" s="186"/>
      <c r="ED356" s="186"/>
      <c r="EE356" s="186"/>
      <c r="EF356" s="186"/>
      <c r="EG356" s="186"/>
    </row>
    <row r="357" spans="1:137" s="185" customFormat="1" ht="11.25" hidden="1">
      <c r="A357" s="165" t="s">
        <v>275</v>
      </c>
      <c r="B357" s="184"/>
      <c r="C357" s="18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EB357" s="186"/>
      <c r="EC357" s="186"/>
      <c r="ED357" s="186"/>
      <c r="EE357" s="186"/>
      <c r="EF357" s="186"/>
      <c r="EG357" s="186"/>
    </row>
    <row r="358" spans="1:137" s="185" customFormat="1" ht="33.75" hidden="1">
      <c r="A358" s="72" t="s">
        <v>544</v>
      </c>
      <c r="B358" s="184"/>
      <c r="C358" s="184"/>
      <c r="D358" s="74">
        <v>12</v>
      </c>
      <c r="E358" s="74"/>
      <c r="F358" s="74">
        <f>D358</f>
        <v>12</v>
      </c>
      <c r="G358" s="74">
        <v>12</v>
      </c>
      <c r="H358" s="74"/>
      <c r="I358" s="74"/>
      <c r="J358" s="74">
        <f>G358</f>
        <v>12</v>
      </c>
      <c r="K358" s="74"/>
      <c r="L358" s="74"/>
      <c r="M358" s="74"/>
      <c r="N358" s="74">
        <v>12</v>
      </c>
      <c r="O358" s="74"/>
      <c r="P358" s="74">
        <f>N358</f>
        <v>12</v>
      </c>
      <c r="EB358" s="186"/>
      <c r="EC358" s="186"/>
      <c r="ED358" s="186"/>
      <c r="EE358" s="186"/>
      <c r="EF358" s="186"/>
      <c r="EG358" s="186"/>
    </row>
    <row r="359" spans="1:137" s="185" customFormat="1" ht="11.25" hidden="1">
      <c r="A359" s="165" t="s">
        <v>226</v>
      </c>
      <c r="B359" s="184"/>
      <c r="C359" s="18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EB359" s="186"/>
      <c r="EC359" s="186"/>
      <c r="ED359" s="186"/>
      <c r="EE359" s="186"/>
      <c r="EF359" s="186"/>
      <c r="EG359" s="186"/>
    </row>
    <row r="360" spans="1:137" s="185" customFormat="1" ht="29.25" customHeight="1" hidden="1">
      <c r="A360" s="72" t="s">
        <v>368</v>
      </c>
      <c r="B360" s="184"/>
      <c r="C360" s="184"/>
      <c r="D360" s="74">
        <f>D356/D358</f>
        <v>45833.333333333336</v>
      </c>
      <c r="E360" s="74"/>
      <c r="F360" s="74">
        <f>D360</f>
        <v>45833.333333333336</v>
      </c>
      <c r="G360" s="74">
        <f>G356/G358</f>
        <v>62941.666666666664</v>
      </c>
      <c r="H360" s="74"/>
      <c r="I360" s="74"/>
      <c r="J360" s="74">
        <f>G360</f>
        <v>62941.666666666664</v>
      </c>
      <c r="K360" s="74"/>
      <c r="L360" s="74"/>
      <c r="M360" s="74"/>
      <c r="N360" s="74">
        <f>N356/N358</f>
        <v>69583.33333333333</v>
      </c>
      <c r="O360" s="74"/>
      <c r="P360" s="74">
        <f>N360</f>
        <v>69583.33333333333</v>
      </c>
      <c r="EB360" s="186"/>
      <c r="EC360" s="186"/>
      <c r="ED360" s="186"/>
      <c r="EE360" s="186"/>
      <c r="EF360" s="186"/>
      <c r="EG360" s="186"/>
    </row>
    <row r="361" spans="1:137" s="185" customFormat="1" ht="42.75" customHeight="1" hidden="1">
      <c r="A361" s="85" t="s">
        <v>416</v>
      </c>
      <c r="B361" s="184"/>
      <c r="C361" s="184"/>
      <c r="D361" s="81">
        <f>D363</f>
        <v>91700</v>
      </c>
      <c r="E361" s="81"/>
      <c r="F361" s="81">
        <f>D361</f>
        <v>91700</v>
      </c>
      <c r="G361" s="81">
        <f>G363</f>
        <v>115300</v>
      </c>
      <c r="H361" s="81"/>
      <c r="I361" s="81"/>
      <c r="J361" s="81">
        <f>G361</f>
        <v>115300</v>
      </c>
      <c r="K361" s="81"/>
      <c r="L361" s="81"/>
      <c r="M361" s="81"/>
      <c r="N361" s="81">
        <f>N363</f>
        <v>122300</v>
      </c>
      <c r="O361" s="81"/>
      <c r="P361" s="81">
        <f>N361</f>
        <v>122300</v>
      </c>
      <c r="EB361" s="186"/>
      <c r="EC361" s="186"/>
      <c r="ED361" s="186"/>
      <c r="EE361" s="186"/>
      <c r="EF361" s="186"/>
      <c r="EG361" s="186"/>
    </row>
    <row r="362" spans="1:137" s="185" customFormat="1" ht="11.25" hidden="1">
      <c r="A362" s="3" t="s">
        <v>77</v>
      </c>
      <c r="B362" s="184"/>
      <c r="C362" s="18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EB362" s="186"/>
      <c r="EC362" s="186"/>
      <c r="ED362" s="186"/>
      <c r="EE362" s="186"/>
      <c r="EF362" s="186"/>
      <c r="EG362" s="186"/>
    </row>
    <row r="363" spans="1:137" s="185" customFormat="1" ht="51.75" customHeight="1" hidden="1">
      <c r="A363" s="72" t="s">
        <v>369</v>
      </c>
      <c r="B363" s="184"/>
      <c r="C363" s="184"/>
      <c r="D363" s="74">
        <f>150000-58300</f>
        <v>91700</v>
      </c>
      <c r="E363" s="74"/>
      <c r="F363" s="74">
        <f>D363</f>
        <v>91700</v>
      </c>
      <c r="G363" s="74">
        <v>115300</v>
      </c>
      <c r="H363" s="74"/>
      <c r="I363" s="74"/>
      <c r="J363" s="74">
        <f>G363</f>
        <v>115300</v>
      </c>
      <c r="K363" s="74"/>
      <c r="L363" s="74"/>
      <c r="M363" s="74"/>
      <c r="N363" s="74">
        <v>122300</v>
      </c>
      <c r="O363" s="74"/>
      <c r="P363" s="74">
        <f>N363</f>
        <v>122300</v>
      </c>
      <c r="EB363" s="186"/>
      <c r="EC363" s="186"/>
      <c r="ED363" s="186"/>
      <c r="EE363" s="186"/>
      <c r="EF363" s="186"/>
      <c r="EG363" s="186"/>
    </row>
    <row r="364" spans="1:137" s="185" customFormat="1" ht="11.25" hidden="1">
      <c r="A364" s="165" t="s">
        <v>275</v>
      </c>
      <c r="B364" s="184"/>
      <c r="C364" s="18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EB364" s="186"/>
      <c r="EC364" s="186"/>
      <c r="ED364" s="186"/>
      <c r="EE364" s="186"/>
      <c r="EF364" s="186"/>
      <c r="EG364" s="186"/>
    </row>
    <row r="365" spans="1:137" s="185" customFormat="1" ht="38.25" customHeight="1" hidden="1">
      <c r="A365" s="72" t="s">
        <v>545</v>
      </c>
      <c r="B365" s="184"/>
      <c r="C365" s="184"/>
      <c r="D365" s="74">
        <v>12</v>
      </c>
      <c r="E365" s="74"/>
      <c r="F365" s="74">
        <f>D365</f>
        <v>12</v>
      </c>
      <c r="G365" s="74">
        <v>12</v>
      </c>
      <c r="H365" s="74"/>
      <c r="I365" s="74"/>
      <c r="J365" s="74">
        <f>G365</f>
        <v>12</v>
      </c>
      <c r="K365" s="74"/>
      <c r="L365" s="74"/>
      <c r="M365" s="74"/>
      <c r="N365" s="74">
        <v>12</v>
      </c>
      <c r="O365" s="74"/>
      <c r="P365" s="74">
        <f>N365</f>
        <v>12</v>
      </c>
      <c r="EB365" s="186"/>
      <c r="EC365" s="186"/>
      <c r="ED365" s="186"/>
      <c r="EE365" s="186"/>
      <c r="EF365" s="186"/>
      <c r="EG365" s="186"/>
    </row>
    <row r="366" spans="1:137" s="185" customFormat="1" ht="11.25" hidden="1">
      <c r="A366" s="165" t="s">
        <v>226</v>
      </c>
      <c r="B366" s="184"/>
      <c r="C366" s="18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EB366" s="186"/>
      <c r="EC366" s="186"/>
      <c r="ED366" s="186"/>
      <c r="EE366" s="186"/>
      <c r="EF366" s="186"/>
      <c r="EG366" s="186"/>
    </row>
    <row r="367" spans="1:137" s="185" customFormat="1" ht="34.5" customHeight="1" hidden="1">
      <c r="A367" s="123" t="s">
        <v>370</v>
      </c>
      <c r="B367" s="184"/>
      <c r="C367" s="184"/>
      <c r="D367" s="74">
        <f>D363/D365</f>
        <v>7641.666666666667</v>
      </c>
      <c r="E367" s="74"/>
      <c r="F367" s="74">
        <f>D367</f>
        <v>7641.666666666667</v>
      </c>
      <c r="G367" s="74">
        <f>G363/G365</f>
        <v>9608.333333333334</v>
      </c>
      <c r="H367" s="74"/>
      <c r="I367" s="74"/>
      <c r="J367" s="74">
        <f>G367</f>
        <v>9608.333333333334</v>
      </c>
      <c r="K367" s="74"/>
      <c r="L367" s="74"/>
      <c r="M367" s="74"/>
      <c r="N367" s="74">
        <f>N363/N365</f>
        <v>10191.666666666666</v>
      </c>
      <c r="O367" s="74"/>
      <c r="P367" s="74">
        <f>N367</f>
        <v>10191.666666666666</v>
      </c>
      <c r="EB367" s="186"/>
      <c r="EC367" s="186"/>
      <c r="ED367" s="186"/>
      <c r="EE367" s="186"/>
      <c r="EF367" s="186"/>
      <c r="EG367" s="186"/>
    </row>
    <row r="368" spans="1:137" s="185" customFormat="1" ht="33.75" hidden="1">
      <c r="A368" s="85" t="s">
        <v>479</v>
      </c>
      <c r="B368" s="184"/>
      <c r="C368" s="184"/>
      <c r="D368" s="81">
        <f>D370</f>
        <v>110000</v>
      </c>
      <c r="E368" s="81"/>
      <c r="F368" s="81">
        <f>D368</f>
        <v>110000</v>
      </c>
      <c r="G368" s="81">
        <f>G370</f>
        <v>79400</v>
      </c>
      <c r="H368" s="81"/>
      <c r="I368" s="81"/>
      <c r="J368" s="81">
        <f>G368</f>
        <v>79400</v>
      </c>
      <c r="K368" s="81"/>
      <c r="L368" s="81"/>
      <c r="M368" s="81"/>
      <c r="N368" s="81">
        <f>N370</f>
        <v>84200</v>
      </c>
      <c r="O368" s="81"/>
      <c r="P368" s="81">
        <f>N368</f>
        <v>84200</v>
      </c>
      <c r="EB368" s="186"/>
      <c r="EC368" s="186"/>
      <c r="ED368" s="186"/>
      <c r="EE368" s="186"/>
      <c r="EF368" s="186"/>
      <c r="EG368" s="186"/>
    </row>
    <row r="369" spans="1:137" s="185" customFormat="1" ht="18" customHeight="1" hidden="1">
      <c r="A369" s="3" t="s">
        <v>77</v>
      </c>
      <c r="B369" s="184"/>
      <c r="C369" s="18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EB369" s="186"/>
      <c r="EC369" s="186"/>
      <c r="ED369" s="186"/>
      <c r="EE369" s="186"/>
      <c r="EF369" s="186"/>
      <c r="EG369" s="186"/>
    </row>
    <row r="370" spans="1:137" s="185" customFormat="1" ht="26.25" customHeight="1" hidden="1">
      <c r="A370" s="72" t="s">
        <v>452</v>
      </c>
      <c r="B370" s="184"/>
      <c r="C370" s="184"/>
      <c r="D370" s="74">
        <f>74400+35600</f>
        <v>110000</v>
      </c>
      <c r="E370" s="74"/>
      <c r="F370" s="74">
        <f>D370</f>
        <v>110000</v>
      </c>
      <c r="G370" s="74">
        <v>79400</v>
      </c>
      <c r="H370" s="74"/>
      <c r="I370" s="74"/>
      <c r="J370" s="74">
        <f>G370</f>
        <v>79400</v>
      </c>
      <c r="K370" s="74"/>
      <c r="L370" s="74"/>
      <c r="M370" s="74"/>
      <c r="N370" s="74">
        <v>84200</v>
      </c>
      <c r="O370" s="74"/>
      <c r="P370" s="74">
        <f>N370</f>
        <v>84200</v>
      </c>
      <c r="EB370" s="186"/>
      <c r="EC370" s="186"/>
      <c r="ED370" s="186"/>
      <c r="EE370" s="186"/>
      <c r="EF370" s="186"/>
      <c r="EG370" s="186"/>
    </row>
    <row r="371" spans="1:137" s="185" customFormat="1" ht="15.75" customHeight="1" hidden="1">
      <c r="A371" s="165" t="s">
        <v>275</v>
      </c>
      <c r="B371" s="184"/>
      <c r="C371" s="18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EB371" s="186"/>
      <c r="EC371" s="186"/>
      <c r="ED371" s="186"/>
      <c r="EE371" s="186"/>
      <c r="EF371" s="186"/>
      <c r="EG371" s="186"/>
    </row>
    <row r="372" spans="1:137" s="185" customFormat="1" ht="32.25" customHeight="1" hidden="1">
      <c r="A372" s="72" t="s">
        <v>453</v>
      </c>
      <c r="B372" s="184"/>
      <c r="C372" s="184"/>
      <c r="D372" s="176">
        <f>D370/D374</f>
        <v>33950.61728395062</v>
      </c>
      <c r="E372" s="74"/>
      <c r="F372" s="176">
        <f>D372</f>
        <v>33950.61728395062</v>
      </c>
      <c r="G372" s="176">
        <f>G370/G374</f>
        <v>23014.492753623188</v>
      </c>
      <c r="H372" s="176"/>
      <c r="I372" s="176"/>
      <c r="J372" s="176">
        <f>G372</f>
        <v>23014.492753623188</v>
      </c>
      <c r="K372" s="176"/>
      <c r="L372" s="176"/>
      <c r="M372" s="176"/>
      <c r="N372" s="176">
        <f>N370/N374</f>
        <v>23068.49315068493</v>
      </c>
      <c r="O372" s="176"/>
      <c r="P372" s="176">
        <f>N372</f>
        <v>23068.49315068493</v>
      </c>
      <c r="EB372" s="186"/>
      <c r="EC372" s="186"/>
      <c r="ED372" s="186"/>
      <c r="EE372" s="186"/>
      <c r="EF372" s="186"/>
      <c r="EG372" s="186"/>
    </row>
    <row r="373" spans="1:137" s="185" customFormat="1" ht="16.5" customHeight="1" hidden="1">
      <c r="A373" s="165" t="s">
        <v>226</v>
      </c>
      <c r="B373" s="184"/>
      <c r="C373" s="18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EB373" s="186"/>
      <c r="EC373" s="186"/>
      <c r="ED373" s="186"/>
      <c r="EE373" s="186"/>
      <c r="EF373" s="186"/>
      <c r="EG373" s="186"/>
    </row>
    <row r="374" spans="1:137" s="185" customFormat="1" ht="27.75" customHeight="1" hidden="1">
      <c r="A374" s="72" t="s">
        <v>454</v>
      </c>
      <c r="B374" s="184"/>
      <c r="C374" s="184"/>
      <c r="D374" s="74">
        <v>3.24</v>
      </c>
      <c r="E374" s="74"/>
      <c r="F374" s="74">
        <f>D374</f>
        <v>3.24</v>
      </c>
      <c r="G374" s="74">
        <v>3.45</v>
      </c>
      <c r="H374" s="74"/>
      <c r="I374" s="74"/>
      <c r="J374" s="74">
        <f>G374</f>
        <v>3.45</v>
      </c>
      <c r="K374" s="74"/>
      <c r="L374" s="74"/>
      <c r="M374" s="74"/>
      <c r="N374" s="74">
        <v>3.65</v>
      </c>
      <c r="O374" s="74"/>
      <c r="P374" s="74">
        <f>N374</f>
        <v>3.65</v>
      </c>
      <c r="EB374" s="186"/>
      <c r="EC374" s="186"/>
      <c r="ED374" s="186"/>
      <c r="EE374" s="186"/>
      <c r="EF374" s="186"/>
      <c r="EG374" s="186"/>
    </row>
    <row r="375" spans="1:137" s="118" customFormat="1" ht="22.5" hidden="1">
      <c r="A375" s="85" t="s">
        <v>455</v>
      </c>
      <c r="B375" s="77"/>
      <c r="C375" s="77"/>
      <c r="D375" s="81">
        <f>D376*D379+D377*D380</f>
        <v>2900000</v>
      </c>
      <c r="E375" s="81">
        <f>E376*E379+E377*E380</f>
        <v>0</v>
      </c>
      <c r="F375" s="81">
        <f>D375</f>
        <v>2900000</v>
      </c>
      <c r="G375" s="81">
        <f>G376*G379+G377*G380</f>
        <v>4660365</v>
      </c>
      <c r="H375" s="81">
        <f>H376*H379+H377*H380</f>
        <v>0</v>
      </c>
      <c r="I375" s="81">
        <v>0</v>
      </c>
      <c r="J375" s="81">
        <f>G375+H375</f>
        <v>4660365</v>
      </c>
      <c r="K375" s="81" t="e">
        <f>(K376*K379)+(K377*K380)+(#REF!*#REF!)</f>
        <v>#REF!</v>
      </c>
      <c r="L375" s="81" t="e">
        <f>(L376*L379)+(L377*L380)+(#REF!*#REF!)</f>
        <v>#REF!</v>
      </c>
      <c r="M375" s="81" t="e">
        <f>(M376*M379)+(M377*M380)+(#REF!*#REF!)</f>
        <v>#REF!</v>
      </c>
      <c r="N375" s="81">
        <f>N376*N379+N377*N380</f>
        <v>4072100</v>
      </c>
      <c r="O375" s="81">
        <f>O376*O379+O377*O380</f>
        <v>0</v>
      </c>
      <c r="P375" s="81">
        <f>N375+O375</f>
        <v>4072100</v>
      </c>
      <c r="Q375" s="81" t="e">
        <f>(Q376*Q379)+(Q377*Q380)+(#REF!*#REF!)</f>
        <v>#REF!</v>
      </c>
      <c r="EB375" s="87"/>
      <c r="EC375" s="87"/>
      <c r="ED375" s="87"/>
      <c r="EE375" s="87"/>
      <c r="EF375" s="87"/>
      <c r="EG375" s="87"/>
    </row>
    <row r="376" spans="1:137" s="185" customFormat="1" ht="22.5" hidden="1">
      <c r="A376" s="72" t="s">
        <v>55</v>
      </c>
      <c r="B376" s="73"/>
      <c r="C376" s="73"/>
      <c r="D376" s="74">
        <v>8</v>
      </c>
      <c r="E376" s="74"/>
      <c r="F376" s="74">
        <f>D376+E376</f>
        <v>8</v>
      </c>
      <c r="G376" s="74">
        <v>8</v>
      </c>
      <c r="H376" s="74"/>
      <c r="I376" s="74"/>
      <c r="J376" s="74">
        <f>G376+H376</f>
        <v>8</v>
      </c>
      <c r="K376" s="74"/>
      <c r="L376" s="74"/>
      <c r="M376" s="74"/>
      <c r="N376" s="74">
        <v>8</v>
      </c>
      <c r="O376" s="74"/>
      <c r="P376" s="74">
        <f>N376+O376</f>
        <v>8</v>
      </c>
      <c r="EB376" s="186"/>
      <c r="EC376" s="186"/>
      <c r="ED376" s="186"/>
      <c r="EE376" s="186"/>
      <c r="EF376" s="186"/>
      <c r="EG376" s="186"/>
    </row>
    <row r="377" spans="1:137" s="185" customFormat="1" ht="22.5" customHeight="1" hidden="1">
      <c r="A377" s="72" t="s">
        <v>56</v>
      </c>
      <c r="B377" s="73"/>
      <c r="C377" s="73"/>
      <c r="D377" s="74">
        <v>8</v>
      </c>
      <c r="E377" s="74"/>
      <c r="F377" s="74">
        <f>D377+E377</f>
        <v>8</v>
      </c>
      <c r="G377" s="74">
        <f>D377</f>
        <v>8</v>
      </c>
      <c r="H377" s="74"/>
      <c r="I377" s="74"/>
      <c r="J377" s="74">
        <f>G377+H377</f>
        <v>8</v>
      </c>
      <c r="K377" s="74"/>
      <c r="L377" s="74"/>
      <c r="M377" s="74"/>
      <c r="N377" s="74">
        <v>5</v>
      </c>
      <c r="O377" s="74"/>
      <c r="P377" s="74">
        <f>N377+O377</f>
        <v>5</v>
      </c>
      <c r="EB377" s="186"/>
      <c r="EC377" s="186"/>
      <c r="ED377" s="186"/>
      <c r="EE377" s="186"/>
      <c r="EF377" s="186"/>
      <c r="EG377" s="186"/>
    </row>
    <row r="378" spans="1:137" s="185" customFormat="1" ht="12" customHeight="1" hidden="1">
      <c r="A378" s="165" t="s">
        <v>5</v>
      </c>
      <c r="B378" s="83"/>
      <c r="C378" s="83"/>
      <c r="D378" s="84"/>
      <c r="E378" s="84"/>
      <c r="F378" s="74"/>
      <c r="G378" s="84"/>
      <c r="H378" s="84"/>
      <c r="I378" s="74"/>
      <c r="J378" s="74"/>
      <c r="K378" s="74"/>
      <c r="L378" s="74"/>
      <c r="M378" s="74"/>
      <c r="N378" s="84"/>
      <c r="O378" s="84"/>
      <c r="P378" s="74"/>
      <c r="EB378" s="186"/>
      <c r="EC378" s="186"/>
      <c r="ED378" s="186"/>
      <c r="EE378" s="186"/>
      <c r="EF378" s="186"/>
      <c r="EG378" s="186"/>
    </row>
    <row r="379" spans="1:137" s="185" customFormat="1" ht="22.5" customHeight="1" hidden="1">
      <c r="A379" s="72" t="s">
        <v>371</v>
      </c>
      <c r="B379" s="73"/>
      <c r="C379" s="73"/>
      <c r="D379" s="74">
        <v>191300</v>
      </c>
      <c r="E379" s="74"/>
      <c r="F379" s="74">
        <f>D379+E379</f>
        <v>191300</v>
      </c>
      <c r="G379" s="74">
        <v>299790.625</v>
      </c>
      <c r="H379" s="74"/>
      <c r="I379" s="74"/>
      <c r="J379" s="74">
        <f>G379+H379</f>
        <v>299790.625</v>
      </c>
      <c r="K379" s="74"/>
      <c r="L379" s="74"/>
      <c r="M379" s="74"/>
      <c r="N379" s="74">
        <v>321687.3125</v>
      </c>
      <c r="O379" s="74"/>
      <c r="P379" s="74">
        <f>N379+O379</f>
        <v>321687.3125</v>
      </c>
      <c r="EB379" s="186"/>
      <c r="EC379" s="186"/>
      <c r="ED379" s="186"/>
      <c r="EE379" s="186"/>
      <c r="EF379" s="186"/>
      <c r="EG379" s="186"/>
    </row>
    <row r="380" spans="1:137" s="185" customFormat="1" ht="22.5" customHeight="1" hidden="1">
      <c r="A380" s="72" t="s">
        <v>372</v>
      </c>
      <c r="B380" s="73"/>
      <c r="C380" s="73"/>
      <c r="D380" s="74">
        <v>171200</v>
      </c>
      <c r="E380" s="74"/>
      <c r="F380" s="74">
        <f>D380+E380</f>
        <v>171200</v>
      </c>
      <c r="G380" s="74">
        <v>282755</v>
      </c>
      <c r="H380" s="74"/>
      <c r="I380" s="74"/>
      <c r="J380" s="74">
        <f>G380+H380</f>
        <v>282755</v>
      </c>
      <c r="K380" s="74"/>
      <c r="L380" s="74"/>
      <c r="M380" s="74"/>
      <c r="N380" s="74">
        <v>299720.3</v>
      </c>
      <c r="O380" s="74"/>
      <c r="P380" s="74">
        <f>N380+O380</f>
        <v>299720.3</v>
      </c>
      <c r="EB380" s="186"/>
      <c r="EC380" s="186"/>
      <c r="ED380" s="186"/>
      <c r="EE380" s="186"/>
      <c r="EF380" s="186"/>
      <c r="EG380" s="186"/>
    </row>
    <row r="381" spans="1:137" s="185" customFormat="1" ht="11.25" hidden="1">
      <c r="A381" s="165" t="s">
        <v>4</v>
      </c>
      <c r="B381" s="73"/>
      <c r="C381" s="73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EB381" s="186"/>
      <c r="EC381" s="186"/>
      <c r="ED381" s="186"/>
      <c r="EE381" s="186"/>
      <c r="EF381" s="186"/>
      <c r="EG381" s="186"/>
    </row>
    <row r="382" spans="1:137" s="185" customFormat="1" ht="33.75" hidden="1">
      <c r="A382" s="72" t="s">
        <v>57</v>
      </c>
      <c r="B382" s="73"/>
      <c r="C382" s="73"/>
      <c r="D382" s="74"/>
      <c r="E382" s="74"/>
      <c r="F382" s="74">
        <f>D382+E382</f>
        <v>0</v>
      </c>
      <c r="G382" s="74">
        <f>G379/F379*100</f>
        <v>156.71229743857816</v>
      </c>
      <c r="H382" s="74"/>
      <c r="I382" s="74"/>
      <c r="J382" s="74">
        <f>G382+H382</f>
        <v>156.71229743857816</v>
      </c>
      <c r="K382" s="74"/>
      <c r="L382" s="74"/>
      <c r="M382" s="74"/>
      <c r="N382" s="74">
        <f>N379/J379*100</f>
        <v>107.30399341206885</v>
      </c>
      <c r="O382" s="74"/>
      <c r="P382" s="74">
        <f>N382+O382</f>
        <v>107.30399341206885</v>
      </c>
      <c r="EB382" s="186"/>
      <c r="EC382" s="186"/>
      <c r="ED382" s="186"/>
      <c r="EE382" s="186"/>
      <c r="EF382" s="186"/>
      <c r="EG382" s="186"/>
    </row>
    <row r="383" spans="1:137" s="185" customFormat="1" ht="33.75" hidden="1">
      <c r="A383" s="72" t="s">
        <v>58</v>
      </c>
      <c r="B383" s="73"/>
      <c r="C383" s="73"/>
      <c r="D383" s="74"/>
      <c r="E383" s="74"/>
      <c r="F383" s="74">
        <f>D383+E383</f>
        <v>0</v>
      </c>
      <c r="G383" s="74">
        <f>G380/D380*100</f>
        <v>165.1606308411215</v>
      </c>
      <c r="H383" s="74"/>
      <c r="I383" s="74"/>
      <c r="J383" s="74">
        <f>G383+H383</f>
        <v>165.1606308411215</v>
      </c>
      <c r="K383" s="74"/>
      <c r="L383" s="74"/>
      <c r="M383" s="74"/>
      <c r="N383" s="74">
        <f>N380/G380*100</f>
        <v>106</v>
      </c>
      <c r="O383" s="74"/>
      <c r="P383" s="74">
        <f>N383+O383</f>
        <v>106</v>
      </c>
      <c r="EB383" s="186"/>
      <c r="EC383" s="186"/>
      <c r="ED383" s="186"/>
      <c r="EE383" s="186"/>
      <c r="EF383" s="186"/>
      <c r="EG383" s="186"/>
    </row>
    <row r="384" spans="1:137" s="75" customFormat="1" ht="22.5" hidden="1">
      <c r="A384" s="85" t="s">
        <v>417</v>
      </c>
      <c r="B384" s="73"/>
      <c r="C384" s="73"/>
      <c r="D384" s="81">
        <f>D386</f>
        <v>1600000</v>
      </c>
      <c r="E384" s="81"/>
      <c r="F384" s="81">
        <f>D384</f>
        <v>1600000</v>
      </c>
      <c r="G384" s="81">
        <f>G386</f>
        <v>2216400</v>
      </c>
      <c r="H384" s="81"/>
      <c r="I384" s="81"/>
      <c r="J384" s="81">
        <f>G384</f>
        <v>2216400</v>
      </c>
      <c r="K384" s="81"/>
      <c r="L384" s="81"/>
      <c r="M384" s="81"/>
      <c r="N384" s="81">
        <f>N386</f>
        <v>2289700</v>
      </c>
      <c r="O384" s="81"/>
      <c r="P384" s="81">
        <f>N384</f>
        <v>2289700</v>
      </c>
      <c r="EB384" s="76"/>
      <c r="EC384" s="76"/>
      <c r="ED384" s="76"/>
      <c r="EE384" s="76"/>
      <c r="EF384" s="76"/>
      <c r="EG384" s="76"/>
    </row>
    <row r="385" spans="1:137" s="185" customFormat="1" ht="19.5" customHeight="1" hidden="1">
      <c r="A385" s="3" t="s">
        <v>77</v>
      </c>
      <c r="B385" s="184"/>
      <c r="C385" s="18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EB385" s="186"/>
      <c r="EC385" s="186"/>
      <c r="ED385" s="186"/>
      <c r="EE385" s="186"/>
      <c r="EF385" s="186"/>
      <c r="EG385" s="186"/>
    </row>
    <row r="386" spans="1:137" s="185" customFormat="1" ht="29.25" customHeight="1" hidden="1">
      <c r="A386" s="72" t="s">
        <v>375</v>
      </c>
      <c r="B386" s="184"/>
      <c r="C386" s="184"/>
      <c r="D386" s="74">
        <f>2140300-540300</f>
        <v>1600000</v>
      </c>
      <c r="E386" s="74"/>
      <c r="F386" s="74">
        <f>D386</f>
        <v>1600000</v>
      </c>
      <c r="G386" s="74">
        <v>2216400</v>
      </c>
      <c r="H386" s="74"/>
      <c r="I386" s="74"/>
      <c r="J386" s="74">
        <f>G386</f>
        <v>2216400</v>
      </c>
      <c r="K386" s="74"/>
      <c r="L386" s="74"/>
      <c r="M386" s="74"/>
      <c r="N386" s="74">
        <v>2289700</v>
      </c>
      <c r="O386" s="74"/>
      <c r="P386" s="74">
        <f>N386</f>
        <v>2289700</v>
      </c>
      <c r="EB386" s="186"/>
      <c r="EC386" s="186"/>
      <c r="ED386" s="186"/>
      <c r="EE386" s="186"/>
      <c r="EF386" s="186"/>
      <c r="EG386" s="186"/>
    </row>
    <row r="387" spans="1:137" s="185" customFormat="1" ht="11.25" hidden="1">
      <c r="A387" s="165" t="s">
        <v>275</v>
      </c>
      <c r="B387" s="184"/>
      <c r="C387" s="18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EB387" s="186"/>
      <c r="EC387" s="186"/>
      <c r="ED387" s="186"/>
      <c r="EE387" s="186"/>
      <c r="EF387" s="186"/>
      <c r="EG387" s="186"/>
    </row>
    <row r="388" spans="1:137" s="185" customFormat="1" ht="11.25" hidden="1">
      <c r="A388" s="72" t="s">
        <v>378</v>
      </c>
      <c r="B388" s="184"/>
      <c r="C388" s="184"/>
      <c r="D388" s="74">
        <v>7</v>
      </c>
      <c r="E388" s="74"/>
      <c r="F388" s="74">
        <f>D388</f>
        <v>7</v>
      </c>
      <c r="G388" s="74">
        <v>7</v>
      </c>
      <c r="H388" s="74"/>
      <c r="I388" s="74"/>
      <c r="J388" s="74">
        <f>G388</f>
        <v>7</v>
      </c>
      <c r="K388" s="74"/>
      <c r="L388" s="74"/>
      <c r="M388" s="74"/>
      <c r="N388" s="74">
        <v>7</v>
      </c>
      <c r="O388" s="74"/>
      <c r="P388" s="74">
        <f>N388</f>
        <v>7</v>
      </c>
      <c r="EB388" s="186"/>
      <c r="EC388" s="186"/>
      <c r="ED388" s="186"/>
      <c r="EE388" s="186"/>
      <c r="EF388" s="186"/>
      <c r="EG388" s="186"/>
    </row>
    <row r="389" spans="1:137" s="185" customFormat="1" ht="11.25" hidden="1">
      <c r="A389" s="165" t="s">
        <v>226</v>
      </c>
      <c r="B389" s="184"/>
      <c r="C389" s="18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EB389" s="186"/>
      <c r="EC389" s="186"/>
      <c r="ED389" s="186"/>
      <c r="EE389" s="186"/>
      <c r="EF389" s="186"/>
      <c r="EG389" s="186"/>
    </row>
    <row r="390" spans="1:137" s="185" customFormat="1" ht="29.25" customHeight="1" hidden="1">
      <c r="A390" s="72" t="s">
        <v>376</v>
      </c>
      <c r="B390" s="184"/>
      <c r="C390" s="184"/>
      <c r="D390" s="74">
        <f>D386/D388</f>
        <v>228571.42857142858</v>
      </c>
      <c r="E390" s="74"/>
      <c r="F390" s="74">
        <f>D390</f>
        <v>228571.42857142858</v>
      </c>
      <c r="G390" s="74">
        <f>G386/G388</f>
        <v>316628.5714285714</v>
      </c>
      <c r="H390" s="74"/>
      <c r="I390" s="74"/>
      <c r="J390" s="74">
        <f>G390</f>
        <v>316628.5714285714</v>
      </c>
      <c r="K390" s="74"/>
      <c r="L390" s="74"/>
      <c r="M390" s="74"/>
      <c r="N390" s="74">
        <f>N386/N388</f>
        <v>327100</v>
      </c>
      <c r="O390" s="74"/>
      <c r="P390" s="74">
        <f>N390</f>
        <v>327100</v>
      </c>
      <c r="EB390" s="186"/>
      <c r="EC390" s="186"/>
      <c r="ED390" s="186"/>
      <c r="EE390" s="186"/>
      <c r="EF390" s="186"/>
      <c r="EG390" s="186"/>
    </row>
    <row r="391" spans="1:137" s="185" customFormat="1" ht="16.5" customHeight="1" hidden="1">
      <c r="A391" s="165" t="s">
        <v>374</v>
      </c>
      <c r="B391" s="184"/>
      <c r="C391" s="18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EB391" s="186"/>
      <c r="EC391" s="186"/>
      <c r="ED391" s="186"/>
      <c r="EE391" s="186"/>
      <c r="EF391" s="186"/>
      <c r="EG391" s="186"/>
    </row>
    <row r="392" spans="1:137" s="185" customFormat="1" ht="33" customHeight="1" hidden="1">
      <c r="A392" s="72" t="s">
        <v>377</v>
      </c>
      <c r="B392" s="184"/>
      <c r="C392" s="184"/>
      <c r="D392" s="74"/>
      <c r="E392" s="74"/>
      <c r="F392" s="74"/>
      <c r="G392" s="74">
        <f>G390/D390*100</f>
        <v>138.52499999999998</v>
      </c>
      <c r="H392" s="74"/>
      <c r="I392" s="74"/>
      <c r="J392" s="74">
        <f>G392</f>
        <v>138.52499999999998</v>
      </c>
      <c r="K392" s="74"/>
      <c r="L392" s="74"/>
      <c r="M392" s="74"/>
      <c r="N392" s="74">
        <f>N390/G390*100</f>
        <v>103.30716477170185</v>
      </c>
      <c r="O392" s="74"/>
      <c r="P392" s="74">
        <f>N392</f>
        <v>103.30716477170185</v>
      </c>
      <c r="EB392" s="186"/>
      <c r="EC392" s="186"/>
      <c r="ED392" s="186"/>
      <c r="EE392" s="186"/>
      <c r="EF392" s="186"/>
      <c r="EG392" s="186"/>
    </row>
    <row r="393" spans="1:137" s="185" customFormat="1" ht="21" customHeight="1" hidden="1">
      <c r="A393" s="85" t="s">
        <v>418</v>
      </c>
      <c r="B393" s="184"/>
      <c r="C393" s="184"/>
      <c r="D393" s="81">
        <f>D395</f>
        <v>500000</v>
      </c>
      <c r="E393" s="81"/>
      <c r="F393" s="81">
        <f>D393</f>
        <v>500000</v>
      </c>
      <c r="G393" s="81">
        <f>G395</f>
        <v>550000</v>
      </c>
      <c r="H393" s="81"/>
      <c r="I393" s="81"/>
      <c r="J393" s="81">
        <f>G393</f>
        <v>550000</v>
      </c>
      <c r="K393" s="81"/>
      <c r="L393" s="81"/>
      <c r="M393" s="81"/>
      <c r="N393" s="81">
        <f>N395</f>
        <v>600000</v>
      </c>
      <c r="O393" s="81"/>
      <c r="P393" s="81">
        <f>N393</f>
        <v>600000</v>
      </c>
      <c r="EB393" s="186"/>
      <c r="EC393" s="186"/>
      <c r="ED393" s="186"/>
      <c r="EE393" s="186"/>
      <c r="EF393" s="186"/>
      <c r="EG393" s="186"/>
    </row>
    <row r="394" spans="1:137" s="185" customFormat="1" ht="16.5" customHeight="1" hidden="1">
      <c r="A394" s="3" t="s">
        <v>77</v>
      </c>
      <c r="B394" s="184"/>
      <c r="C394" s="18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EB394" s="186"/>
      <c r="EC394" s="186"/>
      <c r="ED394" s="186"/>
      <c r="EE394" s="186"/>
      <c r="EF394" s="186"/>
      <c r="EG394" s="186"/>
    </row>
    <row r="395" spans="1:137" s="185" customFormat="1" ht="29.25" customHeight="1" hidden="1">
      <c r="A395" s="72" t="s">
        <v>379</v>
      </c>
      <c r="B395" s="184"/>
      <c r="C395" s="184"/>
      <c r="D395" s="74">
        <v>500000</v>
      </c>
      <c r="E395" s="74"/>
      <c r="F395" s="74">
        <f>D395</f>
        <v>500000</v>
      </c>
      <c r="G395" s="74">
        <v>550000</v>
      </c>
      <c r="H395" s="74"/>
      <c r="I395" s="74"/>
      <c r="J395" s="74">
        <f>G395</f>
        <v>550000</v>
      </c>
      <c r="K395" s="74"/>
      <c r="L395" s="74"/>
      <c r="M395" s="74"/>
      <c r="N395" s="74">
        <v>600000</v>
      </c>
      <c r="O395" s="74"/>
      <c r="P395" s="74">
        <f>N395</f>
        <v>600000</v>
      </c>
      <c r="EB395" s="186"/>
      <c r="EC395" s="186"/>
      <c r="ED395" s="186"/>
      <c r="EE395" s="186"/>
      <c r="EF395" s="186"/>
      <c r="EG395" s="186"/>
    </row>
    <row r="396" spans="1:137" s="185" customFormat="1" ht="18.75" customHeight="1" hidden="1">
      <c r="A396" s="165" t="s">
        <v>275</v>
      </c>
      <c r="B396" s="184"/>
      <c r="C396" s="18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EB396" s="186"/>
      <c r="EC396" s="186"/>
      <c r="ED396" s="186"/>
      <c r="EE396" s="186"/>
      <c r="EF396" s="186"/>
      <c r="EG396" s="186"/>
    </row>
    <row r="397" spans="1:137" s="185" customFormat="1" ht="22.5" hidden="1">
      <c r="A397" s="72" t="s">
        <v>382</v>
      </c>
      <c r="B397" s="184"/>
      <c r="C397" s="184"/>
      <c r="D397" s="74">
        <f>D395/D399</f>
        <v>35971.22302158273</v>
      </c>
      <c r="E397" s="74"/>
      <c r="F397" s="74">
        <f>D397</f>
        <v>35971.22302158273</v>
      </c>
      <c r="G397" s="74">
        <v>35971.22</v>
      </c>
      <c r="H397" s="74"/>
      <c r="I397" s="74"/>
      <c r="J397" s="74">
        <f>G397</f>
        <v>35971.22</v>
      </c>
      <c r="K397" s="74"/>
      <c r="L397" s="74"/>
      <c r="M397" s="74"/>
      <c r="N397" s="74">
        <v>35971.22</v>
      </c>
      <c r="O397" s="74"/>
      <c r="P397" s="74">
        <f>N397</f>
        <v>35971.22</v>
      </c>
      <c r="EB397" s="186"/>
      <c r="EC397" s="186"/>
      <c r="ED397" s="186"/>
      <c r="EE397" s="186"/>
      <c r="EF397" s="186"/>
      <c r="EG397" s="186"/>
    </row>
    <row r="398" spans="1:137" s="185" customFormat="1" ht="11.25" hidden="1">
      <c r="A398" s="165" t="s">
        <v>226</v>
      </c>
      <c r="B398" s="184"/>
      <c r="C398" s="18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EB398" s="186"/>
      <c r="EC398" s="186"/>
      <c r="ED398" s="186"/>
      <c r="EE398" s="186"/>
      <c r="EF398" s="186"/>
      <c r="EG398" s="186"/>
    </row>
    <row r="399" spans="1:137" s="185" customFormat="1" ht="11.25" hidden="1">
      <c r="A399" s="72" t="s">
        <v>380</v>
      </c>
      <c r="B399" s="184"/>
      <c r="C399" s="184"/>
      <c r="D399" s="74">
        <v>13.9</v>
      </c>
      <c r="E399" s="74"/>
      <c r="F399" s="74">
        <f>D399</f>
        <v>13.9</v>
      </c>
      <c r="G399" s="74">
        <f>G395/G397</f>
        <v>15.290001284360107</v>
      </c>
      <c r="H399" s="74"/>
      <c r="I399" s="74"/>
      <c r="J399" s="74">
        <f>G399</f>
        <v>15.290001284360107</v>
      </c>
      <c r="K399" s="74"/>
      <c r="L399" s="74"/>
      <c r="M399" s="74"/>
      <c r="N399" s="74">
        <f>N395/N397</f>
        <v>16.680001401120116</v>
      </c>
      <c r="O399" s="74"/>
      <c r="P399" s="74">
        <f>N399</f>
        <v>16.680001401120116</v>
      </c>
      <c r="EB399" s="186"/>
      <c r="EC399" s="186"/>
      <c r="ED399" s="186"/>
      <c r="EE399" s="186"/>
      <c r="EF399" s="186"/>
      <c r="EG399" s="186"/>
    </row>
    <row r="400" spans="1:137" s="185" customFormat="1" ht="11.25" hidden="1">
      <c r="A400" s="165" t="s">
        <v>374</v>
      </c>
      <c r="B400" s="184"/>
      <c r="C400" s="18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EB400" s="186"/>
      <c r="EC400" s="186"/>
      <c r="ED400" s="186"/>
      <c r="EE400" s="186"/>
      <c r="EF400" s="186"/>
      <c r="EG400" s="186"/>
    </row>
    <row r="401" spans="1:137" s="185" customFormat="1" ht="29.25" customHeight="1" hidden="1">
      <c r="A401" s="72" t="s">
        <v>381</v>
      </c>
      <c r="B401" s="184"/>
      <c r="C401" s="184"/>
      <c r="D401" s="74"/>
      <c r="E401" s="74"/>
      <c r="F401" s="74"/>
      <c r="G401" s="74">
        <f>G399/D399*100</f>
        <v>110.00000924000078</v>
      </c>
      <c r="H401" s="74"/>
      <c r="I401" s="74"/>
      <c r="J401" s="74">
        <f>G401</f>
        <v>110.00000924000078</v>
      </c>
      <c r="K401" s="74"/>
      <c r="L401" s="74"/>
      <c r="M401" s="74"/>
      <c r="N401" s="74">
        <f>N399/G399*100</f>
        <v>109.09090909090908</v>
      </c>
      <c r="O401" s="74"/>
      <c r="P401" s="74">
        <f>N401</f>
        <v>109.09090909090908</v>
      </c>
      <c r="EB401" s="186"/>
      <c r="EC401" s="186"/>
      <c r="ED401" s="186"/>
      <c r="EE401" s="186"/>
      <c r="EF401" s="186"/>
      <c r="EG401" s="186"/>
    </row>
    <row r="402" spans="1:137" s="75" customFormat="1" ht="29.25" customHeight="1" hidden="1">
      <c r="A402" s="85" t="s">
        <v>419</v>
      </c>
      <c r="B402" s="73"/>
      <c r="C402" s="73"/>
      <c r="D402" s="81">
        <f>D404</f>
        <v>8200000</v>
      </c>
      <c r="E402" s="81"/>
      <c r="F402" s="81">
        <f>D402</f>
        <v>8200000</v>
      </c>
      <c r="G402" s="81">
        <f>G404</f>
        <v>2423200</v>
      </c>
      <c r="H402" s="81"/>
      <c r="I402" s="81"/>
      <c r="J402" s="81">
        <f>G402</f>
        <v>2423200</v>
      </c>
      <c r="K402" s="81"/>
      <c r="L402" s="81"/>
      <c r="M402" s="81"/>
      <c r="N402" s="81">
        <f>N404</f>
        <v>2568600</v>
      </c>
      <c r="O402" s="81"/>
      <c r="P402" s="81">
        <f>N402</f>
        <v>2568600</v>
      </c>
      <c r="EB402" s="76"/>
      <c r="EC402" s="76"/>
      <c r="ED402" s="76"/>
      <c r="EE402" s="76"/>
      <c r="EF402" s="76"/>
      <c r="EG402" s="76"/>
    </row>
    <row r="403" spans="1:137" s="185" customFormat="1" ht="20.25" customHeight="1" hidden="1">
      <c r="A403" s="3" t="s">
        <v>77</v>
      </c>
      <c r="B403" s="184"/>
      <c r="C403" s="18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EB403" s="186"/>
      <c r="EC403" s="186"/>
      <c r="ED403" s="186"/>
      <c r="EE403" s="186"/>
      <c r="EF403" s="186"/>
      <c r="EG403" s="186"/>
    </row>
    <row r="404" spans="1:137" s="185" customFormat="1" ht="29.25" customHeight="1" hidden="1">
      <c r="A404" s="72" t="s">
        <v>383</v>
      </c>
      <c r="B404" s="184"/>
      <c r="C404" s="184"/>
      <c r="D404" s="74">
        <f>2271100+300000+3579000+2049900</f>
        <v>8200000</v>
      </c>
      <c r="E404" s="74"/>
      <c r="F404" s="74">
        <f>D404</f>
        <v>8200000</v>
      </c>
      <c r="G404" s="74">
        <v>2423200</v>
      </c>
      <c r="H404" s="74"/>
      <c r="I404" s="74"/>
      <c r="J404" s="74">
        <f>G404</f>
        <v>2423200</v>
      </c>
      <c r="K404" s="74"/>
      <c r="L404" s="74"/>
      <c r="M404" s="74"/>
      <c r="N404" s="74">
        <v>2568600</v>
      </c>
      <c r="O404" s="74"/>
      <c r="P404" s="74">
        <f>N404</f>
        <v>2568600</v>
      </c>
      <c r="EB404" s="186"/>
      <c r="EC404" s="186"/>
      <c r="ED404" s="186"/>
      <c r="EE404" s="186"/>
      <c r="EF404" s="186"/>
      <c r="EG404" s="186"/>
    </row>
    <row r="405" spans="1:137" s="185" customFormat="1" ht="11.25" hidden="1">
      <c r="A405" s="165" t="s">
        <v>275</v>
      </c>
      <c r="B405" s="184"/>
      <c r="C405" s="18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EB405" s="186"/>
      <c r="EC405" s="186"/>
      <c r="ED405" s="186"/>
      <c r="EE405" s="186"/>
      <c r="EF405" s="186"/>
      <c r="EG405" s="186"/>
    </row>
    <row r="406" spans="1:137" s="185" customFormat="1" ht="29.25" customHeight="1" hidden="1">
      <c r="A406" s="72" t="s">
        <v>384</v>
      </c>
      <c r="B406" s="184"/>
      <c r="C406" s="184"/>
      <c r="D406" s="74">
        <v>186</v>
      </c>
      <c r="E406" s="74"/>
      <c r="F406" s="74">
        <f>D406</f>
        <v>186</v>
      </c>
      <c r="G406" s="74">
        <v>186</v>
      </c>
      <c r="H406" s="74"/>
      <c r="I406" s="74"/>
      <c r="J406" s="74">
        <f>G406</f>
        <v>186</v>
      </c>
      <c r="K406" s="74"/>
      <c r="L406" s="74"/>
      <c r="M406" s="74"/>
      <c r="N406" s="74">
        <v>186</v>
      </c>
      <c r="O406" s="74"/>
      <c r="P406" s="74">
        <f>N406</f>
        <v>186</v>
      </c>
      <c r="EB406" s="186"/>
      <c r="EC406" s="186"/>
      <c r="ED406" s="186"/>
      <c r="EE406" s="186"/>
      <c r="EF406" s="186"/>
      <c r="EG406" s="186"/>
    </row>
    <row r="407" spans="1:137" s="185" customFormat="1" ht="11.25" hidden="1">
      <c r="A407" s="165" t="s">
        <v>226</v>
      </c>
      <c r="B407" s="184"/>
      <c r="C407" s="18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EB407" s="186"/>
      <c r="EC407" s="186"/>
      <c r="ED407" s="186"/>
      <c r="EE407" s="186"/>
      <c r="EF407" s="186"/>
      <c r="EG407" s="186"/>
    </row>
    <row r="408" spans="1:137" s="185" customFormat="1" ht="29.25" customHeight="1" hidden="1">
      <c r="A408" s="72" t="s">
        <v>385</v>
      </c>
      <c r="B408" s="184"/>
      <c r="C408" s="184"/>
      <c r="D408" s="74">
        <f>D404/D406</f>
        <v>44086.021505376346</v>
      </c>
      <c r="E408" s="74"/>
      <c r="F408" s="74">
        <f>D408</f>
        <v>44086.021505376346</v>
      </c>
      <c r="G408" s="74">
        <f>G404/G406</f>
        <v>13027.956989247312</v>
      </c>
      <c r="H408" s="74"/>
      <c r="I408" s="74"/>
      <c r="J408" s="74">
        <f>G408</f>
        <v>13027.956989247312</v>
      </c>
      <c r="K408" s="74"/>
      <c r="L408" s="74"/>
      <c r="M408" s="74"/>
      <c r="N408" s="74">
        <f>N404/N406</f>
        <v>13809.677419354839</v>
      </c>
      <c r="O408" s="74"/>
      <c r="P408" s="74">
        <f>N408</f>
        <v>13809.677419354839</v>
      </c>
      <c r="EB408" s="186"/>
      <c r="EC408" s="186"/>
      <c r="ED408" s="186"/>
      <c r="EE408" s="186"/>
      <c r="EF408" s="186"/>
      <c r="EG408" s="186"/>
    </row>
    <row r="409" spans="1:137" s="185" customFormat="1" ht="11.25" hidden="1">
      <c r="A409" s="165" t="s">
        <v>374</v>
      </c>
      <c r="B409" s="184"/>
      <c r="C409" s="18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EB409" s="186"/>
      <c r="EC409" s="186"/>
      <c r="ED409" s="186"/>
      <c r="EE409" s="186"/>
      <c r="EF409" s="186"/>
      <c r="EG409" s="186"/>
    </row>
    <row r="410" spans="1:137" s="185" customFormat="1" ht="45" hidden="1">
      <c r="A410" s="72" t="s">
        <v>386</v>
      </c>
      <c r="B410" s="184"/>
      <c r="C410" s="184"/>
      <c r="D410" s="74"/>
      <c r="E410" s="74"/>
      <c r="F410" s="74"/>
      <c r="G410" s="74">
        <f>G408/D408*100</f>
        <v>29.55121951219512</v>
      </c>
      <c r="H410" s="74"/>
      <c r="I410" s="74"/>
      <c r="J410" s="74">
        <f>G410</f>
        <v>29.55121951219512</v>
      </c>
      <c r="K410" s="74"/>
      <c r="L410" s="74"/>
      <c r="M410" s="74"/>
      <c r="N410" s="74">
        <f>N408/G408*100</f>
        <v>106.00033014196104</v>
      </c>
      <c r="O410" s="74"/>
      <c r="P410" s="74">
        <f>N410</f>
        <v>106.00033014196104</v>
      </c>
      <c r="EB410" s="186"/>
      <c r="EC410" s="186"/>
      <c r="ED410" s="186"/>
      <c r="EE410" s="186"/>
      <c r="EF410" s="186"/>
      <c r="EG410" s="186"/>
    </row>
    <row r="411" spans="1:137" s="185" customFormat="1" ht="24" customHeight="1" hidden="1">
      <c r="A411" s="85" t="s">
        <v>456</v>
      </c>
      <c r="B411" s="184"/>
      <c r="C411" s="184"/>
      <c r="D411" s="81">
        <f>D413</f>
        <v>263000</v>
      </c>
      <c r="E411" s="81"/>
      <c r="F411" s="81">
        <f>D411</f>
        <v>263000</v>
      </c>
      <c r="G411" s="81">
        <f>G413</f>
        <v>350000</v>
      </c>
      <c r="H411" s="81"/>
      <c r="I411" s="81"/>
      <c r="J411" s="81">
        <f>G411</f>
        <v>350000</v>
      </c>
      <c r="K411" s="81"/>
      <c r="L411" s="81"/>
      <c r="M411" s="81"/>
      <c r="N411" s="81">
        <f>N413</f>
        <v>350000</v>
      </c>
      <c r="O411" s="81"/>
      <c r="P411" s="81">
        <f>N411</f>
        <v>350000</v>
      </c>
      <c r="Q411" s="75"/>
      <c r="R411" s="75"/>
      <c r="EB411" s="186"/>
      <c r="EC411" s="186"/>
      <c r="ED411" s="186"/>
      <c r="EE411" s="186"/>
      <c r="EF411" s="186"/>
      <c r="EG411" s="186"/>
    </row>
    <row r="412" spans="1:137" s="185" customFormat="1" ht="21.75" customHeight="1" hidden="1">
      <c r="A412" s="3" t="s">
        <v>77</v>
      </c>
      <c r="B412" s="184"/>
      <c r="C412" s="18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EB412" s="186"/>
      <c r="EC412" s="186"/>
      <c r="ED412" s="186"/>
      <c r="EE412" s="186"/>
      <c r="EF412" s="186"/>
      <c r="EG412" s="186"/>
    </row>
    <row r="413" spans="1:137" s="185" customFormat="1" ht="27.75" customHeight="1" hidden="1">
      <c r="A413" s="72" t="s">
        <v>373</v>
      </c>
      <c r="B413" s="184"/>
      <c r="C413" s="184"/>
      <c r="D413" s="74">
        <f>350000-87000</f>
        <v>263000</v>
      </c>
      <c r="E413" s="74"/>
      <c r="F413" s="74">
        <f>D413</f>
        <v>263000</v>
      </c>
      <c r="G413" s="74">
        <v>350000</v>
      </c>
      <c r="H413" s="74"/>
      <c r="I413" s="74"/>
      <c r="J413" s="74">
        <f>G413</f>
        <v>350000</v>
      </c>
      <c r="K413" s="74"/>
      <c r="L413" s="74"/>
      <c r="M413" s="74"/>
      <c r="N413" s="74">
        <v>350000</v>
      </c>
      <c r="O413" s="74"/>
      <c r="P413" s="74">
        <f>N413</f>
        <v>350000</v>
      </c>
      <c r="EB413" s="186"/>
      <c r="EC413" s="186"/>
      <c r="ED413" s="186"/>
      <c r="EE413" s="186"/>
      <c r="EF413" s="186"/>
      <c r="EG413" s="186"/>
    </row>
    <row r="414" spans="1:137" s="185" customFormat="1" ht="21" customHeight="1" hidden="1">
      <c r="A414" s="165" t="s">
        <v>275</v>
      </c>
      <c r="B414" s="184"/>
      <c r="C414" s="18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EB414" s="186"/>
      <c r="EC414" s="186"/>
      <c r="ED414" s="186"/>
      <c r="EE414" s="186"/>
      <c r="EF414" s="186"/>
      <c r="EG414" s="186"/>
    </row>
    <row r="415" spans="1:137" s="185" customFormat="1" ht="23.25" customHeight="1" hidden="1">
      <c r="A415" s="72" t="s">
        <v>82</v>
      </c>
      <c r="B415" s="184"/>
      <c r="C415" s="184"/>
      <c r="D415" s="74">
        <v>75</v>
      </c>
      <c r="E415" s="74"/>
      <c r="F415" s="74">
        <f>D415</f>
        <v>75</v>
      </c>
      <c r="G415" s="74">
        <v>90</v>
      </c>
      <c r="H415" s="74"/>
      <c r="I415" s="74"/>
      <c r="J415" s="74">
        <f>G415</f>
        <v>90</v>
      </c>
      <c r="K415" s="74"/>
      <c r="L415" s="74"/>
      <c r="M415" s="74"/>
      <c r="N415" s="74">
        <v>85</v>
      </c>
      <c r="O415" s="74"/>
      <c r="P415" s="74">
        <f>N415</f>
        <v>85</v>
      </c>
      <c r="EB415" s="186"/>
      <c r="EC415" s="186"/>
      <c r="ED415" s="186"/>
      <c r="EE415" s="186"/>
      <c r="EF415" s="186"/>
      <c r="EG415" s="186"/>
    </row>
    <row r="416" spans="1:137" s="185" customFormat="1" ht="15.75" customHeight="1" hidden="1">
      <c r="A416" s="165" t="s">
        <v>226</v>
      </c>
      <c r="B416" s="184"/>
      <c r="C416" s="18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EB416" s="186"/>
      <c r="EC416" s="186"/>
      <c r="ED416" s="186"/>
      <c r="EE416" s="186"/>
      <c r="EF416" s="186"/>
      <c r="EG416" s="186"/>
    </row>
    <row r="417" spans="1:137" s="185" customFormat="1" ht="29.25" customHeight="1" hidden="1">
      <c r="A417" s="72" t="s">
        <v>102</v>
      </c>
      <c r="B417" s="184"/>
      <c r="C417" s="184"/>
      <c r="D417" s="74">
        <f>D413/D415</f>
        <v>3506.6666666666665</v>
      </c>
      <c r="E417" s="74"/>
      <c r="F417" s="74">
        <f>D417</f>
        <v>3506.6666666666665</v>
      </c>
      <c r="G417" s="74">
        <f>G413/G415</f>
        <v>3888.8888888888887</v>
      </c>
      <c r="H417" s="74"/>
      <c r="I417" s="74"/>
      <c r="J417" s="74">
        <f>G417</f>
        <v>3888.8888888888887</v>
      </c>
      <c r="K417" s="74"/>
      <c r="L417" s="74"/>
      <c r="M417" s="74"/>
      <c r="N417" s="74">
        <f>N413/N415</f>
        <v>4117.64705882353</v>
      </c>
      <c r="O417" s="74"/>
      <c r="P417" s="74">
        <f>N417</f>
        <v>4117.64705882353</v>
      </c>
      <c r="EB417" s="186"/>
      <c r="EC417" s="186"/>
      <c r="ED417" s="186"/>
      <c r="EE417" s="186"/>
      <c r="EF417" s="186"/>
      <c r="EG417" s="186"/>
    </row>
    <row r="418" spans="1:137" s="185" customFormat="1" ht="15.75" customHeight="1" hidden="1">
      <c r="A418" s="165" t="s">
        <v>374</v>
      </c>
      <c r="B418" s="184"/>
      <c r="C418" s="18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EB418" s="186"/>
      <c r="EC418" s="186"/>
      <c r="ED418" s="186"/>
      <c r="EE418" s="186"/>
      <c r="EF418" s="186"/>
      <c r="EG418" s="186"/>
    </row>
    <row r="419" spans="1:137" s="185" customFormat="1" ht="29.25" customHeight="1" hidden="1">
      <c r="A419" s="72" t="s">
        <v>120</v>
      </c>
      <c r="B419" s="184"/>
      <c r="C419" s="184"/>
      <c r="D419" s="74"/>
      <c r="E419" s="74"/>
      <c r="F419" s="74"/>
      <c r="G419" s="74">
        <f>G417/D417*100</f>
        <v>110.8998732572877</v>
      </c>
      <c r="H419" s="74"/>
      <c r="I419" s="74"/>
      <c r="J419" s="74">
        <f>G419</f>
        <v>110.8998732572877</v>
      </c>
      <c r="K419" s="74"/>
      <c r="L419" s="74"/>
      <c r="M419" s="74"/>
      <c r="N419" s="74">
        <f>N417/G417*100</f>
        <v>105.88235294117649</v>
      </c>
      <c r="O419" s="74"/>
      <c r="P419" s="74">
        <f>N419</f>
        <v>105.88235294117649</v>
      </c>
      <c r="EB419" s="186"/>
      <c r="EC419" s="186"/>
      <c r="ED419" s="186"/>
      <c r="EE419" s="186"/>
      <c r="EF419" s="186"/>
      <c r="EG419" s="186"/>
    </row>
    <row r="420" spans="1:137" s="75" customFormat="1" ht="22.5" hidden="1">
      <c r="A420" s="85" t="s">
        <v>504</v>
      </c>
      <c r="B420" s="73"/>
      <c r="C420" s="73"/>
      <c r="D420" s="81">
        <f>D422</f>
        <v>339200</v>
      </c>
      <c r="E420" s="81"/>
      <c r="F420" s="81">
        <f>D420</f>
        <v>339200</v>
      </c>
      <c r="G420" s="81">
        <f>G422</f>
        <v>504700</v>
      </c>
      <c r="H420" s="81"/>
      <c r="I420" s="81"/>
      <c r="J420" s="81">
        <f>G420</f>
        <v>504700</v>
      </c>
      <c r="K420" s="81"/>
      <c r="L420" s="81"/>
      <c r="M420" s="81"/>
      <c r="N420" s="81">
        <f>N422</f>
        <v>564300</v>
      </c>
      <c r="O420" s="81"/>
      <c r="P420" s="81">
        <f>N420</f>
        <v>564300</v>
      </c>
      <c r="EB420" s="76"/>
      <c r="EC420" s="76"/>
      <c r="ED420" s="76"/>
      <c r="EE420" s="76"/>
      <c r="EF420" s="76"/>
      <c r="EG420" s="76"/>
    </row>
    <row r="421" spans="1:137" s="185" customFormat="1" ht="11.25" hidden="1">
      <c r="A421" s="3" t="s">
        <v>77</v>
      </c>
      <c r="B421" s="184"/>
      <c r="C421" s="18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EB421" s="186"/>
      <c r="EC421" s="186"/>
      <c r="ED421" s="186"/>
      <c r="EE421" s="186"/>
      <c r="EF421" s="186"/>
      <c r="EG421" s="186"/>
    </row>
    <row r="422" spans="1:137" s="185" customFormat="1" ht="22.5" hidden="1">
      <c r="A422" s="72" t="s">
        <v>390</v>
      </c>
      <c r="B422" s="184"/>
      <c r="C422" s="184"/>
      <c r="D422" s="74">
        <f>447100-107900</f>
        <v>339200</v>
      </c>
      <c r="E422" s="74"/>
      <c r="F422" s="74">
        <f>D422</f>
        <v>339200</v>
      </c>
      <c r="G422" s="74">
        <v>504700</v>
      </c>
      <c r="H422" s="74"/>
      <c r="I422" s="74"/>
      <c r="J422" s="74">
        <f>G422</f>
        <v>504700</v>
      </c>
      <c r="K422" s="74"/>
      <c r="L422" s="74"/>
      <c r="M422" s="74"/>
      <c r="N422" s="74">
        <v>564300</v>
      </c>
      <c r="O422" s="74"/>
      <c r="P422" s="74">
        <f>N422</f>
        <v>564300</v>
      </c>
      <c r="EB422" s="186"/>
      <c r="EC422" s="186"/>
      <c r="ED422" s="186"/>
      <c r="EE422" s="186"/>
      <c r="EF422" s="186"/>
      <c r="EG422" s="186"/>
    </row>
    <row r="423" spans="1:137" s="185" customFormat="1" ht="20.25" customHeight="1" hidden="1">
      <c r="A423" s="165" t="s">
        <v>275</v>
      </c>
      <c r="B423" s="184"/>
      <c r="C423" s="18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EB423" s="186"/>
      <c r="EC423" s="186"/>
      <c r="ED423" s="186"/>
      <c r="EE423" s="186"/>
      <c r="EF423" s="186"/>
      <c r="EG423" s="186"/>
    </row>
    <row r="424" spans="1:137" s="185" customFormat="1" ht="11.25" hidden="1">
      <c r="A424" s="6" t="s">
        <v>391</v>
      </c>
      <c r="B424" s="184"/>
      <c r="C424" s="184"/>
      <c r="D424" s="74">
        <v>1</v>
      </c>
      <c r="E424" s="74"/>
      <c r="F424" s="74">
        <f>D424</f>
        <v>1</v>
      </c>
      <c r="G424" s="74">
        <v>1</v>
      </c>
      <c r="H424" s="74"/>
      <c r="I424" s="74"/>
      <c r="J424" s="74">
        <f>G424</f>
        <v>1</v>
      </c>
      <c r="K424" s="74"/>
      <c r="L424" s="74"/>
      <c r="M424" s="74"/>
      <c r="N424" s="74">
        <v>1</v>
      </c>
      <c r="O424" s="74"/>
      <c r="P424" s="74">
        <f>N424</f>
        <v>1</v>
      </c>
      <c r="EB424" s="186"/>
      <c r="EC424" s="186"/>
      <c r="ED424" s="186"/>
      <c r="EE424" s="186"/>
      <c r="EF424" s="186"/>
      <c r="EG424" s="186"/>
    </row>
    <row r="425" spans="1:137" s="185" customFormat="1" ht="11.25" hidden="1">
      <c r="A425" s="165" t="s">
        <v>226</v>
      </c>
      <c r="B425" s="184"/>
      <c r="C425" s="18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EB425" s="186"/>
      <c r="EC425" s="186"/>
      <c r="ED425" s="186"/>
      <c r="EE425" s="186"/>
      <c r="EF425" s="186"/>
      <c r="EG425" s="186"/>
    </row>
    <row r="426" spans="1:137" s="185" customFormat="1" ht="22.5" hidden="1">
      <c r="A426" s="72" t="s">
        <v>546</v>
      </c>
      <c r="B426" s="184"/>
      <c r="C426" s="184"/>
      <c r="D426" s="74">
        <f>D422/D424/12</f>
        <v>28266.666666666668</v>
      </c>
      <c r="E426" s="74"/>
      <c r="F426" s="74">
        <f>D426</f>
        <v>28266.666666666668</v>
      </c>
      <c r="G426" s="74">
        <f>G422/G424/12</f>
        <v>42058.333333333336</v>
      </c>
      <c r="H426" s="74"/>
      <c r="I426" s="74"/>
      <c r="J426" s="74">
        <f>G426</f>
        <v>42058.333333333336</v>
      </c>
      <c r="K426" s="74"/>
      <c r="L426" s="74"/>
      <c r="M426" s="74"/>
      <c r="N426" s="74">
        <f>N422/N424/12</f>
        <v>47025</v>
      </c>
      <c r="O426" s="74"/>
      <c r="P426" s="74">
        <f>N426</f>
        <v>47025</v>
      </c>
      <c r="EB426" s="186"/>
      <c r="EC426" s="186"/>
      <c r="ED426" s="186"/>
      <c r="EE426" s="186"/>
      <c r="EF426" s="186"/>
      <c r="EG426" s="186"/>
    </row>
    <row r="427" spans="1:137" s="185" customFormat="1" ht="11.25" hidden="1">
      <c r="A427" s="165" t="s">
        <v>374</v>
      </c>
      <c r="B427" s="184"/>
      <c r="C427" s="18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EB427" s="186"/>
      <c r="EC427" s="186"/>
      <c r="ED427" s="186"/>
      <c r="EE427" s="186"/>
      <c r="EF427" s="186"/>
      <c r="EG427" s="186"/>
    </row>
    <row r="428" spans="1:137" s="185" customFormat="1" ht="33.75" hidden="1">
      <c r="A428" s="72" t="s">
        <v>392</v>
      </c>
      <c r="B428" s="184"/>
      <c r="C428" s="184"/>
      <c r="D428" s="74"/>
      <c r="E428" s="74"/>
      <c r="F428" s="74"/>
      <c r="G428" s="74">
        <f>G426/D426*100</f>
        <v>148.79127358490567</v>
      </c>
      <c r="H428" s="74"/>
      <c r="I428" s="74"/>
      <c r="J428" s="74">
        <f>G428</f>
        <v>148.79127358490567</v>
      </c>
      <c r="K428" s="74"/>
      <c r="L428" s="74"/>
      <c r="M428" s="74"/>
      <c r="N428" s="74">
        <f>N426/G426*100</f>
        <v>111.80899544283733</v>
      </c>
      <c r="O428" s="74"/>
      <c r="P428" s="74">
        <f>N428</f>
        <v>111.80899544283733</v>
      </c>
      <c r="EB428" s="186"/>
      <c r="EC428" s="186"/>
      <c r="ED428" s="186"/>
      <c r="EE428" s="186"/>
      <c r="EF428" s="186"/>
      <c r="EG428" s="186"/>
    </row>
    <row r="429" spans="1:137" s="75" customFormat="1" ht="34.5" customHeight="1" hidden="1">
      <c r="A429" s="85" t="s">
        <v>505</v>
      </c>
      <c r="B429" s="73"/>
      <c r="C429" s="73"/>
      <c r="D429" s="81">
        <f>D431</f>
        <v>341700</v>
      </c>
      <c r="E429" s="81"/>
      <c r="F429" s="81">
        <f>D429</f>
        <v>341700</v>
      </c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EB429" s="76"/>
      <c r="EC429" s="76"/>
      <c r="ED429" s="76"/>
      <c r="EE429" s="76"/>
      <c r="EF429" s="76"/>
      <c r="EG429" s="76"/>
    </row>
    <row r="430" spans="1:137" s="185" customFormat="1" ht="11.25" hidden="1">
      <c r="A430" s="3" t="s">
        <v>77</v>
      </c>
      <c r="B430" s="184"/>
      <c r="C430" s="18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EB430" s="186"/>
      <c r="EC430" s="186"/>
      <c r="ED430" s="186"/>
      <c r="EE430" s="186"/>
      <c r="EF430" s="186"/>
      <c r="EG430" s="186"/>
    </row>
    <row r="431" spans="1:137" s="185" customFormat="1" ht="34.5" customHeight="1" hidden="1">
      <c r="A431" s="72" t="s">
        <v>393</v>
      </c>
      <c r="B431" s="184"/>
      <c r="C431" s="184"/>
      <c r="D431" s="74">
        <v>341700</v>
      </c>
      <c r="E431" s="74"/>
      <c r="F431" s="74">
        <f>D431</f>
        <v>341700</v>
      </c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EB431" s="186"/>
      <c r="EC431" s="186"/>
      <c r="ED431" s="186"/>
      <c r="EE431" s="186"/>
      <c r="EF431" s="186"/>
      <c r="EG431" s="186"/>
    </row>
    <row r="432" spans="1:137" s="185" customFormat="1" ht="11.25" hidden="1">
      <c r="A432" s="165" t="s">
        <v>275</v>
      </c>
      <c r="B432" s="184"/>
      <c r="C432" s="18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EB432" s="186"/>
      <c r="EC432" s="186"/>
      <c r="ED432" s="186"/>
      <c r="EE432" s="186"/>
      <c r="EF432" s="186"/>
      <c r="EG432" s="186"/>
    </row>
    <row r="433" spans="1:137" s="185" customFormat="1" ht="22.5" hidden="1">
      <c r="A433" s="6" t="s">
        <v>394</v>
      </c>
      <c r="B433" s="184"/>
      <c r="C433" s="184"/>
      <c r="D433" s="74">
        <v>7</v>
      </c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EB433" s="186"/>
      <c r="EC433" s="186"/>
      <c r="ED433" s="186"/>
      <c r="EE433" s="186"/>
      <c r="EF433" s="186"/>
      <c r="EG433" s="186"/>
    </row>
    <row r="434" spans="1:137" s="185" customFormat="1" ht="11.25" hidden="1">
      <c r="A434" s="165" t="s">
        <v>226</v>
      </c>
      <c r="B434" s="184"/>
      <c r="C434" s="18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EB434" s="186"/>
      <c r="EC434" s="186"/>
      <c r="ED434" s="186"/>
      <c r="EE434" s="186"/>
      <c r="EF434" s="186"/>
      <c r="EG434" s="186"/>
    </row>
    <row r="435" spans="1:137" s="185" customFormat="1" ht="22.5" hidden="1">
      <c r="A435" s="72" t="s">
        <v>395</v>
      </c>
      <c r="B435" s="184"/>
      <c r="C435" s="184"/>
      <c r="D435" s="5">
        <f>D431/D433</f>
        <v>48814.28571428572</v>
      </c>
      <c r="E435" s="5"/>
      <c r="F435" s="5">
        <f>D435</f>
        <v>48814.28571428572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EB435" s="186"/>
      <c r="EC435" s="186"/>
      <c r="ED435" s="186"/>
      <c r="EE435" s="186"/>
      <c r="EF435" s="186"/>
      <c r="EG435" s="186"/>
    </row>
    <row r="436" spans="1:137" s="185" customFormat="1" ht="22.5" hidden="1">
      <c r="A436" s="85" t="s">
        <v>506</v>
      </c>
      <c r="B436" s="184"/>
      <c r="C436" s="184"/>
      <c r="D436" s="84">
        <f>D438</f>
        <v>0</v>
      </c>
      <c r="E436" s="84"/>
      <c r="F436" s="84">
        <f>D436</f>
        <v>0</v>
      </c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EB436" s="186"/>
      <c r="EC436" s="186"/>
      <c r="ED436" s="186"/>
      <c r="EE436" s="186"/>
      <c r="EF436" s="186"/>
      <c r="EG436" s="186"/>
    </row>
    <row r="437" spans="1:137" s="185" customFormat="1" ht="22.5" customHeight="1" hidden="1">
      <c r="A437" s="3" t="s">
        <v>77</v>
      </c>
      <c r="B437" s="184"/>
      <c r="C437" s="18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EB437" s="186"/>
      <c r="EC437" s="186"/>
      <c r="ED437" s="186"/>
      <c r="EE437" s="186"/>
      <c r="EF437" s="186"/>
      <c r="EG437" s="186"/>
    </row>
    <row r="438" spans="1:137" s="185" customFormat="1" ht="22.5" hidden="1">
      <c r="A438" s="72" t="s">
        <v>396</v>
      </c>
      <c r="B438" s="184"/>
      <c r="C438" s="184"/>
      <c r="D438" s="74">
        <f>800000-800000</f>
        <v>0</v>
      </c>
      <c r="E438" s="74"/>
      <c r="F438" s="74">
        <f>D438</f>
        <v>0</v>
      </c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EB438" s="186"/>
      <c r="EC438" s="186"/>
      <c r="ED438" s="186"/>
      <c r="EE438" s="186"/>
      <c r="EF438" s="186"/>
      <c r="EG438" s="186"/>
    </row>
    <row r="439" spans="1:137" s="185" customFormat="1" ht="11.25" hidden="1">
      <c r="A439" s="165" t="s">
        <v>275</v>
      </c>
      <c r="B439" s="184"/>
      <c r="C439" s="18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EB439" s="186"/>
      <c r="EC439" s="186"/>
      <c r="ED439" s="186"/>
      <c r="EE439" s="186"/>
      <c r="EF439" s="186"/>
      <c r="EG439" s="186"/>
    </row>
    <row r="440" spans="1:137" s="185" customFormat="1" ht="22.5" hidden="1">
      <c r="A440" s="6" t="s">
        <v>397</v>
      </c>
      <c r="B440" s="184"/>
      <c r="C440" s="184"/>
      <c r="D440" s="74">
        <v>0</v>
      </c>
      <c r="E440" s="74"/>
      <c r="F440" s="74">
        <f>D440</f>
        <v>0</v>
      </c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EB440" s="186"/>
      <c r="EC440" s="186"/>
      <c r="ED440" s="186"/>
      <c r="EE440" s="186"/>
      <c r="EF440" s="186"/>
      <c r="EG440" s="186"/>
    </row>
    <row r="441" spans="1:137" s="185" customFormat="1" ht="11.25" hidden="1">
      <c r="A441" s="165" t="s">
        <v>226</v>
      </c>
      <c r="B441" s="184"/>
      <c r="C441" s="18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EB441" s="186"/>
      <c r="EC441" s="186"/>
      <c r="ED441" s="186"/>
      <c r="EE441" s="186"/>
      <c r="EF441" s="186"/>
      <c r="EG441" s="186"/>
    </row>
    <row r="442" spans="1:137" s="185" customFormat="1" ht="22.5" hidden="1">
      <c r="A442" s="72" t="s">
        <v>398</v>
      </c>
      <c r="B442" s="184"/>
      <c r="C442" s="184"/>
      <c r="D442" s="74" t="e">
        <f>D438/D440</f>
        <v>#DIV/0!</v>
      </c>
      <c r="E442" s="74"/>
      <c r="F442" s="74" t="e">
        <f>D442</f>
        <v>#DIV/0!</v>
      </c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EB442" s="186"/>
      <c r="EC442" s="186"/>
      <c r="ED442" s="186"/>
      <c r="EE442" s="186"/>
      <c r="EF442" s="186"/>
      <c r="EG442" s="186"/>
    </row>
    <row r="443" spans="1:137" s="116" customFormat="1" ht="25.5" hidden="1">
      <c r="A443" s="194" t="s">
        <v>420</v>
      </c>
      <c r="B443" s="115"/>
      <c r="C443" s="115"/>
      <c r="D443" s="193">
        <f>1775300-613300</f>
        <v>1162000</v>
      </c>
      <c r="E443" s="193"/>
      <c r="F443" s="193">
        <f>D443</f>
        <v>1162000</v>
      </c>
      <c r="G443" s="193">
        <v>1894300</v>
      </c>
      <c r="H443" s="193"/>
      <c r="I443" s="193"/>
      <c r="J443" s="193">
        <f>G443</f>
        <v>1894300</v>
      </c>
      <c r="K443" s="193">
        <f>(K445*K447)</f>
        <v>0</v>
      </c>
      <c r="L443" s="193">
        <f>(L445*L447)</f>
        <v>0</v>
      </c>
      <c r="M443" s="193">
        <f>(M445*M447)</f>
        <v>0</v>
      </c>
      <c r="N443" s="193">
        <v>2007900</v>
      </c>
      <c r="O443" s="193"/>
      <c r="P443" s="193">
        <f>N443</f>
        <v>2007900</v>
      </c>
      <c r="EB443" s="117"/>
      <c r="EC443" s="117"/>
      <c r="ED443" s="117"/>
      <c r="EE443" s="117"/>
      <c r="EF443" s="117"/>
      <c r="EG443" s="117"/>
    </row>
    <row r="444" spans="1:137" s="15" customFormat="1" ht="11.25" hidden="1">
      <c r="A444" s="3" t="s">
        <v>3</v>
      </c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EB444" s="34"/>
      <c r="EC444" s="34"/>
      <c r="ED444" s="34"/>
      <c r="EE444" s="34"/>
      <c r="EF444" s="34"/>
      <c r="EG444" s="34"/>
    </row>
    <row r="445" spans="1:137" s="15" customFormat="1" ht="33.75" hidden="1">
      <c r="A445" s="6" t="s">
        <v>125</v>
      </c>
      <c r="B445" s="4"/>
      <c r="C445" s="4"/>
      <c r="D445" s="5">
        <v>750</v>
      </c>
      <c r="E445" s="5"/>
      <c r="F445" s="5">
        <f>D445</f>
        <v>750</v>
      </c>
      <c r="G445" s="5">
        <v>700</v>
      </c>
      <c r="H445" s="5"/>
      <c r="I445" s="5"/>
      <c r="J445" s="5">
        <f>G445</f>
        <v>700</v>
      </c>
      <c r="K445" s="5"/>
      <c r="L445" s="5"/>
      <c r="M445" s="5"/>
      <c r="N445" s="5">
        <v>650</v>
      </c>
      <c r="O445" s="5"/>
      <c r="P445" s="5">
        <f>N445</f>
        <v>650</v>
      </c>
      <c r="EB445" s="34"/>
      <c r="EC445" s="34"/>
      <c r="ED445" s="34"/>
      <c r="EE445" s="34"/>
      <c r="EF445" s="34"/>
      <c r="EG445" s="34"/>
    </row>
    <row r="446" spans="1:137" s="15" customFormat="1" ht="11.25" hidden="1">
      <c r="A446" s="3" t="s">
        <v>5</v>
      </c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EB446" s="34"/>
      <c r="EC446" s="34"/>
      <c r="ED446" s="34"/>
      <c r="EE446" s="34"/>
      <c r="EF446" s="34"/>
      <c r="EG446" s="34"/>
    </row>
    <row r="447" spans="1:137" s="15" customFormat="1" ht="22.5" customHeight="1" hidden="1">
      <c r="A447" s="6" t="s">
        <v>126</v>
      </c>
      <c r="B447" s="4"/>
      <c r="C447" s="4"/>
      <c r="D447" s="5">
        <f>D443/D445</f>
        <v>1549.3333333333333</v>
      </c>
      <c r="E447" s="5"/>
      <c r="F447" s="5">
        <f>D447</f>
        <v>1549.3333333333333</v>
      </c>
      <c r="G447" s="5">
        <f>G443/G445</f>
        <v>2706.1428571428573</v>
      </c>
      <c r="H447" s="5"/>
      <c r="I447" s="5"/>
      <c r="J447" s="5">
        <f>G447</f>
        <v>2706.1428571428573</v>
      </c>
      <c r="K447" s="5"/>
      <c r="L447" s="5"/>
      <c r="M447" s="5"/>
      <c r="N447" s="5">
        <f>N443/N445</f>
        <v>3089.076923076923</v>
      </c>
      <c r="O447" s="5"/>
      <c r="P447" s="5">
        <f>N447</f>
        <v>3089.076923076923</v>
      </c>
      <c r="EB447" s="34"/>
      <c r="EC447" s="34"/>
      <c r="ED447" s="34"/>
      <c r="EE447" s="34"/>
      <c r="EF447" s="34"/>
      <c r="EG447" s="34"/>
    </row>
    <row r="448" spans="1:137" s="15" customFormat="1" ht="11.25" hidden="1">
      <c r="A448" s="3" t="s">
        <v>4</v>
      </c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EB448" s="34"/>
      <c r="EC448" s="34"/>
      <c r="ED448" s="34"/>
      <c r="EE448" s="34"/>
      <c r="EF448" s="34"/>
      <c r="EG448" s="34"/>
    </row>
    <row r="449" spans="1:137" s="15" customFormat="1" ht="24" customHeight="1" hidden="1">
      <c r="A449" s="6" t="s">
        <v>96</v>
      </c>
      <c r="B449" s="4"/>
      <c r="C449" s="4"/>
      <c r="D449" s="5"/>
      <c r="E449" s="5"/>
      <c r="F449" s="5"/>
      <c r="G449" s="5">
        <f>G445/D445*100</f>
        <v>93.33333333333333</v>
      </c>
      <c r="H449" s="5"/>
      <c r="I449" s="5"/>
      <c r="J449" s="5">
        <f>G449</f>
        <v>93.33333333333333</v>
      </c>
      <c r="K449" s="5"/>
      <c r="L449" s="5"/>
      <c r="M449" s="5"/>
      <c r="N449" s="5">
        <f>N445/G445*100</f>
        <v>92.85714285714286</v>
      </c>
      <c r="O449" s="5"/>
      <c r="P449" s="5">
        <f>N449</f>
        <v>92.85714285714286</v>
      </c>
      <c r="EB449" s="34"/>
      <c r="EC449" s="34"/>
      <c r="ED449" s="34"/>
      <c r="EE449" s="34"/>
      <c r="EF449" s="34"/>
      <c r="EG449" s="34"/>
    </row>
    <row r="450" spans="1:137" s="15" customFormat="1" ht="31.5" customHeight="1" hidden="1">
      <c r="A450" s="6" t="s">
        <v>97</v>
      </c>
      <c r="B450" s="4"/>
      <c r="C450" s="4"/>
      <c r="D450" s="5"/>
      <c r="E450" s="5"/>
      <c r="F450" s="5"/>
      <c r="G450" s="5">
        <f>G447/D447*100</f>
        <v>174.66498647651832</v>
      </c>
      <c r="H450" s="5"/>
      <c r="I450" s="5"/>
      <c r="J450" s="5">
        <f>G450</f>
        <v>174.66498647651832</v>
      </c>
      <c r="K450" s="5"/>
      <c r="L450" s="5"/>
      <c r="M450" s="5"/>
      <c r="N450" s="5">
        <f>N447/G447*100</f>
        <v>114.15054881242916</v>
      </c>
      <c r="O450" s="5"/>
      <c r="P450" s="5">
        <f>N450</f>
        <v>114.15054881242916</v>
      </c>
      <c r="EB450" s="34"/>
      <c r="EC450" s="34"/>
      <c r="ED450" s="34"/>
      <c r="EE450" s="34"/>
      <c r="EF450" s="34"/>
      <c r="EG450" s="34"/>
    </row>
    <row r="451" spans="1:137" s="196" customFormat="1" ht="36" customHeight="1" hidden="1">
      <c r="A451" s="194" t="s">
        <v>421</v>
      </c>
      <c r="B451" s="195"/>
      <c r="C451" s="195"/>
      <c r="D451" s="193"/>
      <c r="E451" s="193">
        <f>19786700-15786700</f>
        <v>4000000</v>
      </c>
      <c r="F451" s="193">
        <f>E451</f>
        <v>4000000</v>
      </c>
      <c r="G451" s="193">
        <f>G453*G455</f>
        <v>0</v>
      </c>
      <c r="H451" s="193">
        <v>21112400</v>
      </c>
      <c r="I451" s="193">
        <f>I453*I455</f>
        <v>0</v>
      </c>
      <c r="J451" s="193">
        <f>G451+H451</f>
        <v>21112400</v>
      </c>
      <c r="K451" s="193">
        <f>K453*K455</f>
        <v>0</v>
      </c>
      <c r="L451" s="193">
        <f>L453*L455</f>
        <v>0</v>
      </c>
      <c r="M451" s="193">
        <f>M453*M455</f>
        <v>0</v>
      </c>
      <c r="N451" s="193">
        <f>N453*N455</f>
        <v>0</v>
      </c>
      <c r="O451" s="193">
        <v>22379100</v>
      </c>
      <c r="P451" s="193">
        <f>N451+O451</f>
        <v>22379100</v>
      </c>
      <c r="EB451" s="197"/>
      <c r="EC451" s="197"/>
      <c r="ED451" s="197"/>
      <c r="EE451" s="197"/>
      <c r="EF451" s="197"/>
      <c r="EG451" s="197"/>
    </row>
    <row r="452" spans="1:137" s="15" customFormat="1" ht="11.25" hidden="1">
      <c r="A452" s="3" t="s">
        <v>3</v>
      </c>
      <c r="B452" s="25"/>
      <c r="C452" s="25"/>
      <c r="D452" s="18"/>
      <c r="E452" s="18"/>
      <c r="F452" s="5"/>
      <c r="G452" s="18"/>
      <c r="H452" s="18"/>
      <c r="I452" s="18"/>
      <c r="J452" s="5"/>
      <c r="K452" s="5"/>
      <c r="L452" s="5"/>
      <c r="M452" s="5"/>
      <c r="N452" s="18"/>
      <c r="O452" s="18"/>
      <c r="P452" s="5"/>
      <c r="EB452" s="34"/>
      <c r="EC452" s="34"/>
      <c r="ED452" s="34"/>
      <c r="EE452" s="34"/>
      <c r="EF452" s="34"/>
      <c r="EG452" s="34"/>
    </row>
    <row r="453" spans="1:137" s="15" customFormat="1" ht="21.75" customHeight="1" hidden="1">
      <c r="A453" s="6" t="s">
        <v>59</v>
      </c>
      <c r="B453" s="4"/>
      <c r="C453" s="4"/>
      <c r="D453" s="5"/>
      <c r="E453" s="5">
        <f>20+6-6</f>
        <v>20</v>
      </c>
      <c r="F453" s="5">
        <f>E453</f>
        <v>20</v>
      </c>
      <c r="G453" s="5"/>
      <c r="H453" s="5">
        <v>18</v>
      </c>
      <c r="I453" s="5"/>
      <c r="J453" s="5">
        <f>G453+H453</f>
        <v>18</v>
      </c>
      <c r="K453" s="5"/>
      <c r="L453" s="5"/>
      <c r="M453" s="5"/>
      <c r="N453" s="5"/>
      <c r="O453" s="5">
        <v>15</v>
      </c>
      <c r="P453" s="5">
        <f>O453</f>
        <v>15</v>
      </c>
      <c r="EB453" s="34"/>
      <c r="EC453" s="34"/>
      <c r="ED453" s="34"/>
      <c r="EE453" s="34"/>
      <c r="EF453" s="34"/>
      <c r="EG453" s="34"/>
    </row>
    <row r="454" spans="1:137" s="15" customFormat="1" ht="11.25" hidden="1">
      <c r="A454" s="3" t="s">
        <v>5</v>
      </c>
      <c r="B454" s="25"/>
      <c r="C454" s="25"/>
      <c r="D454" s="18"/>
      <c r="E454" s="18"/>
      <c r="F454" s="5"/>
      <c r="G454" s="18"/>
      <c r="H454" s="18"/>
      <c r="I454" s="18"/>
      <c r="J454" s="5"/>
      <c r="K454" s="5"/>
      <c r="L454" s="5"/>
      <c r="M454" s="5"/>
      <c r="N454" s="18"/>
      <c r="O454" s="18"/>
      <c r="P454" s="5"/>
      <c r="EB454" s="34"/>
      <c r="EC454" s="34"/>
      <c r="ED454" s="34"/>
      <c r="EE454" s="34"/>
      <c r="EF454" s="34"/>
      <c r="EG454" s="34"/>
    </row>
    <row r="455" spans="1:137" s="15" customFormat="1" ht="23.25" customHeight="1" hidden="1">
      <c r="A455" s="6" t="s">
        <v>60</v>
      </c>
      <c r="B455" s="4"/>
      <c r="C455" s="4"/>
      <c r="D455" s="5"/>
      <c r="E455" s="5">
        <f>E451/E453</f>
        <v>200000</v>
      </c>
      <c r="F455" s="5">
        <f>E455</f>
        <v>200000</v>
      </c>
      <c r="G455" s="5"/>
      <c r="H455" s="5">
        <f>H451/H453</f>
        <v>1172911.111111111</v>
      </c>
      <c r="I455" s="5"/>
      <c r="J455" s="5">
        <f>G455+H455</f>
        <v>1172911.111111111</v>
      </c>
      <c r="K455" s="5"/>
      <c r="L455" s="5"/>
      <c r="M455" s="5"/>
      <c r="N455" s="5"/>
      <c r="O455" s="5">
        <f>O451/O453</f>
        <v>1491940</v>
      </c>
      <c r="P455" s="5">
        <f>O455</f>
        <v>1491940</v>
      </c>
      <c r="EB455" s="34"/>
      <c r="EC455" s="34"/>
      <c r="ED455" s="34"/>
      <c r="EE455" s="34"/>
      <c r="EF455" s="34"/>
      <c r="EG455" s="34"/>
    </row>
    <row r="456" spans="1:137" s="15" customFormat="1" ht="11.25" hidden="1">
      <c r="A456" s="3" t="s">
        <v>4</v>
      </c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EB456" s="34"/>
      <c r="EC456" s="34"/>
      <c r="ED456" s="34"/>
      <c r="EE456" s="34"/>
      <c r="EF456" s="34"/>
      <c r="EG456" s="34"/>
    </row>
    <row r="457" spans="1:137" s="15" customFormat="1" ht="35.25" customHeight="1" hidden="1">
      <c r="A457" s="6" t="s">
        <v>61</v>
      </c>
      <c r="B457" s="4"/>
      <c r="C457" s="4"/>
      <c r="D457" s="5"/>
      <c r="E457" s="5">
        <v>0</v>
      </c>
      <c r="F457" s="5">
        <v>0</v>
      </c>
      <c r="G457" s="5"/>
      <c r="H457" s="5">
        <f>H455/E455*100</f>
        <v>586.4555555555555</v>
      </c>
      <c r="I457" s="5"/>
      <c r="J457" s="5">
        <f>G457+H457</f>
        <v>586.4555555555555</v>
      </c>
      <c r="K457" s="5"/>
      <c r="L457" s="5"/>
      <c r="M457" s="5"/>
      <c r="N457" s="5"/>
      <c r="O457" s="5">
        <f>O455/H455*100</f>
        <v>127.19974991000551</v>
      </c>
      <c r="P457" s="5">
        <f>O457</f>
        <v>127.19974991000551</v>
      </c>
      <c r="EB457" s="34"/>
      <c r="EC457" s="34"/>
      <c r="ED457" s="34"/>
      <c r="EE457" s="34"/>
      <c r="EF457" s="34"/>
      <c r="EG457" s="34"/>
    </row>
    <row r="458" spans="1:131" s="203" customFormat="1" ht="30" customHeight="1" hidden="1">
      <c r="A458" s="200" t="s">
        <v>249</v>
      </c>
      <c r="B458" s="200"/>
      <c r="C458" s="200"/>
      <c r="D458" s="201">
        <f>D460</f>
        <v>0</v>
      </c>
      <c r="E458" s="201">
        <f aca="true" t="shared" si="26" ref="E458:P458">E460</f>
        <v>9700300</v>
      </c>
      <c r="F458" s="201">
        <f t="shared" si="26"/>
        <v>9700300</v>
      </c>
      <c r="G458" s="201">
        <f t="shared" si="26"/>
        <v>0</v>
      </c>
      <c r="H458" s="201">
        <f t="shared" si="26"/>
        <v>19670400</v>
      </c>
      <c r="I458" s="201">
        <f t="shared" si="26"/>
        <v>0</v>
      </c>
      <c r="J458" s="201">
        <f t="shared" si="26"/>
        <v>19670400</v>
      </c>
      <c r="K458" s="201">
        <f t="shared" si="26"/>
        <v>21396.1614106831</v>
      </c>
      <c r="L458" s="201">
        <f t="shared" si="26"/>
        <v>1</v>
      </c>
      <c r="M458" s="201">
        <f t="shared" si="26"/>
        <v>1</v>
      </c>
      <c r="N458" s="201">
        <f t="shared" si="26"/>
        <v>0</v>
      </c>
      <c r="O458" s="201">
        <f t="shared" si="26"/>
        <v>20850600</v>
      </c>
      <c r="P458" s="201">
        <f t="shared" si="26"/>
        <v>20850600</v>
      </c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  <c r="BI458" s="202"/>
      <c r="BJ458" s="202"/>
      <c r="BK458" s="202"/>
      <c r="BL458" s="202"/>
      <c r="BM458" s="202"/>
      <c r="BN458" s="202"/>
      <c r="BO458" s="202"/>
      <c r="BP458" s="202"/>
      <c r="BQ458" s="202"/>
      <c r="BR458" s="202"/>
      <c r="BS458" s="202"/>
      <c r="BT458" s="202"/>
      <c r="BU458" s="202"/>
      <c r="BV458" s="202"/>
      <c r="BW458" s="202"/>
      <c r="BX458" s="202"/>
      <c r="BY458" s="202"/>
      <c r="BZ458" s="202"/>
      <c r="CA458" s="202"/>
      <c r="CB458" s="202"/>
      <c r="CC458" s="202"/>
      <c r="CD458" s="202"/>
      <c r="CE458" s="202"/>
      <c r="CF458" s="202"/>
      <c r="CG458" s="202"/>
      <c r="CH458" s="202"/>
      <c r="CI458" s="202"/>
      <c r="CJ458" s="202"/>
      <c r="CK458" s="202"/>
      <c r="CL458" s="202"/>
      <c r="CM458" s="202"/>
      <c r="CN458" s="202"/>
      <c r="CO458" s="202"/>
      <c r="CP458" s="202"/>
      <c r="CQ458" s="202"/>
      <c r="CR458" s="202"/>
      <c r="CS458" s="202"/>
      <c r="CT458" s="202"/>
      <c r="CU458" s="202"/>
      <c r="CV458" s="202"/>
      <c r="CW458" s="202"/>
      <c r="CX458" s="202"/>
      <c r="CY458" s="202"/>
      <c r="CZ458" s="202"/>
      <c r="DA458" s="202"/>
      <c r="DB458" s="202"/>
      <c r="DC458" s="202"/>
      <c r="DD458" s="202"/>
      <c r="DE458" s="202"/>
      <c r="DF458" s="202"/>
      <c r="DG458" s="202"/>
      <c r="DH458" s="202"/>
      <c r="DI458" s="202"/>
      <c r="DJ458" s="202"/>
      <c r="DK458" s="202"/>
      <c r="DL458" s="202"/>
      <c r="DM458" s="202"/>
      <c r="DN458" s="202"/>
      <c r="DO458" s="202"/>
      <c r="DP458" s="202"/>
      <c r="DQ458" s="202"/>
      <c r="DR458" s="202"/>
      <c r="DS458" s="202"/>
      <c r="DT458" s="202"/>
      <c r="DU458" s="202"/>
      <c r="DV458" s="202"/>
      <c r="DW458" s="202"/>
      <c r="DX458" s="202"/>
      <c r="DY458" s="202"/>
      <c r="DZ458" s="202"/>
      <c r="EA458" s="202"/>
    </row>
    <row r="459" spans="1:16" ht="56.25" customHeight="1" hidden="1">
      <c r="A459" s="22" t="s">
        <v>250</v>
      </c>
      <c r="B459" s="4"/>
      <c r="C459" s="4"/>
      <c r="D459" s="5"/>
      <c r="E459" s="24"/>
      <c r="F459" s="24"/>
      <c r="G459" s="5"/>
      <c r="H459" s="24"/>
      <c r="I459" s="24"/>
      <c r="J459" s="24"/>
      <c r="K459" s="5" t="e">
        <f>H459/E459*100</f>
        <v>#DIV/0!</v>
      </c>
      <c r="L459" s="24"/>
      <c r="M459" s="24"/>
      <c r="N459" s="5"/>
      <c r="O459" s="24"/>
      <c r="P459" s="24"/>
    </row>
    <row r="460" spans="1:16" ht="32.25" customHeight="1" hidden="1">
      <c r="A460" s="188" t="s">
        <v>457</v>
      </c>
      <c r="B460" s="4"/>
      <c r="C460" s="4"/>
      <c r="D460" s="193">
        <f>D461+D470</f>
        <v>0</v>
      </c>
      <c r="E460" s="193">
        <f aca="true" t="shared" si="27" ref="E460:O460">E461+E470</f>
        <v>9700300</v>
      </c>
      <c r="F460" s="193">
        <f>D460+E460</f>
        <v>9700300</v>
      </c>
      <c r="G460" s="193">
        <f t="shared" si="27"/>
        <v>0</v>
      </c>
      <c r="H460" s="193">
        <f>H461+H470</f>
        <v>19670400</v>
      </c>
      <c r="I460" s="193">
        <f t="shared" si="27"/>
        <v>0</v>
      </c>
      <c r="J460" s="193">
        <f>G460+H460</f>
        <v>19670400</v>
      </c>
      <c r="K460" s="193">
        <f t="shared" si="27"/>
        <v>21396.1614106831</v>
      </c>
      <c r="L460" s="193">
        <f t="shared" si="27"/>
        <v>1</v>
      </c>
      <c r="M460" s="193">
        <f t="shared" si="27"/>
        <v>1</v>
      </c>
      <c r="N460" s="193">
        <f t="shared" si="27"/>
        <v>0</v>
      </c>
      <c r="O460" s="193">
        <f t="shared" si="27"/>
        <v>20850600</v>
      </c>
      <c r="P460" s="193">
        <f>N460+O460</f>
        <v>20850600</v>
      </c>
    </row>
    <row r="461" spans="1:131" s="87" customFormat="1" ht="22.5" hidden="1">
      <c r="A461" s="85" t="s">
        <v>423</v>
      </c>
      <c r="B461" s="77"/>
      <c r="C461" s="77"/>
      <c r="D461" s="81"/>
      <c r="E461" s="81">
        <f>13435300-6735000</f>
        <v>6700300</v>
      </c>
      <c r="F461" s="81">
        <f>E461</f>
        <v>6700300</v>
      </c>
      <c r="G461" s="81"/>
      <c r="H461" s="81">
        <v>14335400</v>
      </c>
      <c r="I461" s="81"/>
      <c r="J461" s="81">
        <f>H461</f>
        <v>14335400</v>
      </c>
      <c r="K461" s="81">
        <f>K465*K467</f>
        <v>21395.1614106831</v>
      </c>
      <c r="L461" s="81">
        <f>L465*L467</f>
        <v>0</v>
      </c>
      <c r="M461" s="81">
        <f>M465*M467</f>
        <v>0</v>
      </c>
      <c r="N461" s="81"/>
      <c r="O461" s="81">
        <v>15195500</v>
      </c>
      <c r="P461" s="81">
        <f>N461+O461</f>
        <v>15195500</v>
      </c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  <c r="BV461" s="118"/>
      <c r="BW461" s="118"/>
      <c r="BX461" s="118"/>
      <c r="BY461" s="118"/>
      <c r="BZ461" s="118"/>
      <c r="CA461" s="118"/>
      <c r="CB461" s="118"/>
      <c r="CC461" s="118"/>
      <c r="CD461" s="118"/>
      <c r="CE461" s="118"/>
      <c r="CF461" s="118"/>
      <c r="CG461" s="118"/>
      <c r="CH461" s="118"/>
      <c r="CI461" s="118"/>
      <c r="CJ461" s="118"/>
      <c r="CK461" s="118"/>
      <c r="CL461" s="118"/>
      <c r="CM461" s="118"/>
      <c r="CN461" s="118"/>
      <c r="CO461" s="118"/>
      <c r="CP461" s="118"/>
      <c r="CQ461" s="118"/>
      <c r="CR461" s="118"/>
      <c r="CS461" s="118"/>
      <c r="CT461" s="118"/>
      <c r="CU461" s="118"/>
      <c r="CV461" s="118"/>
      <c r="CW461" s="118"/>
      <c r="CX461" s="118"/>
      <c r="CY461" s="118"/>
      <c r="CZ461" s="118"/>
      <c r="DA461" s="118"/>
      <c r="DB461" s="118"/>
      <c r="DC461" s="118"/>
      <c r="DD461" s="118"/>
      <c r="DE461" s="118"/>
      <c r="DF461" s="118"/>
      <c r="DG461" s="118"/>
      <c r="DH461" s="118"/>
      <c r="DI461" s="118"/>
      <c r="DJ461" s="118"/>
      <c r="DK461" s="118"/>
      <c r="DL461" s="118"/>
      <c r="DM461" s="118"/>
      <c r="DN461" s="118"/>
      <c r="DO461" s="118"/>
      <c r="DP461" s="118"/>
      <c r="DQ461" s="118"/>
      <c r="DR461" s="118"/>
      <c r="DS461" s="118"/>
      <c r="DT461" s="118"/>
      <c r="DU461" s="118"/>
      <c r="DV461" s="118"/>
      <c r="DW461" s="118"/>
      <c r="DX461" s="118"/>
      <c r="DY461" s="118"/>
      <c r="DZ461" s="118"/>
      <c r="EA461" s="118"/>
    </row>
    <row r="462" spans="1:16" ht="11.25" hidden="1">
      <c r="A462" s="3" t="s">
        <v>2</v>
      </c>
      <c r="B462" s="25"/>
      <c r="C462" s="25"/>
      <c r="D462" s="5"/>
      <c r="E462" s="24"/>
      <c r="F462" s="24"/>
      <c r="G462" s="5"/>
      <c r="H462" s="24"/>
      <c r="I462" s="24"/>
      <c r="J462" s="24"/>
      <c r="K462" s="5"/>
      <c r="L462" s="24"/>
      <c r="M462" s="24"/>
      <c r="N462" s="5"/>
      <c r="O462" s="24"/>
      <c r="P462" s="24"/>
    </row>
    <row r="463" spans="1:16" ht="22.5" hidden="1">
      <c r="A463" s="6" t="s">
        <v>62</v>
      </c>
      <c r="B463" s="4"/>
      <c r="C463" s="4"/>
      <c r="D463" s="5"/>
      <c r="E463" s="74">
        <v>1032</v>
      </c>
      <c r="F463" s="74">
        <f>E463</f>
        <v>1032</v>
      </c>
      <c r="G463" s="74"/>
      <c r="H463" s="74">
        <v>1012</v>
      </c>
      <c r="I463" s="74"/>
      <c r="J463" s="74">
        <f>H463</f>
        <v>1012</v>
      </c>
      <c r="K463" s="175"/>
      <c r="L463" s="71"/>
      <c r="M463" s="71"/>
      <c r="N463" s="74"/>
      <c r="O463" s="74">
        <v>992</v>
      </c>
      <c r="P463" s="74">
        <f>O463</f>
        <v>992</v>
      </c>
    </row>
    <row r="464" spans="1:16" ht="11.25" hidden="1">
      <c r="A464" s="3" t="s">
        <v>3</v>
      </c>
      <c r="B464" s="25"/>
      <c r="C464" s="25"/>
      <c r="D464" s="5"/>
      <c r="E464" s="18"/>
      <c r="F464" s="18"/>
      <c r="G464" s="5"/>
      <c r="H464" s="18"/>
      <c r="I464" s="18"/>
      <c r="J464" s="18"/>
      <c r="K464" s="5" t="e">
        <f>H464/E464*100</f>
        <v>#DIV/0!</v>
      </c>
      <c r="L464" s="18"/>
      <c r="M464" s="18"/>
      <c r="N464" s="5"/>
      <c r="O464" s="18"/>
      <c r="P464" s="18"/>
    </row>
    <row r="465" spans="1:16" ht="22.5" hidden="1">
      <c r="A465" s="6" t="s">
        <v>63</v>
      </c>
      <c r="B465" s="4"/>
      <c r="C465" s="4"/>
      <c r="D465" s="5"/>
      <c r="E465" s="5">
        <v>86</v>
      </c>
      <c r="F465" s="5">
        <f>E465</f>
        <v>86</v>
      </c>
      <c r="G465" s="5"/>
      <c r="H465" s="5">
        <v>20</v>
      </c>
      <c r="I465" s="5"/>
      <c r="J465" s="5">
        <f>H465</f>
        <v>20</v>
      </c>
      <c r="K465" s="5">
        <f>H465/E465*100</f>
        <v>23.25581395348837</v>
      </c>
      <c r="L465" s="5"/>
      <c r="M465" s="5"/>
      <c r="N465" s="5"/>
      <c r="O465" s="5">
        <v>20</v>
      </c>
      <c r="P465" s="5">
        <f>O465</f>
        <v>20</v>
      </c>
    </row>
    <row r="466" spans="1:16" ht="11.25" hidden="1">
      <c r="A466" s="3" t="s">
        <v>5</v>
      </c>
      <c r="B466" s="25"/>
      <c r="C466" s="25"/>
      <c r="D466" s="5"/>
      <c r="E466" s="18"/>
      <c r="F466" s="18"/>
      <c r="G466" s="5"/>
      <c r="H466" s="18"/>
      <c r="I466" s="18"/>
      <c r="J466" s="18"/>
      <c r="K466" s="5" t="e">
        <f>H466/E466*100</f>
        <v>#DIV/0!</v>
      </c>
      <c r="L466" s="18"/>
      <c r="M466" s="18"/>
      <c r="N466" s="5"/>
      <c r="O466" s="18"/>
      <c r="P466" s="18"/>
    </row>
    <row r="467" spans="1:16" ht="24" customHeight="1" hidden="1">
      <c r="A467" s="6" t="s">
        <v>64</v>
      </c>
      <c r="B467" s="4"/>
      <c r="C467" s="4"/>
      <c r="D467" s="5"/>
      <c r="E467" s="5">
        <f>E461/E465</f>
        <v>77910.46511627907</v>
      </c>
      <c r="F467" s="5">
        <f>E467</f>
        <v>77910.46511627907</v>
      </c>
      <c r="G467" s="5"/>
      <c r="H467" s="5">
        <f>H461/H465</f>
        <v>716770</v>
      </c>
      <c r="I467" s="5"/>
      <c r="J467" s="5">
        <f>H467</f>
        <v>716770</v>
      </c>
      <c r="K467" s="5">
        <f>H467/E467*100</f>
        <v>919.9919406593734</v>
      </c>
      <c r="L467" s="5"/>
      <c r="M467" s="5"/>
      <c r="N467" s="5"/>
      <c r="O467" s="5">
        <f>O461/O465</f>
        <v>759775</v>
      </c>
      <c r="P467" s="5">
        <f>O467</f>
        <v>759775</v>
      </c>
    </row>
    <row r="468" spans="1:16" ht="11.25" hidden="1">
      <c r="A468" s="3" t="s">
        <v>4</v>
      </c>
      <c r="B468" s="25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50.25" customHeight="1" hidden="1">
      <c r="A469" s="6" t="s">
        <v>65</v>
      </c>
      <c r="B469" s="4"/>
      <c r="C469" s="4"/>
      <c r="D469" s="5"/>
      <c r="E469" s="5">
        <f>E465/E463*100</f>
        <v>8.333333333333332</v>
      </c>
      <c r="F469" s="5">
        <f>D469+E469</f>
        <v>8.333333333333332</v>
      </c>
      <c r="G469" s="5"/>
      <c r="H469" s="5">
        <f>H465/H463*100</f>
        <v>1.9762845849802373</v>
      </c>
      <c r="I469" s="5"/>
      <c r="J469" s="5">
        <f>J465/J463*100</f>
        <v>1.9762845849802373</v>
      </c>
      <c r="K469" s="5" t="e">
        <f>K465/K463*100</f>
        <v>#DIV/0!</v>
      </c>
      <c r="L469" s="5" t="e">
        <f>L465/L463*100</f>
        <v>#DIV/0!</v>
      </c>
      <c r="M469" s="5" t="e">
        <f>M465/M463*100</f>
        <v>#DIV/0!</v>
      </c>
      <c r="N469" s="5"/>
      <c r="O469" s="5">
        <f>O465/O463*100</f>
        <v>2.0161290322580645</v>
      </c>
      <c r="P469" s="5">
        <f>P465/P463*100</f>
        <v>2.0161290322580645</v>
      </c>
    </row>
    <row r="470" spans="1:131" s="87" customFormat="1" ht="22.5" hidden="1">
      <c r="A470" s="85" t="s">
        <v>424</v>
      </c>
      <c r="B470" s="77"/>
      <c r="C470" s="77"/>
      <c r="D470" s="81"/>
      <c r="E470" s="81">
        <f>E474*E476</f>
        <v>3000000</v>
      </c>
      <c r="F470" s="81">
        <f>E470</f>
        <v>3000000</v>
      </c>
      <c r="G470" s="81"/>
      <c r="H470" s="81">
        <f>H474*H476</f>
        <v>5335000</v>
      </c>
      <c r="I470" s="81"/>
      <c r="J470" s="81">
        <f>H470</f>
        <v>5335000</v>
      </c>
      <c r="K470" s="81">
        <f>K474*K476+1</f>
        <v>1</v>
      </c>
      <c r="L470" s="81">
        <f>L474*L476+1</f>
        <v>1</v>
      </c>
      <c r="M470" s="81">
        <f>M474*M476+1</f>
        <v>1</v>
      </c>
      <c r="N470" s="81"/>
      <c r="O470" s="81">
        <f>O472</f>
        <v>5655100</v>
      </c>
      <c r="P470" s="81">
        <f>O470</f>
        <v>5655100</v>
      </c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  <c r="BV470" s="118"/>
      <c r="BW470" s="118"/>
      <c r="BX470" s="118"/>
      <c r="BY470" s="118"/>
      <c r="BZ470" s="118"/>
      <c r="CA470" s="118"/>
      <c r="CB470" s="118"/>
      <c r="CC470" s="118"/>
      <c r="CD470" s="118"/>
      <c r="CE470" s="118"/>
      <c r="CF470" s="118"/>
      <c r="CG470" s="118"/>
      <c r="CH470" s="118"/>
      <c r="CI470" s="118"/>
      <c r="CJ470" s="118"/>
      <c r="CK470" s="118"/>
      <c r="CL470" s="118"/>
      <c r="CM470" s="118"/>
      <c r="CN470" s="118"/>
      <c r="CO470" s="118"/>
      <c r="CP470" s="118"/>
      <c r="CQ470" s="118"/>
      <c r="CR470" s="118"/>
      <c r="CS470" s="118"/>
      <c r="CT470" s="118"/>
      <c r="CU470" s="118"/>
      <c r="CV470" s="118"/>
      <c r="CW470" s="118"/>
      <c r="CX470" s="118"/>
      <c r="CY470" s="118"/>
      <c r="CZ470" s="118"/>
      <c r="DA470" s="118"/>
      <c r="DB470" s="118"/>
      <c r="DC470" s="118"/>
      <c r="DD470" s="118"/>
      <c r="DE470" s="118"/>
      <c r="DF470" s="118"/>
      <c r="DG470" s="118"/>
      <c r="DH470" s="118"/>
      <c r="DI470" s="118"/>
      <c r="DJ470" s="118"/>
      <c r="DK470" s="118"/>
      <c r="DL470" s="118"/>
      <c r="DM470" s="118"/>
      <c r="DN470" s="118"/>
      <c r="DO470" s="118"/>
      <c r="DP470" s="118"/>
      <c r="DQ470" s="118"/>
      <c r="DR470" s="118"/>
      <c r="DS470" s="118"/>
      <c r="DT470" s="118"/>
      <c r="DU470" s="118"/>
      <c r="DV470" s="118"/>
      <c r="DW470" s="118"/>
      <c r="DX470" s="118"/>
      <c r="DY470" s="118"/>
      <c r="DZ470" s="118"/>
      <c r="EA470" s="118"/>
    </row>
    <row r="471" spans="1:131" s="76" customFormat="1" ht="11.25" hidden="1">
      <c r="A471" s="165" t="s">
        <v>2</v>
      </c>
      <c r="B471" s="73"/>
      <c r="C471" s="73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</row>
    <row r="472" spans="1:131" s="76" customFormat="1" ht="22.5" hidden="1">
      <c r="A472" s="72" t="s">
        <v>251</v>
      </c>
      <c r="B472" s="73"/>
      <c r="C472" s="73"/>
      <c r="D472" s="74"/>
      <c r="E472" s="74">
        <f>5000000-2000000</f>
        <v>3000000</v>
      </c>
      <c r="F472" s="74">
        <f>E472</f>
        <v>3000000</v>
      </c>
      <c r="G472" s="74"/>
      <c r="H472" s="74">
        <v>5335000</v>
      </c>
      <c r="I472" s="74"/>
      <c r="J472" s="74">
        <f>H472</f>
        <v>5335000</v>
      </c>
      <c r="K472" s="74"/>
      <c r="L472" s="74"/>
      <c r="M472" s="74"/>
      <c r="N472" s="74"/>
      <c r="O472" s="74">
        <v>5655100</v>
      </c>
      <c r="P472" s="74">
        <f>O472</f>
        <v>5655100</v>
      </c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</row>
    <row r="473" spans="1:131" s="76" customFormat="1" ht="11.25" hidden="1">
      <c r="A473" s="165" t="s">
        <v>3</v>
      </c>
      <c r="B473" s="73"/>
      <c r="C473" s="73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</row>
    <row r="474" spans="1:131" s="76" customFormat="1" ht="22.5" hidden="1">
      <c r="A474" s="72" t="s">
        <v>109</v>
      </c>
      <c r="B474" s="73"/>
      <c r="C474" s="73"/>
      <c r="D474" s="74"/>
      <c r="E474" s="74">
        <v>12</v>
      </c>
      <c r="F474" s="74">
        <f>E474</f>
        <v>12</v>
      </c>
      <c r="G474" s="74"/>
      <c r="H474" s="74">
        <f>H472/H476</f>
        <v>20</v>
      </c>
      <c r="I474" s="74"/>
      <c r="J474" s="74">
        <f>H474</f>
        <v>20</v>
      </c>
      <c r="K474" s="74"/>
      <c r="L474" s="74"/>
      <c r="M474" s="74"/>
      <c r="N474" s="74"/>
      <c r="O474" s="74">
        <f>O472/O476</f>
        <v>20</v>
      </c>
      <c r="P474" s="74">
        <f>O474</f>
        <v>20</v>
      </c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</row>
    <row r="475" spans="1:131" s="76" customFormat="1" ht="11.25" hidden="1">
      <c r="A475" s="165" t="s">
        <v>5</v>
      </c>
      <c r="B475" s="73"/>
      <c r="C475" s="73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</row>
    <row r="476" spans="1:131" s="76" customFormat="1" ht="22.5" hidden="1">
      <c r="A476" s="72" t="s">
        <v>64</v>
      </c>
      <c r="B476" s="73"/>
      <c r="C476" s="73"/>
      <c r="D476" s="74"/>
      <c r="E476" s="74">
        <v>250000</v>
      </c>
      <c r="F476" s="74">
        <f>E476</f>
        <v>250000</v>
      </c>
      <c r="G476" s="74"/>
      <c r="H476" s="74">
        <v>266750</v>
      </c>
      <c r="I476" s="74"/>
      <c r="J476" s="74">
        <f>H476</f>
        <v>266750</v>
      </c>
      <c r="K476" s="74"/>
      <c r="L476" s="74"/>
      <c r="M476" s="74"/>
      <c r="N476" s="74"/>
      <c r="O476" s="74">
        <v>282755</v>
      </c>
      <c r="P476" s="74">
        <f>O476</f>
        <v>282755</v>
      </c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</row>
    <row r="477" spans="1:131" s="203" customFormat="1" ht="33" customHeight="1" hidden="1">
      <c r="A477" s="200" t="s">
        <v>225</v>
      </c>
      <c r="B477" s="200"/>
      <c r="C477" s="200"/>
      <c r="D477" s="201">
        <f>D478+D479</f>
        <v>5805640</v>
      </c>
      <c r="E477" s="201">
        <f aca="true" t="shared" si="28" ref="E477:P477">E478+E479</f>
        <v>2008400</v>
      </c>
      <c r="F477" s="201">
        <f t="shared" si="28"/>
        <v>7814040</v>
      </c>
      <c r="G477" s="201">
        <f t="shared" si="28"/>
        <v>6442527</v>
      </c>
      <c r="H477" s="201">
        <f t="shared" si="28"/>
        <v>630370</v>
      </c>
      <c r="I477" s="201">
        <f t="shared" si="28"/>
        <v>0</v>
      </c>
      <c r="J477" s="201">
        <f t="shared" si="28"/>
        <v>7072897</v>
      </c>
      <c r="K477" s="201" t="e">
        <f t="shared" si="28"/>
        <v>#REF!</v>
      </c>
      <c r="L477" s="201" t="e">
        <f t="shared" si="28"/>
        <v>#REF!</v>
      </c>
      <c r="M477" s="201" t="e">
        <f t="shared" si="28"/>
        <v>#REF!</v>
      </c>
      <c r="N477" s="201">
        <f t="shared" si="28"/>
        <v>6701983</v>
      </c>
      <c r="O477" s="201">
        <f t="shared" si="28"/>
        <v>664380</v>
      </c>
      <c r="P477" s="201">
        <f t="shared" si="28"/>
        <v>7366363</v>
      </c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  <c r="BZ477" s="202"/>
      <c r="CA477" s="202"/>
      <c r="CB477" s="202"/>
      <c r="CC477" s="202"/>
      <c r="CD477" s="202"/>
      <c r="CE477" s="202"/>
      <c r="CF477" s="202"/>
      <c r="CG477" s="202"/>
      <c r="CH477" s="202"/>
      <c r="CI477" s="202"/>
      <c r="CJ477" s="202"/>
      <c r="CK477" s="202"/>
      <c r="CL477" s="202"/>
      <c r="CM477" s="202"/>
      <c r="CN477" s="202"/>
      <c r="CO477" s="202"/>
      <c r="CP477" s="202"/>
      <c r="CQ477" s="202"/>
      <c r="CR477" s="202"/>
      <c r="CS477" s="202"/>
      <c r="CT477" s="202"/>
      <c r="CU477" s="202"/>
      <c r="CV477" s="202"/>
      <c r="CW477" s="202"/>
      <c r="CX477" s="202"/>
      <c r="CY477" s="202"/>
      <c r="CZ477" s="202"/>
      <c r="DA477" s="202"/>
      <c r="DB477" s="202"/>
      <c r="DC477" s="202"/>
      <c r="DD477" s="202"/>
      <c r="DE477" s="202"/>
      <c r="DF477" s="202"/>
      <c r="DG477" s="202"/>
      <c r="DH477" s="202"/>
      <c r="DI477" s="202"/>
      <c r="DJ477" s="202"/>
      <c r="DK477" s="202"/>
      <c r="DL477" s="202"/>
      <c r="DM477" s="202"/>
      <c r="DN477" s="202"/>
      <c r="DO477" s="202"/>
      <c r="DP477" s="202"/>
      <c r="DQ477" s="202"/>
      <c r="DR477" s="202"/>
      <c r="DS477" s="202"/>
      <c r="DT477" s="202"/>
      <c r="DU477" s="202"/>
      <c r="DV477" s="202"/>
      <c r="DW477" s="202"/>
      <c r="DX477" s="202"/>
      <c r="DY477" s="202"/>
      <c r="DZ477" s="202"/>
      <c r="EA477" s="202"/>
    </row>
    <row r="478" spans="1:16" ht="13.5" customHeight="1" hidden="1">
      <c r="A478" s="25" t="s">
        <v>31</v>
      </c>
      <c r="B478" s="25"/>
      <c r="C478" s="25"/>
      <c r="D478" s="18">
        <f>D481+D488</f>
        <v>5627900</v>
      </c>
      <c r="E478" s="18">
        <f aca="true" t="shared" si="29" ref="E478:O478">E481+E488</f>
        <v>1785000</v>
      </c>
      <c r="F478" s="18">
        <f>D478+E478</f>
        <v>7412900</v>
      </c>
      <c r="G478" s="18">
        <f t="shared" si="29"/>
        <v>6128797</v>
      </c>
      <c r="H478" s="18">
        <f t="shared" si="29"/>
        <v>0</v>
      </c>
      <c r="I478" s="18">
        <f t="shared" si="29"/>
        <v>0</v>
      </c>
      <c r="J478" s="18">
        <f>G478+H478</f>
        <v>6128797</v>
      </c>
      <c r="K478" s="18">
        <f t="shared" si="29"/>
        <v>0</v>
      </c>
      <c r="L478" s="18">
        <f t="shared" si="29"/>
        <v>0</v>
      </c>
      <c r="M478" s="18">
        <f t="shared" si="29"/>
        <v>0</v>
      </c>
      <c r="N478" s="18">
        <f t="shared" si="29"/>
        <v>6379973</v>
      </c>
      <c r="O478" s="18">
        <f t="shared" si="29"/>
        <v>0</v>
      </c>
      <c r="P478" s="18">
        <f>N478+O478</f>
        <v>6379973</v>
      </c>
    </row>
    <row r="479" spans="1:131" s="76" customFormat="1" ht="11.25" hidden="1">
      <c r="A479" s="83" t="s">
        <v>106</v>
      </c>
      <c r="B479" s="83"/>
      <c r="C479" s="83"/>
      <c r="D479" s="84">
        <f>D622</f>
        <v>177740</v>
      </c>
      <c r="E479" s="84">
        <f>E622</f>
        <v>223400</v>
      </c>
      <c r="F479" s="84">
        <f aca="true" t="shared" si="30" ref="F479:P479">F622</f>
        <v>401140</v>
      </c>
      <c r="G479" s="84">
        <f t="shared" si="30"/>
        <v>313730</v>
      </c>
      <c r="H479" s="84">
        <f t="shared" si="30"/>
        <v>630370</v>
      </c>
      <c r="I479" s="84">
        <f t="shared" si="30"/>
        <v>0</v>
      </c>
      <c r="J479" s="84">
        <f t="shared" si="30"/>
        <v>944100</v>
      </c>
      <c r="K479" s="84" t="e">
        <f t="shared" si="30"/>
        <v>#REF!</v>
      </c>
      <c r="L479" s="84" t="e">
        <f t="shared" si="30"/>
        <v>#REF!</v>
      </c>
      <c r="M479" s="84" t="e">
        <f t="shared" si="30"/>
        <v>#REF!</v>
      </c>
      <c r="N479" s="84">
        <f t="shared" si="30"/>
        <v>322010</v>
      </c>
      <c r="O479" s="84">
        <f t="shared" si="30"/>
        <v>664380</v>
      </c>
      <c r="P479" s="84">
        <f t="shared" si="30"/>
        <v>986390</v>
      </c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</row>
    <row r="480" spans="1:16" ht="51.75" customHeight="1" hidden="1">
      <c r="A480" s="6" t="s">
        <v>248</v>
      </c>
      <c r="B480" s="4"/>
      <c r="C480" s="4"/>
      <c r="D480" s="24"/>
      <c r="E480" s="24"/>
      <c r="F480" s="24"/>
      <c r="G480" s="24"/>
      <c r="H480" s="24"/>
      <c r="I480" s="24"/>
      <c r="J480" s="24"/>
      <c r="K480" s="5"/>
      <c r="L480" s="24"/>
      <c r="M480" s="24"/>
      <c r="N480" s="24"/>
      <c r="O480" s="24"/>
      <c r="P480" s="24"/>
    </row>
    <row r="481" spans="1:131" s="197" customFormat="1" ht="71.25" customHeight="1" hidden="1">
      <c r="A481" s="194" t="s">
        <v>425</v>
      </c>
      <c r="B481" s="195"/>
      <c r="C481" s="195"/>
      <c r="D481" s="193">
        <f>D483</f>
        <v>3175000</v>
      </c>
      <c r="E481" s="193">
        <f>E483</f>
        <v>0</v>
      </c>
      <c r="F481" s="193">
        <f>D481+E481</f>
        <v>3175000</v>
      </c>
      <c r="G481" s="193">
        <f>G483</f>
        <v>2995300</v>
      </c>
      <c r="H481" s="193"/>
      <c r="I481" s="193"/>
      <c r="J481" s="193">
        <f>J483</f>
        <v>2995300</v>
      </c>
      <c r="K481" s="193"/>
      <c r="L481" s="193"/>
      <c r="M481" s="193"/>
      <c r="N481" s="193">
        <f>N483</f>
        <v>3248700</v>
      </c>
      <c r="O481" s="193"/>
      <c r="P481" s="193">
        <f>N481</f>
        <v>3248700</v>
      </c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96"/>
      <c r="BM481" s="196"/>
      <c r="BN481" s="196"/>
      <c r="BO481" s="196"/>
      <c r="BP481" s="196"/>
      <c r="BQ481" s="196"/>
      <c r="BR481" s="196"/>
      <c r="BS481" s="196"/>
      <c r="BT481" s="196"/>
      <c r="BU481" s="196"/>
      <c r="BV481" s="196"/>
      <c r="BW481" s="196"/>
      <c r="BX481" s="196"/>
      <c r="BY481" s="196"/>
      <c r="BZ481" s="196"/>
      <c r="CA481" s="196"/>
      <c r="CB481" s="196"/>
      <c r="CC481" s="196"/>
      <c r="CD481" s="196"/>
      <c r="CE481" s="196"/>
      <c r="CF481" s="196"/>
      <c r="CG481" s="196"/>
      <c r="CH481" s="196"/>
      <c r="CI481" s="196"/>
      <c r="CJ481" s="196"/>
      <c r="CK481" s="196"/>
      <c r="CL481" s="196"/>
      <c r="CM481" s="196"/>
      <c r="CN481" s="196"/>
      <c r="CO481" s="196"/>
      <c r="CP481" s="196"/>
      <c r="CQ481" s="196"/>
      <c r="CR481" s="196"/>
      <c r="CS481" s="196"/>
      <c r="CT481" s="196"/>
      <c r="CU481" s="196"/>
      <c r="CV481" s="196"/>
      <c r="CW481" s="196"/>
      <c r="CX481" s="196"/>
      <c r="CY481" s="196"/>
      <c r="CZ481" s="196"/>
      <c r="DA481" s="196"/>
      <c r="DB481" s="196"/>
      <c r="DC481" s="196"/>
      <c r="DD481" s="196"/>
      <c r="DE481" s="196"/>
      <c r="DF481" s="196"/>
      <c r="DG481" s="196"/>
      <c r="DH481" s="196"/>
      <c r="DI481" s="196"/>
      <c r="DJ481" s="196"/>
      <c r="DK481" s="196"/>
      <c r="DL481" s="196"/>
      <c r="DM481" s="196"/>
      <c r="DN481" s="196"/>
      <c r="DO481" s="196"/>
      <c r="DP481" s="196"/>
      <c r="DQ481" s="196"/>
      <c r="DR481" s="196"/>
      <c r="DS481" s="196"/>
      <c r="DT481" s="196"/>
      <c r="DU481" s="196"/>
      <c r="DV481" s="196"/>
      <c r="DW481" s="196"/>
      <c r="DX481" s="196"/>
      <c r="DY481" s="196"/>
      <c r="DZ481" s="196"/>
      <c r="EA481" s="196"/>
    </row>
    <row r="482" spans="1:16" ht="11.25" hidden="1">
      <c r="A482" s="3" t="s">
        <v>20</v>
      </c>
      <c r="B482" s="25"/>
      <c r="C482" s="25"/>
      <c r="D482" s="18"/>
      <c r="E482" s="18"/>
      <c r="F482" s="81"/>
      <c r="G482" s="18"/>
      <c r="H482" s="18"/>
      <c r="I482" s="18"/>
      <c r="J482" s="18"/>
      <c r="K482" s="5"/>
      <c r="L482" s="18"/>
      <c r="M482" s="18"/>
      <c r="N482" s="18"/>
      <c r="O482" s="18"/>
      <c r="P482" s="18"/>
    </row>
    <row r="483" spans="1:16" ht="23.25" customHeight="1" hidden="1">
      <c r="A483" s="6" t="s">
        <v>140</v>
      </c>
      <c r="B483" s="4"/>
      <c r="C483" s="4"/>
      <c r="D483" s="5">
        <f>3544000-100000-254000-15000</f>
        <v>3175000</v>
      </c>
      <c r="E483" s="5">
        <f>1330000-1200000-130000</f>
        <v>0</v>
      </c>
      <c r="F483" s="81">
        <f>D483+E483</f>
        <v>3175000</v>
      </c>
      <c r="G483" s="5">
        <v>2995300</v>
      </c>
      <c r="H483" s="5"/>
      <c r="I483" s="5"/>
      <c r="J483" s="5">
        <f>G483</f>
        <v>2995300</v>
      </c>
      <c r="K483" s="5">
        <f>G483/D483*100</f>
        <v>94.34015748031496</v>
      </c>
      <c r="L483" s="5"/>
      <c r="M483" s="5"/>
      <c r="N483" s="5">
        <v>3248700</v>
      </c>
      <c r="O483" s="5"/>
      <c r="P483" s="5">
        <f>N483</f>
        <v>3248700</v>
      </c>
    </row>
    <row r="484" spans="1:16" ht="11.25" hidden="1">
      <c r="A484" s="3" t="s">
        <v>3</v>
      </c>
      <c r="B484" s="25"/>
      <c r="C484" s="25"/>
      <c r="D484" s="18"/>
      <c r="E484" s="18"/>
      <c r="F484" s="81"/>
      <c r="G484" s="18"/>
      <c r="H484" s="18"/>
      <c r="I484" s="18"/>
      <c r="J484" s="5"/>
      <c r="K484" s="5"/>
      <c r="L484" s="18"/>
      <c r="M484" s="18"/>
      <c r="N484" s="18"/>
      <c r="O484" s="18"/>
      <c r="P484" s="5"/>
    </row>
    <row r="485" spans="1:16" ht="22.5" hidden="1">
      <c r="A485" s="6" t="s">
        <v>139</v>
      </c>
      <c r="B485" s="4"/>
      <c r="C485" s="4"/>
      <c r="D485" s="74">
        <v>10</v>
      </c>
      <c r="E485" s="5">
        <v>0</v>
      </c>
      <c r="F485" s="81">
        <f>D485+E485</f>
        <v>10</v>
      </c>
      <c r="G485" s="5">
        <v>10</v>
      </c>
      <c r="H485" s="5"/>
      <c r="I485" s="5"/>
      <c r="J485" s="5">
        <f>G485</f>
        <v>10</v>
      </c>
      <c r="K485" s="5">
        <f>G485/D485*100</f>
        <v>100</v>
      </c>
      <c r="L485" s="5"/>
      <c r="M485" s="5"/>
      <c r="N485" s="5">
        <v>10</v>
      </c>
      <c r="O485" s="5"/>
      <c r="P485" s="5">
        <f>N485</f>
        <v>10</v>
      </c>
    </row>
    <row r="486" spans="1:16" ht="11.25" hidden="1">
      <c r="A486" s="3" t="s">
        <v>5</v>
      </c>
      <c r="B486" s="25"/>
      <c r="C486" s="25"/>
      <c r="D486" s="18"/>
      <c r="E486" s="18"/>
      <c r="F486" s="81"/>
      <c r="G486" s="18"/>
      <c r="H486" s="18"/>
      <c r="I486" s="18"/>
      <c r="J486" s="5"/>
      <c r="K486" s="5"/>
      <c r="L486" s="18"/>
      <c r="M486" s="18"/>
      <c r="N486" s="18"/>
      <c r="O486" s="18"/>
      <c r="P486" s="5"/>
    </row>
    <row r="487" spans="1:16" ht="22.5" hidden="1">
      <c r="A487" s="204" t="s">
        <v>141</v>
      </c>
      <c r="B487" s="205"/>
      <c r="C487" s="205"/>
      <c r="D487" s="13">
        <f>D483/D485</f>
        <v>317500</v>
      </c>
      <c r="E487" s="13">
        <v>0</v>
      </c>
      <c r="F487" s="206">
        <f>D487+E487</f>
        <v>317500</v>
      </c>
      <c r="G487" s="13">
        <f>G483/G485</f>
        <v>299530</v>
      </c>
      <c r="H487" s="13"/>
      <c r="I487" s="13"/>
      <c r="J487" s="13">
        <f>G487</f>
        <v>299530</v>
      </c>
      <c r="K487" s="13">
        <f>G487/D487*100</f>
        <v>94.34015748031496</v>
      </c>
      <c r="L487" s="13"/>
      <c r="M487" s="13"/>
      <c r="N487" s="13">
        <f>N483/N485</f>
        <v>324870</v>
      </c>
      <c r="O487" s="13"/>
      <c r="P487" s="13">
        <f>N487</f>
        <v>324870</v>
      </c>
    </row>
    <row r="488" spans="1:131" s="208" customFormat="1" ht="40.5" customHeight="1">
      <c r="A488" s="194" t="s">
        <v>523</v>
      </c>
      <c r="B488" s="195"/>
      <c r="C488" s="195"/>
      <c r="D488" s="193">
        <f>D489+D496+D503+D510+D515+D522+D529+D536+D543+D550+D557+D564+D571+D578+D585+D592+D599+D606+D613</f>
        <v>2452900</v>
      </c>
      <c r="E488" s="193">
        <f aca="true" t="shared" si="31" ref="E488:P488">E489+E496+E503+E510+E515+E522+E529+E536+E543+E550+E557+E564+E571+E578+E585+E592+E599+E606+E613</f>
        <v>1785000</v>
      </c>
      <c r="F488" s="193">
        <f t="shared" si="31"/>
        <v>4237900</v>
      </c>
      <c r="G488" s="193">
        <f t="shared" si="31"/>
        <v>3133497</v>
      </c>
      <c r="H488" s="193">
        <f t="shared" si="31"/>
        <v>0</v>
      </c>
      <c r="I488" s="193">
        <f t="shared" si="31"/>
        <v>0</v>
      </c>
      <c r="J488" s="193">
        <f t="shared" si="31"/>
        <v>3133497</v>
      </c>
      <c r="K488" s="193">
        <f t="shared" si="31"/>
        <v>0</v>
      </c>
      <c r="L488" s="193">
        <f t="shared" si="31"/>
        <v>0</v>
      </c>
      <c r="M488" s="193">
        <f t="shared" si="31"/>
        <v>0</v>
      </c>
      <c r="N488" s="193">
        <f t="shared" si="31"/>
        <v>3131273</v>
      </c>
      <c r="O488" s="193">
        <f t="shared" si="31"/>
        <v>0</v>
      </c>
      <c r="P488" s="193">
        <f t="shared" si="31"/>
        <v>3131273</v>
      </c>
      <c r="Q488" s="193">
        <f>Q489+Q496+Q503+Q510+Q515+Q522+Q529+Q536+Q543+Q550+Q557+Q564+Q571+Q578+Q585+Q592+Q599+Q606</f>
        <v>0</v>
      </c>
      <c r="R488" s="207"/>
      <c r="S488" s="207"/>
      <c r="T488" s="207"/>
      <c r="U488" s="207"/>
      <c r="V488" s="207"/>
      <c r="W488" s="207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/>
      <c r="AH488" s="207"/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  <c r="BI488" s="207"/>
      <c r="BJ488" s="207"/>
      <c r="BK488" s="207"/>
      <c r="BL488" s="207"/>
      <c r="BM488" s="207"/>
      <c r="BN488" s="207"/>
      <c r="BO488" s="207"/>
      <c r="BP488" s="207"/>
      <c r="BQ488" s="207"/>
      <c r="BR488" s="207"/>
      <c r="BS488" s="207"/>
      <c r="BT488" s="207"/>
      <c r="BU488" s="207"/>
      <c r="BV488" s="207"/>
      <c r="BW488" s="207"/>
      <c r="BX488" s="207"/>
      <c r="BY488" s="207"/>
      <c r="BZ488" s="207"/>
      <c r="CA488" s="207"/>
      <c r="CB488" s="207"/>
      <c r="CC488" s="207"/>
      <c r="CD488" s="207"/>
      <c r="CE488" s="207"/>
      <c r="CF488" s="207"/>
      <c r="CG488" s="207"/>
      <c r="CH488" s="207"/>
      <c r="CI488" s="207"/>
      <c r="CJ488" s="207"/>
      <c r="CK488" s="207"/>
      <c r="CL488" s="207"/>
      <c r="CM488" s="207"/>
      <c r="CN488" s="207"/>
      <c r="CO488" s="207"/>
      <c r="CP488" s="207"/>
      <c r="CQ488" s="207"/>
      <c r="CR488" s="207"/>
      <c r="CS488" s="207"/>
      <c r="CT488" s="207"/>
      <c r="CU488" s="207"/>
      <c r="CV488" s="207"/>
      <c r="CW488" s="207"/>
      <c r="CX488" s="207"/>
      <c r="CY488" s="207"/>
      <c r="CZ488" s="207"/>
      <c r="DA488" s="207"/>
      <c r="DB488" s="207"/>
      <c r="DC488" s="207"/>
      <c r="DD488" s="207"/>
      <c r="DE488" s="207"/>
      <c r="DF488" s="207"/>
      <c r="DG488" s="207"/>
      <c r="DH488" s="207"/>
      <c r="DI488" s="207"/>
      <c r="DJ488" s="207"/>
      <c r="DK488" s="207"/>
      <c r="DL488" s="207"/>
      <c r="DM488" s="207"/>
      <c r="DN488" s="207"/>
      <c r="DO488" s="207"/>
      <c r="DP488" s="207"/>
      <c r="DQ488" s="207"/>
      <c r="DR488" s="207"/>
      <c r="DS488" s="207"/>
      <c r="DT488" s="207"/>
      <c r="DU488" s="207"/>
      <c r="DV488" s="207"/>
      <c r="DW488" s="207"/>
      <c r="DX488" s="207"/>
      <c r="DY488" s="207"/>
      <c r="DZ488" s="207"/>
      <c r="EA488" s="207"/>
    </row>
    <row r="489" spans="1:131" s="27" customFormat="1" ht="39" customHeight="1" hidden="1">
      <c r="A489" s="22" t="s">
        <v>458</v>
      </c>
      <c r="B489" s="7"/>
      <c r="C489" s="7"/>
      <c r="D489" s="8">
        <f>D491</f>
        <v>50000</v>
      </c>
      <c r="E489" s="8"/>
      <c r="F489" s="8">
        <f>D489</f>
        <v>50000</v>
      </c>
      <c r="G489" s="8">
        <f>G491</f>
        <v>382200</v>
      </c>
      <c r="H489" s="8"/>
      <c r="I489" s="8"/>
      <c r="J489" s="8">
        <f>G489</f>
        <v>382200</v>
      </c>
      <c r="K489" s="8"/>
      <c r="L489" s="8"/>
      <c r="M489" s="8"/>
      <c r="N489" s="8">
        <f>N491</f>
        <v>427300</v>
      </c>
      <c r="O489" s="8"/>
      <c r="P489" s="8">
        <f>N489</f>
        <v>427300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</row>
    <row r="490" spans="1:16" ht="11.25" hidden="1">
      <c r="A490" s="3" t="s">
        <v>2</v>
      </c>
      <c r="B490" s="9"/>
      <c r="C490" s="9"/>
      <c r="D490" s="29"/>
      <c r="E490" s="29"/>
      <c r="F490" s="29"/>
      <c r="G490" s="29"/>
      <c r="H490" s="29"/>
      <c r="I490" s="29"/>
      <c r="J490" s="29"/>
      <c r="K490" s="36"/>
      <c r="L490" s="36"/>
      <c r="M490" s="36"/>
      <c r="N490" s="29"/>
      <c r="O490" s="29"/>
      <c r="P490" s="29"/>
    </row>
    <row r="491" spans="1:16" ht="11.25" hidden="1">
      <c r="A491" s="6" t="s">
        <v>23</v>
      </c>
      <c r="B491" s="9"/>
      <c r="C491" s="9"/>
      <c r="D491" s="36">
        <f>338500-288500</f>
        <v>50000</v>
      </c>
      <c r="E491" s="36"/>
      <c r="F491" s="36">
        <f>D491</f>
        <v>50000</v>
      </c>
      <c r="G491" s="29">
        <v>382200</v>
      </c>
      <c r="H491" s="29"/>
      <c r="I491" s="29"/>
      <c r="J491" s="29">
        <f>G491</f>
        <v>382200</v>
      </c>
      <c r="K491" s="36"/>
      <c r="L491" s="36"/>
      <c r="M491" s="36"/>
      <c r="N491" s="29">
        <v>427300</v>
      </c>
      <c r="O491" s="29"/>
      <c r="P491" s="29">
        <f>N491</f>
        <v>427300</v>
      </c>
    </row>
    <row r="492" spans="1:16" ht="11.25" hidden="1">
      <c r="A492" s="3" t="s">
        <v>3</v>
      </c>
      <c r="B492" s="9"/>
      <c r="C492" s="9"/>
      <c r="D492" s="36"/>
      <c r="E492" s="36"/>
      <c r="F492" s="36"/>
      <c r="G492" s="29"/>
      <c r="H492" s="29"/>
      <c r="I492" s="29"/>
      <c r="J492" s="29"/>
      <c r="K492" s="36"/>
      <c r="L492" s="36"/>
      <c r="M492" s="36"/>
      <c r="N492" s="29"/>
      <c r="O492" s="29"/>
      <c r="P492" s="29"/>
    </row>
    <row r="493" spans="1:16" ht="11.25" hidden="1">
      <c r="A493" s="6" t="s">
        <v>171</v>
      </c>
      <c r="B493" s="9"/>
      <c r="C493" s="9"/>
      <c r="D493" s="36">
        <v>200</v>
      </c>
      <c r="E493" s="36"/>
      <c r="F493" s="36">
        <f>D493</f>
        <v>200</v>
      </c>
      <c r="G493" s="37">
        <f>G491/G495</f>
        <v>529.1430153675758</v>
      </c>
      <c r="H493" s="29"/>
      <c r="I493" s="29"/>
      <c r="J493" s="37">
        <f>G493</f>
        <v>529.1430153675758</v>
      </c>
      <c r="K493" s="36"/>
      <c r="L493" s="36"/>
      <c r="M493" s="36"/>
      <c r="N493" s="37">
        <f>N491/N495</f>
        <v>558.1243469174503</v>
      </c>
      <c r="O493" s="37"/>
      <c r="P493" s="37">
        <f>N493</f>
        <v>558.1243469174503</v>
      </c>
    </row>
    <row r="494" spans="1:16" ht="11.25" hidden="1">
      <c r="A494" s="3" t="s">
        <v>5</v>
      </c>
      <c r="B494" s="9"/>
      <c r="C494" s="9"/>
      <c r="D494" s="36"/>
      <c r="E494" s="36"/>
      <c r="F494" s="36"/>
      <c r="G494" s="29"/>
      <c r="H494" s="29"/>
      <c r="I494" s="29"/>
      <c r="J494" s="29"/>
      <c r="K494" s="36"/>
      <c r="L494" s="36"/>
      <c r="M494" s="36"/>
      <c r="N494" s="29"/>
      <c r="O494" s="29"/>
      <c r="P494" s="29"/>
    </row>
    <row r="495" spans="1:16" ht="11.25" hidden="1">
      <c r="A495" s="6" t="s">
        <v>153</v>
      </c>
      <c r="B495" s="9"/>
      <c r="C495" s="9"/>
      <c r="D495" s="36">
        <f>D491/D493</f>
        <v>250</v>
      </c>
      <c r="E495" s="36"/>
      <c r="F495" s="36">
        <f>D495</f>
        <v>250</v>
      </c>
      <c r="G495" s="29">
        <v>722.3</v>
      </c>
      <c r="H495" s="29"/>
      <c r="I495" s="29"/>
      <c r="J495" s="29">
        <f>G495</f>
        <v>722.3</v>
      </c>
      <c r="K495" s="36"/>
      <c r="L495" s="36"/>
      <c r="M495" s="36"/>
      <c r="N495" s="29">
        <v>765.6</v>
      </c>
      <c r="O495" s="29"/>
      <c r="P495" s="29">
        <f>N495</f>
        <v>765.6</v>
      </c>
    </row>
    <row r="496" spans="1:131" s="33" customFormat="1" ht="33.75" hidden="1">
      <c r="A496" s="254" t="s">
        <v>459</v>
      </c>
      <c r="B496" s="10"/>
      <c r="C496" s="10"/>
      <c r="D496" s="8">
        <v>4000</v>
      </c>
      <c r="E496" s="8"/>
      <c r="F496" s="8">
        <f>D496</f>
        <v>4000</v>
      </c>
      <c r="G496" s="8">
        <v>4000</v>
      </c>
      <c r="H496" s="8"/>
      <c r="I496" s="8"/>
      <c r="J496" s="8">
        <f>G496</f>
        <v>4000</v>
      </c>
      <c r="K496" s="209"/>
      <c r="L496" s="209"/>
      <c r="M496" s="209"/>
      <c r="N496" s="8">
        <v>4000</v>
      </c>
      <c r="O496" s="8"/>
      <c r="P496" s="8">
        <f>N496</f>
        <v>4000</v>
      </c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  <c r="BZ496" s="210"/>
      <c r="CA496" s="210"/>
      <c r="CB496" s="210"/>
      <c r="CC496" s="210"/>
      <c r="CD496" s="210"/>
      <c r="CE496" s="210"/>
      <c r="CF496" s="210"/>
      <c r="CG496" s="210"/>
      <c r="CH496" s="210"/>
      <c r="CI496" s="210"/>
      <c r="CJ496" s="210"/>
      <c r="CK496" s="210"/>
      <c r="CL496" s="210"/>
      <c r="CM496" s="210"/>
      <c r="CN496" s="210"/>
      <c r="CO496" s="210"/>
      <c r="CP496" s="210"/>
      <c r="CQ496" s="210"/>
      <c r="CR496" s="210"/>
      <c r="CS496" s="210"/>
      <c r="CT496" s="210"/>
      <c r="CU496" s="210"/>
      <c r="CV496" s="210"/>
      <c r="CW496" s="210"/>
      <c r="CX496" s="210"/>
      <c r="CY496" s="210"/>
      <c r="CZ496" s="210"/>
      <c r="DA496" s="210"/>
      <c r="DB496" s="210"/>
      <c r="DC496" s="210"/>
      <c r="DD496" s="210"/>
      <c r="DE496" s="210"/>
      <c r="DF496" s="210"/>
      <c r="DG496" s="210"/>
      <c r="DH496" s="210"/>
      <c r="DI496" s="210"/>
      <c r="DJ496" s="210"/>
      <c r="DK496" s="210"/>
      <c r="DL496" s="210"/>
      <c r="DM496" s="210"/>
      <c r="DN496" s="210"/>
      <c r="DO496" s="210"/>
      <c r="DP496" s="210"/>
      <c r="DQ496" s="210"/>
      <c r="DR496" s="210"/>
      <c r="DS496" s="210"/>
      <c r="DT496" s="210"/>
      <c r="DU496" s="210"/>
      <c r="DV496" s="210"/>
      <c r="DW496" s="210"/>
      <c r="DX496" s="210"/>
      <c r="DY496" s="210"/>
      <c r="DZ496" s="210"/>
      <c r="EA496" s="210"/>
    </row>
    <row r="497" spans="1:131" s="169" customFormat="1" ht="11.25" hidden="1">
      <c r="A497" s="165" t="s">
        <v>2</v>
      </c>
      <c r="B497" s="166"/>
      <c r="C497" s="166"/>
      <c r="D497" s="82"/>
      <c r="E497" s="82"/>
      <c r="F497" s="82"/>
      <c r="G497" s="82"/>
      <c r="H497" s="82"/>
      <c r="I497" s="82"/>
      <c r="J497" s="82"/>
      <c r="K497" s="167"/>
      <c r="L497" s="167"/>
      <c r="M497" s="167"/>
      <c r="N497" s="82"/>
      <c r="O497" s="82"/>
      <c r="P497" s="82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168"/>
      <c r="AT497" s="168"/>
      <c r="AU497" s="168"/>
      <c r="AV497" s="168"/>
      <c r="AW497" s="168"/>
      <c r="AX497" s="168"/>
      <c r="AY497" s="168"/>
      <c r="AZ497" s="168"/>
      <c r="BA497" s="168"/>
      <c r="BB497" s="168"/>
      <c r="BC497" s="168"/>
      <c r="BD497" s="168"/>
      <c r="BE497" s="168"/>
      <c r="BF497" s="168"/>
      <c r="BG497" s="168"/>
      <c r="BH497" s="168"/>
      <c r="BI497" s="168"/>
      <c r="BJ497" s="168"/>
      <c r="BK497" s="168"/>
      <c r="BL497" s="168"/>
      <c r="BM497" s="168"/>
      <c r="BN497" s="168"/>
      <c r="BO497" s="168"/>
      <c r="BP497" s="168"/>
      <c r="BQ497" s="168"/>
      <c r="BR497" s="168"/>
      <c r="BS497" s="168"/>
      <c r="BT497" s="168"/>
      <c r="BU497" s="168"/>
      <c r="BV497" s="168"/>
      <c r="BW497" s="168"/>
      <c r="BX497" s="168"/>
      <c r="BY497" s="168"/>
      <c r="BZ497" s="168"/>
      <c r="CA497" s="168"/>
      <c r="CB497" s="168"/>
      <c r="CC497" s="168"/>
      <c r="CD497" s="168"/>
      <c r="CE497" s="168"/>
      <c r="CF497" s="168"/>
      <c r="CG497" s="168"/>
      <c r="CH497" s="168"/>
      <c r="CI497" s="168"/>
      <c r="CJ497" s="168"/>
      <c r="CK497" s="168"/>
      <c r="CL497" s="168"/>
      <c r="CM497" s="168"/>
      <c r="CN497" s="168"/>
      <c r="CO497" s="168"/>
      <c r="CP497" s="168"/>
      <c r="CQ497" s="168"/>
      <c r="CR497" s="168"/>
      <c r="CS497" s="168"/>
      <c r="CT497" s="168"/>
      <c r="CU497" s="168"/>
      <c r="CV497" s="168"/>
      <c r="CW497" s="168"/>
      <c r="CX497" s="168"/>
      <c r="CY497" s="168"/>
      <c r="CZ497" s="168"/>
      <c r="DA497" s="168"/>
      <c r="DB497" s="168"/>
      <c r="DC497" s="168"/>
      <c r="DD497" s="168"/>
      <c r="DE497" s="168"/>
      <c r="DF497" s="168"/>
      <c r="DG497" s="168"/>
      <c r="DH497" s="168"/>
      <c r="DI497" s="168"/>
      <c r="DJ497" s="168"/>
      <c r="DK497" s="168"/>
      <c r="DL497" s="168"/>
      <c r="DM497" s="168"/>
      <c r="DN497" s="168"/>
      <c r="DO497" s="168"/>
      <c r="DP497" s="168"/>
      <c r="DQ497" s="168"/>
      <c r="DR497" s="168"/>
      <c r="DS497" s="168"/>
      <c r="DT497" s="168"/>
      <c r="DU497" s="168"/>
      <c r="DV497" s="168"/>
      <c r="DW497" s="168"/>
      <c r="DX497" s="168"/>
      <c r="DY497" s="168"/>
      <c r="DZ497" s="168"/>
      <c r="EA497" s="168"/>
    </row>
    <row r="498" spans="1:131" s="169" customFormat="1" ht="11.25" hidden="1">
      <c r="A498" s="72" t="s">
        <v>23</v>
      </c>
      <c r="B498" s="166"/>
      <c r="C498" s="166"/>
      <c r="D498" s="163">
        <f>D496</f>
        <v>4000</v>
      </c>
      <c r="E498" s="163"/>
      <c r="F498" s="163">
        <f>D498</f>
        <v>4000</v>
      </c>
      <c r="G498" s="163">
        <f>G496</f>
        <v>4000</v>
      </c>
      <c r="H498" s="163"/>
      <c r="I498" s="163"/>
      <c r="J498" s="163">
        <f>G498</f>
        <v>4000</v>
      </c>
      <c r="K498" s="163"/>
      <c r="L498" s="163"/>
      <c r="M498" s="163"/>
      <c r="N498" s="163">
        <f>N496</f>
        <v>4000</v>
      </c>
      <c r="O498" s="163"/>
      <c r="P498" s="163">
        <f>P496</f>
        <v>4000</v>
      </c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8"/>
      <c r="AX498" s="168"/>
      <c r="AY498" s="168"/>
      <c r="AZ498" s="168"/>
      <c r="BA498" s="168"/>
      <c r="BB498" s="168"/>
      <c r="BC498" s="168"/>
      <c r="BD498" s="168"/>
      <c r="BE498" s="168"/>
      <c r="BF498" s="168"/>
      <c r="BG498" s="168"/>
      <c r="BH498" s="168"/>
      <c r="BI498" s="168"/>
      <c r="BJ498" s="168"/>
      <c r="BK498" s="168"/>
      <c r="BL498" s="168"/>
      <c r="BM498" s="168"/>
      <c r="BN498" s="168"/>
      <c r="BO498" s="168"/>
      <c r="BP498" s="168"/>
      <c r="BQ498" s="168"/>
      <c r="BR498" s="168"/>
      <c r="BS498" s="168"/>
      <c r="BT498" s="168"/>
      <c r="BU498" s="168"/>
      <c r="BV498" s="168"/>
      <c r="BW498" s="168"/>
      <c r="BX498" s="168"/>
      <c r="BY498" s="168"/>
      <c r="BZ498" s="168"/>
      <c r="CA498" s="168"/>
      <c r="CB498" s="168"/>
      <c r="CC498" s="168"/>
      <c r="CD498" s="168"/>
      <c r="CE498" s="168"/>
      <c r="CF498" s="168"/>
      <c r="CG498" s="168"/>
      <c r="CH498" s="168"/>
      <c r="CI498" s="168"/>
      <c r="CJ498" s="168"/>
      <c r="CK498" s="168"/>
      <c r="CL498" s="168"/>
      <c r="CM498" s="168"/>
      <c r="CN498" s="168"/>
      <c r="CO498" s="168"/>
      <c r="CP498" s="168"/>
      <c r="CQ498" s="168"/>
      <c r="CR498" s="168"/>
      <c r="CS498" s="168"/>
      <c r="CT498" s="168"/>
      <c r="CU498" s="168"/>
      <c r="CV498" s="168"/>
      <c r="CW498" s="168"/>
      <c r="CX498" s="168"/>
      <c r="CY498" s="168"/>
      <c r="CZ498" s="168"/>
      <c r="DA498" s="168"/>
      <c r="DB498" s="168"/>
      <c r="DC498" s="168"/>
      <c r="DD498" s="168"/>
      <c r="DE498" s="168"/>
      <c r="DF498" s="168"/>
      <c r="DG498" s="168"/>
      <c r="DH498" s="168"/>
      <c r="DI498" s="168"/>
      <c r="DJ498" s="168"/>
      <c r="DK498" s="168"/>
      <c r="DL498" s="168"/>
      <c r="DM498" s="168"/>
      <c r="DN498" s="168"/>
      <c r="DO498" s="168"/>
      <c r="DP498" s="168"/>
      <c r="DQ498" s="168"/>
      <c r="DR498" s="168"/>
      <c r="DS498" s="168"/>
      <c r="DT498" s="168"/>
      <c r="DU498" s="168"/>
      <c r="DV498" s="168"/>
      <c r="DW498" s="168"/>
      <c r="DX498" s="168"/>
      <c r="DY498" s="168"/>
      <c r="DZ498" s="168"/>
      <c r="EA498" s="168"/>
    </row>
    <row r="499" spans="1:16" ht="11.25" hidden="1">
      <c r="A499" s="3" t="s">
        <v>3</v>
      </c>
      <c r="B499" s="9"/>
      <c r="C499" s="9"/>
      <c r="D499" s="29"/>
      <c r="E499" s="29"/>
      <c r="F499" s="29"/>
      <c r="G499" s="29"/>
      <c r="H499" s="29"/>
      <c r="I499" s="29"/>
      <c r="J499" s="29"/>
      <c r="K499" s="36"/>
      <c r="L499" s="36"/>
      <c r="M499" s="36"/>
      <c r="N499" s="29"/>
      <c r="O499" s="29"/>
      <c r="P499" s="29"/>
    </row>
    <row r="500" spans="1:16" ht="33.75" hidden="1">
      <c r="A500" s="255" t="s">
        <v>547</v>
      </c>
      <c r="B500" s="9"/>
      <c r="C500" s="9"/>
      <c r="D500" s="29">
        <v>12</v>
      </c>
      <c r="E500" s="29"/>
      <c r="F500" s="29">
        <f>D500</f>
        <v>12</v>
      </c>
      <c r="G500" s="29">
        <v>12</v>
      </c>
      <c r="H500" s="29"/>
      <c r="I500" s="29"/>
      <c r="J500" s="29">
        <f>G500</f>
        <v>12</v>
      </c>
      <c r="K500" s="36"/>
      <c r="L500" s="36"/>
      <c r="M500" s="36"/>
      <c r="N500" s="29">
        <v>12</v>
      </c>
      <c r="O500" s="29"/>
      <c r="P500" s="29">
        <f>N500</f>
        <v>12</v>
      </c>
    </row>
    <row r="501" spans="1:16" ht="11.25" hidden="1">
      <c r="A501" s="10" t="s">
        <v>226</v>
      </c>
      <c r="B501" s="9"/>
      <c r="C501" s="9"/>
      <c r="D501" s="29"/>
      <c r="E501" s="29"/>
      <c r="F501" s="29"/>
      <c r="G501" s="29"/>
      <c r="H501" s="29"/>
      <c r="I501" s="29"/>
      <c r="J501" s="29"/>
      <c r="K501" s="36"/>
      <c r="L501" s="36"/>
      <c r="M501" s="36"/>
      <c r="N501" s="29"/>
      <c r="O501" s="29"/>
      <c r="P501" s="29"/>
    </row>
    <row r="502" spans="1:16" ht="22.5" hidden="1">
      <c r="A502" s="256" t="s">
        <v>227</v>
      </c>
      <c r="B502" s="9"/>
      <c r="C502" s="9"/>
      <c r="D502" s="29">
        <f>D496/D500</f>
        <v>333.3333333333333</v>
      </c>
      <c r="E502" s="29"/>
      <c r="F502" s="29">
        <f>D502</f>
        <v>333.3333333333333</v>
      </c>
      <c r="G502" s="29">
        <f>G496/G500</f>
        <v>333.3333333333333</v>
      </c>
      <c r="H502" s="29"/>
      <c r="I502" s="29"/>
      <c r="J502" s="29">
        <f>G502</f>
        <v>333.3333333333333</v>
      </c>
      <c r="K502" s="36"/>
      <c r="L502" s="36"/>
      <c r="M502" s="36"/>
      <c r="N502" s="29">
        <f>N496/N500</f>
        <v>333.3333333333333</v>
      </c>
      <c r="O502" s="29"/>
      <c r="P502" s="29">
        <f>N502</f>
        <v>333.3333333333333</v>
      </c>
    </row>
    <row r="503" spans="1:16" ht="34.5" customHeight="1" hidden="1">
      <c r="A503" s="7" t="s">
        <v>460</v>
      </c>
      <c r="B503" s="9"/>
      <c r="C503" s="9"/>
      <c r="D503" s="8">
        <v>96000</v>
      </c>
      <c r="E503" s="8"/>
      <c r="F503" s="8">
        <f>D503</f>
        <v>96000</v>
      </c>
      <c r="G503" s="8">
        <v>101728</v>
      </c>
      <c r="H503" s="8"/>
      <c r="I503" s="8"/>
      <c r="J503" s="8">
        <f>G503</f>
        <v>101728</v>
      </c>
      <c r="K503" s="36"/>
      <c r="L503" s="36"/>
      <c r="M503" s="36"/>
      <c r="N503" s="29"/>
      <c r="O503" s="29"/>
      <c r="P503" s="29"/>
    </row>
    <row r="504" spans="1:131" s="76" customFormat="1" ht="11.25" hidden="1">
      <c r="A504" s="3" t="s">
        <v>2</v>
      </c>
      <c r="B504" s="162"/>
      <c r="C504" s="162"/>
      <c r="D504" s="82"/>
      <c r="E504" s="82"/>
      <c r="F504" s="82"/>
      <c r="G504" s="82"/>
      <c r="H504" s="82"/>
      <c r="I504" s="82"/>
      <c r="J504" s="82"/>
      <c r="K504" s="163"/>
      <c r="L504" s="163"/>
      <c r="M504" s="163"/>
      <c r="N504" s="164"/>
      <c r="O504" s="164"/>
      <c r="P504" s="164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</row>
    <row r="505" spans="1:131" s="76" customFormat="1" ht="11.25" hidden="1">
      <c r="A505" s="6" t="s">
        <v>23</v>
      </c>
      <c r="B505" s="162"/>
      <c r="C505" s="162"/>
      <c r="D505" s="163">
        <f>D503</f>
        <v>96000</v>
      </c>
      <c r="E505" s="163"/>
      <c r="F505" s="163">
        <f>D505</f>
        <v>96000</v>
      </c>
      <c r="G505" s="163">
        <f>G503</f>
        <v>101728</v>
      </c>
      <c r="H505" s="163"/>
      <c r="I505" s="163"/>
      <c r="J505" s="163">
        <f>G505</f>
        <v>101728</v>
      </c>
      <c r="K505" s="163"/>
      <c r="L505" s="163"/>
      <c r="M505" s="163"/>
      <c r="N505" s="164"/>
      <c r="O505" s="164"/>
      <c r="P505" s="164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</row>
    <row r="506" spans="1:16" ht="11.25" hidden="1">
      <c r="A506" s="3" t="s">
        <v>3</v>
      </c>
      <c r="B506" s="9"/>
      <c r="C506" s="9"/>
      <c r="D506" s="29"/>
      <c r="E506" s="29"/>
      <c r="F506" s="29"/>
      <c r="G506" s="29"/>
      <c r="H506" s="29"/>
      <c r="I506" s="29"/>
      <c r="J506" s="29"/>
      <c r="K506" s="36"/>
      <c r="L506" s="36"/>
      <c r="M506" s="36"/>
      <c r="N506" s="29"/>
      <c r="O506" s="29"/>
      <c r="P506" s="29"/>
    </row>
    <row r="507" spans="1:16" ht="22.5" hidden="1">
      <c r="A507" s="6" t="s">
        <v>168</v>
      </c>
      <c r="B507" s="9"/>
      <c r="C507" s="9"/>
      <c r="D507" s="29">
        <v>9</v>
      </c>
      <c r="E507" s="29"/>
      <c r="F507" s="29">
        <f>D507</f>
        <v>9</v>
      </c>
      <c r="G507" s="29">
        <v>9</v>
      </c>
      <c r="H507" s="29"/>
      <c r="I507" s="29"/>
      <c r="J507" s="29">
        <f>G507</f>
        <v>9</v>
      </c>
      <c r="K507" s="36"/>
      <c r="L507" s="36"/>
      <c r="M507" s="36"/>
      <c r="N507" s="29"/>
      <c r="O507" s="29"/>
      <c r="P507" s="29"/>
    </row>
    <row r="508" spans="1:16" ht="11.25" hidden="1">
      <c r="A508" s="10" t="s">
        <v>5</v>
      </c>
      <c r="B508" s="9"/>
      <c r="C508" s="9"/>
      <c r="D508" s="29"/>
      <c r="E508" s="29"/>
      <c r="F508" s="29"/>
      <c r="G508" s="29"/>
      <c r="H508" s="29"/>
      <c r="I508" s="29"/>
      <c r="J508" s="29"/>
      <c r="K508" s="36"/>
      <c r="L508" s="36"/>
      <c r="M508" s="36"/>
      <c r="N508" s="29"/>
      <c r="O508" s="29"/>
      <c r="P508" s="29"/>
    </row>
    <row r="509" spans="1:16" ht="15.75" customHeight="1" hidden="1">
      <c r="A509" s="9" t="s">
        <v>169</v>
      </c>
      <c r="B509" s="9"/>
      <c r="C509" s="9"/>
      <c r="D509" s="29">
        <f>D503/D507</f>
        <v>10666.666666666666</v>
      </c>
      <c r="E509" s="29"/>
      <c r="F509" s="29">
        <f>D509</f>
        <v>10666.666666666666</v>
      </c>
      <c r="G509" s="29">
        <f>G503/G507</f>
        <v>11303.111111111111</v>
      </c>
      <c r="H509" s="29"/>
      <c r="I509" s="29"/>
      <c r="J509" s="29">
        <f>G509</f>
        <v>11303.111111111111</v>
      </c>
      <c r="K509" s="36"/>
      <c r="L509" s="36"/>
      <c r="M509" s="36"/>
      <c r="N509" s="29"/>
      <c r="O509" s="29"/>
      <c r="P509" s="29"/>
    </row>
    <row r="510" spans="1:131" s="27" customFormat="1" ht="24.75" customHeight="1" hidden="1">
      <c r="A510" s="7" t="s">
        <v>461</v>
      </c>
      <c r="B510" s="7"/>
      <c r="C510" s="7"/>
      <c r="D510" s="82">
        <f>24500+25500</f>
        <v>50000</v>
      </c>
      <c r="E510" s="8"/>
      <c r="F510" s="8">
        <f>D510</f>
        <v>50000</v>
      </c>
      <c r="G510" s="8">
        <v>26144</v>
      </c>
      <c r="H510" s="8"/>
      <c r="I510" s="8"/>
      <c r="J510" s="8">
        <f>G510</f>
        <v>26144</v>
      </c>
      <c r="K510" s="8"/>
      <c r="L510" s="8"/>
      <c r="M510" s="8"/>
      <c r="N510" s="8">
        <v>27700</v>
      </c>
      <c r="O510" s="8"/>
      <c r="P510" s="8">
        <f>N510</f>
        <v>27700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</row>
    <row r="511" spans="1:16" ht="12.75" customHeight="1" hidden="1">
      <c r="A511" s="10" t="s">
        <v>77</v>
      </c>
      <c r="B511" s="7"/>
      <c r="C511" s="7"/>
      <c r="D511" s="8"/>
      <c r="E511" s="8"/>
      <c r="F511" s="8"/>
      <c r="G511" s="8"/>
      <c r="H511" s="8"/>
      <c r="I511" s="8"/>
      <c r="J511" s="8"/>
      <c r="K511" s="36"/>
      <c r="L511" s="8"/>
      <c r="M511" s="8"/>
      <c r="N511" s="8"/>
      <c r="O511" s="8"/>
      <c r="P511" s="8"/>
    </row>
    <row r="512" spans="1:16" ht="24" customHeight="1" hidden="1">
      <c r="A512" s="6" t="s">
        <v>76</v>
      </c>
      <c r="B512" s="9"/>
      <c r="C512" s="9"/>
      <c r="D512" s="29">
        <v>3350</v>
      </c>
      <c r="E512" s="29"/>
      <c r="F512" s="29">
        <f>D512</f>
        <v>3350</v>
      </c>
      <c r="G512" s="29">
        <v>3350</v>
      </c>
      <c r="H512" s="29"/>
      <c r="I512" s="29"/>
      <c r="J512" s="29">
        <f>G512</f>
        <v>3350</v>
      </c>
      <c r="K512" s="36"/>
      <c r="L512" s="36"/>
      <c r="M512" s="36"/>
      <c r="N512" s="29">
        <v>3350</v>
      </c>
      <c r="O512" s="29"/>
      <c r="P512" s="29">
        <f>N512</f>
        <v>3350</v>
      </c>
    </row>
    <row r="513" spans="1:16" ht="11.25" hidden="1">
      <c r="A513" s="10" t="s">
        <v>285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31" s="76" customFormat="1" ht="26.25" customHeight="1" hidden="1">
      <c r="A514" s="177" t="s">
        <v>284</v>
      </c>
      <c r="B514" s="177"/>
      <c r="C514" s="177"/>
      <c r="D514" s="178">
        <f>D510/D512</f>
        <v>14.925373134328359</v>
      </c>
      <c r="E514" s="178"/>
      <c r="F514" s="178">
        <f>D514</f>
        <v>14.925373134328359</v>
      </c>
      <c r="G514" s="178">
        <f>G510/G512</f>
        <v>7.804179104477612</v>
      </c>
      <c r="H514" s="178"/>
      <c r="I514" s="178"/>
      <c r="J514" s="178">
        <f>G514</f>
        <v>7.804179104477612</v>
      </c>
      <c r="K514" s="179"/>
      <c r="L514" s="179"/>
      <c r="M514" s="179"/>
      <c r="N514" s="178">
        <f>N510/N512</f>
        <v>8.26865671641791</v>
      </c>
      <c r="O514" s="178"/>
      <c r="P514" s="178">
        <f>N514</f>
        <v>8.26865671641791</v>
      </c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</row>
    <row r="515" spans="1:16" ht="21" customHeight="1" hidden="1">
      <c r="A515" s="22" t="s">
        <v>524</v>
      </c>
      <c r="B515" s="9"/>
      <c r="C515" s="9"/>
      <c r="D515" s="8">
        <f>D517</f>
        <v>460000</v>
      </c>
      <c r="E515" s="8"/>
      <c r="F515" s="8">
        <f>D515</f>
        <v>460000</v>
      </c>
      <c r="G515" s="8">
        <f>G517</f>
        <v>96000</v>
      </c>
      <c r="H515" s="8"/>
      <c r="I515" s="8"/>
      <c r="J515" s="8">
        <f>J517</f>
        <v>96000</v>
      </c>
      <c r="K515" s="209"/>
      <c r="L515" s="209"/>
      <c r="M515" s="209"/>
      <c r="N515" s="8">
        <f>N517</f>
        <v>101800</v>
      </c>
      <c r="O515" s="8"/>
      <c r="P515" s="8">
        <f>N515</f>
        <v>101800</v>
      </c>
    </row>
    <row r="516" spans="1:16" ht="11.25" hidden="1">
      <c r="A516" s="3" t="s">
        <v>2</v>
      </c>
      <c r="B516" s="9"/>
      <c r="C516" s="9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11.25" hidden="1">
      <c r="A517" s="6" t="s">
        <v>23</v>
      </c>
      <c r="B517" s="9"/>
      <c r="C517" s="9"/>
      <c r="D517" s="29">
        <f>250000+210000</f>
        <v>460000</v>
      </c>
      <c r="E517" s="29"/>
      <c r="F517" s="29">
        <f>D517</f>
        <v>460000</v>
      </c>
      <c r="G517" s="29">
        <v>96000</v>
      </c>
      <c r="H517" s="29"/>
      <c r="I517" s="29"/>
      <c r="J517" s="29">
        <f>G517</f>
        <v>96000</v>
      </c>
      <c r="K517" s="36"/>
      <c r="L517" s="36"/>
      <c r="M517" s="36"/>
      <c r="N517" s="29">
        <v>101800</v>
      </c>
      <c r="O517" s="29"/>
      <c r="P517" s="29">
        <f>N517</f>
        <v>101800</v>
      </c>
    </row>
    <row r="518" spans="1:16" ht="11.25" hidden="1">
      <c r="A518" s="3" t="s">
        <v>3</v>
      </c>
      <c r="B518" s="9"/>
      <c r="C518" s="9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 hidden="1">
      <c r="A519" s="6" t="s">
        <v>283</v>
      </c>
      <c r="B519" s="9"/>
      <c r="C519" s="9"/>
      <c r="D519" s="37">
        <f>D517/D521</f>
        <v>131.42857142857142</v>
      </c>
      <c r="E519" s="29"/>
      <c r="F519" s="37">
        <f>D519</f>
        <v>131.42857142857142</v>
      </c>
      <c r="G519" s="37">
        <f>G517/G521</f>
        <v>24</v>
      </c>
      <c r="H519" s="37"/>
      <c r="I519" s="37"/>
      <c r="J519" s="37">
        <f>G519</f>
        <v>24</v>
      </c>
      <c r="K519" s="174"/>
      <c r="L519" s="174"/>
      <c r="M519" s="174"/>
      <c r="N519" s="37">
        <f>N517/N521</f>
        <v>22.622222222222224</v>
      </c>
      <c r="O519" s="37"/>
      <c r="P519" s="37">
        <f>N519</f>
        <v>22.622222222222224</v>
      </c>
    </row>
    <row r="520" spans="1:16" ht="11.25" hidden="1">
      <c r="A520" s="3" t="s">
        <v>5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 hidden="1">
      <c r="A521" s="6" t="s">
        <v>228</v>
      </c>
      <c r="B521" s="9"/>
      <c r="C521" s="9"/>
      <c r="D521" s="29">
        <v>3500</v>
      </c>
      <c r="E521" s="29"/>
      <c r="F521" s="29">
        <f>D521</f>
        <v>3500</v>
      </c>
      <c r="G521" s="29">
        <v>4000</v>
      </c>
      <c r="H521" s="29"/>
      <c r="I521" s="29"/>
      <c r="J521" s="29">
        <f>G521</f>
        <v>4000</v>
      </c>
      <c r="K521" s="36"/>
      <c r="L521" s="36"/>
      <c r="M521" s="36"/>
      <c r="N521" s="29">
        <v>4500</v>
      </c>
      <c r="O521" s="29"/>
      <c r="P521" s="29">
        <f>N521</f>
        <v>4500</v>
      </c>
    </row>
    <row r="522" spans="1:16" ht="33.75">
      <c r="A522" s="22" t="s">
        <v>525</v>
      </c>
      <c r="B522" s="9"/>
      <c r="C522" s="9"/>
      <c r="D522" s="8">
        <f>D524</f>
        <v>323000</v>
      </c>
      <c r="E522" s="8"/>
      <c r="F522" s="8">
        <f>D522</f>
        <v>323000</v>
      </c>
      <c r="G522" s="8">
        <f>G524</f>
        <v>213400</v>
      </c>
      <c r="H522" s="8"/>
      <c r="I522" s="8"/>
      <c r="J522" s="8">
        <f>G522</f>
        <v>213400</v>
      </c>
      <c r="K522" s="209"/>
      <c r="L522" s="209"/>
      <c r="M522" s="209"/>
      <c r="N522" s="8">
        <f>N524</f>
        <v>226200</v>
      </c>
      <c r="O522" s="8"/>
      <c r="P522" s="8">
        <f>N522</f>
        <v>226200</v>
      </c>
    </row>
    <row r="523" spans="1:16" ht="11.25">
      <c r="A523" s="3" t="s">
        <v>2</v>
      </c>
      <c r="B523" s="9"/>
      <c r="C523" s="9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/>
    </row>
    <row r="524" spans="1:16" ht="11.25">
      <c r="A524" s="6" t="s">
        <v>23</v>
      </c>
      <c r="B524" s="9"/>
      <c r="C524" s="9"/>
      <c r="D524" s="29">
        <f>520000-190000-7000</f>
        <v>323000</v>
      </c>
      <c r="E524" s="29"/>
      <c r="F524" s="29">
        <f>D524</f>
        <v>323000</v>
      </c>
      <c r="G524" s="29">
        <v>213400</v>
      </c>
      <c r="H524" s="29"/>
      <c r="I524" s="29"/>
      <c r="J524" s="29">
        <f>G524</f>
        <v>213400</v>
      </c>
      <c r="K524" s="36"/>
      <c r="L524" s="36"/>
      <c r="M524" s="36"/>
      <c r="N524" s="29">
        <v>226200</v>
      </c>
      <c r="O524" s="29"/>
      <c r="P524" s="29">
        <f>N524</f>
        <v>226200</v>
      </c>
    </row>
    <row r="525" spans="1:16" ht="11.25">
      <c r="A525" s="3" t="s">
        <v>3</v>
      </c>
      <c r="B525" s="9"/>
      <c r="C525" s="9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/>
    </row>
    <row r="526" spans="1:16" ht="22.5">
      <c r="A526" s="6" t="s">
        <v>230</v>
      </c>
      <c r="B526" s="9"/>
      <c r="C526" s="9"/>
      <c r="D526" s="29">
        <f>D524/D528</f>
        <v>32.3</v>
      </c>
      <c r="E526" s="29"/>
      <c r="F526" s="29">
        <f>D526</f>
        <v>32.3</v>
      </c>
      <c r="G526" s="29">
        <f>G524/G528</f>
        <v>20</v>
      </c>
      <c r="H526" s="29"/>
      <c r="I526" s="29"/>
      <c r="J526" s="29">
        <f>G526</f>
        <v>20</v>
      </c>
      <c r="K526" s="36"/>
      <c r="L526" s="36"/>
      <c r="M526" s="36"/>
      <c r="N526" s="29">
        <v>20</v>
      </c>
      <c r="O526" s="29"/>
      <c r="P526" s="29">
        <f>N526</f>
        <v>20</v>
      </c>
    </row>
    <row r="527" spans="1:16" ht="11.25">
      <c r="A527" s="3" t="s">
        <v>5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22.5">
      <c r="A528" s="6" t="s">
        <v>229</v>
      </c>
      <c r="B528" s="9"/>
      <c r="C528" s="9"/>
      <c r="D528" s="29">
        <v>10000</v>
      </c>
      <c r="E528" s="29"/>
      <c r="F528" s="29">
        <f>D528</f>
        <v>10000</v>
      </c>
      <c r="G528" s="29">
        <v>10670</v>
      </c>
      <c r="H528" s="29"/>
      <c r="I528" s="29"/>
      <c r="J528" s="29">
        <f>G528</f>
        <v>10670</v>
      </c>
      <c r="K528" s="36"/>
      <c r="L528" s="36"/>
      <c r="M528" s="36"/>
      <c r="N528" s="29">
        <f>N524/N526</f>
        <v>11310</v>
      </c>
      <c r="O528" s="29"/>
      <c r="P528" s="29">
        <f>N528</f>
        <v>11310</v>
      </c>
    </row>
    <row r="529" spans="1:16" ht="27.75" customHeight="1" hidden="1">
      <c r="A529" s="22" t="s">
        <v>462</v>
      </c>
      <c r="B529" s="9"/>
      <c r="C529" s="9"/>
      <c r="D529" s="8">
        <f>D531</f>
        <v>0</v>
      </c>
      <c r="E529" s="8"/>
      <c r="F529" s="8">
        <f>D529</f>
        <v>0</v>
      </c>
      <c r="G529" s="8"/>
      <c r="H529" s="8"/>
      <c r="I529" s="8"/>
      <c r="J529" s="8"/>
      <c r="K529" s="209"/>
      <c r="L529" s="209"/>
      <c r="M529" s="209"/>
      <c r="N529" s="8"/>
      <c r="O529" s="8"/>
      <c r="P529" s="8"/>
    </row>
    <row r="530" spans="1:16" ht="11.25" hidden="1">
      <c r="A530" s="3" t="s">
        <v>2</v>
      </c>
      <c r="B530" s="9"/>
      <c r="C530" s="9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 hidden="1">
      <c r="A531" s="6" t="s">
        <v>23</v>
      </c>
      <c r="B531" s="9"/>
      <c r="C531" s="9"/>
      <c r="D531" s="29">
        <f>500000-500000</f>
        <v>0</v>
      </c>
      <c r="E531" s="29"/>
      <c r="F531" s="29">
        <f>D531</f>
        <v>0</v>
      </c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 hidden="1">
      <c r="A532" s="3" t="s">
        <v>3</v>
      </c>
      <c r="B532" s="9"/>
      <c r="C532" s="9"/>
      <c r="D532" s="29"/>
      <c r="E532" s="29"/>
      <c r="F532" s="29"/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22.5" hidden="1">
      <c r="A533" s="50" t="s">
        <v>180</v>
      </c>
      <c r="B533" s="9"/>
      <c r="C533" s="9"/>
      <c r="D533" s="29" t="e">
        <f>D531/D535</f>
        <v>#DIV/0!</v>
      </c>
      <c r="E533" s="29"/>
      <c r="F533" s="29" t="e">
        <f>D533</f>
        <v>#DIV/0!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 hidden="1">
      <c r="A534" s="3" t="s">
        <v>5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 hidden="1">
      <c r="A535" s="6" t="s">
        <v>181</v>
      </c>
      <c r="B535" s="9"/>
      <c r="C535" s="9"/>
      <c r="D535" s="29">
        <v>0</v>
      </c>
      <c r="E535" s="29"/>
      <c r="F535" s="29">
        <f>D535</f>
        <v>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33" customHeight="1" hidden="1">
      <c r="A536" s="22" t="s">
        <v>463</v>
      </c>
      <c r="B536" s="9"/>
      <c r="C536" s="9"/>
      <c r="D536" s="8">
        <f>D538</f>
        <v>0</v>
      </c>
      <c r="E536" s="8"/>
      <c r="F536" s="8">
        <f>D536</f>
        <v>0</v>
      </c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3" t="s">
        <v>2</v>
      </c>
      <c r="B537" s="9"/>
      <c r="C537" s="9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6" t="s">
        <v>23</v>
      </c>
      <c r="B538" s="9"/>
      <c r="C538" s="9"/>
      <c r="D538" s="29">
        <f>180000-180000</f>
        <v>0</v>
      </c>
      <c r="E538" s="29"/>
      <c r="F538" s="29">
        <f>D538</f>
        <v>0</v>
      </c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 hidden="1">
      <c r="A539" s="3" t="s">
        <v>3</v>
      </c>
      <c r="B539" s="9"/>
      <c r="C539" s="9"/>
      <c r="D539" s="29"/>
      <c r="E539" s="29"/>
      <c r="F539" s="29"/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 hidden="1">
      <c r="A540" s="6" t="s">
        <v>171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 hidden="1">
      <c r="A541" s="3" t="s">
        <v>5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 hidden="1">
      <c r="A542" s="6" t="s">
        <v>153</v>
      </c>
      <c r="B542" s="9"/>
      <c r="C542" s="9"/>
      <c r="D542" s="29">
        <f>D538</f>
        <v>0</v>
      </c>
      <c r="E542" s="29"/>
      <c r="F542" s="29">
        <f>D542</f>
        <v>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33.75" hidden="1">
      <c r="A543" s="22" t="s">
        <v>426</v>
      </c>
      <c r="B543" s="9"/>
      <c r="C543" s="9"/>
      <c r="D543" s="8">
        <f>D545</f>
        <v>80000</v>
      </c>
      <c r="E543" s="8"/>
      <c r="F543" s="8">
        <f>D543</f>
        <v>80000</v>
      </c>
      <c r="G543" s="8">
        <f>G545</f>
        <v>100000</v>
      </c>
      <c r="H543" s="8"/>
      <c r="I543" s="8"/>
      <c r="J543" s="8">
        <f>G543</f>
        <v>100000</v>
      </c>
      <c r="K543" s="8"/>
      <c r="L543" s="8"/>
      <c r="M543" s="8"/>
      <c r="N543" s="8">
        <f>N545</f>
        <v>120000</v>
      </c>
      <c r="O543" s="8"/>
      <c r="P543" s="8">
        <f>N543</f>
        <v>120000</v>
      </c>
    </row>
    <row r="544" spans="1:16" ht="11.25" hidden="1">
      <c r="A544" s="3" t="s">
        <v>2</v>
      </c>
      <c r="B544" s="9"/>
      <c r="C544" s="9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 hidden="1">
      <c r="A545" s="6" t="s">
        <v>23</v>
      </c>
      <c r="B545" s="9"/>
      <c r="C545" s="9"/>
      <c r="D545" s="29">
        <v>80000</v>
      </c>
      <c r="E545" s="29"/>
      <c r="F545" s="29">
        <f>D545</f>
        <v>80000</v>
      </c>
      <c r="G545" s="29">
        <v>100000</v>
      </c>
      <c r="H545" s="29"/>
      <c r="I545" s="29"/>
      <c r="J545" s="29">
        <f>G545</f>
        <v>100000</v>
      </c>
      <c r="K545" s="36"/>
      <c r="L545" s="36"/>
      <c r="M545" s="36"/>
      <c r="N545" s="29">
        <v>120000</v>
      </c>
      <c r="O545" s="29"/>
      <c r="P545" s="29">
        <f>N545</f>
        <v>120000</v>
      </c>
    </row>
    <row r="546" spans="1:16" ht="11.25" hidden="1">
      <c r="A546" s="3" t="s">
        <v>3</v>
      </c>
      <c r="B546" s="9"/>
      <c r="C546" s="9"/>
      <c r="D546" s="29"/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22.5" hidden="1">
      <c r="A547" s="50" t="s">
        <v>282</v>
      </c>
      <c r="B547" s="9"/>
      <c r="C547" s="9"/>
      <c r="D547" s="37">
        <f>D545/D549</f>
        <v>37914.69194312797</v>
      </c>
      <c r="E547" s="37"/>
      <c r="F547" s="37">
        <f>D547</f>
        <v>37914.69194312797</v>
      </c>
      <c r="G547" s="37">
        <f>G545/G549</f>
        <v>44444.444444444445</v>
      </c>
      <c r="H547" s="37"/>
      <c r="I547" s="37"/>
      <c r="J547" s="37">
        <f>G547</f>
        <v>44444.444444444445</v>
      </c>
      <c r="K547" s="174"/>
      <c r="L547" s="174"/>
      <c r="M547" s="174"/>
      <c r="N547" s="37">
        <f>N545/N549</f>
        <v>50209.2050209205</v>
      </c>
      <c r="O547" s="37"/>
      <c r="P547" s="37">
        <f>N547</f>
        <v>50209.2050209205</v>
      </c>
    </row>
    <row r="548" spans="1:16" ht="11.25" hidden="1">
      <c r="A548" s="3" t="s">
        <v>5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22.5" hidden="1">
      <c r="A549" s="6" t="s">
        <v>281</v>
      </c>
      <c r="B549" s="9"/>
      <c r="C549" s="9"/>
      <c r="D549" s="29">
        <v>2.11</v>
      </c>
      <c r="E549" s="29"/>
      <c r="F549" s="29">
        <f>D549</f>
        <v>2.11</v>
      </c>
      <c r="G549" s="29">
        <v>2.25</v>
      </c>
      <c r="H549" s="29"/>
      <c r="I549" s="29"/>
      <c r="J549" s="29">
        <f>G549</f>
        <v>2.25</v>
      </c>
      <c r="K549" s="36"/>
      <c r="L549" s="36"/>
      <c r="M549" s="36"/>
      <c r="N549" s="29">
        <v>2.39</v>
      </c>
      <c r="O549" s="29"/>
      <c r="P549" s="29">
        <f>N549</f>
        <v>2.39</v>
      </c>
    </row>
    <row r="550" spans="1:16" ht="28.5" customHeight="1" hidden="1">
      <c r="A550" s="22" t="s">
        <v>464</v>
      </c>
      <c r="B550" s="9"/>
      <c r="C550" s="9"/>
      <c r="D550" s="8">
        <f>D552</f>
        <v>0</v>
      </c>
      <c r="E550" s="8"/>
      <c r="F550" s="8">
        <f>D550</f>
        <v>0</v>
      </c>
      <c r="G550" s="8">
        <f>G552</f>
        <v>53100</v>
      </c>
      <c r="H550" s="8"/>
      <c r="I550" s="8"/>
      <c r="J550" s="8">
        <f>G550</f>
        <v>53100</v>
      </c>
      <c r="K550" s="209"/>
      <c r="L550" s="209"/>
      <c r="M550" s="209"/>
      <c r="N550" s="8">
        <f>N552</f>
        <v>59000</v>
      </c>
      <c r="O550" s="8"/>
      <c r="P550" s="8">
        <f>N550</f>
        <v>59000</v>
      </c>
    </row>
    <row r="551" spans="1:16" ht="11.25" hidden="1">
      <c r="A551" s="3" t="s">
        <v>77</v>
      </c>
      <c r="B551" s="9"/>
      <c r="C551" s="9"/>
      <c r="D551" s="29"/>
      <c r="E551" s="29"/>
      <c r="F551" s="29"/>
      <c r="G551" s="29"/>
      <c r="H551" s="29"/>
      <c r="I551" s="29"/>
      <c r="J551" s="29"/>
      <c r="K551" s="36"/>
      <c r="L551" s="36"/>
      <c r="M551" s="36"/>
      <c r="N551" s="29"/>
      <c r="O551" s="29"/>
      <c r="P551" s="29"/>
    </row>
    <row r="552" spans="1:16" ht="11.25" hidden="1">
      <c r="A552" s="6" t="s">
        <v>232</v>
      </c>
      <c r="B552" s="9"/>
      <c r="C552" s="9"/>
      <c r="D552" s="29">
        <f>83200-83200</f>
        <v>0</v>
      </c>
      <c r="E552" s="29"/>
      <c r="F552" s="29">
        <f>D552</f>
        <v>0</v>
      </c>
      <c r="G552" s="29">
        <v>53100</v>
      </c>
      <c r="H552" s="29"/>
      <c r="I552" s="29"/>
      <c r="J552" s="29">
        <f>G552</f>
        <v>53100</v>
      </c>
      <c r="K552" s="36"/>
      <c r="L552" s="36"/>
      <c r="M552" s="36"/>
      <c r="N552" s="29">
        <v>59000</v>
      </c>
      <c r="O552" s="29"/>
      <c r="P552" s="29">
        <f>N552</f>
        <v>59000</v>
      </c>
    </row>
    <row r="553" spans="1:16" ht="11.25" hidden="1">
      <c r="A553" s="3" t="s">
        <v>231</v>
      </c>
      <c r="B553" s="9"/>
      <c r="C553" s="9"/>
      <c r="D553" s="29"/>
      <c r="E553" s="29"/>
      <c r="F553" s="29"/>
      <c r="G553" s="29"/>
      <c r="H553" s="29"/>
      <c r="I553" s="29"/>
      <c r="J553" s="29"/>
      <c r="K553" s="36"/>
      <c r="L553" s="36"/>
      <c r="M553" s="36"/>
      <c r="N553" s="29"/>
      <c r="O553" s="29"/>
      <c r="P553" s="29"/>
    </row>
    <row r="554" spans="1:16" ht="11.25" hidden="1">
      <c r="A554" s="50" t="s">
        <v>240</v>
      </c>
      <c r="B554" s="9"/>
      <c r="C554" s="9"/>
      <c r="D554" s="29" t="e">
        <f>D552/D556</f>
        <v>#DIV/0!</v>
      </c>
      <c r="E554" s="29"/>
      <c r="F554" s="29" t="e">
        <f>D554</f>
        <v>#DIV/0!</v>
      </c>
      <c r="G554" s="37">
        <v>14</v>
      </c>
      <c r="H554" s="37"/>
      <c r="I554" s="37"/>
      <c r="J554" s="37">
        <f>G554</f>
        <v>14</v>
      </c>
      <c r="K554" s="174"/>
      <c r="L554" s="174"/>
      <c r="M554" s="174"/>
      <c r="N554" s="37">
        <v>14</v>
      </c>
      <c r="O554" s="37"/>
      <c r="P554" s="37">
        <f>N554</f>
        <v>14</v>
      </c>
    </row>
    <row r="555" spans="1:16" ht="11.25" hidden="1">
      <c r="A555" s="3" t="s">
        <v>226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 hidden="1">
      <c r="A556" s="6" t="s">
        <v>241</v>
      </c>
      <c r="B556" s="9"/>
      <c r="C556" s="9"/>
      <c r="D556" s="29">
        <v>0</v>
      </c>
      <c r="E556" s="29"/>
      <c r="F556" s="29">
        <f>D556</f>
        <v>0</v>
      </c>
      <c r="G556" s="29">
        <f>G552/G554</f>
        <v>3792.8571428571427</v>
      </c>
      <c r="H556" s="29"/>
      <c r="I556" s="29"/>
      <c r="J556" s="29">
        <f>G556</f>
        <v>3792.8571428571427</v>
      </c>
      <c r="K556" s="36"/>
      <c r="L556" s="36"/>
      <c r="M556" s="36"/>
      <c r="N556" s="29">
        <f>N552/N554</f>
        <v>4214.285714285715</v>
      </c>
      <c r="O556" s="29"/>
      <c r="P556" s="29">
        <f>N556</f>
        <v>4214.285714285715</v>
      </c>
    </row>
    <row r="557" spans="1:131" s="33" customFormat="1" ht="28.5" customHeight="1" hidden="1">
      <c r="A557" s="22" t="s">
        <v>465</v>
      </c>
      <c r="B557" s="10"/>
      <c r="C557" s="10"/>
      <c r="D557" s="8">
        <f>D559</f>
        <v>0</v>
      </c>
      <c r="E557" s="8"/>
      <c r="F557" s="8">
        <f>D557</f>
        <v>0</v>
      </c>
      <c r="G557" s="8"/>
      <c r="H557" s="8"/>
      <c r="I557" s="8"/>
      <c r="J557" s="8"/>
      <c r="K557" s="209"/>
      <c r="L557" s="209"/>
      <c r="M557" s="209"/>
      <c r="N557" s="8"/>
      <c r="O557" s="8"/>
      <c r="P557" s="8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  <c r="BZ557" s="210"/>
      <c r="CA557" s="210"/>
      <c r="CB557" s="210"/>
      <c r="CC557" s="210"/>
      <c r="CD557" s="210"/>
      <c r="CE557" s="210"/>
      <c r="CF557" s="210"/>
      <c r="CG557" s="210"/>
      <c r="CH557" s="210"/>
      <c r="CI557" s="210"/>
      <c r="CJ557" s="210"/>
      <c r="CK557" s="210"/>
      <c r="CL557" s="210"/>
      <c r="CM557" s="210"/>
      <c r="CN557" s="210"/>
      <c r="CO557" s="210"/>
      <c r="CP557" s="210"/>
      <c r="CQ557" s="210"/>
      <c r="CR557" s="210"/>
      <c r="CS557" s="210"/>
      <c r="CT557" s="210"/>
      <c r="CU557" s="210"/>
      <c r="CV557" s="210"/>
      <c r="CW557" s="210"/>
      <c r="CX557" s="210"/>
      <c r="CY557" s="210"/>
      <c r="CZ557" s="210"/>
      <c r="DA557" s="210"/>
      <c r="DB557" s="210"/>
      <c r="DC557" s="210"/>
      <c r="DD557" s="210"/>
      <c r="DE557" s="210"/>
      <c r="DF557" s="210"/>
      <c r="DG557" s="210"/>
      <c r="DH557" s="210"/>
      <c r="DI557" s="210"/>
      <c r="DJ557" s="210"/>
      <c r="DK557" s="210"/>
      <c r="DL557" s="210"/>
      <c r="DM557" s="210"/>
      <c r="DN557" s="210"/>
      <c r="DO557" s="210"/>
      <c r="DP557" s="210"/>
      <c r="DQ557" s="210"/>
      <c r="DR557" s="210"/>
      <c r="DS557" s="210"/>
      <c r="DT557" s="210"/>
      <c r="DU557" s="210"/>
      <c r="DV557" s="210"/>
      <c r="DW557" s="210"/>
      <c r="DX557" s="210"/>
      <c r="DY557" s="210"/>
      <c r="DZ557" s="210"/>
      <c r="EA557" s="210"/>
    </row>
    <row r="558" spans="1:16" ht="11.25" hidden="1">
      <c r="A558" s="3" t="s">
        <v>77</v>
      </c>
      <c r="B558" s="9"/>
      <c r="C558" s="9"/>
      <c r="D558" s="29"/>
      <c r="E558" s="29"/>
      <c r="F558" s="29"/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 hidden="1">
      <c r="A559" s="6" t="s">
        <v>233</v>
      </c>
      <c r="B559" s="9"/>
      <c r="C559" s="9"/>
      <c r="D559" s="29">
        <f>180000-180000</f>
        <v>0</v>
      </c>
      <c r="E559" s="29"/>
      <c r="F559" s="29">
        <f>D559</f>
        <v>0</v>
      </c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3" t="s">
        <v>231</v>
      </c>
      <c r="B560" s="9"/>
      <c r="C560" s="9"/>
      <c r="D560" s="29"/>
      <c r="E560" s="29"/>
      <c r="F560" s="29"/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 hidden="1">
      <c r="A561" s="50" t="s">
        <v>234</v>
      </c>
      <c r="B561" s="9"/>
      <c r="C561" s="9"/>
      <c r="D561" s="29" t="e">
        <f>D559/D563</f>
        <v>#DIV/0!</v>
      </c>
      <c r="E561" s="29"/>
      <c r="F561" s="29" t="e">
        <f>D561</f>
        <v>#DIV/0!</v>
      </c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 hidden="1">
      <c r="A562" s="3" t="s">
        <v>226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 hidden="1">
      <c r="A563" s="6" t="s">
        <v>235</v>
      </c>
      <c r="B563" s="9"/>
      <c r="C563" s="9"/>
      <c r="D563" s="29">
        <v>0</v>
      </c>
      <c r="E563" s="29"/>
      <c r="F563" s="29">
        <f>D563</f>
        <v>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22" t="s">
        <v>466</v>
      </c>
      <c r="B564" s="9"/>
      <c r="C564" s="9"/>
      <c r="D564" s="8">
        <f>D566</f>
        <v>107000</v>
      </c>
      <c r="E564" s="8"/>
      <c r="F564" s="8">
        <f>D564</f>
        <v>107000</v>
      </c>
      <c r="G564" s="8"/>
      <c r="H564" s="8"/>
      <c r="I564" s="8"/>
      <c r="J564" s="8"/>
      <c r="K564" s="209"/>
      <c r="L564" s="209"/>
      <c r="M564" s="209"/>
      <c r="N564" s="8"/>
      <c r="O564" s="8"/>
      <c r="P564" s="8"/>
    </row>
    <row r="565" spans="1:16" ht="11.25">
      <c r="A565" s="3" t="s">
        <v>77</v>
      </c>
      <c r="B565" s="9"/>
      <c r="C565" s="9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>
      <c r="A566" s="6" t="s">
        <v>232</v>
      </c>
      <c r="B566" s="9"/>
      <c r="C566" s="9"/>
      <c r="D566" s="29">
        <f>400000-300000+7000</f>
        <v>107000</v>
      </c>
      <c r="E566" s="29"/>
      <c r="F566" s="29">
        <f>D566</f>
        <v>107000</v>
      </c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>
      <c r="A567" s="3" t="s">
        <v>231</v>
      </c>
      <c r="B567" s="9"/>
      <c r="C567" s="9"/>
      <c r="D567" s="29"/>
      <c r="E567" s="29"/>
      <c r="F567" s="29"/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22.5">
      <c r="A568" s="50" t="s">
        <v>236</v>
      </c>
      <c r="B568" s="9"/>
      <c r="C568" s="9"/>
      <c r="D568" s="29">
        <f>D566/D570</f>
        <v>1.07</v>
      </c>
      <c r="E568" s="29"/>
      <c r="F568" s="29">
        <f>D568</f>
        <v>1.07</v>
      </c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3" t="s">
        <v>226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>
      <c r="A570" s="6" t="s">
        <v>237</v>
      </c>
      <c r="B570" s="9"/>
      <c r="C570" s="9"/>
      <c r="D570" s="29">
        <v>100000</v>
      </c>
      <c r="E570" s="29"/>
      <c r="F570" s="29">
        <f>D570</f>
        <v>100000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31" s="33" customFormat="1" ht="33.75" hidden="1">
      <c r="A571" s="22" t="s">
        <v>526</v>
      </c>
      <c r="B571" s="10"/>
      <c r="C571" s="10"/>
      <c r="D571" s="8">
        <f>D573</f>
        <v>100000</v>
      </c>
      <c r="E571" s="8"/>
      <c r="F571" s="8">
        <f>D571</f>
        <v>100000</v>
      </c>
      <c r="G571" s="8"/>
      <c r="H571" s="8"/>
      <c r="I571" s="8"/>
      <c r="J571" s="8"/>
      <c r="K571" s="209"/>
      <c r="L571" s="209"/>
      <c r="M571" s="209"/>
      <c r="N571" s="8"/>
      <c r="O571" s="8"/>
      <c r="P571" s="8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  <c r="AE571" s="210"/>
      <c r="AF571" s="210"/>
      <c r="AG571" s="210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  <c r="BZ571" s="210"/>
      <c r="CA571" s="210"/>
      <c r="CB571" s="210"/>
      <c r="CC571" s="210"/>
      <c r="CD571" s="210"/>
      <c r="CE571" s="210"/>
      <c r="CF571" s="210"/>
      <c r="CG571" s="210"/>
      <c r="CH571" s="210"/>
      <c r="CI571" s="210"/>
      <c r="CJ571" s="210"/>
      <c r="CK571" s="210"/>
      <c r="CL571" s="210"/>
      <c r="CM571" s="210"/>
      <c r="CN571" s="210"/>
      <c r="CO571" s="210"/>
      <c r="CP571" s="210"/>
      <c r="CQ571" s="210"/>
      <c r="CR571" s="210"/>
      <c r="CS571" s="210"/>
      <c r="CT571" s="210"/>
      <c r="CU571" s="210"/>
      <c r="CV571" s="210"/>
      <c r="CW571" s="210"/>
      <c r="CX571" s="210"/>
      <c r="CY571" s="210"/>
      <c r="CZ571" s="210"/>
      <c r="DA571" s="210"/>
      <c r="DB571" s="210"/>
      <c r="DC571" s="210"/>
      <c r="DD571" s="210"/>
      <c r="DE571" s="210"/>
      <c r="DF571" s="210"/>
      <c r="DG571" s="210"/>
      <c r="DH571" s="210"/>
      <c r="DI571" s="210"/>
      <c r="DJ571" s="210"/>
      <c r="DK571" s="210"/>
      <c r="DL571" s="210"/>
      <c r="DM571" s="210"/>
      <c r="DN571" s="210"/>
      <c r="DO571" s="210"/>
      <c r="DP571" s="210"/>
      <c r="DQ571" s="210"/>
      <c r="DR571" s="210"/>
      <c r="DS571" s="210"/>
      <c r="DT571" s="210"/>
      <c r="DU571" s="210"/>
      <c r="DV571" s="210"/>
      <c r="DW571" s="210"/>
      <c r="DX571" s="210"/>
      <c r="DY571" s="210"/>
      <c r="DZ571" s="210"/>
      <c r="EA571" s="210"/>
    </row>
    <row r="572" spans="1:16" ht="11.25" hidden="1">
      <c r="A572" s="3" t="s">
        <v>77</v>
      </c>
      <c r="B572" s="9"/>
      <c r="C572" s="9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6" t="s">
        <v>232</v>
      </c>
      <c r="B573" s="9"/>
      <c r="C573" s="9"/>
      <c r="D573" s="29">
        <f>150000-50000</f>
        <v>100000</v>
      </c>
      <c r="E573" s="29"/>
      <c r="F573" s="29">
        <f>D573</f>
        <v>100000</v>
      </c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 hidden="1">
      <c r="A574" s="3" t="s">
        <v>231</v>
      </c>
      <c r="B574" s="9"/>
      <c r="C574" s="9"/>
      <c r="D574" s="29"/>
      <c r="E574" s="29"/>
      <c r="F574" s="29"/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 hidden="1">
      <c r="A575" s="50" t="s">
        <v>238</v>
      </c>
      <c r="B575" s="9"/>
      <c r="C575" s="9"/>
      <c r="D575" s="37">
        <f>D573/D577</f>
        <v>4.545454545454546</v>
      </c>
      <c r="E575" s="29"/>
      <c r="F575" s="37">
        <f>D575</f>
        <v>4.545454545454546</v>
      </c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3" t="s">
        <v>226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6" t="s">
        <v>239</v>
      </c>
      <c r="B577" s="9"/>
      <c r="C577" s="9"/>
      <c r="D577" s="29">
        <v>22000</v>
      </c>
      <c r="E577" s="29"/>
      <c r="F577" s="29">
        <f>D577</f>
        <v>22000</v>
      </c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33.75" hidden="1">
      <c r="A578" s="22" t="s">
        <v>467</v>
      </c>
      <c r="B578" s="9"/>
      <c r="C578" s="9"/>
      <c r="D578" s="8">
        <f>D580</f>
        <v>323900</v>
      </c>
      <c r="E578" s="8">
        <f>E580</f>
        <v>1785000</v>
      </c>
      <c r="F578" s="8">
        <f>D578+E578</f>
        <v>2108900</v>
      </c>
      <c r="G578" s="8">
        <f>G580</f>
        <v>2108925</v>
      </c>
      <c r="H578" s="8"/>
      <c r="I578" s="8"/>
      <c r="J578" s="8">
        <f>G578</f>
        <v>2108925</v>
      </c>
      <c r="K578" s="209"/>
      <c r="L578" s="209"/>
      <c r="M578" s="209"/>
      <c r="N578" s="8">
        <f>N580</f>
        <v>2114373</v>
      </c>
      <c r="O578" s="8"/>
      <c r="P578" s="8">
        <f>N578</f>
        <v>2114373</v>
      </c>
    </row>
    <row r="579" spans="1:16" ht="11.25" hidden="1">
      <c r="A579" s="3" t="s">
        <v>77</v>
      </c>
      <c r="B579" s="9"/>
      <c r="C579" s="9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6" t="s">
        <v>232</v>
      </c>
      <c r="B580" s="9"/>
      <c r="C580" s="9"/>
      <c r="D580" s="29">
        <f>323900</f>
        <v>323900</v>
      </c>
      <c r="E580" s="29">
        <f>1785000</f>
        <v>1785000</v>
      </c>
      <c r="F580" s="29">
        <f>D580</f>
        <v>323900</v>
      </c>
      <c r="G580" s="29">
        <f>323925+1785000</f>
        <v>2108925</v>
      </c>
      <c r="H580" s="29"/>
      <c r="I580" s="29">
        <f>G580</f>
        <v>2108925</v>
      </c>
      <c r="J580" s="29">
        <f>G580</f>
        <v>2108925</v>
      </c>
      <c r="K580" s="36"/>
      <c r="L580" s="36"/>
      <c r="M580" s="36"/>
      <c r="N580" s="29">
        <f>324762+1789611</f>
        <v>2114373</v>
      </c>
      <c r="O580" s="29"/>
      <c r="P580" s="29">
        <f>N580</f>
        <v>2114373</v>
      </c>
    </row>
    <row r="581" spans="1:16" ht="11.25" hidden="1">
      <c r="A581" s="3" t="s">
        <v>231</v>
      </c>
      <c r="B581" s="9"/>
      <c r="C581" s="9"/>
      <c r="D581" s="29"/>
      <c r="E581" s="29"/>
      <c r="F581" s="29"/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 hidden="1">
      <c r="A582" s="50" t="s">
        <v>242</v>
      </c>
      <c r="B582" s="9"/>
      <c r="C582" s="9"/>
      <c r="D582" s="29">
        <v>1</v>
      </c>
      <c r="E582" s="29">
        <v>1</v>
      </c>
      <c r="F582" s="29">
        <f>D582</f>
        <v>1</v>
      </c>
      <c r="G582" s="29">
        <v>1</v>
      </c>
      <c r="H582" s="29"/>
      <c r="I582" s="29">
        <f>G582</f>
        <v>1</v>
      </c>
      <c r="J582" s="29">
        <f>G582</f>
        <v>1</v>
      </c>
      <c r="K582" s="36"/>
      <c r="L582" s="36"/>
      <c r="M582" s="36"/>
      <c r="N582" s="29">
        <v>1</v>
      </c>
      <c r="O582" s="29"/>
      <c r="P582" s="29">
        <f>N582</f>
        <v>1</v>
      </c>
    </row>
    <row r="583" spans="1:16" ht="11.25" hidden="1">
      <c r="A583" s="3" t="s">
        <v>226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 hidden="1">
      <c r="A584" s="6" t="s">
        <v>243</v>
      </c>
      <c r="B584" s="9"/>
      <c r="C584" s="9"/>
      <c r="D584" s="29">
        <f>D580/D582</f>
        <v>323900</v>
      </c>
      <c r="E584" s="29">
        <f>E580/E582</f>
        <v>1785000</v>
      </c>
      <c r="F584" s="29">
        <f>F580/F582</f>
        <v>323900</v>
      </c>
      <c r="G584" s="29">
        <f>G580/G582</f>
        <v>2108925</v>
      </c>
      <c r="H584" s="29"/>
      <c r="I584" s="29">
        <f>I580/I582</f>
        <v>2108925</v>
      </c>
      <c r="J584" s="29">
        <f>G584</f>
        <v>2108925</v>
      </c>
      <c r="K584" s="36"/>
      <c r="L584" s="36"/>
      <c r="M584" s="36"/>
      <c r="N584" s="29">
        <f>N580/N582</f>
        <v>2114373</v>
      </c>
      <c r="O584" s="29"/>
      <c r="P584" s="29">
        <f>N584</f>
        <v>2114373</v>
      </c>
    </row>
    <row r="585" spans="1:16" ht="22.5" hidden="1">
      <c r="A585" s="22" t="s">
        <v>468</v>
      </c>
      <c r="B585" s="9"/>
      <c r="C585" s="9"/>
      <c r="D585" s="8">
        <f>D587</f>
        <v>0</v>
      </c>
      <c r="E585" s="8"/>
      <c r="F585" s="8">
        <f>D585</f>
        <v>0</v>
      </c>
      <c r="G585" s="8"/>
      <c r="H585" s="8"/>
      <c r="I585" s="8"/>
      <c r="J585" s="8"/>
      <c r="K585" s="209"/>
      <c r="L585" s="209"/>
      <c r="M585" s="209"/>
      <c r="N585" s="8"/>
      <c r="O585" s="8"/>
      <c r="P585" s="8"/>
    </row>
    <row r="586" spans="1:16" ht="11.25" hidden="1">
      <c r="A586" s="3" t="s">
        <v>77</v>
      </c>
      <c r="B586" s="9"/>
      <c r="C586" s="9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 hidden="1">
      <c r="A587" s="6" t="s">
        <v>232</v>
      </c>
      <c r="B587" s="9"/>
      <c r="C587" s="9"/>
      <c r="D587" s="29">
        <f>20000-20000</f>
        <v>0</v>
      </c>
      <c r="E587" s="29"/>
      <c r="F587" s="29">
        <f>D587</f>
        <v>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3" t="s">
        <v>231</v>
      </c>
      <c r="B588" s="9"/>
      <c r="C588" s="9"/>
      <c r="D588" s="29"/>
      <c r="E588" s="29"/>
      <c r="F588" s="29"/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1.25" hidden="1">
      <c r="A589" s="50" t="s">
        <v>244</v>
      </c>
      <c r="B589" s="9"/>
      <c r="C589" s="9"/>
      <c r="D589" s="29"/>
      <c r="E589" s="29"/>
      <c r="F589" s="29">
        <f>D589</f>
        <v>0</v>
      </c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 hidden="1">
      <c r="A590" s="3" t="s">
        <v>226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 hidden="1">
      <c r="A591" s="6" t="s">
        <v>245</v>
      </c>
      <c r="B591" s="9"/>
      <c r="C591" s="9"/>
      <c r="D591" s="29" t="e">
        <f>D587/D589</f>
        <v>#DIV/0!</v>
      </c>
      <c r="E591" s="29"/>
      <c r="F591" s="29" t="e">
        <f>D591</f>
        <v>#DIV/0!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5.75" customHeight="1" hidden="1">
      <c r="A592" s="257" t="s">
        <v>469</v>
      </c>
      <c r="B592" s="211"/>
      <c r="C592" s="211"/>
      <c r="D592" s="212">
        <f>D594</f>
        <v>0</v>
      </c>
      <c r="E592" s="212"/>
      <c r="F592" s="212">
        <f>D592</f>
        <v>0</v>
      </c>
      <c r="G592" s="212"/>
      <c r="H592" s="212"/>
      <c r="I592" s="212"/>
      <c r="J592" s="212"/>
      <c r="K592" s="213"/>
      <c r="L592" s="213"/>
      <c r="M592" s="213"/>
      <c r="N592" s="212"/>
      <c r="O592" s="212"/>
      <c r="P592" s="212"/>
    </row>
    <row r="593" spans="1:16" ht="11.25" hidden="1">
      <c r="A593" s="3" t="s">
        <v>77</v>
      </c>
      <c r="B593" s="9"/>
      <c r="C593" s="9"/>
      <c r="D593" s="29"/>
      <c r="E593" s="29"/>
      <c r="F593" s="29"/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6" t="s">
        <v>232</v>
      </c>
      <c r="B594" s="9"/>
      <c r="C594" s="9"/>
      <c r="D594" s="29">
        <f>2000-2000</f>
        <v>0</v>
      </c>
      <c r="E594" s="29"/>
      <c r="F594" s="29">
        <f>D594</f>
        <v>0</v>
      </c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3" t="s">
        <v>231</v>
      </c>
      <c r="B595" s="9"/>
      <c r="C595" s="9"/>
      <c r="D595" s="29"/>
      <c r="E595" s="29"/>
      <c r="F595" s="29"/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 hidden="1">
      <c r="A596" s="50" t="s">
        <v>246</v>
      </c>
      <c r="B596" s="9"/>
      <c r="C596" s="9"/>
      <c r="D596" s="29"/>
      <c r="E596" s="29"/>
      <c r="F596" s="29">
        <f>D596</f>
        <v>0</v>
      </c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 hidden="1">
      <c r="A597" s="3" t="s">
        <v>226</v>
      </c>
      <c r="B597" s="9"/>
      <c r="C597" s="9"/>
      <c r="D597" s="29"/>
      <c r="E597" s="29"/>
      <c r="F597" s="29"/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1.25" hidden="1">
      <c r="A598" s="6" t="s">
        <v>247</v>
      </c>
      <c r="B598" s="9"/>
      <c r="C598" s="9"/>
      <c r="D598" s="29" t="e">
        <f>D594/D596</f>
        <v>#DIV/0!</v>
      </c>
      <c r="E598" s="29"/>
      <c r="F598" s="29" t="e">
        <f>D598</f>
        <v>#DIV/0!</v>
      </c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31" s="215" customFormat="1" ht="37.5" customHeight="1" hidden="1">
      <c r="A599" s="7" t="s">
        <v>431</v>
      </c>
      <c r="B599" s="35"/>
      <c r="C599" s="35"/>
      <c r="D599" s="31">
        <f>D601</f>
        <v>514000</v>
      </c>
      <c r="E599" s="31"/>
      <c r="F599" s="31">
        <f>F601</f>
        <v>514000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  <c r="AA599" s="214"/>
      <c r="AB599" s="214"/>
      <c r="AC599" s="214"/>
      <c r="AD599" s="214"/>
      <c r="AE599" s="214"/>
      <c r="AF599" s="214"/>
      <c r="AG599" s="214"/>
      <c r="AH599" s="214"/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14"/>
      <c r="BB599" s="214"/>
      <c r="BC599" s="214"/>
      <c r="BD599" s="214"/>
      <c r="BE599" s="214"/>
      <c r="BF599" s="214"/>
      <c r="BG599" s="214"/>
      <c r="BH599" s="214"/>
      <c r="BI599" s="214"/>
      <c r="BJ599" s="214"/>
      <c r="BK599" s="214"/>
      <c r="BL599" s="214"/>
      <c r="BM599" s="214"/>
      <c r="BN599" s="214"/>
      <c r="BO599" s="214"/>
      <c r="BP599" s="214"/>
      <c r="BQ599" s="214"/>
      <c r="BR599" s="214"/>
      <c r="BS599" s="214"/>
      <c r="BT599" s="214"/>
      <c r="BU599" s="214"/>
      <c r="BV599" s="214"/>
      <c r="BW599" s="214"/>
      <c r="BX599" s="214"/>
      <c r="BY599" s="214"/>
      <c r="BZ599" s="214"/>
      <c r="CA599" s="214"/>
      <c r="CB599" s="214"/>
      <c r="CC599" s="214"/>
      <c r="CD599" s="214"/>
      <c r="CE599" s="214"/>
      <c r="CF599" s="214"/>
      <c r="CG599" s="214"/>
      <c r="CH599" s="214"/>
      <c r="CI599" s="214"/>
      <c r="CJ599" s="214"/>
      <c r="CK599" s="214"/>
      <c r="CL599" s="214"/>
      <c r="CM599" s="214"/>
      <c r="CN599" s="214"/>
      <c r="CO599" s="214"/>
      <c r="CP599" s="214"/>
      <c r="CQ599" s="214"/>
      <c r="CR599" s="214"/>
      <c r="CS599" s="214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4"/>
      <c r="DT599" s="214"/>
      <c r="DU599" s="214"/>
      <c r="DV599" s="214"/>
      <c r="DW599" s="214"/>
      <c r="DX599" s="214"/>
      <c r="DY599" s="214"/>
      <c r="DZ599" s="214"/>
      <c r="EA599" s="214"/>
    </row>
    <row r="600" spans="1:131" s="183" customFormat="1" ht="19.5" customHeight="1" hidden="1">
      <c r="A600" s="3" t="s">
        <v>77</v>
      </c>
      <c r="B600" s="131"/>
      <c r="C600" s="131"/>
      <c r="D600" s="139"/>
      <c r="E600" s="139"/>
      <c r="F600" s="139"/>
      <c r="G600" s="139"/>
      <c r="H600" s="139"/>
      <c r="I600" s="139"/>
      <c r="J600" s="139"/>
      <c r="K600" s="136"/>
      <c r="L600" s="136"/>
      <c r="M600" s="136"/>
      <c r="N600" s="139"/>
      <c r="O600" s="139"/>
      <c r="P600" s="139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  <c r="BK600" s="182"/>
      <c r="BL600" s="182"/>
      <c r="BM600" s="182"/>
      <c r="BN600" s="182"/>
      <c r="BO600" s="182"/>
      <c r="BP600" s="182"/>
      <c r="BQ600" s="182"/>
      <c r="BR600" s="182"/>
      <c r="BS600" s="182"/>
      <c r="BT600" s="182"/>
      <c r="BU600" s="182"/>
      <c r="BV600" s="182"/>
      <c r="BW600" s="182"/>
      <c r="BX600" s="182"/>
      <c r="BY600" s="182"/>
      <c r="BZ600" s="182"/>
      <c r="CA600" s="182"/>
      <c r="CB600" s="182"/>
      <c r="CC600" s="182"/>
      <c r="CD600" s="182"/>
      <c r="CE600" s="182"/>
      <c r="CF600" s="182"/>
      <c r="CG600" s="182"/>
      <c r="CH600" s="182"/>
      <c r="CI600" s="182"/>
      <c r="CJ600" s="182"/>
      <c r="CK600" s="182"/>
      <c r="CL600" s="182"/>
      <c r="CM600" s="182"/>
      <c r="CN600" s="182"/>
      <c r="CO600" s="182"/>
      <c r="CP600" s="182"/>
      <c r="CQ600" s="182"/>
      <c r="CR600" s="182"/>
      <c r="CS600" s="182"/>
      <c r="CT600" s="182"/>
      <c r="CU600" s="182"/>
      <c r="CV600" s="182"/>
      <c r="CW600" s="182"/>
      <c r="CX600" s="182"/>
      <c r="CY600" s="182"/>
      <c r="CZ600" s="182"/>
      <c r="DA600" s="182"/>
      <c r="DB600" s="182"/>
      <c r="DC600" s="182"/>
      <c r="DD600" s="182"/>
      <c r="DE600" s="182"/>
      <c r="DF600" s="182"/>
      <c r="DG600" s="182"/>
      <c r="DH600" s="182"/>
      <c r="DI600" s="182"/>
      <c r="DJ600" s="182"/>
      <c r="DK600" s="182"/>
      <c r="DL600" s="182"/>
      <c r="DM600" s="182"/>
      <c r="DN600" s="182"/>
      <c r="DO600" s="182"/>
      <c r="DP600" s="182"/>
      <c r="DQ600" s="182"/>
      <c r="DR600" s="182"/>
      <c r="DS600" s="182"/>
      <c r="DT600" s="182"/>
      <c r="DU600" s="182"/>
      <c r="DV600" s="182"/>
      <c r="DW600" s="182"/>
      <c r="DX600" s="182"/>
      <c r="DY600" s="182"/>
      <c r="DZ600" s="182"/>
      <c r="EA600" s="182"/>
    </row>
    <row r="601" spans="1:131" s="183" customFormat="1" ht="21.75" customHeight="1" hidden="1">
      <c r="A601" s="6" t="s">
        <v>233</v>
      </c>
      <c r="B601" s="131"/>
      <c r="C601" s="131"/>
      <c r="D601" s="139">
        <f>1542000-1028000</f>
        <v>514000</v>
      </c>
      <c r="E601" s="139"/>
      <c r="F601" s="139">
        <f>D601</f>
        <v>514000</v>
      </c>
      <c r="G601" s="139"/>
      <c r="H601" s="139"/>
      <c r="I601" s="139"/>
      <c r="J601" s="139"/>
      <c r="K601" s="136"/>
      <c r="L601" s="136"/>
      <c r="M601" s="136"/>
      <c r="N601" s="139"/>
      <c r="O601" s="139"/>
      <c r="P601" s="139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  <c r="BK601" s="182"/>
      <c r="BL601" s="182"/>
      <c r="BM601" s="182"/>
      <c r="BN601" s="182"/>
      <c r="BO601" s="182"/>
      <c r="BP601" s="182"/>
      <c r="BQ601" s="182"/>
      <c r="BR601" s="182"/>
      <c r="BS601" s="182"/>
      <c r="BT601" s="182"/>
      <c r="BU601" s="182"/>
      <c r="BV601" s="182"/>
      <c r="BW601" s="182"/>
      <c r="BX601" s="182"/>
      <c r="BY601" s="182"/>
      <c r="BZ601" s="182"/>
      <c r="CA601" s="182"/>
      <c r="CB601" s="182"/>
      <c r="CC601" s="182"/>
      <c r="CD601" s="182"/>
      <c r="CE601" s="182"/>
      <c r="CF601" s="182"/>
      <c r="CG601" s="182"/>
      <c r="CH601" s="182"/>
      <c r="CI601" s="182"/>
      <c r="CJ601" s="182"/>
      <c r="CK601" s="182"/>
      <c r="CL601" s="182"/>
      <c r="CM601" s="182"/>
      <c r="CN601" s="182"/>
      <c r="CO601" s="182"/>
      <c r="CP601" s="182"/>
      <c r="CQ601" s="182"/>
      <c r="CR601" s="182"/>
      <c r="CS601" s="182"/>
      <c r="CT601" s="182"/>
      <c r="CU601" s="182"/>
      <c r="CV601" s="182"/>
      <c r="CW601" s="182"/>
      <c r="CX601" s="182"/>
      <c r="CY601" s="182"/>
      <c r="CZ601" s="182"/>
      <c r="DA601" s="182"/>
      <c r="DB601" s="182"/>
      <c r="DC601" s="182"/>
      <c r="DD601" s="182"/>
      <c r="DE601" s="182"/>
      <c r="DF601" s="182"/>
      <c r="DG601" s="182"/>
      <c r="DH601" s="182"/>
      <c r="DI601" s="182"/>
      <c r="DJ601" s="182"/>
      <c r="DK601" s="182"/>
      <c r="DL601" s="182"/>
      <c r="DM601" s="182"/>
      <c r="DN601" s="182"/>
      <c r="DO601" s="182"/>
      <c r="DP601" s="182"/>
      <c r="DQ601" s="182"/>
      <c r="DR601" s="182"/>
      <c r="DS601" s="182"/>
      <c r="DT601" s="182"/>
      <c r="DU601" s="182"/>
      <c r="DV601" s="182"/>
      <c r="DW601" s="182"/>
      <c r="DX601" s="182"/>
      <c r="DY601" s="182"/>
      <c r="DZ601" s="182"/>
      <c r="EA601" s="182"/>
    </row>
    <row r="602" spans="1:131" s="183" customFormat="1" ht="18" customHeight="1" hidden="1">
      <c r="A602" s="3" t="s">
        <v>275</v>
      </c>
      <c r="B602" s="131"/>
      <c r="C602" s="131"/>
      <c r="D602" s="139"/>
      <c r="E602" s="139"/>
      <c r="F602" s="139"/>
      <c r="G602" s="139"/>
      <c r="H602" s="139"/>
      <c r="I602" s="139"/>
      <c r="J602" s="139"/>
      <c r="K602" s="136"/>
      <c r="L602" s="136"/>
      <c r="M602" s="136"/>
      <c r="N602" s="139"/>
      <c r="O602" s="139"/>
      <c r="P602" s="139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  <c r="BK602" s="182"/>
      <c r="BL602" s="182"/>
      <c r="BM602" s="182"/>
      <c r="BN602" s="182"/>
      <c r="BO602" s="182"/>
      <c r="BP602" s="182"/>
      <c r="BQ602" s="182"/>
      <c r="BR602" s="182"/>
      <c r="BS602" s="182"/>
      <c r="BT602" s="182"/>
      <c r="BU602" s="182"/>
      <c r="BV602" s="182"/>
      <c r="BW602" s="182"/>
      <c r="BX602" s="182"/>
      <c r="BY602" s="182"/>
      <c r="BZ602" s="182"/>
      <c r="CA602" s="182"/>
      <c r="CB602" s="182"/>
      <c r="CC602" s="182"/>
      <c r="CD602" s="182"/>
      <c r="CE602" s="182"/>
      <c r="CF602" s="182"/>
      <c r="CG602" s="182"/>
      <c r="CH602" s="182"/>
      <c r="CI602" s="182"/>
      <c r="CJ602" s="182"/>
      <c r="CK602" s="182"/>
      <c r="CL602" s="182"/>
      <c r="CM602" s="182"/>
      <c r="CN602" s="182"/>
      <c r="CO602" s="182"/>
      <c r="CP602" s="182"/>
      <c r="CQ602" s="182"/>
      <c r="CR602" s="182"/>
      <c r="CS602" s="182"/>
      <c r="CT602" s="182"/>
      <c r="CU602" s="182"/>
      <c r="CV602" s="182"/>
      <c r="CW602" s="182"/>
      <c r="CX602" s="182"/>
      <c r="CY602" s="182"/>
      <c r="CZ602" s="182"/>
      <c r="DA602" s="182"/>
      <c r="DB602" s="182"/>
      <c r="DC602" s="182"/>
      <c r="DD602" s="182"/>
      <c r="DE602" s="182"/>
      <c r="DF602" s="182"/>
      <c r="DG602" s="182"/>
      <c r="DH602" s="182"/>
      <c r="DI602" s="182"/>
      <c r="DJ602" s="182"/>
      <c r="DK602" s="182"/>
      <c r="DL602" s="182"/>
      <c r="DM602" s="182"/>
      <c r="DN602" s="182"/>
      <c r="DO602" s="182"/>
      <c r="DP602" s="182"/>
      <c r="DQ602" s="182"/>
      <c r="DR602" s="182"/>
      <c r="DS602" s="182"/>
      <c r="DT602" s="182"/>
      <c r="DU602" s="182"/>
      <c r="DV602" s="182"/>
      <c r="DW602" s="182"/>
      <c r="DX602" s="182"/>
      <c r="DY602" s="182"/>
      <c r="DZ602" s="182"/>
      <c r="EA602" s="182"/>
    </row>
    <row r="603" spans="1:131" s="183" customFormat="1" ht="16.5" customHeight="1" hidden="1">
      <c r="A603" s="6" t="s">
        <v>286</v>
      </c>
      <c r="B603" s="131"/>
      <c r="C603" s="131"/>
      <c r="D603" s="139">
        <v>4</v>
      </c>
      <c r="E603" s="139"/>
      <c r="F603" s="139">
        <f>D603</f>
        <v>4</v>
      </c>
      <c r="G603" s="139"/>
      <c r="H603" s="139"/>
      <c r="I603" s="139"/>
      <c r="J603" s="139"/>
      <c r="K603" s="136"/>
      <c r="L603" s="136"/>
      <c r="M603" s="136"/>
      <c r="N603" s="139"/>
      <c r="O603" s="139"/>
      <c r="P603" s="139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  <c r="BK603" s="182"/>
      <c r="BL603" s="182"/>
      <c r="BM603" s="182"/>
      <c r="BN603" s="182"/>
      <c r="BO603" s="182"/>
      <c r="BP603" s="182"/>
      <c r="BQ603" s="182"/>
      <c r="BR603" s="182"/>
      <c r="BS603" s="182"/>
      <c r="BT603" s="182"/>
      <c r="BU603" s="182"/>
      <c r="BV603" s="182"/>
      <c r="BW603" s="182"/>
      <c r="BX603" s="182"/>
      <c r="BY603" s="182"/>
      <c r="BZ603" s="182"/>
      <c r="CA603" s="182"/>
      <c r="CB603" s="182"/>
      <c r="CC603" s="182"/>
      <c r="CD603" s="182"/>
      <c r="CE603" s="182"/>
      <c r="CF603" s="182"/>
      <c r="CG603" s="182"/>
      <c r="CH603" s="182"/>
      <c r="CI603" s="182"/>
      <c r="CJ603" s="182"/>
      <c r="CK603" s="182"/>
      <c r="CL603" s="182"/>
      <c r="CM603" s="182"/>
      <c r="CN603" s="182"/>
      <c r="CO603" s="182"/>
      <c r="CP603" s="182"/>
      <c r="CQ603" s="182"/>
      <c r="CR603" s="182"/>
      <c r="CS603" s="182"/>
      <c r="CT603" s="182"/>
      <c r="CU603" s="182"/>
      <c r="CV603" s="182"/>
      <c r="CW603" s="182"/>
      <c r="CX603" s="182"/>
      <c r="CY603" s="182"/>
      <c r="CZ603" s="182"/>
      <c r="DA603" s="182"/>
      <c r="DB603" s="182"/>
      <c r="DC603" s="182"/>
      <c r="DD603" s="182"/>
      <c r="DE603" s="182"/>
      <c r="DF603" s="182"/>
      <c r="DG603" s="182"/>
      <c r="DH603" s="182"/>
      <c r="DI603" s="182"/>
      <c r="DJ603" s="182"/>
      <c r="DK603" s="182"/>
      <c r="DL603" s="182"/>
      <c r="DM603" s="182"/>
      <c r="DN603" s="182"/>
      <c r="DO603" s="182"/>
      <c r="DP603" s="182"/>
      <c r="DQ603" s="182"/>
      <c r="DR603" s="182"/>
      <c r="DS603" s="182"/>
      <c r="DT603" s="182"/>
      <c r="DU603" s="182"/>
      <c r="DV603" s="182"/>
      <c r="DW603" s="182"/>
      <c r="DX603" s="182"/>
      <c r="DY603" s="182"/>
      <c r="DZ603" s="182"/>
      <c r="EA603" s="182"/>
    </row>
    <row r="604" spans="1:131" s="183" customFormat="1" ht="15.75" customHeight="1" hidden="1">
      <c r="A604" s="3" t="s">
        <v>226</v>
      </c>
      <c r="B604" s="131"/>
      <c r="C604" s="131"/>
      <c r="D604" s="139"/>
      <c r="E604" s="139"/>
      <c r="F604" s="139"/>
      <c r="G604" s="139"/>
      <c r="H604" s="139"/>
      <c r="I604" s="139"/>
      <c r="J604" s="139"/>
      <c r="K604" s="136"/>
      <c r="L604" s="136"/>
      <c r="M604" s="136"/>
      <c r="N604" s="139"/>
      <c r="O604" s="139"/>
      <c r="P604" s="139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  <c r="BK604" s="182"/>
      <c r="BL604" s="182"/>
      <c r="BM604" s="182"/>
      <c r="BN604" s="182"/>
      <c r="BO604" s="182"/>
      <c r="BP604" s="182"/>
      <c r="BQ604" s="182"/>
      <c r="BR604" s="182"/>
      <c r="BS604" s="182"/>
      <c r="BT604" s="182"/>
      <c r="BU604" s="182"/>
      <c r="BV604" s="182"/>
      <c r="BW604" s="182"/>
      <c r="BX604" s="182"/>
      <c r="BY604" s="182"/>
      <c r="BZ604" s="182"/>
      <c r="CA604" s="182"/>
      <c r="CB604" s="182"/>
      <c r="CC604" s="182"/>
      <c r="CD604" s="182"/>
      <c r="CE604" s="182"/>
      <c r="CF604" s="182"/>
      <c r="CG604" s="182"/>
      <c r="CH604" s="182"/>
      <c r="CI604" s="182"/>
      <c r="CJ604" s="182"/>
      <c r="CK604" s="182"/>
      <c r="CL604" s="182"/>
      <c r="CM604" s="182"/>
      <c r="CN604" s="182"/>
      <c r="CO604" s="182"/>
      <c r="CP604" s="182"/>
      <c r="CQ604" s="182"/>
      <c r="CR604" s="182"/>
      <c r="CS604" s="182"/>
      <c r="CT604" s="182"/>
      <c r="CU604" s="182"/>
      <c r="CV604" s="182"/>
      <c r="CW604" s="182"/>
      <c r="CX604" s="182"/>
      <c r="CY604" s="182"/>
      <c r="CZ604" s="182"/>
      <c r="DA604" s="182"/>
      <c r="DB604" s="182"/>
      <c r="DC604" s="182"/>
      <c r="DD604" s="182"/>
      <c r="DE604" s="182"/>
      <c r="DF604" s="182"/>
      <c r="DG604" s="182"/>
      <c r="DH604" s="182"/>
      <c r="DI604" s="182"/>
      <c r="DJ604" s="182"/>
      <c r="DK604" s="182"/>
      <c r="DL604" s="182"/>
      <c r="DM604" s="182"/>
      <c r="DN604" s="182"/>
      <c r="DO604" s="182"/>
      <c r="DP604" s="182"/>
      <c r="DQ604" s="182"/>
      <c r="DR604" s="182"/>
      <c r="DS604" s="182"/>
      <c r="DT604" s="182"/>
      <c r="DU604" s="182"/>
      <c r="DV604" s="182"/>
      <c r="DW604" s="182"/>
      <c r="DX604" s="182"/>
      <c r="DY604" s="182"/>
      <c r="DZ604" s="182"/>
      <c r="EA604" s="182"/>
    </row>
    <row r="605" spans="1:131" s="183" customFormat="1" ht="11.25" hidden="1">
      <c r="A605" s="6" t="s">
        <v>287</v>
      </c>
      <c r="B605" s="131"/>
      <c r="C605" s="131"/>
      <c r="D605" s="139">
        <f>D601/D603</f>
        <v>128500</v>
      </c>
      <c r="E605" s="139"/>
      <c r="F605" s="139">
        <f>D605</f>
        <v>128500</v>
      </c>
      <c r="G605" s="139"/>
      <c r="H605" s="139"/>
      <c r="I605" s="139"/>
      <c r="J605" s="139"/>
      <c r="K605" s="136"/>
      <c r="L605" s="136"/>
      <c r="M605" s="136"/>
      <c r="N605" s="139"/>
      <c r="O605" s="139"/>
      <c r="P605" s="139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  <c r="BK605" s="182"/>
      <c r="BL605" s="182"/>
      <c r="BM605" s="182"/>
      <c r="BN605" s="182"/>
      <c r="BO605" s="182"/>
      <c r="BP605" s="182"/>
      <c r="BQ605" s="182"/>
      <c r="BR605" s="182"/>
      <c r="BS605" s="182"/>
      <c r="BT605" s="182"/>
      <c r="BU605" s="182"/>
      <c r="BV605" s="182"/>
      <c r="BW605" s="182"/>
      <c r="BX605" s="182"/>
      <c r="BY605" s="182"/>
      <c r="BZ605" s="182"/>
      <c r="CA605" s="182"/>
      <c r="CB605" s="182"/>
      <c r="CC605" s="182"/>
      <c r="CD605" s="182"/>
      <c r="CE605" s="182"/>
      <c r="CF605" s="182"/>
      <c r="CG605" s="182"/>
      <c r="CH605" s="182"/>
      <c r="CI605" s="182"/>
      <c r="CJ605" s="182"/>
      <c r="CK605" s="182"/>
      <c r="CL605" s="182"/>
      <c r="CM605" s="182"/>
      <c r="CN605" s="182"/>
      <c r="CO605" s="182"/>
      <c r="CP605" s="182"/>
      <c r="CQ605" s="182"/>
      <c r="CR605" s="182"/>
      <c r="CS605" s="182"/>
      <c r="CT605" s="182"/>
      <c r="CU605" s="182"/>
      <c r="CV605" s="182"/>
      <c r="CW605" s="182"/>
      <c r="CX605" s="182"/>
      <c r="CY605" s="182"/>
      <c r="CZ605" s="182"/>
      <c r="DA605" s="182"/>
      <c r="DB605" s="182"/>
      <c r="DC605" s="182"/>
      <c r="DD605" s="182"/>
      <c r="DE605" s="182"/>
      <c r="DF605" s="182"/>
      <c r="DG605" s="182"/>
      <c r="DH605" s="182"/>
      <c r="DI605" s="182"/>
      <c r="DJ605" s="182"/>
      <c r="DK605" s="182"/>
      <c r="DL605" s="182"/>
      <c r="DM605" s="182"/>
      <c r="DN605" s="182"/>
      <c r="DO605" s="182"/>
      <c r="DP605" s="182"/>
      <c r="DQ605" s="182"/>
      <c r="DR605" s="182"/>
      <c r="DS605" s="182"/>
      <c r="DT605" s="182"/>
      <c r="DU605" s="182"/>
      <c r="DV605" s="182"/>
      <c r="DW605" s="182"/>
      <c r="DX605" s="182"/>
      <c r="DY605" s="182"/>
      <c r="DZ605" s="182"/>
      <c r="EA605" s="182"/>
    </row>
    <row r="606" spans="1:131" s="215" customFormat="1" ht="28.5" customHeight="1" hidden="1">
      <c r="A606" s="7" t="s">
        <v>470</v>
      </c>
      <c r="B606" s="35"/>
      <c r="C606" s="35"/>
      <c r="D606" s="31">
        <f>D608</f>
        <v>300000</v>
      </c>
      <c r="E606" s="31"/>
      <c r="F606" s="31">
        <f>F608</f>
        <v>300000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  <c r="AA606" s="214"/>
      <c r="AB606" s="214"/>
      <c r="AC606" s="214"/>
      <c r="AD606" s="214"/>
      <c r="AE606" s="214"/>
      <c r="AF606" s="214"/>
      <c r="AG606" s="214"/>
      <c r="AH606" s="214"/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14"/>
      <c r="BB606" s="214"/>
      <c r="BC606" s="214"/>
      <c r="BD606" s="214"/>
      <c r="BE606" s="214"/>
      <c r="BF606" s="214"/>
      <c r="BG606" s="214"/>
      <c r="BH606" s="214"/>
      <c r="BI606" s="214"/>
      <c r="BJ606" s="214"/>
      <c r="BK606" s="214"/>
      <c r="BL606" s="214"/>
      <c r="BM606" s="214"/>
      <c r="BN606" s="214"/>
      <c r="BO606" s="214"/>
      <c r="BP606" s="214"/>
      <c r="BQ606" s="214"/>
      <c r="BR606" s="214"/>
      <c r="BS606" s="214"/>
      <c r="BT606" s="214"/>
      <c r="BU606" s="214"/>
      <c r="BV606" s="214"/>
      <c r="BW606" s="214"/>
      <c r="BX606" s="214"/>
      <c r="BY606" s="214"/>
      <c r="BZ606" s="214"/>
      <c r="CA606" s="214"/>
      <c r="CB606" s="214"/>
      <c r="CC606" s="214"/>
      <c r="CD606" s="214"/>
      <c r="CE606" s="214"/>
      <c r="CF606" s="214"/>
      <c r="CG606" s="214"/>
      <c r="CH606" s="214"/>
      <c r="CI606" s="214"/>
      <c r="CJ606" s="214"/>
      <c r="CK606" s="214"/>
      <c r="CL606" s="214"/>
      <c r="CM606" s="214"/>
      <c r="CN606" s="214"/>
      <c r="CO606" s="214"/>
      <c r="CP606" s="214"/>
      <c r="CQ606" s="214"/>
      <c r="CR606" s="214"/>
      <c r="CS606" s="214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4"/>
      <c r="DT606" s="214"/>
      <c r="DU606" s="214"/>
      <c r="DV606" s="214"/>
      <c r="DW606" s="214"/>
      <c r="DX606" s="214"/>
      <c r="DY606" s="214"/>
      <c r="DZ606" s="214"/>
      <c r="EA606" s="214"/>
    </row>
    <row r="607" spans="1:131" s="183" customFormat="1" ht="19.5" customHeight="1" hidden="1">
      <c r="A607" s="3" t="s">
        <v>77</v>
      </c>
      <c r="B607" s="131"/>
      <c r="C607" s="131"/>
      <c r="D607" s="139"/>
      <c r="E607" s="139"/>
      <c r="F607" s="139"/>
      <c r="G607" s="139"/>
      <c r="H607" s="139"/>
      <c r="I607" s="139"/>
      <c r="J607" s="139"/>
      <c r="K607" s="136"/>
      <c r="L607" s="136"/>
      <c r="M607" s="136"/>
      <c r="N607" s="139"/>
      <c r="O607" s="139"/>
      <c r="P607" s="139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  <c r="BK607" s="182"/>
      <c r="BL607" s="182"/>
      <c r="BM607" s="182"/>
      <c r="BN607" s="182"/>
      <c r="BO607" s="182"/>
      <c r="BP607" s="182"/>
      <c r="BQ607" s="182"/>
      <c r="BR607" s="182"/>
      <c r="BS607" s="182"/>
      <c r="BT607" s="182"/>
      <c r="BU607" s="182"/>
      <c r="BV607" s="182"/>
      <c r="BW607" s="182"/>
      <c r="BX607" s="182"/>
      <c r="BY607" s="182"/>
      <c r="BZ607" s="182"/>
      <c r="CA607" s="182"/>
      <c r="CB607" s="182"/>
      <c r="CC607" s="182"/>
      <c r="CD607" s="182"/>
      <c r="CE607" s="182"/>
      <c r="CF607" s="182"/>
      <c r="CG607" s="182"/>
      <c r="CH607" s="182"/>
      <c r="CI607" s="182"/>
      <c r="CJ607" s="182"/>
      <c r="CK607" s="182"/>
      <c r="CL607" s="182"/>
      <c r="CM607" s="182"/>
      <c r="CN607" s="182"/>
      <c r="CO607" s="182"/>
      <c r="CP607" s="182"/>
      <c r="CQ607" s="182"/>
      <c r="CR607" s="182"/>
      <c r="CS607" s="182"/>
      <c r="CT607" s="182"/>
      <c r="CU607" s="182"/>
      <c r="CV607" s="182"/>
      <c r="CW607" s="182"/>
      <c r="CX607" s="182"/>
      <c r="CY607" s="182"/>
      <c r="CZ607" s="182"/>
      <c r="DA607" s="182"/>
      <c r="DB607" s="182"/>
      <c r="DC607" s="182"/>
      <c r="DD607" s="182"/>
      <c r="DE607" s="182"/>
      <c r="DF607" s="182"/>
      <c r="DG607" s="182"/>
      <c r="DH607" s="182"/>
      <c r="DI607" s="182"/>
      <c r="DJ607" s="182"/>
      <c r="DK607" s="182"/>
      <c r="DL607" s="182"/>
      <c r="DM607" s="182"/>
      <c r="DN607" s="182"/>
      <c r="DO607" s="182"/>
      <c r="DP607" s="182"/>
      <c r="DQ607" s="182"/>
      <c r="DR607" s="182"/>
      <c r="DS607" s="182"/>
      <c r="DT607" s="182"/>
      <c r="DU607" s="182"/>
      <c r="DV607" s="182"/>
      <c r="DW607" s="182"/>
      <c r="DX607" s="182"/>
      <c r="DY607" s="182"/>
      <c r="DZ607" s="182"/>
      <c r="EA607" s="182"/>
    </row>
    <row r="608" spans="1:131" s="183" customFormat="1" ht="11.25" hidden="1">
      <c r="A608" s="6" t="s">
        <v>233</v>
      </c>
      <c r="B608" s="131"/>
      <c r="C608" s="131"/>
      <c r="D608" s="139">
        <f>500000-200000</f>
        <v>300000</v>
      </c>
      <c r="E608" s="139"/>
      <c r="F608" s="139">
        <f>D608</f>
        <v>300000</v>
      </c>
      <c r="G608" s="139"/>
      <c r="H608" s="139"/>
      <c r="I608" s="139"/>
      <c r="J608" s="139"/>
      <c r="K608" s="136"/>
      <c r="L608" s="136"/>
      <c r="M608" s="136"/>
      <c r="N608" s="139"/>
      <c r="O608" s="139"/>
      <c r="P608" s="139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2"/>
      <c r="BG608" s="182"/>
      <c r="BH608" s="182"/>
      <c r="BI608" s="182"/>
      <c r="BJ608" s="182"/>
      <c r="BK608" s="182"/>
      <c r="BL608" s="182"/>
      <c r="BM608" s="182"/>
      <c r="BN608" s="182"/>
      <c r="BO608" s="182"/>
      <c r="BP608" s="182"/>
      <c r="BQ608" s="182"/>
      <c r="BR608" s="182"/>
      <c r="BS608" s="182"/>
      <c r="BT608" s="182"/>
      <c r="BU608" s="182"/>
      <c r="BV608" s="182"/>
      <c r="BW608" s="182"/>
      <c r="BX608" s="182"/>
      <c r="BY608" s="182"/>
      <c r="BZ608" s="182"/>
      <c r="CA608" s="182"/>
      <c r="CB608" s="182"/>
      <c r="CC608" s="182"/>
      <c r="CD608" s="182"/>
      <c r="CE608" s="182"/>
      <c r="CF608" s="182"/>
      <c r="CG608" s="182"/>
      <c r="CH608" s="182"/>
      <c r="CI608" s="182"/>
      <c r="CJ608" s="182"/>
      <c r="CK608" s="182"/>
      <c r="CL608" s="182"/>
      <c r="CM608" s="182"/>
      <c r="CN608" s="182"/>
      <c r="CO608" s="182"/>
      <c r="CP608" s="182"/>
      <c r="CQ608" s="182"/>
      <c r="CR608" s="182"/>
      <c r="CS608" s="182"/>
      <c r="CT608" s="182"/>
      <c r="CU608" s="182"/>
      <c r="CV608" s="182"/>
      <c r="CW608" s="182"/>
      <c r="CX608" s="182"/>
      <c r="CY608" s="182"/>
      <c r="CZ608" s="182"/>
      <c r="DA608" s="182"/>
      <c r="DB608" s="182"/>
      <c r="DC608" s="182"/>
      <c r="DD608" s="182"/>
      <c r="DE608" s="182"/>
      <c r="DF608" s="182"/>
      <c r="DG608" s="182"/>
      <c r="DH608" s="182"/>
      <c r="DI608" s="182"/>
      <c r="DJ608" s="182"/>
      <c r="DK608" s="182"/>
      <c r="DL608" s="182"/>
      <c r="DM608" s="182"/>
      <c r="DN608" s="182"/>
      <c r="DO608" s="182"/>
      <c r="DP608" s="182"/>
      <c r="DQ608" s="182"/>
      <c r="DR608" s="182"/>
      <c r="DS608" s="182"/>
      <c r="DT608" s="182"/>
      <c r="DU608" s="182"/>
      <c r="DV608" s="182"/>
      <c r="DW608" s="182"/>
      <c r="DX608" s="182"/>
      <c r="DY608" s="182"/>
      <c r="DZ608" s="182"/>
      <c r="EA608" s="182"/>
    </row>
    <row r="609" spans="1:131" s="183" customFormat="1" ht="11.25" hidden="1">
      <c r="A609" s="3" t="s">
        <v>275</v>
      </c>
      <c r="B609" s="131"/>
      <c r="C609" s="131"/>
      <c r="D609" s="139"/>
      <c r="E609" s="139"/>
      <c r="F609" s="139"/>
      <c r="G609" s="139"/>
      <c r="H609" s="139"/>
      <c r="I609" s="139"/>
      <c r="J609" s="139"/>
      <c r="K609" s="136"/>
      <c r="L609" s="136"/>
      <c r="M609" s="136"/>
      <c r="N609" s="139"/>
      <c r="O609" s="139"/>
      <c r="P609" s="139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2"/>
      <c r="BG609" s="182"/>
      <c r="BH609" s="182"/>
      <c r="BI609" s="182"/>
      <c r="BJ609" s="182"/>
      <c r="BK609" s="182"/>
      <c r="BL609" s="182"/>
      <c r="BM609" s="182"/>
      <c r="BN609" s="182"/>
      <c r="BO609" s="182"/>
      <c r="BP609" s="182"/>
      <c r="BQ609" s="182"/>
      <c r="BR609" s="182"/>
      <c r="BS609" s="182"/>
      <c r="BT609" s="182"/>
      <c r="BU609" s="182"/>
      <c r="BV609" s="182"/>
      <c r="BW609" s="182"/>
      <c r="BX609" s="182"/>
      <c r="BY609" s="182"/>
      <c r="BZ609" s="182"/>
      <c r="CA609" s="182"/>
      <c r="CB609" s="182"/>
      <c r="CC609" s="182"/>
      <c r="CD609" s="182"/>
      <c r="CE609" s="182"/>
      <c r="CF609" s="182"/>
      <c r="CG609" s="182"/>
      <c r="CH609" s="182"/>
      <c r="CI609" s="182"/>
      <c r="CJ609" s="182"/>
      <c r="CK609" s="182"/>
      <c r="CL609" s="182"/>
      <c r="CM609" s="182"/>
      <c r="CN609" s="182"/>
      <c r="CO609" s="182"/>
      <c r="CP609" s="182"/>
      <c r="CQ609" s="182"/>
      <c r="CR609" s="182"/>
      <c r="CS609" s="182"/>
      <c r="CT609" s="182"/>
      <c r="CU609" s="182"/>
      <c r="CV609" s="182"/>
      <c r="CW609" s="182"/>
      <c r="CX609" s="182"/>
      <c r="CY609" s="182"/>
      <c r="CZ609" s="182"/>
      <c r="DA609" s="182"/>
      <c r="DB609" s="182"/>
      <c r="DC609" s="182"/>
      <c r="DD609" s="182"/>
      <c r="DE609" s="182"/>
      <c r="DF609" s="182"/>
      <c r="DG609" s="182"/>
      <c r="DH609" s="182"/>
      <c r="DI609" s="182"/>
      <c r="DJ609" s="182"/>
      <c r="DK609" s="182"/>
      <c r="DL609" s="182"/>
      <c r="DM609" s="182"/>
      <c r="DN609" s="182"/>
      <c r="DO609" s="182"/>
      <c r="DP609" s="182"/>
      <c r="DQ609" s="182"/>
      <c r="DR609" s="182"/>
      <c r="DS609" s="182"/>
      <c r="DT609" s="182"/>
      <c r="DU609" s="182"/>
      <c r="DV609" s="182"/>
      <c r="DW609" s="182"/>
      <c r="DX609" s="182"/>
      <c r="DY609" s="182"/>
      <c r="DZ609" s="182"/>
      <c r="EA609" s="182"/>
    </row>
    <row r="610" spans="1:131" s="183" customFormat="1" ht="11.25" hidden="1">
      <c r="A610" s="6" t="s">
        <v>286</v>
      </c>
      <c r="B610" s="131"/>
      <c r="C610" s="131"/>
      <c r="D610" s="139">
        <v>3</v>
      </c>
      <c r="E610" s="139"/>
      <c r="F610" s="139">
        <f>D610</f>
        <v>3</v>
      </c>
      <c r="G610" s="139"/>
      <c r="H610" s="139"/>
      <c r="I610" s="139"/>
      <c r="J610" s="139"/>
      <c r="K610" s="136"/>
      <c r="L610" s="136"/>
      <c r="M610" s="136"/>
      <c r="N610" s="139"/>
      <c r="O610" s="139"/>
      <c r="P610" s="139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82"/>
      <c r="BC610" s="182"/>
      <c r="BD610" s="182"/>
      <c r="BE610" s="182"/>
      <c r="BF610" s="182"/>
      <c r="BG610" s="182"/>
      <c r="BH610" s="182"/>
      <c r="BI610" s="182"/>
      <c r="BJ610" s="182"/>
      <c r="BK610" s="182"/>
      <c r="BL610" s="182"/>
      <c r="BM610" s="182"/>
      <c r="BN610" s="182"/>
      <c r="BO610" s="182"/>
      <c r="BP610" s="182"/>
      <c r="BQ610" s="182"/>
      <c r="BR610" s="182"/>
      <c r="BS610" s="182"/>
      <c r="BT610" s="182"/>
      <c r="BU610" s="182"/>
      <c r="BV610" s="182"/>
      <c r="BW610" s="182"/>
      <c r="BX610" s="182"/>
      <c r="BY610" s="182"/>
      <c r="BZ610" s="182"/>
      <c r="CA610" s="182"/>
      <c r="CB610" s="182"/>
      <c r="CC610" s="182"/>
      <c r="CD610" s="182"/>
      <c r="CE610" s="182"/>
      <c r="CF610" s="182"/>
      <c r="CG610" s="182"/>
      <c r="CH610" s="182"/>
      <c r="CI610" s="182"/>
      <c r="CJ610" s="182"/>
      <c r="CK610" s="182"/>
      <c r="CL610" s="182"/>
      <c r="CM610" s="182"/>
      <c r="CN610" s="182"/>
      <c r="CO610" s="182"/>
      <c r="CP610" s="182"/>
      <c r="CQ610" s="182"/>
      <c r="CR610" s="182"/>
      <c r="CS610" s="182"/>
      <c r="CT610" s="182"/>
      <c r="CU610" s="182"/>
      <c r="CV610" s="182"/>
      <c r="CW610" s="182"/>
      <c r="CX610" s="182"/>
      <c r="CY610" s="182"/>
      <c r="CZ610" s="182"/>
      <c r="DA610" s="182"/>
      <c r="DB610" s="182"/>
      <c r="DC610" s="182"/>
      <c r="DD610" s="182"/>
      <c r="DE610" s="182"/>
      <c r="DF610" s="182"/>
      <c r="DG610" s="182"/>
      <c r="DH610" s="182"/>
      <c r="DI610" s="182"/>
      <c r="DJ610" s="182"/>
      <c r="DK610" s="182"/>
      <c r="DL610" s="182"/>
      <c r="DM610" s="182"/>
      <c r="DN610" s="182"/>
      <c r="DO610" s="182"/>
      <c r="DP610" s="182"/>
      <c r="DQ610" s="182"/>
      <c r="DR610" s="182"/>
      <c r="DS610" s="182"/>
      <c r="DT610" s="182"/>
      <c r="DU610" s="182"/>
      <c r="DV610" s="182"/>
      <c r="DW610" s="182"/>
      <c r="DX610" s="182"/>
      <c r="DY610" s="182"/>
      <c r="DZ610" s="182"/>
      <c r="EA610" s="182"/>
    </row>
    <row r="611" spans="1:131" s="183" customFormat="1" ht="15.75" customHeight="1" hidden="1">
      <c r="A611" s="3" t="s">
        <v>226</v>
      </c>
      <c r="B611" s="131"/>
      <c r="C611" s="131"/>
      <c r="D611" s="139"/>
      <c r="E611" s="139"/>
      <c r="F611" s="139"/>
      <c r="G611" s="139"/>
      <c r="H611" s="139"/>
      <c r="I611" s="139"/>
      <c r="J611" s="139"/>
      <c r="K611" s="136"/>
      <c r="L611" s="136"/>
      <c r="M611" s="136"/>
      <c r="N611" s="139"/>
      <c r="O611" s="139"/>
      <c r="P611" s="139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82"/>
      <c r="BC611" s="182"/>
      <c r="BD611" s="182"/>
      <c r="BE611" s="182"/>
      <c r="BF611" s="182"/>
      <c r="BG611" s="182"/>
      <c r="BH611" s="182"/>
      <c r="BI611" s="182"/>
      <c r="BJ611" s="182"/>
      <c r="BK611" s="182"/>
      <c r="BL611" s="182"/>
      <c r="BM611" s="182"/>
      <c r="BN611" s="182"/>
      <c r="BO611" s="182"/>
      <c r="BP611" s="182"/>
      <c r="BQ611" s="182"/>
      <c r="BR611" s="182"/>
      <c r="BS611" s="182"/>
      <c r="BT611" s="182"/>
      <c r="BU611" s="182"/>
      <c r="BV611" s="182"/>
      <c r="BW611" s="182"/>
      <c r="BX611" s="182"/>
      <c r="BY611" s="182"/>
      <c r="BZ611" s="182"/>
      <c r="CA611" s="182"/>
      <c r="CB611" s="182"/>
      <c r="CC611" s="182"/>
      <c r="CD611" s="182"/>
      <c r="CE611" s="182"/>
      <c r="CF611" s="182"/>
      <c r="CG611" s="182"/>
      <c r="CH611" s="182"/>
      <c r="CI611" s="182"/>
      <c r="CJ611" s="182"/>
      <c r="CK611" s="182"/>
      <c r="CL611" s="182"/>
      <c r="CM611" s="182"/>
      <c r="CN611" s="182"/>
      <c r="CO611" s="182"/>
      <c r="CP611" s="182"/>
      <c r="CQ611" s="182"/>
      <c r="CR611" s="182"/>
      <c r="CS611" s="182"/>
      <c r="CT611" s="182"/>
      <c r="CU611" s="182"/>
      <c r="CV611" s="182"/>
      <c r="CW611" s="182"/>
      <c r="CX611" s="182"/>
      <c r="CY611" s="182"/>
      <c r="CZ611" s="182"/>
      <c r="DA611" s="182"/>
      <c r="DB611" s="182"/>
      <c r="DC611" s="182"/>
      <c r="DD611" s="182"/>
      <c r="DE611" s="182"/>
      <c r="DF611" s="182"/>
      <c r="DG611" s="182"/>
      <c r="DH611" s="182"/>
      <c r="DI611" s="182"/>
      <c r="DJ611" s="182"/>
      <c r="DK611" s="182"/>
      <c r="DL611" s="182"/>
      <c r="DM611" s="182"/>
      <c r="DN611" s="182"/>
      <c r="DO611" s="182"/>
      <c r="DP611" s="182"/>
      <c r="DQ611" s="182"/>
      <c r="DR611" s="182"/>
      <c r="DS611" s="182"/>
      <c r="DT611" s="182"/>
      <c r="DU611" s="182"/>
      <c r="DV611" s="182"/>
      <c r="DW611" s="182"/>
      <c r="DX611" s="182"/>
      <c r="DY611" s="182"/>
      <c r="DZ611" s="182"/>
      <c r="EA611" s="182"/>
    </row>
    <row r="612" spans="1:131" s="183" customFormat="1" ht="11.25" hidden="1">
      <c r="A612" s="6" t="s">
        <v>287</v>
      </c>
      <c r="B612" s="131"/>
      <c r="C612" s="131"/>
      <c r="D612" s="139">
        <f>D608/D610</f>
        <v>100000</v>
      </c>
      <c r="E612" s="139"/>
      <c r="F612" s="139">
        <f>D612</f>
        <v>100000</v>
      </c>
      <c r="G612" s="139"/>
      <c r="H612" s="139"/>
      <c r="I612" s="139"/>
      <c r="J612" s="139"/>
      <c r="K612" s="136"/>
      <c r="L612" s="136"/>
      <c r="M612" s="136"/>
      <c r="N612" s="139"/>
      <c r="O612" s="139"/>
      <c r="P612" s="139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182"/>
      <c r="BC612" s="182"/>
      <c r="BD612" s="182"/>
      <c r="BE612" s="182"/>
      <c r="BF612" s="182"/>
      <c r="BG612" s="182"/>
      <c r="BH612" s="182"/>
      <c r="BI612" s="182"/>
      <c r="BJ612" s="182"/>
      <c r="BK612" s="182"/>
      <c r="BL612" s="182"/>
      <c r="BM612" s="182"/>
      <c r="BN612" s="182"/>
      <c r="BO612" s="182"/>
      <c r="BP612" s="182"/>
      <c r="BQ612" s="182"/>
      <c r="BR612" s="182"/>
      <c r="BS612" s="182"/>
      <c r="BT612" s="182"/>
      <c r="BU612" s="182"/>
      <c r="BV612" s="182"/>
      <c r="BW612" s="182"/>
      <c r="BX612" s="182"/>
      <c r="BY612" s="182"/>
      <c r="BZ612" s="182"/>
      <c r="CA612" s="182"/>
      <c r="CB612" s="182"/>
      <c r="CC612" s="182"/>
      <c r="CD612" s="182"/>
      <c r="CE612" s="182"/>
      <c r="CF612" s="182"/>
      <c r="CG612" s="182"/>
      <c r="CH612" s="182"/>
      <c r="CI612" s="182"/>
      <c r="CJ612" s="182"/>
      <c r="CK612" s="182"/>
      <c r="CL612" s="182"/>
      <c r="CM612" s="182"/>
      <c r="CN612" s="182"/>
      <c r="CO612" s="182"/>
      <c r="CP612" s="182"/>
      <c r="CQ612" s="182"/>
      <c r="CR612" s="182"/>
      <c r="CS612" s="182"/>
      <c r="CT612" s="182"/>
      <c r="CU612" s="182"/>
      <c r="CV612" s="182"/>
      <c r="CW612" s="182"/>
      <c r="CX612" s="182"/>
      <c r="CY612" s="182"/>
      <c r="CZ612" s="182"/>
      <c r="DA612" s="182"/>
      <c r="DB612" s="182"/>
      <c r="DC612" s="182"/>
      <c r="DD612" s="182"/>
      <c r="DE612" s="182"/>
      <c r="DF612" s="182"/>
      <c r="DG612" s="182"/>
      <c r="DH612" s="182"/>
      <c r="DI612" s="182"/>
      <c r="DJ612" s="182"/>
      <c r="DK612" s="182"/>
      <c r="DL612" s="182"/>
      <c r="DM612" s="182"/>
      <c r="DN612" s="182"/>
      <c r="DO612" s="182"/>
      <c r="DP612" s="182"/>
      <c r="DQ612" s="182"/>
      <c r="DR612" s="182"/>
      <c r="DS612" s="182"/>
      <c r="DT612" s="182"/>
      <c r="DU612" s="182"/>
      <c r="DV612" s="182"/>
      <c r="DW612" s="182"/>
      <c r="DX612" s="182"/>
      <c r="DY612" s="182"/>
      <c r="DZ612" s="182"/>
      <c r="EA612" s="182"/>
    </row>
    <row r="613" spans="1:137" s="75" customFormat="1" ht="33" customHeight="1" hidden="1">
      <c r="A613" s="85" t="s">
        <v>503</v>
      </c>
      <c r="B613" s="73"/>
      <c r="C613" s="73"/>
      <c r="D613" s="84">
        <f>D615</f>
        <v>45000</v>
      </c>
      <c r="E613" s="84"/>
      <c r="F613" s="84">
        <f>D613</f>
        <v>45000</v>
      </c>
      <c r="G613" s="84">
        <f>G615</f>
        <v>48000</v>
      </c>
      <c r="H613" s="84"/>
      <c r="I613" s="84"/>
      <c r="J613" s="84">
        <f>G613</f>
        <v>48000</v>
      </c>
      <c r="K613" s="84"/>
      <c r="L613" s="84"/>
      <c r="M613" s="84"/>
      <c r="N613" s="84">
        <f>N615</f>
        <v>50900</v>
      </c>
      <c r="O613" s="84"/>
      <c r="P613" s="84">
        <f>N613</f>
        <v>50900</v>
      </c>
      <c r="EB613" s="76"/>
      <c r="EC613" s="76"/>
      <c r="ED613" s="76"/>
      <c r="EE613" s="76"/>
      <c r="EF613" s="76"/>
      <c r="EG613" s="76"/>
    </row>
    <row r="614" spans="1:137" s="185" customFormat="1" ht="11.25" hidden="1">
      <c r="A614" s="3" t="s">
        <v>77</v>
      </c>
      <c r="B614" s="184"/>
      <c r="C614" s="18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EB614" s="186"/>
      <c r="EC614" s="186"/>
      <c r="ED614" s="186"/>
      <c r="EE614" s="186"/>
      <c r="EF614" s="186"/>
      <c r="EG614" s="186"/>
    </row>
    <row r="615" spans="1:137" s="185" customFormat="1" ht="22.5" hidden="1">
      <c r="A615" s="72" t="s">
        <v>387</v>
      </c>
      <c r="B615" s="184"/>
      <c r="C615" s="184"/>
      <c r="D615" s="74">
        <v>45000</v>
      </c>
      <c r="E615" s="74"/>
      <c r="F615" s="74">
        <f>D615</f>
        <v>45000</v>
      </c>
      <c r="G615" s="74">
        <v>48000</v>
      </c>
      <c r="H615" s="74"/>
      <c r="I615" s="74"/>
      <c r="J615" s="74">
        <f>G615</f>
        <v>48000</v>
      </c>
      <c r="K615" s="74"/>
      <c r="L615" s="74"/>
      <c r="M615" s="74"/>
      <c r="N615" s="74">
        <v>50900</v>
      </c>
      <c r="O615" s="74"/>
      <c r="P615" s="74">
        <f>N615</f>
        <v>50900</v>
      </c>
      <c r="EB615" s="186"/>
      <c r="EC615" s="186"/>
      <c r="ED615" s="186"/>
      <c r="EE615" s="186"/>
      <c r="EF615" s="186"/>
      <c r="EG615" s="186"/>
    </row>
    <row r="616" spans="1:137" s="185" customFormat="1" ht="11.25" hidden="1">
      <c r="A616" s="165" t="s">
        <v>275</v>
      </c>
      <c r="B616" s="184"/>
      <c r="C616" s="18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EB616" s="186"/>
      <c r="EC616" s="186"/>
      <c r="ED616" s="186"/>
      <c r="EE616" s="186"/>
      <c r="EF616" s="186"/>
      <c r="EG616" s="186"/>
    </row>
    <row r="617" spans="1:137" s="185" customFormat="1" ht="22.5" hidden="1">
      <c r="A617" s="72" t="s">
        <v>551</v>
      </c>
      <c r="B617" s="184"/>
      <c r="C617" s="184"/>
      <c r="D617" s="74">
        <v>12</v>
      </c>
      <c r="E617" s="74"/>
      <c r="F617" s="74">
        <f>D617</f>
        <v>12</v>
      </c>
      <c r="G617" s="74">
        <v>12</v>
      </c>
      <c r="H617" s="74"/>
      <c r="I617" s="74"/>
      <c r="J617" s="74">
        <f>G617</f>
        <v>12</v>
      </c>
      <c r="K617" s="74"/>
      <c r="L617" s="74"/>
      <c r="M617" s="74"/>
      <c r="N617" s="74">
        <v>12</v>
      </c>
      <c r="O617" s="74"/>
      <c r="P617" s="74">
        <f>N617</f>
        <v>12</v>
      </c>
      <c r="EB617" s="186"/>
      <c r="EC617" s="186"/>
      <c r="ED617" s="186"/>
      <c r="EE617" s="186"/>
      <c r="EF617" s="186"/>
      <c r="EG617" s="186"/>
    </row>
    <row r="618" spans="1:137" s="185" customFormat="1" ht="11.25" hidden="1">
      <c r="A618" s="165" t="s">
        <v>226</v>
      </c>
      <c r="B618" s="184"/>
      <c r="C618" s="18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EB618" s="186"/>
      <c r="EC618" s="186"/>
      <c r="ED618" s="186"/>
      <c r="EE618" s="186"/>
      <c r="EF618" s="186"/>
      <c r="EG618" s="186"/>
    </row>
    <row r="619" spans="1:137" s="185" customFormat="1" ht="22.5" hidden="1">
      <c r="A619" s="72" t="s">
        <v>388</v>
      </c>
      <c r="B619" s="184"/>
      <c r="C619" s="184"/>
      <c r="D619" s="74">
        <f>D615/D617</f>
        <v>3750</v>
      </c>
      <c r="E619" s="74"/>
      <c r="F619" s="74">
        <f>D619</f>
        <v>3750</v>
      </c>
      <c r="G619" s="74">
        <f>G615/G617</f>
        <v>4000</v>
      </c>
      <c r="H619" s="74"/>
      <c r="I619" s="74"/>
      <c r="J619" s="74">
        <f>G619</f>
        <v>4000</v>
      </c>
      <c r="K619" s="74"/>
      <c r="L619" s="74"/>
      <c r="M619" s="74"/>
      <c r="N619" s="74">
        <f>N615/N617</f>
        <v>4241.666666666667</v>
      </c>
      <c r="O619" s="74"/>
      <c r="P619" s="74">
        <f>N619</f>
        <v>4241.666666666667</v>
      </c>
      <c r="EB619" s="186"/>
      <c r="EC619" s="186"/>
      <c r="ED619" s="186"/>
      <c r="EE619" s="186"/>
      <c r="EF619" s="186"/>
      <c r="EG619" s="186"/>
    </row>
    <row r="620" spans="1:137" s="185" customFormat="1" ht="11.25" hidden="1">
      <c r="A620" s="165" t="s">
        <v>374</v>
      </c>
      <c r="B620" s="184"/>
      <c r="C620" s="18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EB620" s="186"/>
      <c r="EC620" s="186"/>
      <c r="ED620" s="186"/>
      <c r="EE620" s="186"/>
      <c r="EF620" s="186"/>
      <c r="EG620" s="186"/>
    </row>
    <row r="621" spans="1:137" s="185" customFormat="1" ht="45" hidden="1">
      <c r="A621" s="72" t="s">
        <v>389</v>
      </c>
      <c r="B621" s="184"/>
      <c r="C621" s="184"/>
      <c r="D621" s="74"/>
      <c r="E621" s="74"/>
      <c r="F621" s="74"/>
      <c r="G621" s="74">
        <f>G619/D619*100</f>
        <v>106.66666666666667</v>
      </c>
      <c r="H621" s="74"/>
      <c r="I621" s="74"/>
      <c r="J621" s="74">
        <f>G621</f>
        <v>106.66666666666667</v>
      </c>
      <c r="K621" s="74"/>
      <c r="L621" s="74"/>
      <c r="M621" s="74"/>
      <c r="N621" s="74">
        <f>N619/G619*100</f>
        <v>106.04166666666669</v>
      </c>
      <c r="O621" s="74"/>
      <c r="P621" s="74">
        <f>N621</f>
        <v>106.04166666666669</v>
      </c>
      <c r="EB621" s="186"/>
      <c r="EC621" s="186"/>
      <c r="ED621" s="186"/>
      <c r="EE621" s="186"/>
      <c r="EF621" s="186"/>
      <c r="EG621" s="186"/>
    </row>
    <row r="622" spans="1:217" s="161" customFormat="1" ht="54.75" customHeight="1" hidden="1">
      <c r="A622" s="258" t="s">
        <v>427</v>
      </c>
      <c r="B622" s="180"/>
      <c r="C622" s="180"/>
      <c r="D622" s="181">
        <f>D624+D637</f>
        <v>177740</v>
      </c>
      <c r="E622" s="181">
        <f>E660+E676</f>
        <v>223400</v>
      </c>
      <c r="F622" s="181">
        <f>D622+E622</f>
        <v>401140</v>
      </c>
      <c r="G622" s="181">
        <f>G624+G637</f>
        <v>313730</v>
      </c>
      <c r="H622" s="181">
        <f>H660+H676</f>
        <v>630370</v>
      </c>
      <c r="I622" s="181"/>
      <c r="J622" s="181">
        <f>G622+H622</f>
        <v>944100</v>
      </c>
      <c r="K622" s="181" t="e">
        <f>#REF!+#REF!</f>
        <v>#REF!</v>
      </c>
      <c r="L622" s="181" t="e">
        <f>#REF!+#REF!</f>
        <v>#REF!</v>
      </c>
      <c r="M622" s="181" t="e">
        <f>#REF!+#REF!</f>
        <v>#REF!</v>
      </c>
      <c r="N622" s="181">
        <f>N624+N637</f>
        <v>322010</v>
      </c>
      <c r="O622" s="181">
        <f>O660+O676</f>
        <v>664380</v>
      </c>
      <c r="P622" s="181">
        <f>N622+O622</f>
        <v>986390</v>
      </c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13"/>
      <c r="AT622" s="113"/>
      <c r="AU622" s="113"/>
      <c r="AV622" s="113"/>
      <c r="AW622" s="113"/>
      <c r="AX622" s="113"/>
      <c r="AY622" s="113"/>
      <c r="AZ622" s="113"/>
      <c r="BA622" s="113"/>
      <c r="BB622" s="113"/>
      <c r="BC622" s="113"/>
      <c r="BD622" s="113"/>
      <c r="BE622" s="113"/>
      <c r="BF622" s="113"/>
      <c r="BG622" s="113"/>
      <c r="BH622" s="113"/>
      <c r="BI622" s="113"/>
      <c r="BJ622" s="113"/>
      <c r="BK622" s="113"/>
      <c r="BL622" s="113"/>
      <c r="BM622" s="113"/>
      <c r="BN622" s="113"/>
      <c r="BO622" s="113"/>
      <c r="BP622" s="113"/>
      <c r="BQ622" s="113"/>
      <c r="BR622" s="113"/>
      <c r="BS622" s="113"/>
      <c r="BT622" s="113"/>
      <c r="BU622" s="113"/>
      <c r="BV622" s="113"/>
      <c r="BW622" s="113"/>
      <c r="BX622" s="113"/>
      <c r="BY622" s="113"/>
      <c r="BZ622" s="113"/>
      <c r="CA622" s="113"/>
      <c r="CB622" s="113"/>
      <c r="CC622" s="113"/>
      <c r="CD622" s="113"/>
      <c r="CE622" s="113"/>
      <c r="CF622" s="113"/>
      <c r="CG622" s="113"/>
      <c r="CH622" s="113"/>
      <c r="CI622" s="113"/>
      <c r="CJ622" s="113"/>
      <c r="CK622" s="113"/>
      <c r="CL622" s="113"/>
      <c r="CM622" s="113"/>
      <c r="CN622" s="113"/>
      <c r="CO622" s="113"/>
      <c r="CP622" s="113"/>
      <c r="CQ622" s="113"/>
      <c r="CR622" s="113"/>
      <c r="CS622" s="113"/>
      <c r="CT622" s="113"/>
      <c r="CU622" s="113"/>
      <c r="CV622" s="113"/>
      <c r="CW622" s="113"/>
      <c r="CX622" s="113"/>
      <c r="CY622" s="113"/>
      <c r="CZ622" s="113"/>
      <c r="DA622" s="113"/>
      <c r="DB622" s="113"/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3"/>
      <c r="DO622" s="113"/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3"/>
      <c r="DZ622" s="113"/>
      <c r="EA622" s="113"/>
      <c r="EB622" s="113"/>
      <c r="EC622" s="113"/>
      <c r="ED622" s="113"/>
      <c r="EE622" s="113"/>
      <c r="EF622" s="113"/>
      <c r="EG622" s="113"/>
      <c r="EH622" s="113"/>
      <c r="EI622" s="113"/>
      <c r="EJ622" s="113"/>
      <c r="EK622" s="113"/>
      <c r="EL622" s="113"/>
      <c r="EM622" s="113"/>
      <c r="EN622" s="113"/>
      <c r="EO622" s="113"/>
      <c r="EP622" s="113"/>
      <c r="EQ622" s="113"/>
      <c r="ER622" s="113"/>
      <c r="ES622" s="113"/>
      <c r="ET622" s="113"/>
      <c r="EU622" s="113"/>
      <c r="EV622" s="113"/>
      <c r="EW622" s="113"/>
      <c r="EX622" s="113"/>
      <c r="EY622" s="113"/>
      <c r="EZ622" s="113"/>
      <c r="FA622" s="113"/>
      <c r="FB622" s="113"/>
      <c r="FC622" s="113"/>
      <c r="FD622" s="113"/>
      <c r="FE622" s="113"/>
      <c r="FF622" s="113"/>
      <c r="FG622" s="113"/>
      <c r="FH622" s="113"/>
      <c r="FI622" s="113"/>
      <c r="FJ622" s="113"/>
      <c r="FK622" s="113"/>
      <c r="FL622" s="113"/>
      <c r="FM622" s="113"/>
      <c r="FN622" s="113"/>
      <c r="FO622" s="113"/>
      <c r="FP622" s="113"/>
      <c r="FQ622" s="113"/>
      <c r="FR622" s="113"/>
      <c r="FS622" s="113"/>
      <c r="FT622" s="113"/>
      <c r="FU622" s="113"/>
      <c r="FV622" s="113"/>
      <c r="FW622" s="113"/>
      <c r="FX622" s="113"/>
      <c r="FY622" s="113"/>
      <c r="FZ622" s="113"/>
      <c r="GA622" s="113"/>
      <c r="GB622" s="113"/>
      <c r="GC622" s="113"/>
      <c r="GD622" s="113"/>
      <c r="GE622" s="113"/>
      <c r="GF622" s="113"/>
      <c r="GG622" s="113"/>
      <c r="GH622" s="113"/>
      <c r="GI622" s="113"/>
      <c r="GJ622" s="113"/>
      <c r="GK622" s="113"/>
      <c r="GL622" s="113"/>
      <c r="GM622" s="113"/>
      <c r="GN622" s="113"/>
      <c r="GO622" s="113"/>
      <c r="GP622" s="113"/>
      <c r="GQ622" s="113"/>
      <c r="GR622" s="113"/>
      <c r="GS622" s="113"/>
      <c r="GT622" s="113"/>
      <c r="GU622" s="113"/>
      <c r="GV622" s="113"/>
      <c r="GW622" s="113"/>
      <c r="GX622" s="113"/>
      <c r="GY622" s="113"/>
      <c r="GZ622" s="113"/>
      <c r="HA622" s="113"/>
      <c r="HB622" s="113"/>
      <c r="HC622" s="113"/>
      <c r="HD622" s="113"/>
      <c r="HE622" s="113"/>
      <c r="HF622" s="113"/>
      <c r="HG622" s="113"/>
      <c r="HH622" s="113"/>
      <c r="HI622" s="113"/>
    </row>
    <row r="623" spans="1:217" s="156" customFormat="1" ht="36" customHeight="1" hidden="1">
      <c r="A623" s="72" t="s">
        <v>202</v>
      </c>
      <c r="B623" s="73"/>
      <c r="C623" s="73"/>
      <c r="D623" s="81"/>
      <c r="E623" s="81"/>
      <c r="F623" s="81"/>
      <c r="G623" s="81"/>
      <c r="H623" s="81"/>
      <c r="I623" s="81"/>
      <c r="J623" s="81"/>
      <c r="K623" s="157"/>
      <c r="L623" s="77"/>
      <c r="M623" s="81"/>
      <c r="N623" s="81"/>
      <c r="O623" s="81"/>
      <c r="P623" s="81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  <c r="CI623" s="75"/>
      <c r="CJ623" s="75"/>
      <c r="CK623" s="75"/>
      <c r="CL623" s="75"/>
      <c r="CM623" s="75"/>
      <c r="CN623" s="75"/>
      <c r="CO623" s="75"/>
      <c r="CP623" s="75"/>
      <c r="CQ623" s="75"/>
      <c r="CR623" s="75"/>
      <c r="CS623" s="75"/>
      <c r="CT623" s="75"/>
      <c r="CU623" s="75"/>
      <c r="CV623" s="75"/>
      <c r="CW623" s="75"/>
      <c r="CX623" s="75"/>
      <c r="CY623" s="75"/>
      <c r="CZ623" s="75"/>
      <c r="DA623" s="75"/>
      <c r="DB623" s="75"/>
      <c r="DC623" s="75"/>
      <c r="DD623" s="75"/>
      <c r="DE623" s="75"/>
      <c r="DF623" s="75"/>
      <c r="DG623" s="75"/>
      <c r="DH623" s="75"/>
      <c r="DI623" s="75"/>
      <c r="DJ623" s="75"/>
      <c r="DK623" s="75"/>
      <c r="DL623" s="75"/>
      <c r="DM623" s="75"/>
      <c r="DN623" s="75"/>
      <c r="DO623" s="75"/>
      <c r="DP623" s="75"/>
      <c r="DQ623" s="75"/>
      <c r="DR623" s="75"/>
      <c r="DS623" s="75"/>
      <c r="DT623" s="75"/>
      <c r="DU623" s="75"/>
      <c r="DV623" s="75"/>
      <c r="DW623" s="75"/>
      <c r="DX623" s="75"/>
      <c r="DY623" s="75"/>
      <c r="DZ623" s="75"/>
      <c r="EA623" s="75"/>
      <c r="EB623" s="75"/>
      <c r="EC623" s="75"/>
      <c r="ED623" s="75"/>
      <c r="EE623" s="75"/>
      <c r="EF623" s="75"/>
      <c r="EG623" s="75"/>
      <c r="EH623" s="75"/>
      <c r="EI623" s="75"/>
      <c r="EJ623" s="75"/>
      <c r="EK623" s="75"/>
      <c r="EL623" s="75"/>
      <c r="EM623" s="75"/>
      <c r="EN623" s="75"/>
      <c r="EO623" s="75"/>
      <c r="EP623" s="75"/>
      <c r="EQ623" s="75"/>
      <c r="ER623" s="75"/>
      <c r="ES623" s="75"/>
      <c r="ET623" s="75"/>
      <c r="EU623" s="75"/>
      <c r="EV623" s="75"/>
      <c r="EW623" s="75"/>
      <c r="EX623" s="75"/>
      <c r="EY623" s="75"/>
      <c r="EZ623" s="75"/>
      <c r="FA623" s="75"/>
      <c r="FB623" s="75"/>
      <c r="FC623" s="75"/>
      <c r="FD623" s="75"/>
      <c r="FE623" s="75"/>
      <c r="FF623" s="75"/>
      <c r="FG623" s="75"/>
      <c r="FH623" s="75"/>
      <c r="FI623" s="75"/>
      <c r="FJ623" s="75"/>
      <c r="FK623" s="75"/>
      <c r="FL623" s="75"/>
      <c r="FM623" s="75"/>
      <c r="FN623" s="75"/>
      <c r="FO623" s="75"/>
      <c r="FP623" s="75"/>
      <c r="FQ623" s="75"/>
      <c r="FR623" s="75"/>
      <c r="FS623" s="75"/>
      <c r="FT623" s="75"/>
      <c r="FU623" s="75"/>
      <c r="FV623" s="75"/>
      <c r="FW623" s="75"/>
      <c r="FX623" s="75"/>
      <c r="FY623" s="75"/>
      <c r="FZ623" s="75"/>
      <c r="GA623" s="75"/>
      <c r="GB623" s="75"/>
      <c r="GC623" s="75"/>
      <c r="GD623" s="75"/>
      <c r="GE623" s="75"/>
      <c r="GF623" s="75"/>
      <c r="GG623" s="75"/>
      <c r="GH623" s="75"/>
      <c r="GI623" s="75"/>
      <c r="GJ623" s="75"/>
      <c r="GK623" s="75"/>
      <c r="GL623" s="75"/>
      <c r="GM623" s="75"/>
      <c r="GN623" s="75"/>
      <c r="GO623" s="75"/>
      <c r="GP623" s="75"/>
      <c r="GQ623" s="75"/>
      <c r="GR623" s="75"/>
      <c r="GS623" s="75"/>
      <c r="GT623" s="75"/>
      <c r="GU623" s="75"/>
      <c r="GV623" s="75"/>
      <c r="GW623" s="75"/>
      <c r="GX623" s="75"/>
      <c r="GY623" s="75"/>
      <c r="GZ623" s="75"/>
      <c r="HA623" s="75"/>
      <c r="HB623" s="75"/>
      <c r="HC623" s="75"/>
      <c r="HD623" s="75"/>
      <c r="HE623" s="75"/>
      <c r="HF623" s="75"/>
      <c r="HG623" s="75"/>
      <c r="HH623" s="75"/>
      <c r="HI623" s="75"/>
    </row>
    <row r="624" spans="1:217" s="87" customFormat="1" ht="36.75" customHeight="1" hidden="1">
      <c r="A624" s="126" t="s">
        <v>428</v>
      </c>
      <c r="B624" s="126"/>
      <c r="C624" s="126"/>
      <c r="D624" s="127">
        <f>D626+D627+D628</f>
        <v>50000</v>
      </c>
      <c r="E624" s="127"/>
      <c r="F624" s="127">
        <f>F626+F627+F628</f>
        <v>50000</v>
      </c>
      <c r="G624" s="127">
        <f>G626+G627+G628</f>
        <v>177500</v>
      </c>
      <c r="H624" s="127"/>
      <c r="I624" s="127"/>
      <c r="J624" s="127">
        <f>J626+J627+J628</f>
        <v>177500</v>
      </c>
      <c r="K624" s="127"/>
      <c r="L624" s="125"/>
      <c r="M624" s="125"/>
      <c r="N624" s="127">
        <f>N626+N627+N628</f>
        <v>177500</v>
      </c>
      <c r="O624" s="127"/>
      <c r="P624" s="127">
        <f>P626+P627+P628</f>
        <v>177500</v>
      </c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  <c r="AT624" s="118"/>
      <c r="AU624" s="118"/>
      <c r="AV624" s="118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18"/>
      <c r="BU624" s="118"/>
      <c r="BV624" s="118"/>
      <c r="BW624" s="118"/>
      <c r="BX624" s="118"/>
      <c r="BY624" s="118"/>
      <c r="BZ624" s="118"/>
      <c r="CA624" s="118"/>
      <c r="CB624" s="118"/>
      <c r="CC624" s="118"/>
      <c r="CD624" s="118"/>
      <c r="CE624" s="118"/>
      <c r="CF624" s="118"/>
      <c r="CG624" s="118"/>
      <c r="CH624" s="118"/>
      <c r="CI624" s="118"/>
      <c r="CJ624" s="118"/>
      <c r="CK624" s="118"/>
      <c r="CL624" s="118"/>
      <c r="CM624" s="118"/>
      <c r="CN624" s="118"/>
      <c r="CO624" s="118"/>
      <c r="CP624" s="118"/>
      <c r="CQ624" s="118"/>
      <c r="CR624" s="118"/>
      <c r="CS624" s="118"/>
      <c r="CT624" s="118"/>
      <c r="CU624" s="118"/>
      <c r="CV624" s="118"/>
      <c r="CW624" s="118"/>
      <c r="CX624" s="118"/>
      <c r="CY624" s="118"/>
      <c r="CZ624" s="118"/>
      <c r="DA624" s="118"/>
      <c r="DB624" s="118"/>
      <c r="DC624" s="118"/>
      <c r="DD624" s="118"/>
      <c r="DE624" s="118"/>
      <c r="DF624" s="118"/>
      <c r="DG624" s="118"/>
      <c r="DH624" s="118"/>
      <c r="DI624" s="118"/>
      <c r="DJ624" s="118"/>
      <c r="DK624" s="118"/>
      <c r="DL624" s="118"/>
      <c r="DM624" s="118"/>
      <c r="DN624" s="118"/>
      <c r="DO624" s="118"/>
      <c r="DP624" s="118"/>
      <c r="DQ624" s="118"/>
      <c r="DR624" s="118"/>
      <c r="DS624" s="118"/>
      <c r="DT624" s="118"/>
      <c r="DU624" s="118"/>
      <c r="DV624" s="118"/>
      <c r="DW624" s="118"/>
      <c r="DX624" s="118"/>
      <c r="DY624" s="118"/>
      <c r="DZ624" s="118"/>
      <c r="EA624" s="118"/>
      <c r="EB624" s="118"/>
      <c r="EC624" s="118"/>
      <c r="ED624" s="118"/>
      <c r="EE624" s="118"/>
      <c r="EF624" s="118"/>
      <c r="EG624" s="118"/>
      <c r="EH624" s="118"/>
      <c r="EI624" s="118"/>
      <c r="EJ624" s="118"/>
      <c r="EK624" s="118"/>
      <c r="EL624" s="118"/>
      <c r="EM624" s="118"/>
      <c r="EN624" s="118"/>
      <c r="EO624" s="118"/>
      <c r="EP624" s="118"/>
      <c r="EQ624" s="118"/>
      <c r="ER624" s="118"/>
      <c r="ES624" s="118"/>
      <c r="ET624" s="118"/>
      <c r="EU624" s="118"/>
      <c r="EV624" s="118"/>
      <c r="EW624" s="118"/>
      <c r="EX624" s="118"/>
      <c r="EY624" s="118"/>
      <c r="EZ624" s="118"/>
      <c r="FA624" s="118"/>
      <c r="FB624" s="118"/>
      <c r="FC624" s="118"/>
      <c r="FD624" s="118"/>
      <c r="FE624" s="118"/>
      <c r="FF624" s="118"/>
      <c r="FG624" s="118"/>
      <c r="FH624" s="118"/>
      <c r="FI624" s="118"/>
      <c r="FJ624" s="118"/>
      <c r="FK624" s="118"/>
      <c r="FL624" s="118"/>
      <c r="FM624" s="118"/>
      <c r="FN624" s="118"/>
      <c r="FO624" s="118"/>
      <c r="FP624" s="118"/>
      <c r="FQ624" s="118"/>
      <c r="FR624" s="118"/>
      <c r="FS624" s="118"/>
      <c r="FT624" s="118"/>
      <c r="FU624" s="118"/>
      <c r="FV624" s="118"/>
      <c r="FW624" s="118"/>
      <c r="FX624" s="118"/>
      <c r="FY624" s="118"/>
      <c r="FZ624" s="118"/>
      <c r="GA624" s="118"/>
      <c r="GB624" s="118"/>
      <c r="GC624" s="118"/>
      <c r="GD624" s="118"/>
      <c r="GE624" s="118"/>
      <c r="GF624" s="118"/>
      <c r="GG624" s="118"/>
      <c r="GH624" s="118"/>
      <c r="GI624" s="118"/>
      <c r="GJ624" s="118"/>
      <c r="GK624" s="118"/>
      <c r="GL624" s="118"/>
      <c r="GM624" s="118"/>
      <c r="GN624" s="118"/>
      <c r="GO624" s="118"/>
      <c r="GP624" s="118"/>
      <c r="GQ624" s="118"/>
      <c r="GR624" s="118"/>
      <c r="GS624" s="118"/>
      <c r="GT624" s="118"/>
      <c r="GU624" s="118"/>
      <c r="GV624" s="118"/>
      <c r="GW624" s="118"/>
      <c r="GX624" s="118"/>
      <c r="GY624" s="118"/>
      <c r="GZ624" s="118"/>
      <c r="HA624" s="118"/>
      <c r="HB624" s="118"/>
      <c r="HC624" s="118"/>
      <c r="HD624" s="118"/>
      <c r="HE624" s="118"/>
      <c r="HF624" s="118"/>
      <c r="HG624" s="118"/>
      <c r="HH624" s="118"/>
      <c r="HI624" s="118"/>
    </row>
    <row r="625" spans="1:217" s="156" customFormat="1" ht="11.25" hidden="1">
      <c r="A625" s="128" t="s">
        <v>2</v>
      </c>
      <c r="B625" s="128"/>
      <c r="C625" s="128"/>
      <c r="D625" s="130"/>
      <c r="E625" s="130"/>
      <c r="F625" s="130"/>
      <c r="G625" s="130"/>
      <c r="H625" s="130"/>
      <c r="I625" s="130"/>
      <c r="J625" s="130"/>
      <c r="K625" s="122"/>
      <c r="L625" s="130"/>
      <c r="M625" s="130"/>
      <c r="N625" s="130"/>
      <c r="O625" s="130"/>
      <c r="P625" s="130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  <c r="CL625" s="75"/>
      <c r="CM625" s="75"/>
      <c r="CN625" s="75"/>
      <c r="CO625" s="75"/>
      <c r="CP625" s="75"/>
      <c r="CQ625" s="75"/>
      <c r="CR625" s="75"/>
      <c r="CS625" s="75"/>
      <c r="CT625" s="75"/>
      <c r="CU625" s="75"/>
      <c r="CV625" s="75"/>
      <c r="CW625" s="75"/>
      <c r="CX625" s="75"/>
      <c r="CY625" s="75"/>
      <c r="CZ625" s="75"/>
      <c r="DA625" s="75"/>
      <c r="DB625" s="75"/>
      <c r="DC625" s="75"/>
      <c r="DD625" s="75"/>
      <c r="DE625" s="75"/>
      <c r="DF625" s="75"/>
      <c r="DG625" s="75"/>
      <c r="DH625" s="75"/>
      <c r="DI625" s="75"/>
      <c r="DJ625" s="75"/>
      <c r="DK625" s="75"/>
      <c r="DL625" s="75"/>
      <c r="DM625" s="75"/>
      <c r="DN625" s="75"/>
      <c r="DO625" s="75"/>
      <c r="DP625" s="75"/>
      <c r="DQ625" s="75"/>
      <c r="DR625" s="75"/>
      <c r="DS625" s="75"/>
      <c r="DT625" s="75"/>
      <c r="DU625" s="75"/>
      <c r="DV625" s="75"/>
      <c r="DW625" s="75"/>
      <c r="DX625" s="75"/>
      <c r="DY625" s="75"/>
      <c r="DZ625" s="75"/>
      <c r="EA625" s="75"/>
      <c r="EB625" s="75"/>
      <c r="EC625" s="75"/>
      <c r="ED625" s="75"/>
      <c r="EE625" s="75"/>
      <c r="EF625" s="75"/>
      <c r="EG625" s="75"/>
      <c r="EH625" s="75"/>
      <c r="EI625" s="75"/>
      <c r="EJ625" s="75"/>
      <c r="EK625" s="75"/>
      <c r="EL625" s="75"/>
      <c r="EM625" s="75"/>
      <c r="EN625" s="75"/>
      <c r="EO625" s="75"/>
      <c r="EP625" s="75"/>
      <c r="EQ625" s="75"/>
      <c r="ER625" s="75"/>
      <c r="ES625" s="75"/>
      <c r="ET625" s="75"/>
      <c r="EU625" s="75"/>
      <c r="EV625" s="75"/>
      <c r="EW625" s="75"/>
      <c r="EX625" s="75"/>
      <c r="EY625" s="75"/>
      <c r="EZ625" s="75"/>
      <c r="FA625" s="75"/>
      <c r="FB625" s="75"/>
      <c r="FC625" s="75"/>
      <c r="FD625" s="75"/>
      <c r="FE625" s="75"/>
      <c r="FF625" s="75"/>
      <c r="FG625" s="75"/>
      <c r="FH625" s="75"/>
      <c r="FI625" s="75"/>
      <c r="FJ625" s="75"/>
      <c r="FK625" s="75"/>
      <c r="FL625" s="75"/>
      <c r="FM625" s="75"/>
      <c r="FN625" s="75"/>
      <c r="FO625" s="75"/>
      <c r="FP625" s="75"/>
      <c r="FQ625" s="75"/>
      <c r="FR625" s="75"/>
      <c r="FS625" s="75"/>
      <c r="FT625" s="75"/>
      <c r="FU625" s="75"/>
      <c r="FV625" s="75"/>
      <c r="FW625" s="75"/>
      <c r="FX625" s="75"/>
      <c r="FY625" s="75"/>
      <c r="FZ625" s="75"/>
      <c r="GA625" s="75"/>
      <c r="GB625" s="75"/>
      <c r="GC625" s="75"/>
      <c r="GD625" s="75"/>
      <c r="GE625" s="75"/>
      <c r="GF625" s="75"/>
      <c r="GG625" s="75"/>
      <c r="GH625" s="75"/>
      <c r="GI625" s="75"/>
      <c r="GJ625" s="75"/>
      <c r="GK625" s="75"/>
      <c r="GL625" s="75"/>
      <c r="GM625" s="75"/>
      <c r="GN625" s="75"/>
      <c r="GO625" s="75"/>
      <c r="GP625" s="75"/>
      <c r="GQ625" s="75"/>
      <c r="GR625" s="75"/>
      <c r="GS625" s="75"/>
      <c r="GT625" s="75"/>
      <c r="GU625" s="75"/>
      <c r="GV625" s="75"/>
      <c r="GW625" s="75"/>
      <c r="GX625" s="75"/>
      <c r="GY625" s="75"/>
      <c r="GZ625" s="75"/>
      <c r="HA625" s="75"/>
      <c r="HB625" s="75"/>
      <c r="HC625" s="75"/>
      <c r="HD625" s="75"/>
      <c r="HE625" s="75"/>
      <c r="HF625" s="75"/>
      <c r="HG625" s="75"/>
      <c r="HH625" s="75"/>
      <c r="HI625" s="75"/>
    </row>
    <row r="626" spans="1:217" s="156" customFormat="1" ht="36.75" customHeight="1" hidden="1">
      <c r="A626" s="72" t="s">
        <v>203</v>
      </c>
      <c r="B626" s="128"/>
      <c r="C626" s="128"/>
      <c r="D626" s="122">
        <f>D630*D634</f>
        <v>40000</v>
      </c>
      <c r="E626" s="122"/>
      <c r="F626" s="122">
        <f>D626</f>
        <v>40000</v>
      </c>
      <c r="G626" s="122">
        <f>G630*G634</f>
        <v>150000</v>
      </c>
      <c r="H626" s="122"/>
      <c r="I626" s="122"/>
      <c r="J626" s="122">
        <f>G626</f>
        <v>150000</v>
      </c>
      <c r="K626" s="122"/>
      <c r="L626" s="122"/>
      <c r="M626" s="122"/>
      <c r="N626" s="122">
        <f>N630*N634</f>
        <v>150000</v>
      </c>
      <c r="O626" s="122"/>
      <c r="P626" s="136">
        <f>N626</f>
        <v>150000</v>
      </c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  <c r="CI626" s="75"/>
      <c r="CJ626" s="75"/>
      <c r="CK626" s="75"/>
      <c r="CL626" s="75"/>
      <c r="CM626" s="75"/>
      <c r="CN626" s="75"/>
      <c r="CO626" s="75"/>
      <c r="CP626" s="75"/>
      <c r="CQ626" s="75"/>
      <c r="CR626" s="75"/>
      <c r="CS626" s="75"/>
      <c r="CT626" s="75"/>
      <c r="CU626" s="75"/>
      <c r="CV626" s="75"/>
      <c r="CW626" s="75"/>
      <c r="CX626" s="75"/>
      <c r="CY626" s="75"/>
      <c r="CZ626" s="75"/>
      <c r="DA626" s="75"/>
      <c r="DB626" s="75"/>
      <c r="DC626" s="75"/>
      <c r="DD626" s="75"/>
      <c r="DE626" s="75"/>
      <c r="DF626" s="75"/>
      <c r="DG626" s="75"/>
      <c r="DH626" s="75"/>
      <c r="DI626" s="75"/>
      <c r="DJ626" s="75"/>
      <c r="DK626" s="75"/>
      <c r="DL626" s="75"/>
      <c r="DM626" s="75"/>
      <c r="DN626" s="75"/>
      <c r="DO626" s="75"/>
      <c r="DP626" s="75"/>
      <c r="DQ626" s="75"/>
      <c r="DR626" s="75"/>
      <c r="DS626" s="75"/>
      <c r="DT626" s="75"/>
      <c r="DU626" s="75"/>
      <c r="DV626" s="75"/>
      <c r="DW626" s="75"/>
      <c r="DX626" s="75"/>
      <c r="DY626" s="75"/>
      <c r="DZ626" s="75"/>
      <c r="EA626" s="75"/>
      <c r="EB626" s="75"/>
      <c r="EC626" s="75"/>
      <c r="ED626" s="75"/>
      <c r="EE626" s="75"/>
      <c r="EF626" s="75"/>
      <c r="EG626" s="75"/>
      <c r="EH626" s="75"/>
      <c r="EI626" s="75"/>
      <c r="EJ626" s="75"/>
      <c r="EK626" s="75"/>
      <c r="EL626" s="75"/>
      <c r="EM626" s="75"/>
      <c r="EN626" s="75"/>
      <c r="EO626" s="75"/>
      <c r="EP626" s="75"/>
      <c r="EQ626" s="75"/>
      <c r="ER626" s="75"/>
      <c r="ES626" s="75"/>
      <c r="ET626" s="75"/>
      <c r="EU626" s="75"/>
      <c r="EV626" s="75"/>
      <c r="EW626" s="75"/>
      <c r="EX626" s="75"/>
      <c r="EY626" s="75"/>
      <c r="EZ626" s="75"/>
      <c r="FA626" s="75"/>
      <c r="FB626" s="75"/>
      <c r="FC626" s="75"/>
      <c r="FD626" s="75"/>
      <c r="FE626" s="75"/>
      <c r="FF626" s="75"/>
      <c r="FG626" s="75"/>
      <c r="FH626" s="75"/>
      <c r="FI626" s="75"/>
      <c r="FJ626" s="75"/>
      <c r="FK626" s="75"/>
      <c r="FL626" s="75"/>
      <c r="FM626" s="75"/>
      <c r="FN626" s="75"/>
      <c r="FO626" s="75"/>
      <c r="FP626" s="75"/>
      <c r="FQ626" s="75"/>
      <c r="FR626" s="75"/>
      <c r="FS626" s="75"/>
      <c r="FT626" s="75"/>
      <c r="FU626" s="75"/>
      <c r="FV626" s="75"/>
      <c r="FW626" s="75"/>
      <c r="FX626" s="75"/>
      <c r="FY626" s="75"/>
      <c r="FZ626" s="75"/>
      <c r="GA626" s="75"/>
      <c r="GB626" s="75"/>
      <c r="GC626" s="75"/>
      <c r="GD626" s="75"/>
      <c r="GE626" s="75"/>
      <c r="GF626" s="75"/>
      <c r="GG626" s="75"/>
      <c r="GH626" s="75"/>
      <c r="GI626" s="75"/>
      <c r="GJ626" s="75"/>
      <c r="GK626" s="75"/>
      <c r="GL626" s="75"/>
      <c r="GM626" s="75"/>
      <c r="GN626" s="75"/>
      <c r="GO626" s="75"/>
      <c r="GP626" s="75"/>
      <c r="GQ626" s="75"/>
      <c r="GR626" s="75"/>
      <c r="GS626" s="75"/>
      <c r="GT626" s="75"/>
      <c r="GU626" s="75"/>
      <c r="GV626" s="75"/>
      <c r="GW626" s="75"/>
      <c r="GX626" s="75"/>
      <c r="GY626" s="75"/>
      <c r="GZ626" s="75"/>
      <c r="HA626" s="75"/>
      <c r="HB626" s="75"/>
      <c r="HC626" s="75"/>
      <c r="HD626" s="75"/>
      <c r="HE626" s="75"/>
      <c r="HF626" s="75"/>
      <c r="HG626" s="75"/>
      <c r="HH626" s="75"/>
      <c r="HI626" s="75"/>
    </row>
    <row r="627" spans="1:217" s="156" customFormat="1" ht="25.5" customHeight="1" hidden="1">
      <c r="A627" s="72" t="s">
        <v>204</v>
      </c>
      <c r="B627" s="131"/>
      <c r="C627" s="131"/>
      <c r="D627" s="122">
        <f>D631*D635</f>
        <v>10000</v>
      </c>
      <c r="E627" s="122"/>
      <c r="F627" s="122">
        <f>D627</f>
        <v>10000</v>
      </c>
      <c r="G627" s="122">
        <f>G631*G635</f>
        <v>20000</v>
      </c>
      <c r="H627" s="122"/>
      <c r="I627" s="122"/>
      <c r="J627" s="122">
        <f>G627</f>
        <v>20000</v>
      </c>
      <c r="K627" s="122">
        <f>G627/D627*100</f>
        <v>200</v>
      </c>
      <c r="L627" s="122"/>
      <c r="M627" s="122"/>
      <c r="N627" s="122">
        <f>N631*N635</f>
        <v>20000</v>
      </c>
      <c r="O627" s="122"/>
      <c r="P627" s="136">
        <f>N627</f>
        <v>20000</v>
      </c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5"/>
      <c r="CJ627" s="75"/>
      <c r="CK627" s="75"/>
      <c r="CL627" s="75"/>
      <c r="CM627" s="75"/>
      <c r="CN627" s="75"/>
      <c r="CO627" s="75"/>
      <c r="CP627" s="75"/>
      <c r="CQ627" s="75"/>
      <c r="CR627" s="75"/>
      <c r="CS627" s="75"/>
      <c r="CT627" s="75"/>
      <c r="CU627" s="75"/>
      <c r="CV627" s="75"/>
      <c r="CW627" s="75"/>
      <c r="CX627" s="75"/>
      <c r="CY627" s="75"/>
      <c r="CZ627" s="75"/>
      <c r="DA627" s="75"/>
      <c r="DB627" s="75"/>
      <c r="DC627" s="75"/>
      <c r="DD627" s="75"/>
      <c r="DE627" s="75"/>
      <c r="DF627" s="75"/>
      <c r="DG627" s="75"/>
      <c r="DH627" s="75"/>
      <c r="DI627" s="75"/>
      <c r="DJ627" s="75"/>
      <c r="DK627" s="75"/>
      <c r="DL627" s="75"/>
      <c r="DM627" s="75"/>
      <c r="DN627" s="75"/>
      <c r="DO627" s="75"/>
      <c r="DP627" s="75"/>
      <c r="DQ627" s="75"/>
      <c r="DR627" s="75"/>
      <c r="DS627" s="75"/>
      <c r="DT627" s="75"/>
      <c r="DU627" s="75"/>
      <c r="DV627" s="75"/>
      <c r="DW627" s="75"/>
      <c r="DX627" s="75"/>
      <c r="DY627" s="75"/>
      <c r="DZ627" s="75"/>
      <c r="EA627" s="75"/>
      <c r="EB627" s="75"/>
      <c r="EC627" s="75"/>
      <c r="ED627" s="75"/>
      <c r="EE627" s="75"/>
      <c r="EF627" s="75"/>
      <c r="EG627" s="75"/>
      <c r="EH627" s="75"/>
      <c r="EI627" s="75"/>
      <c r="EJ627" s="75"/>
      <c r="EK627" s="75"/>
      <c r="EL627" s="75"/>
      <c r="EM627" s="75"/>
      <c r="EN627" s="75"/>
      <c r="EO627" s="75"/>
      <c r="EP627" s="75"/>
      <c r="EQ627" s="75"/>
      <c r="ER627" s="75"/>
      <c r="ES627" s="75"/>
      <c r="ET627" s="75"/>
      <c r="EU627" s="75"/>
      <c r="EV627" s="75"/>
      <c r="EW627" s="75"/>
      <c r="EX627" s="75"/>
      <c r="EY627" s="75"/>
      <c r="EZ627" s="75"/>
      <c r="FA627" s="75"/>
      <c r="FB627" s="75"/>
      <c r="FC627" s="75"/>
      <c r="FD627" s="75"/>
      <c r="FE627" s="75"/>
      <c r="FF627" s="75"/>
      <c r="FG627" s="75"/>
      <c r="FH627" s="75"/>
      <c r="FI627" s="75"/>
      <c r="FJ627" s="75"/>
      <c r="FK627" s="75"/>
      <c r="FL627" s="75"/>
      <c r="FM627" s="75"/>
      <c r="FN627" s="75"/>
      <c r="FO627" s="75"/>
      <c r="FP627" s="75"/>
      <c r="FQ627" s="75"/>
      <c r="FR627" s="75"/>
      <c r="FS627" s="75"/>
      <c r="FT627" s="75"/>
      <c r="FU627" s="75"/>
      <c r="FV627" s="75"/>
      <c r="FW627" s="75"/>
      <c r="FX627" s="75"/>
      <c r="FY627" s="75"/>
      <c r="FZ627" s="75"/>
      <c r="GA627" s="75"/>
      <c r="GB627" s="75"/>
      <c r="GC627" s="75"/>
      <c r="GD627" s="75"/>
      <c r="GE627" s="75"/>
      <c r="GF627" s="75"/>
      <c r="GG627" s="75"/>
      <c r="GH627" s="75"/>
      <c r="GI627" s="75"/>
      <c r="GJ627" s="75"/>
      <c r="GK627" s="75"/>
      <c r="GL627" s="75"/>
      <c r="GM627" s="75"/>
      <c r="GN627" s="75"/>
      <c r="GO627" s="75"/>
      <c r="GP627" s="75"/>
      <c r="GQ627" s="75"/>
      <c r="GR627" s="75"/>
      <c r="GS627" s="75"/>
      <c r="GT627" s="75"/>
      <c r="GU627" s="75"/>
      <c r="GV627" s="75"/>
      <c r="GW627" s="75"/>
      <c r="GX627" s="75"/>
      <c r="GY627" s="75"/>
      <c r="GZ627" s="75"/>
      <c r="HA627" s="75"/>
      <c r="HB627" s="75"/>
      <c r="HC627" s="75"/>
      <c r="HD627" s="75"/>
      <c r="HE627" s="75"/>
      <c r="HF627" s="75"/>
      <c r="HG627" s="75"/>
      <c r="HH627" s="75"/>
      <c r="HI627" s="75"/>
    </row>
    <row r="628" spans="1:217" s="156" customFormat="1" ht="25.5" customHeight="1" hidden="1">
      <c r="A628" s="72" t="s">
        <v>205</v>
      </c>
      <c r="B628" s="131"/>
      <c r="C628" s="131"/>
      <c r="D628" s="122">
        <f>D632*D636</f>
        <v>0</v>
      </c>
      <c r="E628" s="122"/>
      <c r="F628" s="122">
        <f>F632*F636</f>
        <v>0</v>
      </c>
      <c r="G628" s="122">
        <f>G632*G636</f>
        <v>7500</v>
      </c>
      <c r="H628" s="122"/>
      <c r="I628" s="122"/>
      <c r="J628" s="122">
        <f>J632*J636</f>
        <v>7500</v>
      </c>
      <c r="K628" s="122"/>
      <c r="L628" s="122"/>
      <c r="M628" s="122"/>
      <c r="N628" s="122">
        <f>N632*N636</f>
        <v>7500</v>
      </c>
      <c r="O628" s="122"/>
      <c r="P628" s="122">
        <f>P632*P636</f>
        <v>7500</v>
      </c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75"/>
      <c r="DA628" s="75"/>
      <c r="DB628" s="75"/>
      <c r="DC628" s="75"/>
      <c r="DD628" s="75"/>
      <c r="DE628" s="75"/>
      <c r="DF628" s="75"/>
      <c r="DG628" s="75"/>
      <c r="DH628" s="75"/>
      <c r="DI628" s="75"/>
      <c r="DJ628" s="75"/>
      <c r="DK628" s="75"/>
      <c r="DL628" s="75"/>
      <c r="DM628" s="75"/>
      <c r="DN628" s="75"/>
      <c r="DO628" s="75"/>
      <c r="DP628" s="75"/>
      <c r="DQ628" s="75"/>
      <c r="DR628" s="75"/>
      <c r="DS628" s="75"/>
      <c r="DT628" s="75"/>
      <c r="DU628" s="75"/>
      <c r="DV628" s="75"/>
      <c r="DW628" s="75"/>
      <c r="DX628" s="75"/>
      <c r="DY628" s="75"/>
      <c r="DZ628" s="75"/>
      <c r="EA628" s="75"/>
      <c r="EB628" s="75"/>
      <c r="EC628" s="75"/>
      <c r="ED628" s="75"/>
      <c r="EE628" s="75"/>
      <c r="EF628" s="75"/>
      <c r="EG628" s="75"/>
      <c r="EH628" s="75"/>
      <c r="EI628" s="75"/>
      <c r="EJ628" s="75"/>
      <c r="EK628" s="75"/>
      <c r="EL628" s="75"/>
      <c r="EM628" s="75"/>
      <c r="EN628" s="75"/>
      <c r="EO628" s="75"/>
      <c r="EP628" s="75"/>
      <c r="EQ628" s="75"/>
      <c r="ER628" s="75"/>
      <c r="ES628" s="75"/>
      <c r="ET628" s="75"/>
      <c r="EU628" s="75"/>
      <c r="EV628" s="75"/>
      <c r="EW628" s="75"/>
      <c r="EX628" s="75"/>
      <c r="EY628" s="75"/>
      <c r="EZ628" s="75"/>
      <c r="FA628" s="75"/>
      <c r="FB628" s="75"/>
      <c r="FC628" s="75"/>
      <c r="FD628" s="75"/>
      <c r="FE628" s="75"/>
      <c r="FF628" s="75"/>
      <c r="FG628" s="75"/>
      <c r="FH628" s="75"/>
      <c r="FI628" s="75"/>
      <c r="FJ628" s="75"/>
      <c r="FK628" s="75"/>
      <c r="FL628" s="75"/>
      <c r="FM628" s="75"/>
      <c r="FN628" s="75"/>
      <c r="FO628" s="75"/>
      <c r="FP628" s="75"/>
      <c r="FQ628" s="75"/>
      <c r="FR628" s="75"/>
      <c r="FS628" s="75"/>
      <c r="FT628" s="75"/>
      <c r="FU628" s="75"/>
      <c r="FV628" s="75"/>
      <c r="FW628" s="75"/>
      <c r="FX628" s="75"/>
      <c r="FY628" s="75"/>
      <c r="FZ628" s="75"/>
      <c r="GA628" s="75"/>
      <c r="GB628" s="75"/>
      <c r="GC628" s="75"/>
      <c r="GD628" s="75"/>
      <c r="GE628" s="75"/>
      <c r="GF628" s="75"/>
      <c r="GG628" s="75"/>
      <c r="GH628" s="75"/>
      <c r="GI628" s="75"/>
      <c r="GJ628" s="75"/>
      <c r="GK628" s="75"/>
      <c r="GL628" s="75"/>
      <c r="GM628" s="75"/>
      <c r="GN628" s="75"/>
      <c r="GO628" s="75"/>
      <c r="GP628" s="75"/>
      <c r="GQ628" s="75"/>
      <c r="GR628" s="75"/>
      <c r="GS628" s="75"/>
      <c r="GT628" s="75"/>
      <c r="GU628" s="75"/>
      <c r="GV628" s="75"/>
      <c r="GW628" s="75"/>
      <c r="GX628" s="75"/>
      <c r="GY628" s="75"/>
      <c r="GZ628" s="75"/>
      <c r="HA628" s="75"/>
      <c r="HB628" s="75"/>
      <c r="HC628" s="75"/>
      <c r="HD628" s="75"/>
      <c r="HE628" s="75"/>
      <c r="HF628" s="75"/>
      <c r="HG628" s="75"/>
      <c r="HH628" s="75"/>
      <c r="HI628" s="75"/>
    </row>
    <row r="629" spans="1:217" s="156" customFormat="1" ht="11.25" hidden="1">
      <c r="A629" s="128" t="s">
        <v>3</v>
      </c>
      <c r="B629" s="128"/>
      <c r="C629" s="128"/>
      <c r="D629" s="158"/>
      <c r="E629" s="158"/>
      <c r="F629" s="159"/>
      <c r="G629" s="158"/>
      <c r="H629" s="158"/>
      <c r="I629" s="158"/>
      <c r="J629" s="159"/>
      <c r="K629" s="159"/>
      <c r="L629" s="158"/>
      <c r="M629" s="158"/>
      <c r="N629" s="158"/>
      <c r="O629" s="158"/>
      <c r="P629" s="159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  <c r="CZ629" s="75"/>
      <c r="DA629" s="75"/>
      <c r="DB629" s="75"/>
      <c r="DC629" s="75"/>
      <c r="DD629" s="75"/>
      <c r="DE629" s="75"/>
      <c r="DF629" s="75"/>
      <c r="DG629" s="75"/>
      <c r="DH629" s="75"/>
      <c r="DI629" s="75"/>
      <c r="DJ629" s="75"/>
      <c r="DK629" s="75"/>
      <c r="DL629" s="75"/>
      <c r="DM629" s="75"/>
      <c r="DN629" s="75"/>
      <c r="DO629" s="75"/>
      <c r="DP629" s="75"/>
      <c r="DQ629" s="75"/>
      <c r="DR629" s="75"/>
      <c r="DS629" s="75"/>
      <c r="DT629" s="75"/>
      <c r="DU629" s="75"/>
      <c r="DV629" s="75"/>
      <c r="DW629" s="75"/>
      <c r="DX629" s="75"/>
      <c r="DY629" s="75"/>
      <c r="DZ629" s="75"/>
      <c r="EA629" s="75"/>
      <c r="EB629" s="75"/>
      <c r="EC629" s="75"/>
      <c r="ED629" s="75"/>
      <c r="EE629" s="75"/>
      <c r="EF629" s="75"/>
      <c r="EG629" s="75"/>
      <c r="EH629" s="75"/>
      <c r="EI629" s="75"/>
      <c r="EJ629" s="75"/>
      <c r="EK629" s="75"/>
      <c r="EL629" s="75"/>
      <c r="EM629" s="75"/>
      <c r="EN629" s="75"/>
      <c r="EO629" s="75"/>
      <c r="EP629" s="75"/>
      <c r="EQ629" s="75"/>
      <c r="ER629" s="75"/>
      <c r="ES629" s="75"/>
      <c r="ET629" s="75"/>
      <c r="EU629" s="75"/>
      <c r="EV629" s="75"/>
      <c r="EW629" s="75"/>
      <c r="EX629" s="75"/>
      <c r="EY629" s="75"/>
      <c r="EZ629" s="75"/>
      <c r="FA629" s="75"/>
      <c r="FB629" s="75"/>
      <c r="FC629" s="75"/>
      <c r="FD629" s="75"/>
      <c r="FE629" s="75"/>
      <c r="FF629" s="75"/>
      <c r="FG629" s="75"/>
      <c r="FH629" s="75"/>
      <c r="FI629" s="75"/>
      <c r="FJ629" s="75"/>
      <c r="FK629" s="75"/>
      <c r="FL629" s="75"/>
      <c r="FM629" s="75"/>
      <c r="FN629" s="75"/>
      <c r="FO629" s="75"/>
      <c r="FP629" s="75"/>
      <c r="FQ629" s="75"/>
      <c r="FR629" s="75"/>
      <c r="FS629" s="75"/>
      <c r="FT629" s="75"/>
      <c r="FU629" s="75"/>
      <c r="FV629" s="75"/>
      <c r="FW629" s="75"/>
      <c r="FX629" s="75"/>
      <c r="FY629" s="75"/>
      <c r="FZ629" s="75"/>
      <c r="GA629" s="75"/>
      <c r="GB629" s="75"/>
      <c r="GC629" s="75"/>
      <c r="GD629" s="75"/>
      <c r="GE629" s="75"/>
      <c r="GF629" s="75"/>
      <c r="GG629" s="75"/>
      <c r="GH629" s="75"/>
      <c r="GI629" s="75"/>
      <c r="GJ629" s="75"/>
      <c r="GK629" s="75"/>
      <c r="GL629" s="75"/>
      <c r="GM629" s="75"/>
      <c r="GN629" s="75"/>
      <c r="GO629" s="75"/>
      <c r="GP629" s="75"/>
      <c r="GQ629" s="75"/>
      <c r="GR629" s="75"/>
      <c r="GS629" s="75"/>
      <c r="GT629" s="75"/>
      <c r="GU629" s="75"/>
      <c r="GV629" s="75"/>
      <c r="GW629" s="75"/>
      <c r="GX629" s="75"/>
      <c r="GY629" s="75"/>
      <c r="GZ629" s="75"/>
      <c r="HA629" s="75"/>
      <c r="HB629" s="75"/>
      <c r="HC629" s="75"/>
      <c r="HD629" s="75"/>
      <c r="HE629" s="75"/>
      <c r="HF629" s="75"/>
      <c r="HG629" s="75"/>
      <c r="HH629" s="75"/>
      <c r="HI629" s="75"/>
    </row>
    <row r="630" spans="1:217" s="156" customFormat="1" ht="30" customHeight="1" hidden="1">
      <c r="A630" s="72" t="s">
        <v>206</v>
      </c>
      <c r="B630" s="128"/>
      <c r="C630" s="128"/>
      <c r="D630" s="160">
        <v>4</v>
      </c>
      <c r="E630" s="158"/>
      <c r="F630" s="160">
        <f>D630</f>
        <v>4</v>
      </c>
      <c r="G630" s="160">
        <v>15</v>
      </c>
      <c r="H630" s="158"/>
      <c r="I630" s="158"/>
      <c r="J630" s="160">
        <f>G630</f>
        <v>15</v>
      </c>
      <c r="K630" s="159"/>
      <c r="L630" s="158"/>
      <c r="M630" s="158"/>
      <c r="N630" s="160">
        <v>15</v>
      </c>
      <c r="O630" s="158"/>
      <c r="P630" s="160">
        <f>N630</f>
        <v>15</v>
      </c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75"/>
      <c r="CW630" s="75"/>
      <c r="CX630" s="75"/>
      <c r="CY630" s="75"/>
      <c r="CZ630" s="75"/>
      <c r="DA630" s="75"/>
      <c r="DB630" s="75"/>
      <c r="DC630" s="75"/>
      <c r="DD630" s="75"/>
      <c r="DE630" s="75"/>
      <c r="DF630" s="75"/>
      <c r="DG630" s="75"/>
      <c r="DH630" s="75"/>
      <c r="DI630" s="75"/>
      <c r="DJ630" s="75"/>
      <c r="DK630" s="75"/>
      <c r="DL630" s="75"/>
      <c r="DM630" s="75"/>
      <c r="DN630" s="75"/>
      <c r="DO630" s="75"/>
      <c r="DP630" s="75"/>
      <c r="DQ630" s="75"/>
      <c r="DR630" s="75"/>
      <c r="DS630" s="75"/>
      <c r="DT630" s="75"/>
      <c r="DU630" s="75"/>
      <c r="DV630" s="75"/>
      <c r="DW630" s="75"/>
      <c r="DX630" s="75"/>
      <c r="DY630" s="75"/>
      <c r="DZ630" s="75"/>
      <c r="EA630" s="75"/>
      <c r="EB630" s="75"/>
      <c r="EC630" s="75"/>
      <c r="ED630" s="75"/>
      <c r="EE630" s="75"/>
      <c r="EF630" s="75"/>
      <c r="EG630" s="75"/>
      <c r="EH630" s="75"/>
      <c r="EI630" s="75"/>
      <c r="EJ630" s="75"/>
      <c r="EK630" s="75"/>
      <c r="EL630" s="75"/>
      <c r="EM630" s="75"/>
      <c r="EN630" s="75"/>
      <c r="EO630" s="75"/>
      <c r="EP630" s="75"/>
      <c r="EQ630" s="75"/>
      <c r="ER630" s="75"/>
      <c r="ES630" s="75"/>
      <c r="ET630" s="75"/>
      <c r="EU630" s="75"/>
      <c r="EV630" s="75"/>
      <c r="EW630" s="75"/>
      <c r="EX630" s="75"/>
      <c r="EY630" s="75"/>
      <c r="EZ630" s="75"/>
      <c r="FA630" s="75"/>
      <c r="FB630" s="75"/>
      <c r="FC630" s="75"/>
      <c r="FD630" s="75"/>
      <c r="FE630" s="75"/>
      <c r="FF630" s="75"/>
      <c r="FG630" s="75"/>
      <c r="FH630" s="75"/>
      <c r="FI630" s="75"/>
      <c r="FJ630" s="75"/>
      <c r="FK630" s="75"/>
      <c r="FL630" s="75"/>
      <c r="FM630" s="75"/>
      <c r="FN630" s="75"/>
      <c r="FO630" s="75"/>
      <c r="FP630" s="75"/>
      <c r="FQ630" s="75"/>
      <c r="FR630" s="75"/>
      <c r="FS630" s="75"/>
      <c r="FT630" s="75"/>
      <c r="FU630" s="75"/>
      <c r="FV630" s="75"/>
      <c r="FW630" s="75"/>
      <c r="FX630" s="75"/>
      <c r="FY630" s="75"/>
      <c r="FZ630" s="75"/>
      <c r="GA630" s="75"/>
      <c r="GB630" s="75"/>
      <c r="GC630" s="75"/>
      <c r="GD630" s="75"/>
      <c r="GE630" s="75"/>
      <c r="GF630" s="75"/>
      <c r="GG630" s="75"/>
      <c r="GH630" s="75"/>
      <c r="GI630" s="75"/>
      <c r="GJ630" s="75"/>
      <c r="GK630" s="75"/>
      <c r="GL630" s="75"/>
      <c r="GM630" s="75"/>
      <c r="GN630" s="75"/>
      <c r="GO630" s="75"/>
      <c r="GP630" s="75"/>
      <c r="GQ630" s="75"/>
      <c r="GR630" s="75"/>
      <c r="GS630" s="75"/>
      <c r="GT630" s="75"/>
      <c r="GU630" s="75"/>
      <c r="GV630" s="75"/>
      <c r="GW630" s="75"/>
      <c r="GX630" s="75"/>
      <c r="GY630" s="75"/>
      <c r="GZ630" s="75"/>
      <c r="HA630" s="75"/>
      <c r="HB630" s="75"/>
      <c r="HC630" s="75"/>
      <c r="HD630" s="75"/>
      <c r="HE630" s="75"/>
      <c r="HF630" s="75"/>
      <c r="HG630" s="75"/>
      <c r="HH630" s="75"/>
      <c r="HI630" s="75"/>
    </row>
    <row r="631" spans="1:217" s="156" customFormat="1" ht="24" customHeight="1" hidden="1">
      <c r="A631" s="72" t="s">
        <v>207</v>
      </c>
      <c r="B631" s="131"/>
      <c r="C631" s="131"/>
      <c r="D631" s="160">
        <v>10</v>
      </c>
      <c r="E631" s="159"/>
      <c r="F631" s="160">
        <f>D631</f>
        <v>10</v>
      </c>
      <c r="G631" s="160">
        <v>20</v>
      </c>
      <c r="H631" s="159"/>
      <c r="I631" s="159"/>
      <c r="J631" s="160">
        <f>G631</f>
        <v>20</v>
      </c>
      <c r="K631" s="159">
        <f>G631/D631*100</f>
        <v>200</v>
      </c>
      <c r="L631" s="159"/>
      <c r="M631" s="159"/>
      <c r="N631" s="160">
        <v>20</v>
      </c>
      <c r="O631" s="159"/>
      <c r="P631" s="160">
        <f>N631</f>
        <v>20</v>
      </c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  <c r="CZ631" s="75"/>
      <c r="DA631" s="75"/>
      <c r="DB631" s="75"/>
      <c r="DC631" s="75"/>
      <c r="DD631" s="75"/>
      <c r="DE631" s="75"/>
      <c r="DF631" s="75"/>
      <c r="DG631" s="75"/>
      <c r="DH631" s="75"/>
      <c r="DI631" s="75"/>
      <c r="DJ631" s="75"/>
      <c r="DK631" s="75"/>
      <c r="DL631" s="75"/>
      <c r="DM631" s="75"/>
      <c r="DN631" s="75"/>
      <c r="DO631" s="75"/>
      <c r="DP631" s="75"/>
      <c r="DQ631" s="75"/>
      <c r="DR631" s="75"/>
      <c r="DS631" s="75"/>
      <c r="DT631" s="75"/>
      <c r="DU631" s="75"/>
      <c r="DV631" s="75"/>
      <c r="DW631" s="75"/>
      <c r="DX631" s="75"/>
      <c r="DY631" s="75"/>
      <c r="DZ631" s="75"/>
      <c r="EA631" s="75"/>
      <c r="EB631" s="75"/>
      <c r="EC631" s="75"/>
      <c r="ED631" s="75"/>
      <c r="EE631" s="75"/>
      <c r="EF631" s="75"/>
      <c r="EG631" s="75"/>
      <c r="EH631" s="75"/>
      <c r="EI631" s="75"/>
      <c r="EJ631" s="75"/>
      <c r="EK631" s="75"/>
      <c r="EL631" s="75"/>
      <c r="EM631" s="75"/>
      <c r="EN631" s="75"/>
      <c r="EO631" s="75"/>
      <c r="EP631" s="75"/>
      <c r="EQ631" s="75"/>
      <c r="ER631" s="75"/>
      <c r="ES631" s="75"/>
      <c r="ET631" s="75"/>
      <c r="EU631" s="75"/>
      <c r="EV631" s="75"/>
      <c r="EW631" s="75"/>
      <c r="EX631" s="75"/>
      <c r="EY631" s="75"/>
      <c r="EZ631" s="75"/>
      <c r="FA631" s="75"/>
      <c r="FB631" s="75"/>
      <c r="FC631" s="75"/>
      <c r="FD631" s="75"/>
      <c r="FE631" s="75"/>
      <c r="FF631" s="75"/>
      <c r="FG631" s="75"/>
      <c r="FH631" s="75"/>
      <c r="FI631" s="75"/>
      <c r="FJ631" s="75"/>
      <c r="FK631" s="75"/>
      <c r="FL631" s="75"/>
      <c r="FM631" s="75"/>
      <c r="FN631" s="75"/>
      <c r="FO631" s="75"/>
      <c r="FP631" s="75"/>
      <c r="FQ631" s="75"/>
      <c r="FR631" s="75"/>
      <c r="FS631" s="75"/>
      <c r="FT631" s="75"/>
      <c r="FU631" s="75"/>
      <c r="FV631" s="75"/>
      <c r="FW631" s="75"/>
      <c r="FX631" s="75"/>
      <c r="FY631" s="75"/>
      <c r="FZ631" s="75"/>
      <c r="GA631" s="75"/>
      <c r="GB631" s="75"/>
      <c r="GC631" s="75"/>
      <c r="GD631" s="75"/>
      <c r="GE631" s="75"/>
      <c r="GF631" s="75"/>
      <c r="GG631" s="75"/>
      <c r="GH631" s="75"/>
      <c r="GI631" s="75"/>
      <c r="GJ631" s="75"/>
      <c r="GK631" s="75"/>
      <c r="GL631" s="75"/>
      <c r="GM631" s="75"/>
      <c r="GN631" s="75"/>
      <c r="GO631" s="75"/>
      <c r="GP631" s="75"/>
      <c r="GQ631" s="75"/>
      <c r="GR631" s="75"/>
      <c r="GS631" s="75"/>
      <c r="GT631" s="75"/>
      <c r="GU631" s="75"/>
      <c r="GV631" s="75"/>
      <c r="GW631" s="75"/>
      <c r="GX631" s="75"/>
      <c r="GY631" s="75"/>
      <c r="GZ631" s="75"/>
      <c r="HA631" s="75"/>
      <c r="HB631" s="75"/>
      <c r="HC631" s="75"/>
      <c r="HD631" s="75"/>
      <c r="HE631" s="75"/>
      <c r="HF631" s="75"/>
      <c r="HG631" s="75"/>
      <c r="HH631" s="75"/>
      <c r="HI631" s="75"/>
    </row>
    <row r="632" spans="1:217" s="156" customFormat="1" ht="24" customHeight="1" hidden="1">
      <c r="A632" s="72" t="s">
        <v>208</v>
      </c>
      <c r="B632" s="131"/>
      <c r="C632" s="131"/>
      <c r="D632" s="160"/>
      <c r="E632" s="159"/>
      <c r="F632" s="160">
        <v>25</v>
      </c>
      <c r="G632" s="160">
        <v>25</v>
      </c>
      <c r="H632" s="159"/>
      <c r="I632" s="159"/>
      <c r="J632" s="160">
        <v>25</v>
      </c>
      <c r="K632" s="159"/>
      <c r="L632" s="159"/>
      <c r="M632" s="159"/>
      <c r="N632" s="160">
        <v>25</v>
      </c>
      <c r="O632" s="159"/>
      <c r="P632" s="160">
        <v>25</v>
      </c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  <c r="CZ632" s="75"/>
      <c r="DA632" s="75"/>
      <c r="DB632" s="75"/>
      <c r="DC632" s="75"/>
      <c r="DD632" s="75"/>
      <c r="DE632" s="75"/>
      <c r="DF632" s="75"/>
      <c r="DG632" s="75"/>
      <c r="DH632" s="75"/>
      <c r="DI632" s="75"/>
      <c r="DJ632" s="75"/>
      <c r="DK632" s="75"/>
      <c r="DL632" s="75"/>
      <c r="DM632" s="75"/>
      <c r="DN632" s="75"/>
      <c r="DO632" s="75"/>
      <c r="DP632" s="75"/>
      <c r="DQ632" s="75"/>
      <c r="DR632" s="75"/>
      <c r="DS632" s="75"/>
      <c r="DT632" s="75"/>
      <c r="DU632" s="75"/>
      <c r="DV632" s="75"/>
      <c r="DW632" s="75"/>
      <c r="DX632" s="75"/>
      <c r="DY632" s="75"/>
      <c r="DZ632" s="75"/>
      <c r="EA632" s="75"/>
      <c r="EB632" s="75"/>
      <c r="EC632" s="75"/>
      <c r="ED632" s="75"/>
      <c r="EE632" s="75"/>
      <c r="EF632" s="75"/>
      <c r="EG632" s="75"/>
      <c r="EH632" s="75"/>
      <c r="EI632" s="75"/>
      <c r="EJ632" s="75"/>
      <c r="EK632" s="75"/>
      <c r="EL632" s="75"/>
      <c r="EM632" s="75"/>
      <c r="EN632" s="75"/>
      <c r="EO632" s="75"/>
      <c r="EP632" s="75"/>
      <c r="EQ632" s="75"/>
      <c r="ER632" s="75"/>
      <c r="ES632" s="75"/>
      <c r="ET632" s="75"/>
      <c r="EU632" s="75"/>
      <c r="EV632" s="75"/>
      <c r="EW632" s="75"/>
      <c r="EX632" s="75"/>
      <c r="EY632" s="75"/>
      <c r="EZ632" s="75"/>
      <c r="FA632" s="75"/>
      <c r="FB632" s="75"/>
      <c r="FC632" s="75"/>
      <c r="FD632" s="75"/>
      <c r="FE632" s="75"/>
      <c r="FF632" s="75"/>
      <c r="FG632" s="75"/>
      <c r="FH632" s="75"/>
      <c r="FI632" s="75"/>
      <c r="FJ632" s="75"/>
      <c r="FK632" s="75"/>
      <c r="FL632" s="75"/>
      <c r="FM632" s="75"/>
      <c r="FN632" s="75"/>
      <c r="FO632" s="75"/>
      <c r="FP632" s="75"/>
      <c r="FQ632" s="75"/>
      <c r="FR632" s="75"/>
      <c r="FS632" s="75"/>
      <c r="FT632" s="75"/>
      <c r="FU632" s="75"/>
      <c r="FV632" s="75"/>
      <c r="FW632" s="75"/>
      <c r="FX632" s="75"/>
      <c r="FY632" s="75"/>
      <c r="FZ632" s="75"/>
      <c r="GA632" s="75"/>
      <c r="GB632" s="75"/>
      <c r="GC632" s="75"/>
      <c r="GD632" s="75"/>
      <c r="GE632" s="75"/>
      <c r="GF632" s="75"/>
      <c r="GG632" s="75"/>
      <c r="GH632" s="75"/>
      <c r="GI632" s="75"/>
      <c r="GJ632" s="75"/>
      <c r="GK632" s="75"/>
      <c r="GL632" s="75"/>
      <c r="GM632" s="75"/>
      <c r="GN632" s="75"/>
      <c r="GO632" s="75"/>
      <c r="GP632" s="75"/>
      <c r="GQ632" s="75"/>
      <c r="GR632" s="75"/>
      <c r="GS632" s="75"/>
      <c r="GT632" s="75"/>
      <c r="GU632" s="75"/>
      <c r="GV632" s="75"/>
      <c r="GW632" s="75"/>
      <c r="GX632" s="75"/>
      <c r="GY632" s="75"/>
      <c r="GZ632" s="75"/>
      <c r="HA632" s="75"/>
      <c r="HB632" s="75"/>
      <c r="HC632" s="75"/>
      <c r="HD632" s="75"/>
      <c r="HE632" s="75"/>
      <c r="HF632" s="75"/>
      <c r="HG632" s="75"/>
      <c r="HH632" s="75"/>
      <c r="HI632" s="75"/>
    </row>
    <row r="633" spans="1:217" s="156" customFormat="1" ht="11.25" hidden="1">
      <c r="A633" s="128" t="s">
        <v>5</v>
      </c>
      <c r="B633" s="128"/>
      <c r="C633" s="128"/>
      <c r="D633" s="130"/>
      <c r="E633" s="130"/>
      <c r="F633" s="122"/>
      <c r="G633" s="130"/>
      <c r="H633" s="130"/>
      <c r="I633" s="130"/>
      <c r="J633" s="122"/>
      <c r="K633" s="122"/>
      <c r="L633" s="130"/>
      <c r="M633" s="130"/>
      <c r="N633" s="130"/>
      <c r="O633" s="130"/>
      <c r="P633" s="122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75"/>
      <c r="DA633" s="75"/>
      <c r="DB633" s="75"/>
      <c r="DC633" s="75"/>
      <c r="DD633" s="75"/>
      <c r="DE633" s="75"/>
      <c r="DF633" s="75"/>
      <c r="DG633" s="75"/>
      <c r="DH633" s="75"/>
      <c r="DI633" s="75"/>
      <c r="DJ633" s="75"/>
      <c r="DK633" s="75"/>
      <c r="DL633" s="75"/>
      <c r="DM633" s="75"/>
      <c r="DN633" s="75"/>
      <c r="DO633" s="75"/>
      <c r="DP633" s="75"/>
      <c r="DQ633" s="75"/>
      <c r="DR633" s="75"/>
      <c r="DS633" s="75"/>
      <c r="DT633" s="75"/>
      <c r="DU633" s="75"/>
      <c r="DV633" s="75"/>
      <c r="DW633" s="75"/>
      <c r="DX633" s="75"/>
      <c r="DY633" s="75"/>
      <c r="DZ633" s="75"/>
      <c r="EA633" s="75"/>
      <c r="EB633" s="75"/>
      <c r="EC633" s="75"/>
      <c r="ED633" s="75"/>
      <c r="EE633" s="75"/>
      <c r="EF633" s="75"/>
      <c r="EG633" s="75"/>
      <c r="EH633" s="75"/>
      <c r="EI633" s="75"/>
      <c r="EJ633" s="75"/>
      <c r="EK633" s="75"/>
      <c r="EL633" s="75"/>
      <c r="EM633" s="75"/>
      <c r="EN633" s="75"/>
      <c r="EO633" s="75"/>
      <c r="EP633" s="75"/>
      <c r="EQ633" s="75"/>
      <c r="ER633" s="75"/>
      <c r="ES633" s="75"/>
      <c r="ET633" s="75"/>
      <c r="EU633" s="75"/>
      <c r="EV633" s="75"/>
      <c r="EW633" s="75"/>
      <c r="EX633" s="75"/>
      <c r="EY633" s="75"/>
      <c r="EZ633" s="75"/>
      <c r="FA633" s="75"/>
      <c r="FB633" s="75"/>
      <c r="FC633" s="75"/>
      <c r="FD633" s="75"/>
      <c r="FE633" s="75"/>
      <c r="FF633" s="75"/>
      <c r="FG633" s="75"/>
      <c r="FH633" s="75"/>
      <c r="FI633" s="75"/>
      <c r="FJ633" s="75"/>
      <c r="FK633" s="75"/>
      <c r="FL633" s="75"/>
      <c r="FM633" s="75"/>
      <c r="FN633" s="75"/>
      <c r="FO633" s="75"/>
      <c r="FP633" s="75"/>
      <c r="FQ633" s="75"/>
      <c r="FR633" s="75"/>
      <c r="FS633" s="75"/>
      <c r="FT633" s="75"/>
      <c r="FU633" s="75"/>
      <c r="FV633" s="75"/>
      <c r="FW633" s="75"/>
      <c r="FX633" s="75"/>
      <c r="FY633" s="75"/>
      <c r="FZ633" s="75"/>
      <c r="GA633" s="75"/>
      <c r="GB633" s="75"/>
      <c r="GC633" s="75"/>
      <c r="GD633" s="75"/>
      <c r="GE633" s="75"/>
      <c r="GF633" s="75"/>
      <c r="GG633" s="75"/>
      <c r="GH633" s="75"/>
      <c r="GI633" s="75"/>
      <c r="GJ633" s="75"/>
      <c r="GK633" s="75"/>
      <c r="GL633" s="75"/>
      <c r="GM633" s="75"/>
      <c r="GN633" s="75"/>
      <c r="GO633" s="75"/>
      <c r="GP633" s="75"/>
      <c r="GQ633" s="75"/>
      <c r="GR633" s="75"/>
      <c r="GS633" s="75"/>
      <c r="GT633" s="75"/>
      <c r="GU633" s="75"/>
      <c r="GV633" s="75"/>
      <c r="GW633" s="75"/>
      <c r="GX633" s="75"/>
      <c r="GY633" s="75"/>
      <c r="GZ633" s="75"/>
      <c r="HA633" s="75"/>
      <c r="HB633" s="75"/>
      <c r="HC633" s="75"/>
      <c r="HD633" s="75"/>
      <c r="HE633" s="75"/>
      <c r="HF633" s="75"/>
      <c r="HG633" s="75"/>
      <c r="HH633" s="75"/>
      <c r="HI633" s="75"/>
    </row>
    <row r="634" spans="1:217" s="156" customFormat="1" ht="33" customHeight="1" hidden="1">
      <c r="A634" s="131" t="s">
        <v>144</v>
      </c>
      <c r="B634" s="131"/>
      <c r="C634" s="131"/>
      <c r="D634" s="136">
        <v>10000</v>
      </c>
      <c r="E634" s="129"/>
      <c r="F634" s="136">
        <f>D634</f>
        <v>10000</v>
      </c>
      <c r="G634" s="136">
        <v>10000</v>
      </c>
      <c r="H634" s="129"/>
      <c r="I634" s="129"/>
      <c r="J634" s="136">
        <f>G634</f>
        <v>10000</v>
      </c>
      <c r="K634" s="122">
        <f>G634/D634*100</f>
        <v>100</v>
      </c>
      <c r="L634" s="129"/>
      <c r="M634" s="136"/>
      <c r="N634" s="136">
        <v>10000</v>
      </c>
      <c r="O634" s="129"/>
      <c r="P634" s="136">
        <f>N634</f>
        <v>10000</v>
      </c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  <c r="CZ634" s="75"/>
      <c r="DA634" s="75"/>
      <c r="DB634" s="75"/>
      <c r="DC634" s="75"/>
      <c r="DD634" s="75"/>
      <c r="DE634" s="75"/>
      <c r="DF634" s="75"/>
      <c r="DG634" s="75"/>
      <c r="DH634" s="75"/>
      <c r="DI634" s="75"/>
      <c r="DJ634" s="75"/>
      <c r="DK634" s="75"/>
      <c r="DL634" s="75"/>
      <c r="DM634" s="75"/>
      <c r="DN634" s="75"/>
      <c r="DO634" s="75"/>
      <c r="DP634" s="75"/>
      <c r="DQ634" s="75"/>
      <c r="DR634" s="75"/>
      <c r="DS634" s="75"/>
      <c r="DT634" s="75"/>
      <c r="DU634" s="75"/>
      <c r="DV634" s="75"/>
      <c r="DW634" s="75"/>
      <c r="DX634" s="75"/>
      <c r="DY634" s="75"/>
      <c r="DZ634" s="75"/>
      <c r="EA634" s="75"/>
      <c r="EB634" s="75"/>
      <c r="EC634" s="75"/>
      <c r="ED634" s="75"/>
      <c r="EE634" s="75"/>
      <c r="EF634" s="75"/>
      <c r="EG634" s="75"/>
      <c r="EH634" s="75"/>
      <c r="EI634" s="75"/>
      <c r="EJ634" s="75"/>
      <c r="EK634" s="75"/>
      <c r="EL634" s="75"/>
      <c r="EM634" s="75"/>
      <c r="EN634" s="75"/>
      <c r="EO634" s="75"/>
      <c r="EP634" s="75"/>
      <c r="EQ634" s="75"/>
      <c r="ER634" s="75"/>
      <c r="ES634" s="75"/>
      <c r="ET634" s="75"/>
      <c r="EU634" s="75"/>
      <c r="EV634" s="75"/>
      <c r="EW634" s="75"/>
      <c r="EX634" s="75"/>
      <c r="EY634" s="75"/>
      <c r="EZ634" s="75"/>
      <c r="FA634" s="75"/>
      <c r="FB634" s="75"/>
      <c r="FC634" s="75"/>
      <c r="FD634" s="75"/>
      <c r="FE634" s="75"/>
      <c r="FF634" s="75"/>
      <c r="FG634" s="75"/>
      <c r="FH634" s="75"/>
      <c r="FI634" s="75"/>
      <c r="FJ634" s="75"/>
      <c r="FK634" s="75"/>
      <c r="FL634" s="75"/>
      <c r="FM634" s="75"/>
      <c r="FN634" s="75"/>
      <c r="FO634" s="75"/>
      <c r="FP634" s="75"/>
      <c r="FQ634" s="75"/>
      <c r="FR634" s="75"/>
      <c r="FS634" s="75"/>
      <c r="FT634" s="75"/>
      <c r="FU634" s="75"/>
      <c r="FV634" s="75"/>
      <c r="FW634" s="75"/>
      <c r="FX634" s="75"/>
      <c r="FY634" s="75"/>
      <c r="FZ634" s="75"/>
      <c r="GA634" s="75"/>
      <c r="GB634" s="75"/>
      <c r="GC634" s="75"/>
      <c r="GD634" s="75"/>
      <c r="GE634" s="75"/>
      <c r="GF634" s="75"/>
      <c r="GG634" s="75"/>
      <c r="GH634" s="75"/>
      <c r="GI634" s="75"/>
      <c r="GJ634" s="75"/>
      <c r="GK634" s="75"/>
      <c r="GL634" s="75"/>
      <c r="GM634" s="75"/>
      <c r="GN634" s="75"/>
      <c r="GO634" s="75"/>
      <c r="GP634" s="75"/>
      <c r="GQ634" s="75"/>
      <c r="GR634" s="75"/>
      <c r="GS634" s="75"/>
      <c r="GT634" s="75"/>
      <c r="GU634" s="75"/>
      <c r="GV634" s="75"/>
      <c r="GW634" s="75"/>
      <c r="GX634" s="75"/>
      <c r="GY634" s="75"/>
      <c r="GZ634" s="75"/>
      <c r="HA634" s="75"/>
      <c r="HB634" s="75"/>
      <c r="HC634" s="75"/>
      <c r="HD634" s="75"/>
      <c r="HE634" s="75"/>
      <c r="HF634" s="75"/>
      <c r="HG634" s="75"/>
      <c r="HH634" s="75"/>
      <c r="HI634" s="75"/>
    </row>
    <row r="635" spans="1:217" s="156" customFormat="1" ht="24" customHeight="1" hidden="1">
      <c r="A635" s="131" t="s">
        <v>145</v>
      </c>
      <c r="B635" s="131"/>
      <c r="C635" s="131"/>
      <c r="D635" s="136">
        <v>1000</v>
      </c>
      <c r="E635" s="129"/>
      <c r="F635" s="136">
        <f>D635</f>
        <v>1000</v>
      </c>
      <c r="G635" s="136">
        <v>1000</v>
      </c>
      <c r="H635" s="129"/>
      <c r="I635" s="129"/>
      <c r="J635" s="136">
        <f>G635</f>
        <v>1000</v>
      </c>
      <c r="K635" s="122">
        <f>G635/D635*100</f>
        <v>100</v>
      </c>
      <c r="L635" s="129"/>
      <c r="M635" s="136"/>
      <c r="N635" s="136">
        <v>1000</v>
      </c>
      <c r="O635" s="129"/>
      <c r="P635" s="136">
        <f>N635</f>
        <v>1000</v>
      </c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  <c r="CZ635" s="75"/>
      <c r="DA635" s="75"/>
      <c r="DB635" s="75"/>
      <c r="DC635" s="75"/>
      <c r="DD635" s="75"/>
      <c r="DE635" s="75"/>
      <c r="DF635" s="75"/>
      <c r="DG635" s="75"/>
      <c r="DH635" s="75"/>
      <c r="DI635" s="75"/>
      <c r="DJ635" s="75"/>
      <c r="DK635" s="75"/>
      <c r="DL635" s="75"/>
      <c r="DM635" s="75"/>
      <c r="DN635" s="75"/>
      <c r="DO635" s="75"/>
      <c r="DP635" s="75"/>
      <c r="DQ635" s="75"/>
      <c r="DR635" s="75"/>
      <c r="DS635" s="75"/>
      <c r="DT635" s="75"/>
      <c r="DU635" s="75"/>
      <c r="DV635" s="75"/>
      <c r="DW635" s="75"/>
      <c r="DX635" s="75"/>
      <c r="DY635" s="75"/>
      <c r="DZ635" s="75"/>
      <c r="EA635" s="75"/>
      <c r="EB635" s="75"/>
      <c r="EC635" s="75"/>
      <c r="ED635" s="75"/>
      <c r="EE635" s="75"/>
      <c r="EF635" s="75"/>
      <c r="EG635" s="75"/>
      <c r="EH635" s="75"/>
      <c r="EI635" s="75"/>
      <c r="EJ635" s="75"/>
      <c r="EK635" s="75"/>
      <c r="EL635" s="75"/>
      <c r="EM635" s="75"/>
      <c r="EN635" s="75"/>
      <c r="EO635" s="75"/>
      <c r="EP635" s="75"/>
      <c r="EQ635" s="75"/>
      <c r="ER635" s="75"/>
      <c r="ES635" s="75"/>
      <c r="ET635" s="75"/>
      <c r="EU635" s="75"/>
      <c r="EV635" s="75"/>
      <c r="EW635" s="75"/>
      <c r="EX635" s="75"/>
      <c r="EY635" s="75"/>
      <c r="EZ635" s="75"/>
      <c r="FA635" s="75"/>
      <c r="FB635" s="75"/>
      <c r="FC635" s="75"/>
      <c r="FD635" s="75"/>
      <c r="FE635" s="75"/>
      <c r="FF635" s="75"/>
      <c r="FG635" s="75"/>
      <c r="FH635" s="75"/>
      <c r="FI635" s="75"/>
      <c r="FJ635" s="75"/>
      <c r="FK635" s="75"/>
      <c r="FL635" s="75"/>
      <c r="FM635" s="75"/>
      <c r="FN635" s="75"/>
      <c r="FO635" s="75"/>
      <c r="FP635" s="75"/>
      <c r="FQ635" s="75"/>
      <c r="FR635" s="75"/>
      <c r="FS635" s="75"/>
      <c r="FT635" s="75"/>
      <c r="FU635" s="75"/>
      <c r="FV635" s="75"/>
      <c r="FW635" s="75"/>
      <c r="FX635" s="75"/>
      <c r="FY635" s="75"/>
      <c r="FZ635" s="75"/>
      <c r="GA635" s="75"/>
      <c r="GB635" s="75"/>
      <c r="GC635" s="75"/>
      <c r="GD635" s="75"/>
      <c r="GE635" s="75"/>
      <c r="GF635" s="75"/>
      <c r="GG635" s="75"/>
      <c r="GH635" s="75"/>
      <c r="GI635" s="75"/>
      <c r="GJ635" s="75"/>
      <c r="GK635" s="75"/>
      <c r="GL635" s="75"/>
      <c r="GM635" s="75"/>
      <c r="GN635" s="75"/>
      <c r="GO635" s="75"/>
      <c r="GP635" s="75"/>
      <c r="GQ635" s="75"/>
      <c r="GR635" s="75"/>
      <c r="GS635" s="75"/>
      <c r="GT635" s="75"/>
      <c r="GU635" s="75"/>
      <c r="GV635" s="75"/>
      <c r="GW635" s="75"/>
      <c r="GX635" s="75"/>
      <c r="GY635" s="75"/>
      <c r="GZ635" s="75"/>
      <c r="HA635" s="75"/>
      <c r="HB635" s="75"/>
      <c r="HC635" s="75"/>
      <c r="HD635" s="75"/>
      <c r="HE635" s="75"/>
      <c r="HF635" s="75"/>
      <c r="HG635" s="75"/>
      <c r="HH635" s="75"/>
      <c r="HI635" s="75"/>
    </row>
    <row r="636" spans="1:217" s="156" customFormat="1" ht="24" customHeight="1" hidden="1">
      <c r="A636" s="131" t="s">
        <v>209</v>
      </c>
      <c r="B636" s="131"/>
      <c r="C636" s="131"/>
      <c r="D636" s="136"/>
      <c r="E636" s="129"/>
      <c r="F636" s="136">
        <f>D636</f>
        <v>0</v>
      </c>
      <c r="G636" s="136">
        <v>300</v>
      </c>
      <c r="H636" s="129"/>
      <c r="I636" s="129"/>
      <c r="J636" s="136">
        <v>300</v>
      </c>
      <c r="K636" s="122"/>
      <c r="L636" s="129"/>
      <c r="M636" s="136"/>
      <c r="N636" s="136">
        <v>300</v>
      </c>
      <c r="O636" s="129"/>
      <c r="P636" s="136">
        <v>300</v>
      </c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  <c r="CZ636" s="75"/>
      <c r="DA636" s="75"/>
      <c r="DB636" s="75"/>
      <c r="DC636" s="75"/>
      <c r="DD636" s="75"/>
      <c r="DE636" s="75"/>
      <c r="DF636" s="75"/>
      <c r="DG636" s="75"/>
      <c r="DH636" s="75"/>
      <c r="DI636" s="75"/>
      <c r="DJ636" s="75"/>
      <c r="DK636" s="75"/>
      <c r="DL636" s="75"/>
      <c r="DM636" s="75"/>
      <c r="DN636" s="75"/>
      <c r="DO636" s="75"/>
      <c r="DP636" s="75"/>
      <c r="DQ636" s="75"/>
      <c r="DR636" s="75"/>
      <c r="DS636" s="75"/>
      <c r="DT636" s="75"/>
      <c r="DU636" s="75"/>
      <c r="DV636" s="75"/>
      <c r="DW636" s="75"/>
      <c r="DX636" s="75"/>
      <c r="DY636" s="75"/>
      <c r="DZ636" s="75"/>
      <c r="EA636" s="75"/>
      <c r="EB636" s="75"/>
      <c r="EC636" s="75"/>
      <c r="ED636" s="75"/>
      <c r="EE636" s="75"/>
      <c r="EF636" s="75"/>
      <c r="EG636" s="75"/>
      <c r="EH636" s="75"/>
      <c r="EI636" s="75"/>
      <c r="EJ636" s="75"/>
      <c r="EK636" s="75"/>
      <c r="EL636" s="75"/>
      <c r="EM636" s="75"/>
      <c r="EN636" s="75"/>
      <c r="EO636" s="75"/>
      <c r="EP636" s="75"/>
      <c r="EQ636" s="75"/>
      <c r="ER636" s="75"/>
      <c r="ES636" s="75"/>
      <c r="ET636" s="75"/>
      <c r="EU636" s="75"/>
      <c r="EV636" s="75"/>
      <c r="EW636" s="75"/>
      <c r="EX636" s="75"/>
      <c r="EY636" s="75"/>
      <c r="EZ636" s="75"/>
      <c r="FA636" s="75"/>
      <c r="FB636" s="75"/>
      <c r="FC636" s="75"/>
      <c r="FD636" s="75"/>
      <c r="FE636" s="75"/>
      <c r="FF636" s="75"/>
      <c r="FG636" s="75"/>
      <c r="FH636" s="75"/>
      <c r="FI636" s="75"/>
      <c r="FJ636" s="75"/>
      <c r="FK636" s="75"/>
      <c r="FL636" s="75"/>
      <c r="FM636" s="75"/>
      <c r="FN636" s="75"/>
      <c r="FO636" s="75"/>
      <c r="FP636" s="75"/>
      <c r="FQ636" s="75"/>
      <c r="FR636" s="75"/>
      <c r="FS636" s="75"/>
      <c r="FT636" s="75"/>
      <c r="FU636" s="75"/>
      <c r="FV636" s="75"/>
      <c r="FW636" s="75"/>
      <c r="FX636" s="75"/>
      <c r="FY636" s="75"/>
      <c r="FZ636" s="75"/>
      <c r="GA636" s="75"/>
      <c r="GB636" s="75"/>
      <c r="GC636" s="75"/>
      <c r="GD636" s="75"/>
      <c r="GE636" s="75"/>
      <c r="GF636" s="75"/>
      <c r="GG636" s="75"/>
      <c r="GH636" s="75"/>
      <c r="GI636" s="75"/>
      <c r="GJ636" s="75"/>
      <c r="GK636" s="75"/>
      <c r="GL636" s="75"/>
      <c r="GM636" s="75"/>
      <c r="GN636" s="75"/>
      <c r="GO636" s="75"/>
      <c r="GP636" s="75"/>
      <c r="GQ636" s="75"/>
      <c r="GR636" s="75"/>
      <c r="GS636" s="75"/>
      <c r="GT636" s="75"/>
      <c r="GU636" s="75"/>
      <c r="GV636" s="75"/>
      <c r="GW636" s="75"/>
      <c r="GX636" s="75"/>
      <c r="GY636" s="75"/>
      <c r="GZ636" s="75"/>
      <c r="HA636" s="75"/>
      <c r="HB636" s="75"/>
      <c r="HC636" s="75"/>
      <c r="HD636" s="75"/>
      <c r="HE636" s="75"/>
      <c r="HF636" s="75"/>
      <c r="HG636" s="75"/>
      <c r="HH636" s="75"/>
      <c r="HI636" s="75"/>
    </row>
    <row r="637" spans="1:217" s="87" customFormat="1" ht="49.5" customHeight="1" hidden="1">
      <c r="A637" s="126" t="s">
        <v>429</v>
      </c>
      <c r="B637" s="126"/>
      <c r="C637" s="126"/>
      <c r="D637" s="127">
        <f>SUM(D639:D644)</f>
        <v>127740</v>
      </c>
      <c r="E637" s="127"/>
      <c r="F637" s="127">
        <f>SUM(F639:F644)</f>
        <v>127740</v>
      </c>
      <c r="G637" s="127">
        <f>SUM(G639:G644)</f>
        <v>136230</v>
      </c>
      <c r="H637" s="127"/>
      <c r="I637" s="127"/>
      <c r="J637" s="127">
        <f>SUM(J639:J644)</f>
        <v>136230</v>
      </c>
      <c r="K637" s="127"/>
      <c r="L637" s="125"/>
      <c r="M637" s="125"/>
      <c r="N637" s="127">
        <f>SUM(N639:N644)</f>
        <v>144510</v>
      </c>
      <c r="O637" s="127"/>
      <c r="P637" s="127">
        <f>SUM(P639:P644)</f>
        <v>144510</v>
      </c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  <c r="BZ637" s="118"/>
      <c r="CA637" s="118"/>
      <c r="CB637" s="118"/>
      <c r="CC637" s="118"/>
      <c r="CD637" s="118"/>
      <c r="CE637" s="118"/>
      <c r="CF637" s="118"/>
      <c r="CG637" s="118"/>
      <c r="CH637" s="118"/>
      <c r="CI637" s="118"/>
      <c r="CJ637" s="118"/>
      <c r="CK637" s="118"/>
      <c r="CL637" s="118"/>
      <c r="CM637" s="118"/>
      <c r="CN637" s="118"/>
      <c r="CO637" s="118"/>
      <c r="CP637" s="118"/>
      <c r="CQ637" s="118"/>
      <c r="CR637" s="118"/>
      <c r="CS637" s="118"/>
      <c r="CT637" s="118"/>
      <c r="CU637" s="118"/>
      <c r="CV637" s="118"/>
      <c r="CW637" s="118"/>
      <c r="CX637" s="118"/>
      <c r="CY637" s="118"/>
      <c r="CZ637" s="118"/>
      <c r="DA637" s="118"/>
      <c r="DB637" s="118"/>
      <c r="DC637" s="118"/>
      <c r="DD637" s="118"/>
      <c r="DE637" s="118"/>
      <c r="DF637" s="118"/>
      <c r="DG637" s="118"/>
      <c r="DH637" s="118"/>
      <c r="DI637" s="118"/>
      <c r="DJ637" s="118"/>
      <c r="DK637" s="118"/>
      <c r="DL637" s="118"/>
      <c r="DM637" s="118"/>
      <c r="DN637" s="118"/>
      <c r="DO637" s="118"/>
      <c r="DP637" s="118"/>
      <c r="DQ637" s="118"/>
      <c r="DR637" s="118"/>
      <c r="DS637" s="118"/>
      <c r="DT637" s="118"/>
      <c r="DU637" s="118"/>
      <c r="DV637" s="118"/>
      <c r="DW637" s="118"/>
      <c r="DX637" s="118"/>
      <c r="DY637" s="118"/>
      <c r="DZ637" s="118"/>
      <c r="EA637" s="118"/>
      <c r="EB637" s="118"/>
      <c r="EC637" s="118"/>
      <c r="ED637" s="118"/>
      <c r="EE637" s="118"/>
      <c r="EF637" s="118"/>
      <c r="EG637" s="118"/>
      <c r="EH637" s="118"/>
      <c r="EI637" s="118"/>
      <c r="EJ637" s="118"/>
      <c r="EK637" s="118"/>
      <c r="EL637" s="118"/>
      <c r="EM637" s="118"/>
      <c r="EN637" s="118"/>
      <c r="EO637" s="118"/>
      <c r="EP637" s="118"/>
      <c r="EQ637" s="118"/>
      <c r="ER637" s="118"/>
      <c r="ES637" s="118"/>
      <c r="ET637" s="118"/>
      <c r="EU637" s="118"/>
      <c r="EV637" s="118"/>
      <c r="EW637" s="118"/>
      <c r="EX637" s="118"/>
      <c r="EY637" s="118"/>
      <c r="EZ637" s="118"/>
      <c r="FA637" s="118"/>
      <c r="FB637" s="118"/>
      <c r="FC637" s="118"/>
      <c r="FD637" s="118"/>
      <c r="FE637" s="118"/>
      <c r="FF637" s="118"/>
      <c r="FG637" s="118"/>
      <c r="FH637" s="118"/>
      <c r="FI637" s="118"/>
      <c r="FJ637" s="118"/>
      <c r="FK637" s="118"/>
      <c r="FL637" s="118"/>
      <c r="FM637" s="118"/>
      <c r="FN637" s="118"/>
      <c r="FO637" s="118"/>
      <c r="FP637" s="118"/>
      <c r="FQ637" s="118"/>
      <c r="FR637" s="118"/>
      <c r="FS637" s="118"/>
      <c r="FT637" s="118"/>
      <c r="FU637" s="118"/>
      <c r="FV637" s="118"/>
      <c r="FW637" s="118"/>
      <c r="FX637" s="118"/>
      <c r="FY637" s="118"/>
      <c r="FZ637" s="118"/>
      <c r="GA637" s="118"/>
      <c r="GB637" s="118"/>
      <c r="GC637" s="118"/>
      <c r="GD637" s="118"/>
      <c r="GE637" s="118"/>
      <c r="GF637" s="118"/>
      <c r="GG637" s="118"/>
      <c r="GH637" s="118"/>
      <c r="GI637" s="118"/>
      <c r="GJ637" s="118"/>
      <c r="GK637" s="118"/>
      <c r="GL637" s="118"/>
      <c r="GM637" s="118"/>
      <c r="GN637" s="118"/>
      <c r="GO637" s="118"/>
      <c r="GP637" s="118"/>
      <c r="GQ637" s="118"/>
      <c r="GR637" s="118"/>
      <c r="GS637" s="118"/>
      <c r="GT637" s="118"/>
      <c r="GU637" s="118"/>
      <c r="GV637" s="118"/>
      <c r="GW637" s="118"/>
      <c r="GX637" s="118"/>
      <c r="GY637" s="118"/>
      <c r="GZ637" s="118"/>
      <c r="HA637" s="118"/>
      <c r="HB637" s="118"/>
      <c r="HC637" s="118"/>
      <c r="HD637" s="118"/>
      <c r="HE637" s="118"/>
      <c r="HF637" s="118"/>
      <c r="HG637" s="118"/>
      <c r="HH637" s="118"/>
      <c r="HI637" s="118"/>
    </row>
    <row r="638" spans="1:217" s="87" customFormat="1" ht="11.25" hidden="1">
      <c r="A638" s="128" t="s">
        <v>2</v>
      </c>
      <c r="B638" s="126"/>
      <c r="C638" s="126"/>
      <c r="D638" s="127"/>
      <c r="E638" s="127"/>
      <c r="F638" s="127"/>
      <c r="G638" s="127"/>
      <c r="H638" s="127"/>
      <c r="I638" s="127"/>
      <c r="J638" s="127"/>
      <c r="K638" s="127"/>
      <c r="L638" s="125"/>
      <c r="M638" s="125"/>
      <c r="N638" s="127"/>
      <c r="O638" s="127"/>
      <c r="P638" s="127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  <c r="CJ638" s="118"/>
      <c r="CK638" s="118"/>
      <c r="CL638" s="118"/>
      <c r="CM638" s="118"/>
      <c r="CN638" s="118"/>
      <c r="CO638" s="118"/>
      <c r="CP638" s="118"/>
      <c r="CQ638" s="118"/>
      <c r="CR638" s="118"/>
      <c r="CS638" s="118"/>
      <c r="CT638" s="118"/>
      <c r="CU638" s="118"/>
      <c r="CV638" s="118"/>
      <c r="CW638" s="118"/>
      <c r="CX638" s="118"/>
      <c r="CY638" s="118"/>
      <c r="CZ638" s="118"/>
      <c r="DA638" s="118"/>
      <c r="DB638" s="118"/>
      <c r="DC638" s="118"/>
      <c r="DD638" s="118"/>
      <c r="DE638" s="118"/>
      <c r="DF638" s="118"/>
      <c r="DG638" s="118"/>
      <c r="DH638" s="118"/>
      <c r="DI638" s="118"/>
      <c r="DJ638" s="118"/>
      <c r="DK638" s="118"/>
      <c r="DL638" s="118"/>
      <c r="DM638" s="118"/>
      <c r="DN638" s="118"/>
      <c r="DO638" s="118"/>
      <c r="DP638" s="118"/>
      <c r="DQ638" s="118"/>
      <c r="DR638" s="118"/>
      <c r="DS638" s="118"/>
      <c r="DT638" s="118"/>
      <c r="DU638" s="118"/>
      <c r="DV638" s="118"/>
      <c r="DW638" s="118"/>
      <c r="DX638" s="118"/>
      <c r="DY638" s="118"/>
      <c r="DZ638" s="118"/>
      <c r="EA638" s="118"/>
      <c r="EB638" s="118"/>
      <c r="EC638" s="118"/>
      <c r="ED638" s="118"/>
      <c r="EE638" s="118"/>
      <c r="EF638" s="118"/>
      <c r="EG638" s="118"/>
      <c r="EH638" s="118"/>
      <c r="EI638" s="118"/>
      <c r="EJ638" s="118"/>
      <c r="EK638" s="118"/>
      <c r="EL638" s="118"/>
      <c r="EM638" s="118"/>
      <c r="EN638" s="118"/>
      <c r="EO638" s="118"/>
      <c r="EP638" s="118"/>
      <c r="EQ638" s="118"/>
      <c r="ER638" s="118"/>
      <c r="ES638" s="118"/>
      <c r="ET638" s="118"/>
      <c r="EU638" s="118"/>
      <c r="EV638" s="118"/>
      <c r="EW638" s="118"/>
      <c r="EX638" s="118"/>
      <c r="EY638" s="118"/>
      <c r="EZ638" s="118"/>
      <c r="FA638" s="118"/>
      <c r="FB638" s="118"/>
      <c r="FC638" s="118"/>
      <c r="FD638" s="118"/>
      <c r="FE638" s="118"/>
      <c r="FF638" s="118"/>
      <c r="FG638" s="118"/>
      <c r="FH638" s="118"/>
      <c r="FI638" s="118"/>
      <c r="FJ638" s="118"/>
      <c r="FK638" s="118"/>
      <c r="FL638" s="118"/>
      <c r="FM638" s="118"/>
      <c r="FN638" s="118"/>
      <c r="FO638" s="118"/>
      <c r="FP638" s="118"/>
      <c r="FQ638" s="118"/>
      <c r="FR638" s="118"/>
      <c r="FS638" s="118"/>
      <c r="FT638" s="118"/>
      <c r="FU638" s="118"/>
      <c r="FV638" s="118"/>
      <c r="FW638" s="118"/>
      <c r="FX638" s="118"/>
      <c r="FY638" s="118"/>
      <c r="FZ638" s="118"/>
      <c r="GA638" s="118"/>
      <c r="GB638" s="118"/>
      <c r="GC638" s="118"/>
      <c r="GD638" s="118"/>
      <c r="GE638" s="118"/>
      <c r="GF638" s="118"/>
      <c r="GG638" s="118"/>
      <c r="GH638" s="118"/>
      <c r="GI638" s="118"/>
      <c r="GJ638" s="118"/>
      <c r="GK638" s="118"/>
      <c r="GL638" s="118"/>
      <c r="GM638" s="118"/>
      <c r="GN638" s="118"/>
      <c r="GO638" s="118"/>
      <c r="GP638" s="118"/>
      <c r="GQ638" s="118"/>
      <c r="GR638" s="118"/>
      <c r="GS638" s="118"/>
      <c r="GT638" s="118"/>
      <c r="GU638" s="118"/>
      <c r="GV638" s="118"/>
      <c r="GW638" s="118"/>
      <c r="GX638" s="118"/>
      <c r="GY638" s="118"/>
      <c r="GZ638" s="118"/>
      <c r="HA638" s="118"/>
      <c r="HB638" s="118"/>
      <c r="HC638" s="118"/>
      <c r="HD638" s="118"/>
      <c r="HE638" s="118"/>
      <c r="HF638" s="118"/>
      <c r="HG638" s="118"/>
      <c r="HH638" s="118"/>
      <c r="HI638" s="118"/>
    </row>
    <row r="639" spans="1:217" s="87" customFormat="1" ht="28.5" customHeight="1" hidden="1">
      <c r="A639" s="72" t="s">
        <v>210</v>
      </c>
      <c r="B639" s="126"/>
      <c r="C639" s="126"/>
      <c r="D639" s="122">
        <f aca="true" t="shared" si="32" ref="D639:D644">D646*D653</f>
        <v>9000</v>
      </c>
      <c r="E639" s="127"/>
      <c r="F639" s="122">
        <f aca="true" t="shared" si="33" ref="F639:G642">F646*F653</f>
        <v>9000</v>
      </c>
      <c r="G639" s="122">
        <f t="shared" si="33"/>
        <v>9600</v>
      </c>
      <c r="H639" s="127"/>
      <c r="I639" s="127"/>
      <c r="J639" s="122">
        <f aca="true" t="shared" si="34" ref="J639:J644">J646*J653</f>
        <v>9600</v>
      </c>
      <c r="K639" s="127"/>
      <c r="L639" s="125"/>
      <c r="M639" s="125"/>
      <c r="N639" s="122">
        <f aca="true" t="shared" si="35" ref="N639:N644">N646*N653</f>
        <v>10200</v>
      </c>
      <c r="O639" s="127"/>
      <c r="P639" s="122">
        <f aca="true" t="shared" si="36" ref="P639:P644">P646*P653</f>
        <v>10200</v>
      </c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  <c r="BZ639" s="118"/>
      <c r="CA639" s="118"/>
      <c r="CB639" s="118"/>
      <c r="CC639" s="118"/>
      <c r="CD639" s="118"/>
      <c r="CE639" s="118"/>
      <c r="CF639" s="118"/>
      <c r="CG639" s="118"/>
      <c r="CH639" s="118"/>
      <c r="CI639" s="118"/>
      <c r="CJ639" s="118"/>
      <c r="CK639" s="118"/>
      <c r="CL639" s="118"/>
      <c r="CM639" s="118"/>
      <c r="CN639" s="118"/>
      <c r="CO639" s="118"/>
      <c r="CP639" s="118"/>
      <c r="CQ639" s="118"/>
      <c r="CR639" s="118"/>
      <c r="CS639" s="118"/>
      <c r="CT639" s="118"/>
      <c r="CU639" s="118"/>
      <c r="CV639" s="118"/>
      <c r="CW639" s="118"/>
      <c r="CX639" s="118"/>
      <c r="CY639" s="118"/>
      <c r="CZ639" s="118"/>
      <c r="DA639" s="118"/>
      <c r="DB639" s="118"/>
      <c r="DC639" s="118"/>
      <c r="DD639" s="118"/>
      <c r="DE639" s="118"/>
      <c r="DF639" s="118"/>
      <c r="DG639" s="118"/>
      <c r="DH639" s="118"/>
      <c r="DI639" s="118"/>
      <c r="DJ639" s="118"/>
      <c r="DK639" s="118"/>
      <c r="DL639" s="118"/>
      <c r="DM639" s="118"/>
      <c r="DN639" s="118"/>
      <c r="DO639" s="118"/>
      <c r="DP639" s="118"/>
      <c r="DQ639" s="118"/>
      <c r="DR639" s="118"/>
      <c r="DS639" s="118"/>
      <c r="DT639" s="118"/>
      <c r="DU639" s="118"/>
      <c r="DV639" s="118"/>
      <c r="DW639" s="118"/>
      <c r="DX639" s="118"/>
      <c r="DY639" s="118"/>
      <c r="DZ639" s="118"/>
      <c r="EA639" s="118"/>
      <c r="EB639" s="118"/>
      <c r="EC639" s="118"/>
      <c r="ED639" s="118"/>
      <c r="EE639" s="118"/>
      <c r="EF639" s="118"/>
      <c r="EG639" s="118"/>
      <c r="EH639" s="118"/>
      <c r="EI639" s="118"/>
      <c r="EJ639" s="118"/>
      <c r="EK639" s="118"/>
      <c r="EL639" s="118"/>
      <c r="EM639" s="118"/>
      <c r="EN639" s="118"/>
      <c r="EO639" s="118"/>
      <c r="EP639" s="118"/>
      <c r="EQ639" s="118"/>
      <c r="ER639" s="118"/>
      <c r="ES639" s="118"/>
      <c r="ET639" s="118"/>
      <c r="EU639" s="118"/>
      <c r="EV639" s="118"/>
      <c r="EW639" s="118"/>
      <c r="EX639" s="118"/>
      <c r="EY639" s="118"/>
      <c r="EZ639" s="118"/>
      <c r="FA639" s="118"/>
      <c r="FB639" s="118"/>
      <c r="FC639" s="118"/>
      <c r="FD639" s="118"/>
      <c r="FE639" s="118"/>
      <c r="FF639" s="118"/>
      <c r="FG639" s="118"/>
      <c r="FH639" s="118"/>
      <c r="FI639" s="118"/>
      <c r="FJ639" s="118"/>
      <c r="FK639" s="118"/>
      <c r="FL639" s="118"/>
      <c r="FM639" s="118"/>
      <c r="FN639" s="118"/>
      <c r="FO639" s="118"/>
      <c r="FP639" s="118"/>
      <c r="FQ639" s="118"/>
      <c r="FR639" s="118"/>
      <c r="FS639" s="118"/>
      <c r="FT639" s="118"/>
      <c r="FU639" s="118"/>
      <c r="FV639" s="118"/>
      <c r="FW639" s="118"/>
      <c r="FX639" s="118"/>
      <c r="FY639" s="118"/>
      <c r="FZ639" s="118"/>
      <c r="GA639" s="118"/>
      <c r="GB639" s="118"/>
      <c r="GC639" s="118"/>
      <c r="GD639" s="118"/>
      <c r="GE639" s="118"/>
      <c r="GF639" s="118"/>
      <c r="GG639" s="118"/>
      <c r="GH639" s="118"/>
      <c r="GI639" s="118"/>
      <c r="GJ639" s="118"/>
      <c r="GK639" s="118"/>
      <c r="GL639" s="118"/>
      <c r="GM639" s="118"/>
      <c r="GN639" s="118"/>
      <c r="GO639" s="118"/>
      <c r="GP639" s="118"/>
      <c r="GQ639" s="118"/>
      <c r="GR639" s="118"/>
      <c r="GS639" s="118"/>
      <c r="GT639" s="118"/>
      <c r="GU639" s="118"/>
      <c r="GV639" s="118"/>
      <c r="GW639" s="118"/>
      <c r="GX639" s="118"/>
      <c r="GY639" s="118"/>
      <c r="GZ639" s="118"/>
      <c r="HA639" s="118"/>
      <c r="HB639" s="118"/>
      <c r="HC639" s="118"/>
      <c r="HD639" s="118"/>
      <c r="HE639" s="118"/>
      <c r="HF639" s="118"/>
      <c r="HG639" s="118"/>
      <c r="HH639" s="118"/>
      <c r="HI639" s="118"/>
    </row>
    <row r="640" spans="1:217" s="87" customFormat="1" ht="22.5" hidden="1">
      <c r="A640" s="72" t="s">
        <v>211</v>
      </c>
      <c r="B640" s="126"/>
      <c r="C640" s="126"/>
      <c r="D640" s="122">
        <f t="shared" si="32"/>
        <v>28200</v>
      </c>
      <c r="E640" s="127"/>
      <c r="F640" s="122">
        <f t="shared" si="33"/>
        <v>28200</v>
      </c>
      <c r="G640" s="122">
        <f t="shared" si="33"/>
        <v>30000</v>
      </c>
      <c r="H640" s="127"/>
      <c r="I640" s="127"/>
      <c r="J640" s="122">
        <f t="shared" si="34"/>
        <v>30000</v>
      </c>
      <c r="K640" s="127"/>
      <c r="L640" s="125"/>
      <c r="M640" s="125"/>
      <c r="N640" s="122">
        <f t="shared" si="35"/>
        <v>31800</v>
      </c>
      <c r="O640" s="127"/>
      <c r="P640" s="122">
        <f t="shared" si="36"/>
        <v>31800</v>
      </c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  <c r="BZ640" s="118"/>
      <c r="CA640" s="118"/>
      <c r="CB640" s="118"/>
      <c r="CC640" s="118"/>
      <c r="CD640" s="118"/>
      <c r="CE640" s="118"/>
      <c r="CF640" s="118"/>
      <c r="CG640" s="118"/>
      <c r="CH640" s="118"/>
      <c r="CI640" s="118"/>
      <c r="CJ640" s="118"/>
      <c r="CK640" s="118"/>
      <c r="CL640" s="118"/>
      <c r="CM640" s="118"/>
      <c r="CN640" s="118"/>
      <c r="CO640" s="118"/>
      <c r="CP640" s="118"/>
      <c r="CQ640" s="118"/>
      <c r="CR640" s="118"/>
      <c r="CS640" s="118"/>
      <c r="CT640" s="118"/>
      <c r="CU640" s="118"/>
      <c r="CV640" s="118"/>
      <c r="CW640" s="118"/>
      <c r="CX640" s="118"/>
      <c r="CY640" s="118"/>
      <c r="CZ640" s="118"/>
      <c r="DA640" s="118"/>
      <c r="DB640" s="118"/>
      <c r="DC640" s="118"/>
      <c r="DD640" s="118"/>
      <c r="DE640" s="118"/>
      <c r="DF640" s="118"/>
      <c r="DG640" s="118"/>
      <c r="DH640" s="118"/>
      <c r="DI640" s="118"/>
      <c r="DJ640" s="118"/>
      <c r="DK640" s="118"/>
      <c r="DL640" s="118"/>
      <c r="DM640" s="118"/>
      <c r="DN640" s="118"/>
      <c r="DO640" s="118"/>
      <c r="DP640" s="118"/>
      <c r="DQ640" s="118"/>
      <c r="DR640" s="118"/>
      <c r="DS640" s="118"/>
      <c r="DT640" s="118"/>
      <c r="DU640" s="118"/>
      <c r="DV640" s="118"/>
      <c r="DW640" s="118"/>
      <c r="DX640" s="118"/>
      <c r="DY640" s="118"/>
      <c r="DZ640" s="118"/>
      <c r="EA640" s="118"/>
      <c r="EB640" s="118"/>
      <c r="EC640" s="118"/>
      <c r="ED640" s="118"/>
      <c r="EE640" s="118"/>
      <c r="EF640" s="118"/>
      <c r="EG640" s="118"/>
      <c r="EH640" s="118"/>
      <c r="EI640" s="118"/>
      <c r="EJ640" s="118"/>
      <c r="EK640" s="118"/>
      <c r="EL640" s="118"/>
      <c r="EM640" s="118"/>
      <c r="EN640" s="118"/>
      <c r="EO640" s="118"/>
      <c r="EP640" s="118"/>
      <c r="EQ640" s="118"/>
      <c r="ER640" s="118"/>
      <c r="ES640" s="118"/>
      <c r="ET640" s="118"/>
      <c r="EU640" s="118"/>
      <c r="EV640" s="118"/>
      <c r="EW640" s="118"/>
      <c r="EX640" s="118"/>
      <c r="EY640" s="118"/>
      <c r="EZ640" s="118"/>
      <c r="FA640" s="118"/>
      <c r="FB640" s="118"/>
      <c r="FC640" s="118"/>
      <c r="FD640" s="118"/>
      <c r="FE640" s="118"/>
      <c r="FF640" s="118"/>
      <c r="FG640" s="118"/>
      <c r="FH640" s="118"/>
      <c r="FI640" s="118"/>
      <c r="FJ640" s="118"/>
      <c r="FK640" s="118"/>
      <c r="FL640" s="118"/>
      <c r="FM640" s="118"/>
      <c r="FN640" s="118"/>
      <c r="FO640" s="118"/>
      <c r="FP640" s="118"/>
      <c r="FQ640" s="118"/>
      <c r="FR640" s="118"/>
      <c r="FS640" s="118"/>
      <c r="FT640" s="118"/>
      <c r="FU640" s="118"/>
      <c r="FV640" s="118"/>
      <c r="FW640" s="118"/>
      <c r="FX640" s="118"/>
      <c r="FY640" s="118"/>
      <c r="FZ640" s="118"/>
      <c r="GA640" s="118"/>
      <c r="GB640" s="118"/>
      <c r="GC640" s="118"/>
      <c r="GD640" s="118"/>
      <c r="GE640" s="118"/>
      <c r="GF640" s="118"/>
      <c r="GG640" s="118"/>
      <c r="GH640" s="118"/>
      <c r="GI640" s="118"/>
      <c r="GJ640" s="118"/>
      <c r="GK640" s="118"/>
      <c r="GL640" s="118"/>
      <c r="GM640" s="118"/>
      <c r="GN640" s="118"/>
      <c r="GO640" s="118"/>
      <c r="GP640" s="118"/>
      <c r="GQ640" s="118"/>
      <c r="GR640" s="118"/>
      <c r="GS640" s="118"/>
      <c r="GT640" s="118"/>
      <c r="GU640" s="118"/>
      <c r="GV640" s="118"/>
      <c r="GW640" s="118"/>
      <c r="GX640" s="118"/>
      <c r="GY640" s="118"/>
      <c r="GZ640" s="118"/>
      <c r="HA640" s="118"/>
      <c r="HB640" s="118"/>
      <c r="HC640" s="118"/>
      <c r="HD640" s="118"/>
      <c r="HE640" s="118"/>
      <c r="HF640" s="118"/>
      <c r="HG640" s="118"/>
      <c r="HH640" s="118"/>
      <c r="HI640" s="118"/>
    </row>
    <row r="641" spans="1:217" s="87" customFormat="1" ht="33.75" hidden="1">
      <c r="A641" s="72" t="s">
        <v>212</v>
      </c>
      <c r="B641" s="126"/>
      <c r="C641" s="126"/>
      <c r="D641" s="122">
        <f t="shared" si="32"/>
        <v>49950</v>
      </c>
      <c r="E641" s="127"/>
      <c r="F641" s="122">
        <f t="shared" si="33"/>
        <v>49950</v>
      </c>
      <c r="G641" s="122">
        <f t="shared" si="33"/>
        <v>53250</v>
      </c>
      <c r="H641" s="127"/>
      <c r="I641" s="127"/>
      <c r="J641" s="122">
        <f t="shared" si="34"/>
        <v>53250</v>
      </c>
      <c r="K641" s="127"/>
      <c r="L641" s="125"/>
      <c r="M641" s="125"/>
      <c r="N641" s="122">
        <f t="shared" si="35"/>
        <v>56400</v>
      </c>
      <c r="O641" s="127"/>
      <c r="P641" s="122">
        <f t="shared" si="36"/>
        <v>56400</v>
      </c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  <c r="BZ641" s="118"/>
      <c r="CA641" s="118"/>
      <c r="CB641" s="118"/>
      <c r="CC641" s="118"/>
      <c r="CD641" s="118"/>
      <c r="CE641" s="118"/>
      <c r="CF641" s="118"/>
      <c r="CG641" s="118"/>
      <c r="CH641" s="118"/>
      <c r="CI641" s="118"/>
      <c r="CJ641" s="118"/>
      <c r="CK641" s="118"/>
      <c r="CL641" s="118"/>
      <c r="CM641" s="118"/>
      <c r="CN641" s="118"/>
      <c r="CO641" s="118"/>
      <c r="CP641" s="118"/>
      <c r="CQ641" s="118"/>
      <c r="CR641" s="118"/>
      <c r="CS641" s="118"/>
      <c r="CT641" s="118"/>
      <c r="CU641" s="118"/>
      <c r="CV641" s="118"/>
      <c r="CW641" s="118"/>
      <c r="CX641" s="118"/>
      <c r="CY641" s="118"/>
      <c r="CZ641" s="118"/>
      <c r="DA641" s="118"/>
      <c r="DB641" s="118"/>
      <c r="DC641" s="118"/>
      <c r="DD641" s="118"/>
      <c r="DE641" s="118"/>
      <c r="DF641" s="118"/>
      <c r="DG641" s="118"/>
      <c r="DH641" s="118"/>
      <c r="DI641" s="118"/>
      <c r="DJ641" s="118"/>
      <c r="DK641" s="118"/>
      <c r="DL641" s="118"/>
      <c r="DM641" s="118"/>
      <c r="DN641" s="118"/>
      <c r="DO641" s="118"/>
      <c r="DP641" s="118"/>
      <c r="DQ641" s="118"/>
      <c r="DR641" s="118"/>
      <c r="DS641" s="118"/>
      <c r="DT641" s="118"/>
      <c r="DU641" s="118"/>
      <c r="DV641" s="118"/>
      <c r="DW641" s="118"/>
      <c r="DX641" s="118"/>
      <c r="DY641" s="118"/>
      <c r="DZ641" s="118"/>
      <c r="EA641" s="118"/>
      <c r="EB641" s="118"/>
      <c r="EC641" s="118"/>
      <c r="ED641" s="118"/>
      <c r="EE641" s="118"/>
      <c r="EF641" s="118"/>
      <c r="EG641" s="118"/>
      <c r="EH641" s="118"/>
      <c r="EI641" s="118"/>
      <c r="EJ641" s="118"/>
      <c r="EK641" s="118"/>
      <c r="EL641" s="118"/>
      <c r="EM641" s="118"/>
      <c r="EN641" s="118"/>
      <c r="EO641" s="118"/>
      <c r="EP641" s="118"/>
      <c r="EQ641" s="118"/>
      <c r="ER641" s="118"/>
      <c r="ES641" s="118"/>
      <c r="ET641" s="118"/>
      <c r="EU641" s="118"/>
      <c r="EV641" s="118"/>
      <c r="EW641" s="118"/>
      <c r="EX641" s="118"/>
      <c r="EY641" s="118"/>
      <c r="EZ641" s="118"/>
      <c r="FA641" s="118"/>
      <c r="FB641" s="118"/>
      <c r="FC641" s="118"/>
      <c r="FD641" s="118"/>
      <c r="FE641" s="118"/>
      <c r="FF641" s="118"/>
      <c r="FG641" s="118"/>
      <c r="FH641" s="118"/>
      <c r="FI641" s="118"/>
      <c r="FJ641" s="118"/>
      <c r="FK641" s="118"/>
      <c r="FL641" s="118"/>
      <c r="FM641" s="118"/>
      <c r="FN641" s="118"/>
      <c r="FO641" s="118"/>
      <c r="FP641" s="118"/>
      <c r="FQ641" s="118"/>
      <c r="FR641" s="118"/>
      <c r="FS641" s="118"/>
      <c r="FT641" s="118"/>
      <c r="FU641" s="118"/>
      <c r="FV641" s="118"/>
      <c r="FW641" s="118"/>
      <c r="FX641" s="118"/>
      <c r="FY641" s="118"/>
      <c r="FZ641" s="118"/>
      <c r="GA641" s="118"/>
      <c r="GB641" s="118"/>
      <c r="GC641" s="118"/>
      <c r="GD641" s="118"/>
      <c r="GE641" s="118"/>
      <c r="GF641" s="118"/>
      <c r="GG641" s="118"/>
      <c r="GH641" s="118"/>
      <c r="GI641" s="118"/>
      <c r="GJ641" s="118"/>
      <c r="GK641" s="118"/>
      <c r="GL641" s="118"/>
      <c r="GM641" s="118"/>
      <c r="GN641" s="118"/>
      <c r="GO641" s="118"/>
      <c r="GP641" s="118"/>
      <c r="GQ641" s="118"/>
      <c r="GR641" s="118"/>
      <c r="GS641" s="118"/>
      <c r="GT641" s="118"/>
      <c r="GU641" s="118"/>
      <c r="GV641" s="118"/>
      <c r="GW641" s="118"/>
      <c r="GX641" s="118"/>
      <c r="GY641" s="118"/>
      <c r="GZ641" s="118"/>
      <c r="HA641" s="118"/>
      <c r="HB641" s="118"/>
      <c r="HC641" s="118"/>
      <c r="HD641" s="118"/>
      <c r="HE641" s="118"/>
      <c r="HF641" s="118"/>
      <c r="HG641" s="118"/>
      <c r="HH641" s="118"/>
      <c r="HI641" s="118"/>
    </row>
    <row r="642" spans="1:217" s="87" customFormat="1" ht="33.75" hidden="1">
      <c r="A642" s="72" t="s">
        <v>213</v>
      </c>
      <c r="B642" s="126"/>
      <c r="C642" s="126"/>
      <c r="D642" s="122">
        <f t="shared" si="32"/>
        <v>31050</v>
      </c>
      <c r="E642" s="122"/>
      <c r="F642" s="122">
        <f t="shared" si="33"/>
        <v>31050</v>
      </c>
      <c r="G642" s="122">
        <f t="shared" si="33"/>
        <v>33300</v>
      </c>
      <c r="H642" s="122"/>
      <c r="I642" s="122"/>
      <c r="J642" s="122">
        <f t="shared" si="34"/>
        <v>33300</v>
      </c>
      <c r="K642" s="122"/>
      <c r="L642" s="129"/>
      <c r="M642" s="129"/>
      <c r="N642" s="122">
        <f t="shared" si="35"/>
        <v>35550</v>
      </c>
      <c r="O642" s="122"/>
      <c r="P642" s="122">
        <f t="shared" si="36"/>
        <v>35550</v>
      </c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  <c r="CJ642" s="118"/>
      <c r="CK642" s="118"/>
      <c r="CL642" s="118"/>
      <c r="CM642" s="118"/>
      <c r="CN642" s="118"/>
      <c r="CO642" s="118"/>
      <c r="CP642" s="118"/>
      <c r="CQ642" s="118"/>
      <c r="CR642" s="118"/>
      <c r="CS642" s="118"/>
      <c r="CT642" s="118"/>
      <c r="CU642" s="118"/>
      <c r="CV642" s="118"/>
      <c r="CW642" s="118"/>
      <c r="CX642" s="118"/>
      <c r="CY642" s="118"/>
      <c r="CZ642" s="118"/>
      <c r="DA642" s="118"/>
      <c r="DB642" s="118"/>
      <c r="DC642" s="118"/>
      <c r="DD642" s="118"/>
      <c r="DE642" s="118"/>
      <c r="DF642" s="118"/>
      <c r="DG642" s="118"/>
      <c r="DH642" s="118"/>
      <c r="DI642" s="118"/>
      <c r="DJ642" s="118"/>
      <c r="DK642" s="118"/>
      <c r="DL642" s="118"/>
      <c r="DM642" s="118"/>
      <c r="DN642" s="118"/>
      <c r="DO642" s="118"/>
      <c r="DP642" s="118"/>
      <c r="DQ642" s="118"/>
      <c r="DR642" s="118"/>
      <c r="DS642" s="118"/>
      <c r="DT642" s="118"/>
      <c r="DU642" s="118"/>
      <c r="DV642" s="118"/>
      <c r="DW642" s="118"/>
      <c r="DX642" s="118"/>
      <c r="DY642" s="118"/>
      <c r="DZ642" s="118"/>
      <c r="EA642" s="118"/>
      <c r="EB642" s="118"/>
      <c r="EC642" s="118"/>
      <c r="ED642" s="118"/>
      <c r="EE642" s="118"/>
      <c r="EF642" s="118"/>
      <c r="EG642" s="118"/>
      <c r="EH642" s="118"/>
      <c r="EI642" s="118"/>
      <c r="EJ642" s="118"/>
      <c r="EK642" s="118"/>
      <c r="EL642" s="118"/>
      <c r="EM642" s="118"/>
      <c r="EN642" s="118"/>
      <c r="EO642" s="118"/>
      <c r="EP642" s="118"/>
      <c r="EQ642" s="118"/>
      <c r="ER642" s="118"/>
      <c r="ES642" s="118"/>
      <c r="ET642" s="118"/>
      <c r="EU642" s="118"/>
      <c r="EV642" s="118"/>
      <c r="EW642" s="118"/>
      <c r="EX642" s="118"/>
      <c r="EY642" s="118"/>
      <c r="EZ642" s="118"/>
      <c r="FA642" s="118"/>
      <c r="FB642" s="118"/>
      <c r="FC642" s="118"/>
      <c r="FD642" s="118"/>
      <c r="FE642" s="118"/>
      <c r="FF642" s="118"/>
      <c r="FG642" s="118"/>
      <c r="FH642" s="118"/>
      <c r="FI642" s="118"/>
      <c r="FJ642" s="118"/>
      <c r="FK642" s="118"/>
      <c r="FL642" s="118"/>
      <c r="FM642" s="118"/>
      <c r="FN642" s="118"/>
      <c r="FO642" s="118"/>
      <c r="FP642" s="118"/>
      <c r="FQ642" s="118"/>
      <c r="FR642" s="118"/>
      <c r="FS642" s="118"/>
      <c r="FT642" s="118"/>
      <c r="FU642" s="118"/>
      <c r="FV642" s="118"/>
      <c r="FW642" s="118"/>
      <c r="FX642" s="118"/>
      <c r="FY642" s="118"/>
      <c r="FZ642" s="118"/>
      <c r="GA642" s="118"/>
      <c r="GB642" s="118"/>
      <c r="GC642" s="118"/>
      <c r="GD642" s="118"/>
      <c r="GE642" s="118"/>
      <c r="GF642" s="118"/>
      <c r="GG642" s="118"/>
      <c r="GH642" s="118"/>
      <c r="GI642" s="118"/>
      <c r="GJ642" s="118"/>
      <c r="GK642" s="118"/>
      <c r="GL642" s="118"/>
      <c r="GM642" s="118"/>
      <c r="GN642" s="118"/>
      <c r="GO642" s="118"/>
      <c r="GP642" s="118"/>
      <c r="GQ642" s="118"/>
      <c r="GR642" s="118"/>
      <c r="GS642" s="118"/>
      <c r="GT642" s="118"/>
      <c r="GU642" s="118"/>
      <c r="GV642" s="118"/>
      <c r="GW642" s="118"/>
      <c r="GX642" s="118"/>
      <c r="GY642" s="118"/>
      <c r="GZ642" s="118"/>
      <c r="HA642" s="118"/>
      <c r="HB642" s="118"/>
      <c r="HC642" s="118"/>
      <c r="HD642" s="118"/>
      <c r="HE642" s="118"/>
      <c r="HF642" s="118"/>
      <c r="HG642" s="118"/>
      <c r="HH642" s="118"/>
      <c r="HI642" s="118"/>
    </row>
    <row r="643" spans="1:217" s="87" customFormat="1" ht="22.5" hidden="1">
      <c r="A643" s="72" t="s">
        <v>214</v>
      </c>
      <c r="B643" s="126"/>
      <c r="C643" s="126"/>
      <c r="D643" s="122">
        <f t="shared" si="32"/>
        <v>7620</v>
      </c>
      <c r="E643" s="122"/>
      <c r="F643" s="122">
        <f>F650*F657</f>
        <v>7620</v>
      </c>
      <c r="G643" s="122">
        <f>G650*G657</f>
        <v>8160</v>
      </c>
      <c r="H643" s="122"/>
      <c r="I643" s="122"/>
      <c r="J643" s="122">
        <f t="shared" si="34"/>
        <v>8160</v>
      </c>
      <c r="K643" s="122"/>
      <c r="L643" s="129"/>
      <c r="M643" s="129"/>
      <c r="N643" s="122">
        <f t="shared" si="35"/>
        <v>8640</v>
      </c>
      <c r="O643" s="122"/>
      <c r="P643" s="122">
        <f t="shared" si="36"/>
        <v>8640</v>
      </c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  <c r="BZ643" s="118"/>
      <c r="CA643" s="118"/>
      <c r="CB643" s="118"/>
      <c r="CC643" s="118"/>
      <c r="CD643" s="118"/>
      <c r="CE643" s="118"/>
      <c r="CF643" s="118"/>
      <c r="CG643" s="118"/>
      <c r="CH643" s="118"/>
      <c r="CI643" s="118"/>
      <c r="CJ643" s="118"/>
      <c r="CK643" s="118"/>
      <c r="CL643" s="118"/>
      <c r="CM643" s="118"/>
      <c r="CN643" s="118"/>
      <c r="CO643" s="118"/>
      <c r="CP643" s="118"/>
      <c r="CQ643" s="118"/>
      <c r="CR643" s="118"/>
      <c r="CS643" s="118"/>
      <c r="CT643" s="118"/>
      <c r="CU643" s="118"/>
      <c r="CV643" s="118"/>
      <c r="CW643" s="118"/>
      <c r="CX643" s="118"/>
      <c r="CY643" s="118"/>
      <c r="CZ643" s="118"/>
      <c r="DA643" s="118"/>
      <c r="DB643" s="118"/>
      <c r="DC643" s="118"/>
      <c r="DD643" s="118"/>
      <c r="DE643" s="118"/>
      <c r="DF643" s="118"/>
      <c r="DG643" s="118"/>
      <c r="DH643" s="118"/>
      <c r="DI643" s="118"/>
      <c r="DJ643" s="118"/>
      <c r="DK643" s="118"/>
      <c r="DL643" s="118"/>
      <c r="DM643" s="118"/>
      <c r="DN643" s="118"/>
      <c r="DO643" s="118"/>
      <c r="DP643" s="118"/>
      <c r="DQ643" s="118"/>
      <c r="DR643" s="118"/>
      <c r="DS643" s="118"/>
      <c r="DT643" s="118"/>
      <c r="DU643" s="118"/>
      <c r="DV643" s="118"/>
      <c r="DW643" s="118"/>
      <c r="DX643" s="118"/>
      <c r="DY643" s="118"/>
      <c r="DZ643" s="118"/>
      <c r="EA643" s="118"/>
      <c r="EB643" s="118"/>
      <c r="EC643" s="118"/>
      <c r="ED643" s="118"/>
      <c r="EE643" s="118"/>
      <c r="EF643" s="118"/>
      <c r="EG643" s="118"/>
      <c r="EH643" s="118"/>
      <c r="EI643" s="118"/>
      <c r="EJ643" s="118"/>
      <c r="EK643" s="118"/>
      <c r="EL643" s="118"/>
      <c r="EM643" s="118"/>
      <c r="EN643" s="118"/>
      <c r="EO643" s="118"/>
      <c r="EP643" s="118"/>
      <c r="EQ643" s="118"/>
      <c r="ER643" s="118"/>
      <c r="ES643" s="118"/>
      <c r="ET643" s="118"/>
      <c r="EU643" s="118"/>
      <c r="EV643" s="118"/>
      <c r="EW643" s="118"/>
      <c r="EX643" s="118"/>
      <c r="EY643" s="118"/>
      <c r="EZ643" s="118"/>
      <c r="FA643" s="118"/>
      <c r="FB643" s="118"/>
      <c r="FC643" s="118"/>
      <c r="FD643" s="118"/>
      <c r="FE643" s="118"/>
      <c r="FF643" s="118"/>
      <c r="FG643" s="118"/>
      <c r="FH643" s="118"/>
      <c r="FI643" s="118"/>
      <c r="FJ643" s="118"/>
      <c r="FK643" s="118"/>
      <c r="FL643" s="118"/>
      <c r="FM643" s="118"/>
      <c r="FN643" s="118"/>
      <c r="FO643" s="118"/>
      <c r="FP643" s="118"/>
      <c r="FQ643" s="118"/>
      <c r="FR643" s="118"/>
      <c r="FS643" s="118"/>
      <c r="FT643" s="118"/>
      <c r="FU643" s="118"/>
      <c r="FV643" s="118"/>
      <c r="FW643" s="118"/>
      <c r="FX643" s="118"/>
      <c r="FY643" s="118"/>
      <c r="FZ643" s="118"/>
      <c r="GA643" s="118"/>
      <c r="GB643" s="118"/>
      <c r="GC643" s="118"/>
      <c r="GD643" s="118"/>
      <c r="GE643" s="118"/>
      <c r="GF643" s="118"/>
      <c r="GG643" s="118"/>
      <c r="GH643" s="118"/>
      <c r="GI643" s="118"/>
      <c r="GJ643" s="118"/>
      <c r="GK643" s="118"/>
      <c r="GL643" s="118"/>
      <c r="GM643" s="118"/>
      <c r="GN643" s="118"/>
      <c r="GO643" s="118"/>
      <c r="GP643" s="118"/>
      <c r="GQ643" s="118"/>
      <c r="GR643" s="118"/>
      <c r="GS643" s="118"/>
      <c r="GT643" s="118"/>
      <c r="GU643" s="118"/>
      <c r="GV643" s="118"/>
      <c r="GW643" s="118"/>
      <c r="GX643" s="118"/>
      <c r="GY643" s="118"/>
      <c r="GZ643" s="118"/>
      <c r="HA643" s="118"/>
      <c r="HB643" s="118"/>
      <c r="HC643" s="118"/>
      <c r="HD643" s="118"/>
      <c r="HE643" s="118"/>
      <c r="HF643" s="118"/>
      <c r="HG643" s="118"/>
      <c r="HH643" s="118"/>
      <c r="HI643" s="118"/>
    </row>
    <row r="644" spans="1:217" s="87" customFormat="1" ht="33.75" hidden="1">
      <c r="A644" s="72" t="s">
        <v>193</v>
      </c>
      <c r="B644" s="126"/>
      <c r="C644" s="126"/>
      <c r="D644" s="122">
        <f t="shared" si="32"/>
        <v>1920</v>
      </c>
      <c r="E644" s="122"/>
      <c r="F644" s="122">
        <f>F651*F658</f>
        <v>1920</v>
      </c>
      <c r="G644" s="122">
        <f>G651*G658</f>
        <v>1920</v>
      </c>
      <c r="H644" s="122"/>
      <c r="I644" s="122"/>
      <c r="J644" s="122">
        <f t="shared" si="34"/>
        <v>1920</v>
      </c>
      <c r="K644" s="122"/>
      <c r="L644" s="129"/>
      <c r="M644" s="129"/>
      <c r="N644" s="122">
        <f t="shared" si="35"/>
        <v>1920</v>
      </c>
      <c r="O644" s="122"/>
      <c r="P644" s="122">
        <f t="shared" si="36"/>
        <v>1920</v>
      </c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18"/>
      <c r="CE644" s="118"/>
      <c r="CF644" s="118"/>
      <c r="CG644" s="118"/>
      <c r="CH644" s="118"/>
      <c r="CI644" s="118"/>
      <c r="CJ644" s="118"/>
      <c r="CK644" s="118"/>
      <c r="CL644" s="118"/>
      <c r="CM644" s="118"/>
      <c r="CN644" s="118"/>
      <c r="CO644" s="118"/>
      <c r="CP644" s="118"/>
      <c r="CQ644" s="118"/>
      <c r="CR644" s="118"/>
      <c r="CS644" s="118"/>
      <c r="CT644" s="118"/>
      <c r="CU644" s="118"/>
      <c r="CV644" s="118"/>
      <c r="CW644" s="118"/>
      <c r="CX644" s="118"/>
      <c r="CY644" s="118"/>
      <c r="CZ644" s="118"/>
      <c r="DA644" s="118"/>
      <c r="DB644" s="118"/>
      <c r="DC644" s="118"/>
      <c r="DD644" s="118"/>
      <c r="DE644" s="118"/>
      <c r="DF644" s="118"/>
      <c r="DG644" s="118"/>
      <c r="DH644" s="118"/>
      <c r="DI644" s="118"/>
      <c r="DJ644" s="118"/>
      <c r="DK644" s="118"/>
      <c r="DL644" s="118"/>
      <c r="DM644" s="118"/>
      <c r="DN644" s="118"/>
      <c r="DO644" s="118"/>
      <c r="DP644" s="118"/>
      <c r="DQ644" s="118"/>
      <c r="DR644" s="118"/>
      <c r="DS644" s="118"/>
      <c r="DT644" s="118"/>
      <c r="DU644" s="118"/>
      <c r="DV644" s="118"/>
      <c r="DW644" s="118"/>
      <c r="DX644" s="118"/>
      <c r="DY644" s="118"/>
      <c r="DZ644" s="118"/>
      <c r="EA644" s="118"/>
      <c r="EB644" s="118"/>
      <c r="EC644" s="118"/>
      <c r="ED644" s="118"/>
      <c r="EE644" s="118"/>
      <c r="EF644" s="118"/>
      <c r="EG644" s="118"/>
      <c r="EH644" s="118"/>
      <c r="EI644" s="118"/>
      <c r="EJ644" s="118"/>
      <c r="EK644" s="118"/>
      <c r="EL644" s="118"/>
      <c r="EM644" s="118"/>
      <c r="EN644" s="118"/>
      <c r="EO644" s="118"/>
      <c r="EP644" s="118"/>
      <c r="EQ644" s="118"/>
      <c r="ER644" s="118"/>
      <c r="ES644" s="118"/>
      <c r="ET644" s="118"/>
      <c r="EU644" s="118"/>
      <c r="EV644" s="118"/>
      <c r="EW644" s="118"/>
      <c r="EX644" s="118"/>
      <c r="EY644" s="118"/>
      <c r="EZ644" s="118"/>
      <c r="FA644" s="118"/>
      <c r="FB644" s="118"/>
      <c r="FC644" s="118"/>
      <c r="FD644" s="118"/>
      <c r="FE644" s="118"/>
      <c r="FF644" s="118"/>
      <c r="FG644" s="118"/>
      <c r="FH644" s="118"/>
      <c r="FI644" s="118"/>
      <c r="FJ644" s="118"/>
      <c r="FK644" s="118"/>
      <c r="FL644" s="118"/>
      <c r="FM644" s="118"/>
      <c r="FN644" s="118"/>
      <c r="FO644" s="118"/>
      <c r="FP644" s="118"/>
      <c r="FQ644" s="118"/>
      <c r="FR644" s="118"/>
      <c r="FS644" s="118"/>
      <c r="FT644" s="118"/>
      <c r="FU644" s="118"/>
      <c r="FV644" s="118"/>
      <c r="FW644" s="118"/>
      <c r="FX644" s="118"/>
      <c r="FY644" s="118"/>
      <c r="FZ644" s="118"/>
      <c r="GA644" s="118"/>
      <c r="GB644" s="118"/>
      <c r="GC644" s="118"/>
      <c r="GD644" s="118"/>
      <c r="GE644" s="118"/>
      <c r="GF644" s="118"/>
      <c r="GG644" s="118"/>
      <c r="GH644" s="118"/>
      <c r="GI644" s="118"/>
      <c r="GJ644" s="118"/>
      <c r="GK644" s="118"/>
      <c r="GL644" s="118"/>
      <c r="GM644" s="118"/>
      <c r="GN644" s="118"/>
      <c r="GO644" s="118"/>
      <c r="GP644" s="118"/>
      <c r="GQ644" s="118"/>
      <c r="GR644" s="118"/>
      <c r="GS644" s="118"/>
      <c r="GT644" s="118"/>
      <c r="GU644" s="118"/>
      <c r="GV644" s="118"/>
      <c r="GW644" s="118"/>
      <c r="GX644" s="118"/>
      <c r="GY644" s="118"/>
      <c r="GZ644" s="118"/>
      <c r="HA644" s="118"/>
      <c r="HB644" s="118"/>
      <c r="HC644" s="118"/>
      <c r="HD644" s="118"/>
      <c r="HE644" s="118"/>
      <c r="HF644" s="118"/>
      <c r="HG644" s="118"/>
      <c r="HH644" s="118"/>
      <c r="HI644" s="118"/>
    </row>
    <row r="645" spans="1:217" s="156" customFormat="1" ht="11.25" hidden="1">
      <c r="A645" s="128" t="s">
        <v>3</v>
      </c>
      <c r="B645" s="128"/>
      <c r="C645" s="128"/>
      <c r="D645" s="130"/>
      <c r="E645" s="130"/>
      <c r="F645" s="122"/>
      <c r="G645" s="130"/>
      <c r="H645" s="130"/>
      <c r="I645" s="130"/>
      <c r="J645" s="122"/>
      <c r="K645" s="122"/>
      <c r="L645" s="130"/>
      <c r="M645" s="130"/>
      <c r="N645" s="130"/>
      <c r="O645" s="130"/>
      <c r="P645" s="122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  <c r="CZ645" s="75"/>
      <c r="DA645" s="75"/>
      <c r="DB645" s="75"/>
      <c r="DC645" s="75"/>
      <c r="DD645" s="75"/>
      <c r="DE645" s="75"/>
      <c r="DF645" s="75"/>
      <c r="DG645" s="75"/>
      <c r="DH645" s="75"/>
      <c r="DI645" s="75"/>
      <c r="DJ645" s="75"/>
      <c r="DK645" s="75"/>
      <c r="DL645" s="75"/>
      <c r="DM645" s="75"/>
      <c r="DN645" s="75"/>
      <c r="DO645" s="75"/>
      <c r="DP645" s="75"/>
      <c r="DQ645" s="75"/>
      <c r="DR645" s="75"/>
      <c r="DS645" s="75"/>
      <c r="DT645" s="75"/>
      <c r="DU645" s="75"/>
      <c r="DV645" s="75"/>
      <c r="DW645" s="75"/>
      <c r="DX645" s="75"/>
      <c r="DY645" s="75"/>
      <c r="DZ645" s="75"/>
      <c r="EA645" s="75"/>
      <c r="EB645" s="75"/>
      <c r="EC645" s="75"/>
      <c r="ED645" s="75"/>
      <c r="EE645" s="75"/>
      <c r="EF645" s="75"/>
      <c r="EG645" s="75"/>
      <c r="EH645" s="75"/>
      <c r="EI645" s="75"/>
      <c r="EJ645" s="75"/>
      <c r="EK645" s="75"/>
      <c r="EL645" s="75"/>
      <c r="EM645" s="75"/>
      <c r="EN645" s="75"/>
      <c r="EO645" s="75"/>
      <c r="EP645" s="75"/>
      <c r="EQ645" s="75"/>
      <c r="ER645" s="75"/>
      <c r="ES645" s="75"/>
      <c r="ET645" s="75"/>
      <c r="EU645" s="75"/>
      <c r="EV645" s="75"/>
      <c r="EW645" s="75"/>
      <c r="EX645" s="75"/>
      <c r="EY645" s="75"/>
      <c r="EZ645" s="75"/>
      <c r="FA645" s="75"/>
      <c r="FB645" s="75"/>
      <c r="FC645" s="75"/>
      <c r="FD645" s="75"/>
      <c r="FE645" s="75"/>
      <c r="FF645" s="75"/>
      <c r="FG645" s="75"/>
      <c r="FH645" s="75"/>
      <c r="FI645" s="75"/>
      <c r="FJ645" s="75"/>
      <c r="FK645" s="75"/>
      <c r="FL645" s="75"/>
      <c r="FM645" s="75"/>
      <c r="FN645" s="75"/>
      <c r="FO645" s="75"/>
      <c r="FP645" s="75"/>
      <c r="FQ645" s="75"/>
      <c r="FR645" s="75"/>
      <c r="FS645" s="75"/>
      <c r="FT645" s="75"/>
      <c r="FU645" s="75"/>
      <c r="FV645" s="75"/>
      <c r="FW645" s="75"/>
      <c r="FX645" s="75"/>
      <c r="FY645" s="75"/>
      <c r="FZ645" s="75"/>
      <c r="GA645" s="75"/>
      <c r="GB645" s="75"/>
      <c r="GC645" s="75"/>
      <c r="GD645" s="75"/>
      <c r="GE645" s="75"/>
      <c r="GF645" s="75"/>
      <c r="GG645" s="75"/>
      <c r="GH645" s="75"/>
      <c r="GI645" s="75"/>
      <c r="GJ645" s="75"/>
      <c r="GK645" s="75"/>
      <c r="GL645" s="75"/>
      <c r="GM645" s="75"/>
      <c r="GN645" s="75"/>
      <c r="GO645" s="75"/>
      <c r="GP645" s="75"/>
      <c r="GQ645" s="75"/>
      <c r="GR645" s="75"/>
      <c r="GS645" s="75"/>
      <c r="GT645" s="75"/>
      <c r="GU645" s="75"/>
      <c r="GV645" s="75"/>
      <c r="GW645" s="75"/>
      <c r="GX645" s="75"/>
      <c r="GY645" s="75"/>
      <c r="GZ645" s="75"/>
      <c r="HA645" s="75"/>
      <c r="HB645" s="75"/>
      <c r="HC645" s="75"/>
      <c r="HD645" s="75"/>
      <c r="HE645" s="75"/>
      <c r="HF645" s="75"/>
      <c r="HG645" s="75"/>
      <c r="HH645" s="75"/>
      <c r="HI645" s="75"/>
    </row>
    <row r="646" spans="1:217" s="156" customFormat="1" ht="33.75" customHeight="1" hidden="1">
      <c r="A646" s="72" t="s">
        <v>146</v>
      </c>
      <c r="B646" s="131"/>
      <c r="C646" s="131"/>
      <c r="D646" s="132">
        <v>30</v>
      </c>
      <c r="E646" s="133"/>
      <c r="F646" s="132">
        <v>30</v>
      </c>
      <c r="G646" s="132">
        <v>30</v>
      </c>
      <c r="H646" s="133"/>
      <c r="I646" s="133"/>
      <c r="J646" s="132">
        <v>30</v>
      </c>
      <c r="K646" s="133"/>
      <c r="L646" s="133"/>
      <c r="M646" s="133"/>
      <c r="N646" s="132">
        <v>30</v>
      </c>
      <c r="O646" s="133"/>
      <c r="P646" s="132">
        <v>30</v>
      </c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  <c r="CZ646" s="75"/>
      <c r="DA646" s="75"/>
      <c r="DB646" s="75"/>
      <c r="DC646" s="75"/>
      <c r="DD646" s="75"/>
      <c r="DE646" s="75"/>
      <c r="DF646" s="75"/>
      <c r="DG646" s="75"/>
      <c r="DH646" s="75"/>
      <c r="DI646" s="75"/>
      <c r="DJ646" s="75"/>
      <c r="DK646" s="75"/>
      <c r="DL646" s="75"/>
      <c r="DM646" s="75"/>
      <c r="DN646" s="75"/>
      <c r="DO646" s="75"/>
      <c r="DP646" s="75"/>
      <c r="DQ646" s="75"/>
      <c r="DR646" s="75"/>
      <c r="DS646" s="75"/>
      <c r="DT646" s="75"/>
      <c r="DU646" s="75"/>
      <c r="DV646" s="75"/>
      <c r="DW646" s="75"/>
      <c r="DX646" s="75"/>
      <c r="DY646" s="75"/>
      <c r="DZ646" s="75"/>
      <c r="EA646" s="75"/>
      <c r="EB646" s="75"/>
      <c r="EC646" s="75"/>
      <c r="ED646" s="75"/>
      <c r="EE646" s="75"/>
      <c r="EF646" s="75"/>
      <c r="EG646" s="75"/>
      <c r="EH646" s="75"/>
      <c r="EI646" s="75"/>
      <c r="EJ646" s="75"/>
      <c r="EK646" s="75"/>
      <c r="EL646" s="75"/>
      <c r="EM646" s="75"/>
      <c r="EN646" s="75"/>
      <c r="EO646" s="75"/>
      <c r="EP646" s="75"/>
      <c r="EQ646" s="75"/>
      <c r="ER646" s="75"/>
      <c r="ES646" s="75"/>
      <c r="ET646" s="75"/>
      <c r="EU646" s="75"/>
      <c r="EV646" s="75"/>
      <c r="EW646" s="75"/>
      <c r="EX646" s="75"/>
      <c r="EY646" s="75"/>
      <c r="EZ646" s="75"/>
      <c r="FA646" s="75"/>
      <c r="FB646" s="75"/>
      <c r="FC646" s="75"/>
      <c r="FD646" s="75"/>
      <c r="FE646" s="75"/>
      <c r="FF646" s="75"/>
      <c r="FG646" s="75"/>
      <c r="FH646" s="75"/>
      <c r="FI646" s="75"/>
      <c r="FJ646" s="75"/>
      <c r="FK646" s="75"/>
      <c r="FL646" s="75"/>
      <c r="FM646" s="75"/>
      <c r="FN646" s="75"/>
      <c r="FO646" s="75"/>
      <c r="FP646" s="75"/>
      <c r="FQ646" s="75"/>
      <c r="FR646" s="75"/>
      <c r="FS646" s="75"/>
      <c r="FT646" s="75"/>
      <c r="FU646" s="75"/>
      <c r="FV646" s="75"/>
      <c r="FW646" s="75"/>
      <c r="FX646" s="75"/>
      <c r="FY646" s="75"/>
      <c r="FZ646" s="75"/>
      <c r="GA646" s="75"/>
      <c r="GB646" s="75"/>
      <c r="GC646" s="75"/>
      <c r="GD646" s="75"/>
      <c r="GE646" s="75"/>
      <c r="GF646" s="75"/>
      <c r="GG646" s="75"/>
      <c r="GH646" s="75"/>
      <c r="GI646" s="75"/>
      <c r="GJ646" s="75"/>
      <c r="GK646" s="75"/>
      <c r="GL646" s="75"/>
      <c r="GM646" s="75"/>
      <c r="GN646" s="75"/>
      <c r="GO646" s="75"/>
      <c r="GP646" s="75"/>
      <c r="GQ646" s="75"/>
      <c r="GR646" s="75"/>
      <c r="GS646" s="75"/>
      <c r="GT646" s="75"/>
      <c r="GU646" s="75"/>
      <c r="GV646" s="75"/>
      <c r="GW646" s="75"/>
      <c r="GX646" s="75"/>
      <c r="GY646" s="75"/>
      <c r="GZ646" s="75"/>
      <c r="HA646" s="75"/>
      <c r="HB646" s="75"/>
      <c r="HC646" s="75"/>
      <c r="HD646" s="75"/>
      <c r="HE646" s="75"/>
      <c r="HF646" s="75"/>
      <c r="HG646" s="75"/>
      <c r="HH646" s="75"/>
      <c r="HI646" s="75"/>
    </row>
    <row r="647" spans="1:217" s="156" customFormat="1" ht="35.25" customHeight="1" hidden="1">
      <c r="A647" s="72" t="s">
        <v>147</v>
      </c>
      <c r="B647" s="131"/>
      <c r="C647" s="131"/>
      <c r="D647" s="132">
        <v>30</v>
      </c>
      <c r="E647" s="133"/>
      <c r="F647" s="132">
        <v>30</v>
      </c>
      <c r="G647" s="132">
        <v>30</v>
      </c>
      <c r="H647" s="133"/>
      <c r="I647" s="133"/>
      <c r="J647" s="132">
        <v>30</v>
      </c>
      <c r="K647" s="133"/>
      <c r="L647" s="133"/>
      <c r="M647" s="133"/>
      <c r="N647" s="132">
        <v>30</v>
      </c>
      <c r="O647" s="133"/>
      <c r="P647" s="132">
        <v>30</v>
      </c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  <c r="CZ647" s="75"/>
      <c r="DA647" s="75"/>
      <c r="DB647" s="75"/>
      <c r="DC647" s="75"/>
      <c r="DD647" s="75"/>
      <c r="DE647" s="75"/>
      <c r="DF647" s="75"/>
      <c r="DG647" s="75"/>
      <c r="DH647" s="75"/>
      <c r="DI647" s="75"/>
      <c r="DJ647" s="75"/>
      <c r="DK647" s="75"/>
      <c r="DL647" s="75"/>
      <c r="DM647" s="75"/>
      <c r="DN647" s="75"/>
      <c r="DO647" s="75"/>
      <c r="DP647" s="75"/>
      <c r="DQ647" s="75"/>
      <c r="DR647" s="75"/>
      <c r="DS647" s="75"/>
      <c r="DT647" s="75"/>
      <c r="DU647" s="75"/>
      <c r="DV647" s="75"/>
      <c r="DW647" s="75"/>
      <c r="DX647" s="75"/>
      <c r="DY647" s="75"/>
      <c r="DZ647" s="75"/>
      <c r="EA647" s="75"/>
      <c r="EB647" s="75"/>
      <c r="EC647" s="75"/>
      <c r="ED647" s="75"/>
      <c r="EE647" s="75"/>
      <c r="EF647" s="75"/>
      <c r="EG647" s="75"/>
      <c r="EH647" s="75"/>
      <c r="EI647" s="75"/>
      <c r="EJ647" s="75"/>
      <c r="EK647" s="75"/>
      <c r="EL647" s="75"/>
      <c r="EM647" s="75"/>
      <c r="EN647" s="75"/>
      <c r="EO647" s="75"/>
      <c r="EP647" s="75"/>
      <c r="EQ647" s="75"/>
      <c r="ER647" s="75"/>
      <c r="ES647" s="75"/>
      <c r="ET647" s="75"/>
      <c r="EU647" s="75"/>
      <c r="EV647" s="75"/>
      <c r="EW647" s="75"/>
      <c r="EX647" s="75"/>
      <c r="EY647" s="75"/>
      <c r="EZ647" s="75"/>
      <c r="FA647" s="75"/>
      <c r="FB647" s="75"/>
      <c r="FC647" s="75"/>
      <c r="FD647" s="75"/>
      <c r="FE647" s="75"/>
      <c r="FF647" s="75"/>
      <c r="FG647" s="75"/>
      <c r="FH647" s="75"/>
      <c r="FI647" s="75"/>
      <c r="FJ647" s="75"/>
      <c r="FK647" s="75"/>
      <c r="FL647" s="75"/>
      <c r="FM647" s="75"/>
      <c r="FN647" s="75"/>
      <c r="FO647" s="75"/>
      <c r="FP647" s="75"/>
      <c r="FQ647" s="75"/>
      <c r="FR647" s="75"/>
      <c r="FS647" s="75"/>
      <c r="FT647" s="75"/>
      <c r="FU647" s="75"/>
      <c r="FV647" s="75"/>
      <c r="FW647" s="75"/>
      <c r="FX647" s="75"/>
      <c r="FY647" s="75"/>
      <c r="FZ647" s="75"/>
      <c r="GA647" s="75"/>
      <c r="GB647" s="75"/>
      <c r="GC647" s="75"/>
      <c r="GD647" s="75"/>
      <c r="GE647" s="75"/>
      <c r="GF647" s="75"/>
      <c r="GG647" s="75"/>
      <c r="GH647" s="75"/>
      <c r="GI647" s="75"/>
      <c r="GJ647" s="75"/>
      <c r="GK647" s="75"/>
      <c r="GL647" s="75"/>
      <c r="GM647" s="75"/>
      <c r="GN647" s="75"/>
      <c r="GO647" s="75"/>
      <c r="GP647" s="75"/>
      <c r="GQ647" s="75"/>
      <c r="GR647" s="75"/>
      <c r="GS647" s="75"/>
      <c r="GT647" s="75"/>
      <c r="GU647" s="75"/>
      <c r="GV647" s="75"/>
      <c r="GW647" s="75"/>
      <c r="GX647" s="75"/>
      <c r="GY647" s="75"/>
      <c r="GZ647" s="75"/>
      <c r="HA647" s="75"/>
      <c r="HB647" s="75"/>
      <c r="HC647" s="75"/>
      <c r="HD647" s="75"/>
      <c r="HE647" s="75"/>
      <c r="HF647" s="75"/>
      <c r="HG647" s="75"/>
      <c r="HH647" s="75"/>
      <c r="HI647" s="75"/>
    </row>
    <row r="648" spans="1:217" s="156" customFormat="1" ht="39.75" customHeight="1" hidden="1">
      <c r="A648" s="72" t="s">
        <v>215</v>
      </c>
      <c r="B648" s="131"/>
      <c r="C648" s="131"/>
      <c r="D648" s="132">
        <v>30</v>
      </c>
      <c r="E648" s="133"/>
      <c r="F648" s="132">
        <v>30</v>
      </c>
      <c r="G648" s="132">
        <v>30</v>
      </c>
      <c r="H648" s="133"/>
      <c r="I648" s="133"/>
      <c r="J648" s="132">
        <v>30</v>
      </c>
      <c r="K648" s="133"/>
      <c r="L648" s="133"/>
      <c r="M648" s="133"/>
      <c r="N648" s="132">
        <v>30</v>
      </c>
      <c r="O648" s="133"/>
      <c r="P648" s="132">
        <v>30</v>
      </c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5"/>
      <c r="CJ648" s="75"/>
      <c r="CK648" s="75"/>
      <c r="CL648" s="75"/>
      <c r="CM648" s="75"/>
      <c r="CN648" s="75"/>
      <c r="CO648" s="75"/>
      <c r="CP648" s="75"/>
      <c r="CQ648" s="75"/>
      <c r="CR648" s="75"/>
      <c r="CS648" s="75"/>
      <c r="CT648" s="75"/>
      <c r="CU648" s="75"/>
      <c r="CV648" s="75"/>
      <c r="CW648" s="75"/>
      <c r="CX648" s="75"/>
      <c r="CY648" s="75"/>
      <c r="CZ648" s="75"/>
      <c r="DA648" s="75"/>
      <c r="DB648" s="75"/>
      <c r="DC648" s="75"/>
      <c r="DD648" s="75"/>
      <c r="DE648" s="75"/>
      <c r="DF648" s="75"/>
      <c r="DG648" s="75"/>
      <c r="DH648" s="75"/>
      <c r="DI648" s="75"/>
      <c r="DJ648" s="75"/>
      <c r="DK648" s="75"/>
      <c r="DL648" s="75"/>
      <c r="DM648" s="75"/>
      <c r="DN648" s="75"/>
      <c r="DO648" s="75"/>
      <c r="DP648" s="75"/>
      <c r="DQ648" s="75"/>
      <c r="DR648" s="75"/>
      <c r="DS648" s="75"/>
      <c r="DT648" s="75"/>
      <c r="DU648" s="75"/>
      <c r="DV648" s="75"/>
      <c r="DW648" s="75"/>
      <c r="DX648" s="75"/>
      <c r="DY648" s="75"/>
      <c r="DZ648" s="75"/>
      <c r="EA648" s="75"/>
      <c r="EB648" s="75"/>
      <c r="EC648" s="75"/>
      <c r="ED648" s="75"/>
      <c r="EE648" s="75"/>
      <c r="EF648" s="75"/>
      <c r="EG648" s="75"/>
      <c r="EH648" s="75"/>
      <c r="EI648" s="75"/>
      <c r="EJ648" s="75"/>
      <c r="EK648" s="75"/>
      <c r="EL648" s="75"/>
      <c r="EM648" s="75"/>
      <c r="EN648" s="75"/>
      <c r="EO648" s="75"/>
      <c r="EP648" s="75"/>
      <c r="EQ648" s="75"/>
      <c r="ER648" s="75"/>
      <c r="ES648" s="75"/>
      <c r="ET648" s="75"/>
      <c r="EU648" s="75"/>
      <c r="EV648" s="75"/>
      <c r="EW648" s="75"/>
      <c r="EX648" s="75"/>
      <c r="EY648" s="75"/>
      <c r="EZ648" s="75"/>
      <c r="FA648" s="75"/>
      <c r="FB648" s="75"/>
      <c r="FC648" s="75"/>
      <c r="FD648" s="75"/>
      <c r="FE648" s="75"/>
      <c r="FF648" s="75"/>
      <c r="FG648" s="75"/>
      <c r="FH648" s="75"/>
      <c r="FI648" s="75"/>
      <c r="FJ648" s="75"/>
      <c r="FK648" s="75"/>
      <c r="FL648" s="75"/>
      <c r="FM648" s="75"/>
      <c r="FN648" s="75"/>
      <c r="FO648" s="75"/>
      <c r="FP648" s="75"/>
      <c r="FQ648" s="75"/>
      <c r="FR648" s="75"/>
      <c r="FS648" s="75"/>
      <c r="FT648" s="75"/>
      <c r="FU648" s="75"/>
      <c r="FV648" s="75"/>
      <c r="FW648" s="75"/>
      <c r="FX648" s="75"/>
      <c r="FY648" s="75"/>
      <c r="FZ648" s="75"/>
      <c r="GA648" s="75"/>
      <c r="GB648" s="75"/>
      <c r="GC648" s="75"/>
      <c r="GD648" s="75"/>
      <c r="GE648" s="75"/>
      <c r="GF648" s="75"/>
      <c r="GG648" s="75"/>
      <c r="GH648" s="75"/>
      <c r="GI648" s="75"/>
      <c r="GJ648" s="75"/>
      <c r="GK648" s="75"/>
      <c r="GL648" s="75"/>
      <c r="GM648" s="75"/>
      <c r="GN648" s="75"/>
      <c r="GO648" s="75"/>
      <c r="GP648" s="75"/>
      <c r="GQ648" s="75"/>
      <c r="GR648" s="75"/>
      <c r="GS648" s="75"/>
      <c r="GT648" s="75"/>
      <c r="GU648" s="75"/>
      <c r="GV648" s="75"/>
      <c r="GW648" s="75"/>
      <c r="GX648" s="75"/>
      <c r="GY648" s="75"/>
      <c r="GZ648" s="75"/>
      <c r="HA648" s="75"/>
      <c r="HB648" s="75"/>
      <c r="HC648" s="75"/>
      <c r="HD648" s="75"/>
      <c r="HE648" s="75"/>
      <c r="HF648" s="75"/>
      <c r="HG648" s="75"/>
      <c r="HH648" s="75"/>
      <c r="HI648" s="75"/>
    </row>
    <row r="649" spans="1:217" s="156" customFormat="1" ht="36" customHeight="1" hidden="1">
      <c r="A649" s="72" t="s">
        <v>216</v>
      </c>
      <c r="B649" s="131"/>
      <c r="C649" s="131"/>
      <c r="D649" s="132">
        <v>90</v>
      </c>
      <c r="E649" s="132"/>
      <c r="F649" s="132">
        <v>90</v>
      </c>
      <c r="G649" s="132">
        <v>90</v>
      </c>
      <c r="H649" s="132"/>
      <c r="I649" s="132"/>
      <c r="J649" s="132">
        <v>90</v>
      </c>
      <c r="K649" s="132"/>
      <c r="L649" s="132"/>
      <c r="M649" s="132"/>
      <c r="N649" s="132">
        <v>90</v>
      </c>
      <c r="O649" s="132"/>
      <c r="P649" s="132">
        <v>90</v>
      </c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5"/>
      <c r="CJ649" s="75"/>
      <c r="CK649" s="75"/>
      <c r="CL649" s="75"/>
      <c r="CM649" s="75"/>
      <c r="CN649" s="75"/>
      <c r="CO649" s="75"/>
      <c r="CP649" s="75"/>
      <c r="CQ649" s="75"/>
      <c r="CR649" s="75"/>
      <c r="CS649" s="75"/>
      <c r="CT649" s="75"/>
      <c r="CU649" s="75"/>
      <c r="CV649" s="75"/>
      <c r="CW649" s="75"/>
      <c r="CX649" s="75"/>
      <c r="CY649" s="75"/>
      <c r="CZ649" s="75"/>
      <c r="DA649" s="75"/>
      <c r="DB649" s="75"/>
      <c r="DC649" s="75"/>
      <c r="DD649" s="75"/>
      <c r="DE649" s="75"/>
      <c r="DF649" s="75"/>
      <c r="DG649" s="75"/>
      <c r="DH649" s="75"/>
      <c r="DI649" s="75"/>
      <c r="DJ649" s="75"/>
      <c r="DK649" s="75"/>
      <c r="DL649" s="75"/>
      <c r="DM649" s="75"/>
      <c r="DN649" s="75"/>
      <c r="DO649" s="75"/>
      <c r="DP649" s="75"/>
      <c r="DQ649" s="75"/>
      <c r="DR649" s="75"/>
      <c r="DS649" s="75"/>
      <c r="DT649" s="75"/>
      <c r="DU649" s="75"/>
      <c r="DV649" s="75"/>
      <c r="DW649" s="75"/>
      <c r="DX649" s="75"/>
      <c r="DY649" s="75"/>
      <c r="DZ649" s="75"/>
      <c r="EA649" s="75"/>
      <c r="EB649" s="75"/>
      <c r="EC649" s="75"/>
      <c r="ED649" s="75"/>
      <c r="EE649" s="75"/>
      <c r="EF649" s="75"/>
      <c r="EG649" s="75"/>
      <c r="EH649" s="75"/>
      <c r="EI649" s="75"/>
      <c r="EJ649" s="75"/>
      <c r="EK649" s="75"/>
      <c r="EL649" s="75"/>
      <c r="EM649" s="75"/>
      <c r="EN649" s="75"/>
      <c r="EO649" s="75"/>
      <c r="EP649" s="75"/>
      <c r="EQ649" s="75"/>
      <c r="ER649" s="75"/>
      <c r="ES649" s="75"/>
      <c r="ET649" s="75"/>
      <c r="EU649" s="75"/>
      <c r="EV649" s="75"/>
      <c r="EW649" s="75"/>
      <c r="EX649" s="75"/>
      <c r="EY649" s="75"/>
      <c r="EZ649" s="75"/>
      <c r="FA649" s="75"/>
      <c r="FB649" s="75"/>
      <c r="FC649" s="75"/>
      <c r="FD649" s="75"/>
      <c r="FE649" s="75"/>
      <c r="FF649" s="75"/>
      <c r="FG649" s="75"/>
      <c r="FH649" s="75"/>
      <c r="FI649" s="75"/>
      <c r="FJ649" s="75"/>
      <c r="FK649" s="75"/>
      <c r="FL649" s="75"/>
      <c r="FM649" s="75"/>
      <c r="FN649" s="75"/>
      <c r="FO649" s="75"/>
      <c r="FP649" s="75"/>
      <c r="FQ649" s="75"/>
      <c r="FR649" s="75"/>
      <c r="FS649" s="75"/>
      <c r="FT649" s="75"/>
      <c r="FU649" s="75"/>
      <c r="FV649" s="75"/>
      <c r="FW649" s="75"/>
      <c r="FX649" s="75"/>
      <c r="FY649" s="75"/>
      <c r="FZ649" s="75"/>
      <c r="GA649" s="75"/>
      <c r="GB649" s="75"/>
      <c r="GC649" s="75"/>
      <c r="GD649" s="75"/>
      <c r="GE649" s="75"/>
      <c r="GF649" s="75"/>
      <c r="GG649" s="75"/>
      <c r="GH649" s="75"/>
      <c r="GI649" s="75"/>
      <c r="GJ649" s="75"/>
      <c r="GK649" s="75"/>
      <c r="GL649" s="75"/>
      <c r="GM649" s="75"/>
      <c r="GN649" s="75"/>
      <c r="GO649" s="75"/>
      <c r="GP649" s="75"/>
      <c r="GQ649" s="75"/>
      <c r="GR649" s="75"/>
      <c r="GS649" s="75"/>
      <c r="GT649" s="75"/>
      <c r="GU649" s="75"/>
      <c r="GV649" s="75"/>
      <c r="GW649" s="75"/>
      <c r="GX649" s="75"/>
      <c r="GY649" s="75"/>
      <c r="GZ649" s="75"/>
      <c r="HA649" s="75"/>
      <c r="HB649" s="75"/>
      <c r="HC649" s="75"/>
      <c r="HD649" s="75"/>
      <c r="HE649" s="75"/>
      <c r="HF649" s="75"/>
      <c r="HG649" s="75"/>
      <c r="HH649" s="75"/>
      <c r="HI649" s="75"/>
    </row>
    <row r="650" spans="1:217" s="156" customFormat="1" ht="31.5" customHeight="1" hidden="1">
      <c r="A650" s="72" t="s">
        <v>217</v>
      </c>
      <c r="B650" s="131"/>
      <c r="C650" s="131"/>
      <c r="D650" s="132">
        <v>12</v>
      </c>
      <c r="E650" s="132"/>
      <c r="F650" s="132">
        <f>D650</f>
        <v>12</v>
      </c>
      <c r="G650" s="132">
        <v>12</v>
      </c>
      <c r="H650" s="133"/>
      <c r="I650" s="133"/>
      <c r="J650" s="132">
        <v>12</v>
      </c>
      <c r="K650" s="133"/>
      <c r="L650" s="133"/>
      <c r="M650" s="133"/>
      <c r="N650" s="132">
        <v>12</v>
      </c>
      <c r="O650" s="133"/>
      <c r="P650" s="132">
        <v>12</v>
      </c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5"/>
      <c r="CJ650" s="75"/>
      <c r="CK650" s="75"/>
      <c r="CL650" s="75"/>
      <c r="CM650" s="75"/>
      <c r="CN650" s="75"/>
      <c r="CO650" s="75"/>
      <c r="CP650" s="75"/>
      <c r="CQ650" s="75"/>
      <c r="CR650" s="75"/>
      <c r="CS650" s="75"/>
      <c r="CT650" s="75"/>
      <c r="CU650" s="75"/>
      <c r="CV650" s="75"/>
      <c r="CW650" s="75"/>
      <c r="CX650" s="75"/>
      <c r="CY650" s="75"/>
      <c r="CZ650" s="75"/>
      <c r="DA650" s="75"/>
      <c r="DB650" s="75"/>
      <c r="DC650" s="75"/>
      <c r="DD650" s="75"/>
      <c r="DE650" s="75"/>
      <c r="DF650" s="75"/>
      <c r="DG650" s="75"/>
      <c r="DH650" s="75"/>
      <c r="DI650" s="75"/>
      <c r="DJ650" s="75"/>
      <c r="DK650" s="75"/>
      <c r="DL650" s="75"/>
      <c r="DM650" s="75"/>
      <c r="DN650" s="75"/>
      <c r="DO650" s="75"/>
      <c r="DP650" s="75"/>
      <c r="DQ650" s="75"/>
      <c r="DR650" s="75"/>
      <c r="DS650" s="75"/>
      <c r="DT650" s="75"/>
      <c r="DU650" s="75"/>
      <c r="DV650" s="75"/>
      <c r="DW650" s="75"/>
      <c r="DX650" s="75"/>
      <c r="DY650" s="75"/>
      <c r="DZ650" s="75"/>
      <c r="EA650" s="75"/>
      <c r="EB650" s="75"/>
      <c r="EC650" s="75"/>
      <c r="ED650" s="75"/>
      <c r="EE650" s="75"/>
      <c r="EF650" s="75"/>
      <c r="EG650" s="75"/>
      <c r="EH650" s="75"/>
      <c r="EI650" s="75"/>
      <c r="EJ650" s="75"/>
      <c r="EK650" s="75"/>
      <c r="EL650" s="75"/>
      <c r="EM650" s="75"/>
      <c r="EN650" s="75"/>
      <c r="EO650" s="75"/>
      <c r="EP650" s="75"/>
      <c r="EQ650" s="75"/>
      <c r="ER650" s="75"/>
      <c r="ES650" s="75"/>
      <c r="ET650" s="75"/>
      <c r="EU650" s="75"/>
      <c r="EV650" s="75"/>
      <c r="EW650" s="75"/>
      <c r="EX650" s="75"/>
      <c r="EY650" s="75"/>
      <c r="EZ650" s="75"/>
      <c r="FA650" s="75"/>
      <c r="FB650" s="75"/>
      <c r="FC650" s="75"/>
      <c r="FD650" s="75"/>
      <c r="FE650" s="75"/>
      <c r="FF650" s="75"/>
      <c r="FG650" s="75"/>
      <c r="FH650" s="75"/>
      <c r="FI650" s="75"/>
      <c r="FJ650" s="75"/>
      <c r="FK650" s="75"/>
      <c r="FL650" s="75"/>
      <c r="FM650" s="75"/>
      <c r="FN650" s="75"/>
      <c r="FO650" s="75"/>
      <c r="FP650" s="75"/>
      <c r="FQ650" s="75"/>
      <c r="FR650" s="75"/>
      <c r="FS650" s="75"/>
      <c r="FT650" s="75"/>
      <c r="FU650" s="75"/>
      <c r="FV650" s="75"/>
      <c r="FW650" s="75"/>
      <c r="FX650" s="75"/>
      <c r="FY650" s="75"/>
      <c r="FZ650" s="75"/>
      <c r="GA650" s="75"/>
      <c r="GB650" s="75"/>
      <c r="GC650" s="75"/>
      <c r="GD650" s="75"/>
      <c r="GE650" s="75"/>
      <c r="GF650" s="75"/>
      <c r="GG650" s="75"/>
      <c r="GH650" s="75"/>
      <c r="GI650" s="75"/>
      <c r="GJ650" s="75"/>
      <c r="GK650" s="75"/>
      <c r="GL650" s="75"/>
      <c r="GM650" s="75"/>
      <c r="GN650" s="75"/>
      <c r="GO650" s="75"/>
      <c r="GP650" s="75"/>
      <c r="GQ650" s="75"/>
      <c r="GR650" s="75"/>
      <c r="GS650" s="75"/>
      <c r="GT650" s="75"/>
      <c r="GU650" s="75"/>
      <c r="GV650" s="75"/>
      <c r="GW650" s="75"/>
      <c r="GX650" s="75"/>
      <c r="GY650" s="75"/>
      <c r="GZ650" s="75"/>
      <c r="HA650" s="75"/>
      <c r="HB650" s="75"/>
      <c r="HC650" s="75"/>
      <c r="HD650" s="75"/>
      <c r="HE650" s="75"/>
      <c r="HF650" s="75"/>
      <c r="HG650" s="75"/>
      <c r="HH650" s="75"/>
      <c r="HI650" s="75"/>
    </row>
    <row r="651" spans="1:217" s="156" customFormat="1" ht="23.25" customHeight="1" hidden="1">
      <c r="A651" s="72" t="s">
        <v>218</v>
      </c>
      <c r="B651" s="131"/>
      <c r="C651" s="131"/>
      <c r="D651" s="132">
        <v>12</v>
      </c>
      <c r="E651" s="132"/>
      <c r="F651" s="132">
        <f>D651</f>
        <v>12</v>
      </c>
      <c r="G651" s="132">
        <v>12</v>
      </c>
      <c r="H651" s="132"/>
      <c r="I651" s="132"/>
      <c r="J651" s="132">
        <v>12</v>
      </c>
      <c r="K651" s="132"/>
      <c r="L651" s="132"/>
      <c r="M651" s="132"/>
      <c r="N651" s="132">
        <v>12</v>
      </c>
      <c r="O651" s="132"/>
      <c r="P651" s="132">
        <v>12</v>
      </c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5"/>
      <c r="CJ651" s="75"/>
      <c r="CK651" s="75"/>
      <c r="CL651" s="75"/>
      <c r="CM651" s="75"/>
      <c r="CN651" s="75"/>
      <c r="CO651" s="75"/>
      <c r="CP651" s="75"/>
      <c r="CQ651" s="75"/>
      <c r="CR651" s="75"/>
      <c r="CS651" s="75"/>
      <c r="CT651" s="75"/>
      <c r="CU651" s="75"/>
      <c r="CV651" s="75"/>
      <c r="CW651" s="75"/>
      <c r="CX651" s="75"/>
      <c r="CY651" s="75"/>
      <c r="CZ651" s="75"/>
      <c r="DA651" s="75"/>
      <c r="DB651" s="75"/>
      <c r="DC651" s="75"/>
      <c r="DD651" s="75"/>
      <c r="DE651" s="75"/>
      <c r="DF651" s="75"/>
      <c r="DG651" s="75"/>
      <c r="DH651" s="75"/>
      <c r="DI651" s="75"/>
      <c r="DJ651" s="75"/>
      <c r="DK651" s="75"/>
      <c r="DL651" s="75"/>
      <c r="DM651" s="75"/>
      <c r="DN651" s="75"/>
      <c r="DO651" s="75"/>
      <c r="DP651" s="75"/>
      <c r="DQ651" s="75"/>
      <c r="DR651" s="75"/>
      <c r="DS651" s="75"/>
      <c r="DT651" s="75"/>
      <c r="DU651" s="75"/>
      <c r="DV651" s="75"/>
      <c r="DW651" s="75"/>
      <c r="DX651" s="75"/>
      <c r="DY651" s="75"/>
      <c r="DZ651" s="75"/>
      <c r="EA651" s="75"/>
      <c r="EB651" s="75"/>
      <c r="EC651" s="75"/>
      <c r="ED651" s="75"/>
      <c r="EE651" s="75"/>
      <c r="EF651" s="75"/>
      <c r="EG651" s="75"/>
      <c r="EH651" s="75"/>
      <c r="EI651" s="75"/>
      <c r="EJ651" s="75"/>
      <c r="EK651" s="75"/>
      <c r="EL651" s="75"/>
      <c r="EM651" s="75"/>
      <c r="EN651" s="75"/>
      <c r="EO651" s="75"/>
      <c r="EP651" s="75"/>
      <c r="EQ651" s="75"/>
      <c r="ER651" s="75"/>
      <c r="ES651" s="75"/>
      <c r="ET651" s="75"/>
      <c r="EU651" s="75"/>
      <c r="EV651" s="75"/>
      <c r="EW651" s="75"/>
      <c r="EX651" s="75"/>
      <c r="EY651" s="75"/>
      <c r="EZ651" s="75"/>
      <c r="FA651" s="75"/>
      <c r="FB651" s="75"/>
      <c r="FC651" s="75"/>
      <c r="FD651" s="75"/>
      <c r="FE651" s="75"/>
      <c r="FF651" s="75"/>
      <c r="FG651" s="75"/>
      <c r="FH651" s="75"/>
      <c r="FI651" s="75"/>
      <c r="FJ651" s="75"/>
      <c r="FK651" s="75"/>
      <c r="FL651" s="75"/>
      <c r="FM651" s="75"/>
      <c r="FN651" s="75"/>
      <c r="FO651" s="75"/>
      <c r="FP651" s="75"/>
      <c r="FQ651" s="75"/>
      <c r="FR651" s="75"/>
      <c r="FS651" s="75"/>
      <c r="FT651" s="75"/>
      <c r="FU651" s="75"/>
      <c r="FV651" s="75"/>
      <c r="FW651" s="75"/>
      <c r="FX651" s="75"/>
      <c r="FY651" s="75"/>
      <c r="FZ651" s="75"/>
      <c r="GA651" s="75"/>
      <c r="GB651" s="75"/>
      <c r="GC651" s="75"/>
      <c r="GD651" s="75"/>
      <c r="GE651" s="75"/>
      <c r="GF651" s="75"/>
      <c r="GG651" s="75"/>
      <c r="GH651" s="75"/>
      <c r="GI651" s="75"/>
      <c r="GJ651" s="75"/>
      <c r="GK651" s="75"/>
      <c r="GL651" s="75"/>
      <c r="GM651" s="75"/>
      <c r="GN651" s="75"/>
      <c r="GO651" s="75"/>
      <c r="GP651" s="75"/>
      <c r="GQ651" s="75"/>
      <c r="GR651" s="75"/>
      <c r="GS651" s="75"/>
      <c r="GT651" s="75"/>
      <c r="GU651" s="75"/>
      <c r="GV651" s="75"/>
      <c r="GW651" s="75"/>
      <c r="GX651" s="75"/>
      <c r="GY651" s="75"/>
      <c r="GZ651" s="75"/>
      <c r="HA651" s="75"/>
      <c r="HB651" s="75"/>
      <c r="HC651" s="75"/>
      <c r="HD651" s="75"/>
      <c r="HE651" s="75"/>
      <c r="HF651" s="75"/>
      <c r="HG651" s="75"/>
      <c r="HH651" s="75"/>
      <c r="HI651" s="75"/>
    </row>
    <row r="652" spans="1:217" s="156" customFormat="1" ht="11.25" hidden="1">
      <c r="A652" s="128" t="s">
        <v>5</v>
      </c>
      <c r="B652" s="128"/>
      <c r="C652" s="128"/>
      <c r="D652" s="134"/>
      <c r="E652" s="130"/>
      <c r="F652" s="134"/>
      <c r="G652" s="134"/>
      <c r="H652" s="130"/>
      <c r="I652" s="130"/>
      <c r="J652" s="134"/>
      <c r="K652" s="122"/>
      <c r="L652" s="130"/>
      <c r="M652" s="130"/>
      <c r="N652" s="134"/>
      <c r="O652" s="130"/>
      <c r="P652" s="134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5"/>
      <c r="CJ652" s="75"/>
      <c r="CK652" s="75"/>
      <c r="CL652" s="75"/>
      <c r="CM652" s="75"/>
      <c r="CN652" s="75"/>
      <c r="CO652" s="75"/>
      <c r="CP652" s="75"/>
      <c r="CQ652" s="75"/>
      <c r="CR652" s="75"/>
      <c r="CS652" s="75"/>
      <c r="CT652" s="75"/>
      <c r="CU652" s="75"/>
      <c r="CV652" s="75"/>
      <c r="CW652" s="75"/>
      <c r="CX652" s="75"/>
      <c r="CY652" s="75"/>
      <c r="CZ652" s="75"/>
      <c r="DA652" s="75"/>
      <c r="DB652" s="75"/>
      <c r="DC652" s="75"/>
      <c r="DD652" s="75"/>
      <c r="DE652" s="75"/>
      <c r="DF652" s="75"/>
      <c r="DG652" s="75"/>
      <c r="DH652" s="75"/>
      <c r="DI652" s="75"/>
      <c r="DJ652" s="75"/>
      <c r="DK652" s="75"/>
      <c r="DL652" s="75"/>
      <c r="DM652" s="75"/>
      <c r="DN652" s="75"/>
      <c r="DO652" s="75"/>
      <c r="DP652" s="75"/>
      <c r="DQ652" s="75"/>
      <c r="DR652" s="75"/>
      <c r="DS652" s="75"/>
      <c r="DT652" s="75"/>
      <c r="DU652" s="75"/>
      <c r="DV652" s="75"/>
      <c r="DW652" s="75"/>
      <c r="DX652" s="75"/>
      <c r="DY652" s="75"/>
      <c r="DZ652" s="75"/>
      <c r="EA652" s="75"/>
      <c r="EB652" s="75"/>
      <c r="EC652" s="75"/>
      <c r="ED652" s="75"/>
      <c r="EE652" s="75"/>
      <c r="EF652" s="75"/>
      <c r="EG652" s="75"/>
      <c r="EH652" s="75"/>
      <c r="EI652" s="75"/>
      <c r="EJ652" s="75"/>
      <c r="EK652" s="75"/>
      <c r="EL652" s="75"/>
      <c r="EM652" s="75"/>
      <c r="EN652" s="75"/>
      <c r="EO652" s="75"/>
      <c r="EP652" s="75"/>
      <c r="EQ652" s="75"/>
      <c r="ER652" s="75"/>
      <c r="ES652" s="75"/>
      <c r="ET652" s="75"/>
      <c r="EU652" s="75"/>
      <c r="EV652" s="75"/>
      <c r="EW652" s="75"/>
      <c r="EX652" s="75"/>
      <c r="EY652" s="75"/>
      <c r="EZ652" s="75"/>
      <c r="FA652" s="75"/>
      <c r="FB652" s="75"/>
      <c r="FC652" s="75"/>
      <c r="FD652" s="75"/>
      <c r="FE652" s="75"/>
      <c r="FF652" s="75"/>
      <c r="FG652" s="75"/>
      <c r="FH652" s="75"/>
      <c r="FI652" s="75"/>
      <c r="FJ652" s="75"/>
      <c r="FK652" s="75"/>
      <c r="FL652" s="75"/>
      <c r="FM652" s="75"/>
      <c r="FN652" s="75"/>
      <c r="FO652" s="75"/>
      <c r="FP652" s="75"/>
      <c r="FQ652" s="75"/>
      <c r="FR652" s="75"/>
      <c r="FS652" s="75"/>
      <c r="FT652" s="75"/>
      <c r="FU652" s="75"/>
      <c r="FV652" s="75"/>
      <c r="FW652" s="75"/>
      <c r="FX652" s="75"/>
      <c r="FY652" s="75"/>
      <c r="FZ652" s="75"/>
      <c r="GA652" s="75"/>
      <c r="GB652" s="75"/>
      <c r="GC652" s="75"/>
      <c r="GD652" s="75"/>
      <c r="GE652" s="75"/>
      <c r="GF652" s="75"/>
      <c r="GG652" s="75"/>
      <c r="GH652" s="75"/>
      <c r="GI652" s="75"/>
      <c r="GJ652" s="75"/>
      <c r="GK652" s="75"/>
      <c r="GL652" s="75"/>
      <c r="GM652" s="75"/>
      <c r="GN652" s="75"/>
      <c r="GO652" s="75"/>
      <c r="GP652" s="75"/>
      <c r="GQ652" s="75"/>
      <c r="GR652" s="75"/>
      <c r="GS652" s="75"/>
      <c r="GT652" s="75"/>
      <c r="GU652" s="75"/>
      <c r="GV652" s="75"/>
      <c r="GW652" s="75"/>
      <c r="GX652" s="75"/>
      <c r="GY652" s="75"/>
      <c r="GZ652" s="75"/>
      <c r="HA652" s="75"/>
      <c r="HB652" s="75"/>
      <c r="HC652" s="75"/>
      <c r="HD652" s="75"/>
      <c r="HE652" s="75"/>
      <c r="HF652" s="75"/>
      <c r="HG652" s="75"/>
      <c r="HH652" s="75"/>
      <c r="HI652" s="75"/>
    </row>
    <row r="653" spans="1:217" s="156" customFormat="1" ht="39" customHeight="1" hidden="1">
      <c r="A653" s="131" t="s">
        <v>219</v>
      </c>
      <c r="B653" s="131"/>
      <c r="C653" s="131"/>
      <c r="D653" s="136">
        <v>300</v>
      </c>
      <c r="E653" s="129"/>
      <c r="F653" s="122">
        <f aca="true" t="shared" si="37" ref="F653:F658">D653</f>
        <v>300</v>
      </c>
      <c r="G653" s="136">
        <v>320</v>
      </c>
      <c r="H653" s="129"/>
      <c r="I653" s="129"/>
      <c r="J653" s="122">
        <f aca="true" t="shared" si="38" ref="J653:J658">G653</f>
        <v>320</v>
      </c>
      <c r="K653" s="137"/>
      <c r="L653" s="138"/>
      <c r="M653" s="139"/>
      <c r="N653" s="136">
        <v>340</v>
      </c>
      <c r="O653" s="129"/>
      <c r="P653" s="122">
        <f aca="true" t="shared" si="39" ref="P653:P658">N653</f>
        <v>340</v>
      </c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5"/>
      <c r="CJ653" s="75"/>
      <c r="CK653" s="75"/>
      <c r="CL653" s="75"/>
      <c r="CM653" s="75"/>
      <c r="CN653" s="75"/>
      <c r="CO653" s="75"/>
      <c r="CP653" s="75"/>
      <c r="CQ653" s="75"/>
      <c r="CR653" s="75"/>
      <c r="CS653" s="75"/>
      <c r="CT653" s="75"/>
      <c r="CU653" s="75"/>
      <c r="CV653" s="75"/>
      <c r="CW653" s="75"/>
      <c r="CX653" s="75"/>
      <c r="CY653" s="75"/>
      <c r="CZ653" s="75"/>
      <c r="DA653" s="75"/>
      <c r="DB653" s="75"/>
      <c r="DC653" s="75"/>
      <c r="DD653" s="75"/>
      <c r="DE653" s="75"/>
      <c r="DF653" s="75"/>
      <c r="DG653" s="75"/>
      <c r="DH653" s="75"/>
      <c r="DI653" s="75"/>
      <c r="DJ653" s="75"/>
      <c r="DK653" s="75"/>
      <c r="DL653" s="75"/>
      <c r="DM653" s="75"/>
      <c r="DN653" s="75"/>
      <c r="DO653" s="75"/>
      <c r="DP653" s="75"/>
      <c r="DQ653" s="75"/>
      <c r="DR653" s="75"/>
      <c r="DS653" s="75"/>
      <c r="DT653" s="75"/>
      <c r="DU653" s="75"/>
      <c r="DV653" s="75"/>
      <c r="DW653" s="75"/>
      <c r="DX653" s="75"/>
      <c r="DY653" s="75"/>
      <c r="DZ653" s="75"/>
      <c r="EA653" s="75"/>
      <c r="EB653" s="75"/>
      <c r="EC653" s="75"/>
      <c r="ED653" s="75"/>
      <c r="EE653" s="75"/>
      <c r="EF653" s="75"/>
      <c r="EG653" s="75"/>
      <c r="EH653" s="75"/>
      <c r="EI653" s="75"/>
      <c r="EJ653" s="75"/>
      <c r="EK653" s="75"/>
      <c r="EL653" s="75"/>
      <c r="EM653" s="75"/>
      <c r="EN653" s="75"/>
      <c r="EO653" s="75"/>
      <c r="EP653" s="75"/>
      <c r="EQ653" s="75"/>
      <c r="ER653" s="75"/>
      <c r="ES653" s="75"/>
      <c r="ET653" s="75"/>
      <c r="EU653" s="75"/>
      <c r="EV653" s="75"/>
      <c r="EW653" s="75"/>
      <c r="EX653" s="75"/>
      <c r="EY653" s="75"/>
      <c r="EZ653" s="75"/>
      <c r="FA653" s="75"/>
      <c r="FB653" s="75"/>
      <c r="FC653" s="75"/>
      <c r="FD653" s="75"/>
      <c r="FE653" s="75"/>
      <c r="FF653" s="75"/>
      <c r="FG653" s="75"/>
      <c r="FH653" s="75"/>
      <c r="FI653" s="75"/>
      <c r="FJ653" s="75"/>
      <c r="FK653" s="75"/>
      <c r="FL653" s="75"/>
      <c r="FM653" s="75"/>
      <c r="FN653" s="75"/>
      <c r="FO653" s="75"/>
      <c r="FP653" s="75"/>
      <c r="FQ653" s="75"/>
      <c r="FR653" s="75"/>
      <c r="FS653" s="75"/>
      <c r="FT653" s="75"/>
      <c r="FU653" s="75"/>
      <c r="FV653" s="75"/>
      <c r="FW653" s="75"/>
      <c r="FX653" s="75"/>
      <c r="FY653" s="75"/>
      <c r="FZ653" s="75"/>
      <c r="GA653" s="75"/>
      <c r="GB653" s="75"/>
      <c r="GC653" s="75"/>
      <c r="GD653" s="75"/>
      <c r="GE653" s="75"/>
      <c r="GF653" s="75"/>
      <c r="GG653" s="75"/>
      <c r="GH653" s="75"/>
      <c r="GI653" s="75"/>
      <c r="GJ653" s="75"/>
      <c r="GK653" s="75"/>
      <c r="GL653" s="75"/>
      <c r="GM653" s="75"/>
      <c r="GN653" s="75"/>
      <c r="GO653" s="75"/>
      <c r="GP653" s="75"/>
      <c r="GQ653" s="75"/>
      <c r="GR653" s="75"/>
      <c r="GS653" s="75"/>
      <c r="GT653" s="75"/>
      <c r="GU653" s="75"/>
      <c r="GV653" s="75"/>
      <c r="GW653" s="75"/>
      <c r="GX653" s="75"/>
      <c r="GY653" s="75"/>
      <c r="GZ653" s="75"/>
      <c r="HA653" s="75"/>
      <c r="HB653" s="75"/>
      <c r="HC653" s="75"/>
      <c r="HD653" s="75"/>
      <c r="HE653" s="75"/>
      <c r="HF653" s="75"/>
      <c r="HG653" s="75"/>
      <c r="HH653" s="75"/>
      <c r="HI653" s="75"/>
    </row>
    <row r="654" spans="1:217" s="156" customFormat="1" ht="33.75" hidden="1">
      <c r="A654" s="131" t="s">
        <v>220</v>
      </c>
      <c r="B654" s="131"/>
      <c r="C654" s="131"/>
      <c r="D654" s="136">
        <v>940</v>
      </c>
      <c r="E654" s="129"/>
      <c r="F654" s="122">
        <f t="shared" si="37"/>
        <v>940</v>
      </c>
      <c r="G654" s="136">
        <v>1000</v>
      </c>
      <c r="H654" s="129"/>
      <c r="I654" s="129"/>
      <c r="J654" s="122">
        <f t="shared" si="38"/>
        <v>1000</v>
      </c>
      <c r="K654" s="122"/>
      <c r="L654" s="129"/>
      <c r="M654" s="136"/>
      <c r="N654" s="136">
        <v>1060</v>
      </c>
      <c r="O654" s="129"/>
      <c r="P654" s="122">
        <f t="shared" si="39"/>
        <v>1060</v>
      </c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5"/>
      <c r="CJ654" s="75"/>
      <c r="CK654" s="75"/>
      <c r="CL654" s="75"/>
      <c r="CM654" s="75"/>
      <c r="CN654" s="75"/>
      <c r="CO654" s="75"/>
      <c r="CP654" s="75"/>
      <c r="CQ654" s="75"/>
      <c r="CR654" s="75"/>
      <c r="CS654" s="75"/>
      <c r="CT654" s="75"/>
      <c r="CU654" s="75"/>
      <c r="CV654" s="75"/>
      <c r="CW654" s="75"/>
      <c r="CX654" s="75"/>
      <c r="CY654" s="75"/>
      <c r="CZ654" s="75"/>
      <c r="DA654" s="75"/>
      <c r="DB654" s="75"/>
      <c r="DC654" s="75"/>
      <c r="DD654" s="75"/>
      <c r="DE654" s="75"/>
      <c r="DF654" s="75"/>
      <c r="DG654" s="75"/>
      <c r="DH654" s="75"/>
      <c r="DI654" s="75"/>
      <c r="DJ654" s="75"/>
      <c r="DK654" s="75"/>
      <c r="DL654" s="75"/>
      <c r="DM654" s="75"/>
      <c r="DN654" s="75"/>
      <c r="DO654" s="75"/>
      <c r="DP654" s="75"/>
      <c r="DQ654" s="75"/>
      <c r="DR654" s="75"/>
      <c r="DS654" s="75"/>
      <c r="DT654" s="75"/>
      <c r="DU654" s="75"/>
      <c r="DV654" s="75"/>
      <c r="DW654" s="75"/>
      <c r="DX654" s="75"/>
      <c r="DY654" s="75"/>
      <c r="DZ654" s="75"/>
      <c r="EA654" s="75"/>
      <c r="EB654" s="75"/>
      <c r="EC654" s="75"/>
      <c r="ED654" s="75"/>
      <c r="EE654" s="75"/>
      <c r="EF654" s="75"/>
      <c r="EG654" s="75"/>
      <c r="EH654" s="75"/>
      <c r="EI654" s="75"/>
      <c r="EJ654" s="75"/>
      <c r="EK654" s="75"/>
      <c r="EL654" s="75"/>
      <c r="EM654" s="75"/>
      <c r="EN654" s="75"/>
      <c r="EO654" s="75"/>
      <c r="EP654" s="75"/>
      <c r="EQ654" s="75"/>
      <c r="ER654" s="75"/>
      <c r="ES654" s="75"/>
      <c r="ET654" s="75"/>
      <c r="EU654" s="75"/>
      <c r="EV654" s="75"/>
      <c r="EW654" s="75"/>
      <c r="EX654" s="75"/>
      <c r="EY654" s="75"/>
      <c r="EZ654" s="75"/>
      <c r="FA654" s="75"/>
      <c r="FB654" s="75"/>
      <c r="FC654" s="75"/>
      <c r="FD654" s="75"/>
      <c r="FE654" s="75"/>
      <c r="FF654" s="75"/>
      <c r="FG654" s="75"/>
      <c r="FH654" s="75"/>
      <c r="FI654" s="75"/>
      <c r="FJ654" s="75"/>
      <c r="FK654" s="75"/>
      <c r="FL654" s="75"/>
      <c r="FM654" s="75"/>
      <c r="FN654" s="75"/>
      <c r="FO654" s="75"/>
      <c r="FP654" s="75"/>
      <c r="FQ654" s="75"/>
      <c r="FR654" s="75"/>
      <c r="FS654" s="75"/>
      <c r="FT654" s="75"/>
      <c r="FU654" s="75"/>
      <c r="FV654" s="75"/>
      <c r="FW654" s="75"/>
      <c r="FX654" s="75"/>
      <c r="FY654" s="75"/>
      <c r="FZ654" s="75"/>
      <c r="GA654" s="75"/>
      <c r="GB654" s="75"/>
      <c r="GC654" s="75"/>
      <c r="GD654" s="75"/>
      <c r="GE654" s="75"/>
      <c r="GF654" s="75"/>
      <c r="GG654" s="75"/>
      <c r="GH654" s="75"/>
      <c r="GI654" s="75"/>
      <c r="GJ654" s="75"/>
      <c r="GK654" s="75"/>
      <c r="GL654" s="75"/>
      <c r="GM654" s="75"/>
      <c r="GN654" s="75"/>
      <c r="GO654" s="75"/>
      <c r="GP654" s="75"/>
      <c r="GQ654" s="75"/>
      <c r="GR654" s="75"/>
      <c r="GS654" s="75"/>
      <c r="GT654" s="75"/>
      <c r="GU654" s="75"/>
      <c r="GV654" s="75"/>
      <c r="GW654" s="75"/>
      <c r="GX654" s="75"/>
      <c r="GY654" s="75"/>
      <c r="GZ654" s="75"/>
      <c r="HA654" s="75"/>
      <c r="HB654" s="75"/>
      <c r="HC654" s="75"/>
      <c r="HD654" s="75"/>
      <c r="HE654" s="75"/>
      <c r="HF654" s="75"/>
      <c r="HG654" s="75"/>
      <c r="HH654" s="75"/>
      <c r="HI654" s="75"/>
    </row>
    <row r="655" spans="1:217" s="156" customFormat="1" ht="33.75" hidden="1">
      <c r="A655" s="131" t="s">
        <v>221</v>
      </c>
      <c r="B655" s="131"/>
      <c r="C655" s="131"/>
      <c r="D655" s="136">
        <v>1665</v>
      </c>
      <c r="E655" s="129"/>
      <c r="F655" s="122">
        <f t="shared" si="37"/>
        <v>1665</v>
      </c>
      <c r="G655" s="136">
        <v>1775</v>
      </c>
      <c r="H655" s="129"/>
      <c r="I655" s="129"/>
      <c r="J655" s="122">
        <f t="shared" si="38"/>
        <v>1775</v>
      </c>
      <c r="K655" s="122"/>
      <c r="L655" s="129"/>
      <c r="M655" s="136"/>
      <c r="N655" s="136">
        <v>1880</v>
      </c>
      <c r="O655" s="129"/>
      <c r="P655" s="122">
        <f t="shared" si="39"/>
        <v>1880</v>
      </c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5"/>
      <c r="CJ655" s="75"/>
      <c r="CK655" s="75"/>
      <c r="CL655" s="75"/>
      <c r="CM655" s="75"/>
      <c r="CN655" s="75"/>
      <c r="CO655" s="75"/>
      <c r="CP655" s="75"/>
      <c r="CQ655" s="75"/>
      <c r="CR655" s="75"/>
      <c r="CS655" s="75"/>
      <c r="CT655" s="75"/>
      <c r="CU655" s="75"/>
      <c r="CV655" s="75"/>
      <c r="CW655" s="75"/>
      <c r="CX655" s="75"/>
      <c r="CY655" s="75"/>
      <c r="CZ655" s="75"/>
      <c r="DA655" s="75"/>
      <c r="DB655" s="75"/>
      <c r="DC655" s="75"/>
      <c r="DD655" s="75"/>
      <c r="DE655" s="75"/>
      <c r="DF655" s="75"/>
      <c r="DG655" s="75"/>
      <c r="DH655" s="75"/>
      <c r="DI655" s="75"/>
      <c r="DJ655" s="75"/>
      <c r="DK655" s="75"/>
      <c r="DL655" s="75"/>
      <c r="DM655" s="75"/>
      <c r="DN655" s="75"/>
      <c r="DO655" s="75"/>
      <c r="DP655" s="75"/>
      <c r="DQ655" s="75"/>
      <c r="DR655" s="75"/>
      <c r="DS655" s="75"/>
      <c r="DT655" s="75"/>
      <c r="DU655" s="75"/>
      <c r="DV655" s="75"/>
      <c r="DW655" s="75"/>
      <c r="DX655" s="75"/>
      <c r="DY655" s="75"/>
      <c r="DZ655" s="75"/>
      <c r="EA655" s="75"/>
      <c r="EB655" s="75"/>
      <c r="EC655" s="75"/>
      <c r="ED655" s="75"/>
      <c r="EE655" s="75"/>
      <c r="EF655" s="75"/>
      <c r="EG655" s="75"/>
      <c r="EH655" s="75"/>
      <c r="EI655" s="75"/>
      <c r="EJ655" s="75"/>
      <c r="EK655" s="75"/>
      <c r="EL655" s="75"/>
      <c r="EM655" s="75"/>
      <c r="EN655" s="75"/>
      <c r="EO655" s="75"/>
      <c r="EP655" s="75"/>
      <c r="EQ655" s="75"/>
      <c r="ER655" s="75"/>
      <c r="ES655" s="75"/>
      <c r="ET655" s="75"/>
      <c r="EU655" s="75"/>
      <c r="EV655" s="75"/>
      <c r="EW655" s="75"/>
      <c r="EX655" s="75"/>
      <c r="EY655" s="75"/>
      <c r="EZ655" s="75"/>
      <c r="FA655" s="75"/>
      <c r="FB655" s="75"/>
      <c r="FC655" s="75"/>
      <c r="FD655" s="75"/>
      <c r="FE655" s="75"/>
      <c r="FF655" s="75"/>
      <c r="FG655" s="75"/>
      <c r="FH655" s="75"/>
      <c r="FI655" s="75"/>
      <c r="FJ655" s="75"/>
      <c r="FK655" s="75"/>
      <c r="FL655" s="75"/>
      <c r="FM655" s="75"/>
      <c r="FN655" s="75"/>
      <c r="FO655" s="75"/>
      <c r="FP655" s="75"/>
      <c r="FQ655" s="75"/>
      <c r="FR655" s="75"/>
      <c r="FS655" s="75"/>
      <c r="FT655" s="75"/>
      <c r="FU655" s="75"/>
      <c r="FV655" s="75"/>
      <c r="FW655" s="75"/>
      <c r="FX655" s="75"/>
      <c r="FY655" s="75"/>
      <c r="FZ655" s="75"/>
      <c r="GA655" s="75"/>
      <c r="GB655" s="75"/>
      <c r="GC655" s="75"/>
      <c r="GD655" s="75"/>
      <c r="GE655" s="75"/>
      <c r="GF655" s="75"/>
      <c r="GG655" s="75"/>
      <c r="GH655" s="75"/>
      <c r="GI655" s="75"/>
      <c r="GJ655" s="75"/>
      <c r="GK655" s="75"/>
      <c r="GL655" s="75"/>
      <c r="GM655" s="75"/>
      <c r="GN655" s="75"/>
      <c r="GO655" s="75"/>
      <c r="GP655" s="75"/>
      <c r="GQ655" s="75"/>
      <c r="GR655" s="75"/>
      <c r="GS655" s="75"/>
      <c r="GT655" s="75"/>
      <c r="GU655" s="75"/>
      <c r="GV655" s="75"/>
      <c r="GW655" s="75"/>
      <c r="GX655" s="75"/>
      <c r="GY655" s="75"/>
      <c r="GZ655" s="75"/>
      <c r="HA655" s="75"/>
      <c r="HB655" s="75"/>
      <c r="HC655" s="75"/>
      <c r="HD655" s="75"/>
      <c r="HE655" s="75"/>
      <c r="HF655" s="75"/>
      <c r="HG655" s="75"/>
      <c r="HH655" s="75"/>
      <c r="HI655" s="75"/>
    </row>
    <row r="656" spans="1:217" s="156" customFormat="1" ht="33.75" hidden="1">
      <c r="A656" s="131" t="s">
        <v>222</v>
      </c>
      <c r="B656" s="131"/>
      <c r="C656" s="131"/>
      <c r="D656" s="136">
        <v>345</v>
      </c>
      <c r="E656" s="129"/>
      <c r="F656" s="122">
        <f t="shared" si="37"/>
        <v>345</v>
      </c>
      <c r="G656" s="136">
        <v>370</v>
      </c>
      <c r="H656" s="129"/>
      <c r="I656" s="129"/>
      <c r="J656" s="122">
        <f t="shared" si="38"/>
        <v>370</v>
      </c>
      <c r="K656" s="122"/>
      <c r="L656" s="129"/>
      <c r="M656" s="136"/>
      <c r="N656" s="136">
        <v>395</v>
      </c>
      <c r="O656" s="129"/>
      <c r="P656" s="122">
        <f t="shared" si="39"/>
        <v>395</v>
      </c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5"/>
      <c r="CJ656" s="75"/>
      <c r="CK656" s="75"/>
      <c r="CL656" s="75"/>
      <c r="CM656" s="75"/>
      <c r="CN656" s="75"/>
      <c r="CO656" s="75"/>
      <c r="CP656" s="75"/>
      <c r="CQ656" s="75"/>
      <c r="CR656" s="75"/>
      <c r="CS656" s="75"/>
      <c r="CT656" s="75"/>
      <c r="CU656" s="75"/>
      <c r="CV656" s="75"/>
      <c r="CW656" s="75"/>
      <c r="CX656" s="75"/>
      <c r="CY656" s="75"/>
      <c r="CZ656" s="75"/>
      <c r="DA656" s="75"/>
      <c r="DB656" s="75"/>
      <c r="DC656" s="75"/>
      <c r="DD656" s="75"/>
      <c r="DE656" s="75"/>
      <c r="DF656" s="75"/>
      <c r="DG656" s="75"/>
      <c r="DH656" s="75"/>
      <c r="DI656" s="75"/>
      <c r="DJ656" s="75"/>
      <c r="DK656" s="75"/>
      <c r="DL656" s="75"/>
      <c r="DM656" s="75"/>
      <c r="DN656" s="75"/>
      <c r="DO656" s="75"/>
      <c r="DP656" s="75"/>
      <c r="DQ656" s="75"/>
      <c r="DR656" s="75"/>
      <c r="DS656" s="75"/>
      <c r="DT656" s="75"/>
      <c r="DU656" s="75"/>
      <c r="DV656" s="75"/>
      <c r="DW656" s="75"/>
      <c r="DX656" s="75"/>
      <c r="DY656" s="75"/>
      <c r="DZ656" s="75"/>
      <c r="EA656" s="75"/>
      <c r="EB656" s="75"/>
      <c r="EC656" s="75"/>
      <c r="ED656" s="75"/>
      <c r="EE656" s="75"/>
      <c r="EF656" s="75"/>
      <c r="EG656" s="75"/>
      <c r="EH656" s="75"/>
      <c r="EI656" s="75"/>
      <c r="EJ656" s="75"/>
      <c r="EK656" s="75"/>
      <c r="EL656" s="75"/>
      <c r="EM656" s="75"/>
      <c r="EN656" s="75"/>
      <c r="EO656" s="75"/>
      <c r="EP656" s="75"/>
      <c r="EQ656" s="75"/>
      <c r="ER656" s="75"/>
      <c r="ES656" s="75"/>
      <c r="ET656" s="75"/>
      <c r="EU656" s="75"/>
      <c r="EV656" s="75"/>
      <c r="EW656" s="75"/>
      <c r="EX656" s="75"/>
      <c r="EY656" s="75"/>
      <c r="EZ656" s="75"/>
      <c r="FA656" s="75"/>
      <c r="FB656" s="75"/>
      <c r="FC656" s="75"/>
      <c r="FD656" s="75"/>
      <c r="FE656" s="75"/>
      <c r="FF656" s="75"/>
      <c r="FG656" s="75"/>
      <c r="FH656" s="75"/>
      <c r="FI656" s="75"/>
      <c r="FJ656" s="75"/>
      <c r="FK656" s="75"/>
      <c r="FL656" s="75"/>
      <c r="FM656" s="75"/>
      <c r="FN656" s="75"/>
      <c r="FO656" s="75"/>
      <c r="FP656" s="75"/>
      <c r="FQ656" s="75"/>
      <c r="FR656" s="75"/>
      <c r="FS656" s="75"/>
      <c r="FT656" s="75"/>
      <c r="FU656" s="75"/>
      <c r="FV656" s="75"/>
      <c r="FW656" s="75"/>
      <c r="FX656" s="75"/>
      <c r="FY656" s="75"/>
      <c r="FZ656" s="75"/>
      <c r="GA656" s="75"/>
      <c r="GB656" s="75"/>
      <c r="GC656" s="75"/>
      <c r="GD656" s="75"/>
      <c r="GE656" s="75"/>
      <c r="GF656" s="75"/>
      <c r="GG656" s="75"/>
      <c r="GH656" s="75"/>
      <c r="GI656" s="75"/>
      <c r="GJ656" s="75"/>
      <c r="GK656" s="75"/>
      <c r="GL656" s="75"/>
      <c r="GM656" s="75"/>
      <c r="GN656" s="75"/>
      <c r="GO656" s="75"/>
      <c r="GP656" s="75"/>
      <c r="GQ656" s="75"/>
      <c r="GR656" s="75"/>
      <c r="GS656" s="75"/>
      <c r="GT656" s="75"/>
      <c r="GU656" s="75"/>
      <c r="GV656" s="75"/>
      <c r="GW656" s="75"/>
      <c r="GX656" s="75"/>
      <c r="GY656" s="75"/>
      <c r="GZ656" s="75"/>
      <c r="HA656" s="75"/>
      <c r="HB656" s="75"/>
      <c r="HC656" s="75"/>
      <c r="HD656" s="75"/>
      <c r="HE656" s="75"/>
      <c r="HF656" s="75"/>
      <c r="HG656" s="75"/>
      <c r="HH656" s="75"/>
      <c r="HI656" s="75"/>
    </row>
    <row r="657" spans="1:217" s="156" customFormat="1" ht="23.25" customHeight="1" hidden="1">
      <c r="A657" s="131" t="s">
        <v>223</v>
      </c>
      <c r="B657" s="131"/>
      <c r="C657" s="131"/>
      <c r="D657" s="136">
        <v>635</v>
      </c>
      <c r="E657" s="129"/>
      <c r="F657" s="122">
        <f t="shared" si="37"/>
        <v>635</v>
      </c>
      <c r="G657" s="136">
        <v>680</v>
      </c>
      <c r="H657" s="129"/>
      <c r="I657" s="129"/>
      <c r="J657" s="122">
        <f t="shared" si="38"/>
        <v>680</v>
      </c>
      <c r="K657" s="122"/>
      <c r="L657" s="129"/>
      <c r="M657" s="136"/>
      <c r="N657" s="136">
        <v>720</v>
      </c>
      <c r="O657" s="129"/>
      <c r="P657" s="122">
        <f t="shared" si="39"/>
        <v>720</v>
      </c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5"/>
      <c r="CJ657" s="75"/>
      <c r="CK657" s="75"/>
      <c r="CL657" s="75"/>
      <c r="CM657" s="75"/>
      <c r="CN657" s="75"/>
      <c r="CO657" s="75"/>
      <c r="CP657" s="75"/>
      <c r="CQ657" s="75"/>
      <c r="CR657" s="75"/>
      <c r="CS657" s="75"/>
      <c r="CT657" s="75"/>
      <c r="CU657" s="75"/>
      <c r="CV657" s="75"/>
      <c r="CW657" s="75"/>
      <c r="CX657" s="75"/>
      <c r="CY657" s="75"/>
      <c r="CZ657" s="75"/>
      <c r="DA657" s="75"/>
      <c r="DB657" s="75"/>
      <c r="DC657" s="75"/>
      <c r="DD657" s="75"/>
      <c r="DE657" s="75"/>
      <c r="DF657" s="75"/>
      <c r="DG657" s="75"/>
      <c r="DH657" s="75"/>
      <c r="DI657" s="75"/>
      <c r="DJ657" s="75"/>
      <c r="DK657" s="75"/>
      <c r="DL657" s="75"/>
      <c r="DM657" s="75"/>
      <c r="DN657" s="75"/>
      <c r="DO657" s="75"/>
      <c r="DP657" s="75"/>
      <c r="DQ657" s="75"/>
      <c r="DR657" s="75"/>
      <c r="DS657" s="75"/>
      <c r="DT657" s="75"/>
      <c r="DU657" s="75"/>
      <c r="DV657" s="75"/>
      <c r="DW657" s="75"/>
      <c r="DX657" s="75"/>
      <c r="DY657" s="75"/>
      <c r="DZ657" s="75"/>
      <c r="EA657" s="75"/>
      <c r="EB657" s="75"/>
      <c r="EC657" s="75"/>
      <c r="ED657" s="75"/>
      <c r="EE657" s="75"/>
      <c r="EF657" s="75"/>
      <c r="EG657" s="75"/>
      <c r="EH657" s="75"/>
      <c r="EI657" s="75"/>
      <c r="EJ657" s="75"/>
      <c r="EK657" s="75"/>
      <c r="EL657" s="75"/>
      <c r="EM657" s="75"/>
      <c r="EN657" s="75"/>
      <c r="EO657" s="75"/>
      <c r="EP657" s="75"/>
      <c r="EQ657" s="75"/>
      <c r="ER657" s="75"/>
      <c r="ES657" s="75"/>
      <c r="ET657" s="75"/>
      <c r="EU657" s="75"/>
      <c r="EV657" s="75"/>
      <c r="EW657" s="75"/>
      <c r="EX657" s="75"/>
      <c r="EY657" s="75"/>
      <c r="EZ657" s="75"/>
      <c r="FA657" s="75"/>
      <c r="FB657" s="75"/>
      <c r="FC657" s="75"/>
      <c r="FD657" s="75"/>
      <c r="FE657" s="75"/>
      <c r="FF657" s="75"/>
      <c r="FG657" s="75"/>
      <c r="FH657" s="75"/>
      <c r="FI657" s="75"/>
      <c r="FJ657" s="75"/>
      <c r="FK657" s="75"/>
      <c r="FL657" s="75"/>
      <c r="FM657" s="75"/>
      <c r="FN657" s="75"/>
      <c r="FO657" s="75"/>
      <c r="FP657" s="75"/>
      <c r="FQ657" s="75"/>
      <c r="FR657" s="75"/>
      <c r="FS657" s="75"/>
      <c r="FT657" s="75"/>
      <c r="FU657" s="75"/>
      <c r="FV657" s="75"/>
      <c r="FW657" s="75"/>
      <c r="FX657" s="75"/>
      <c r="FY657" s="75"/>
      <c r="FZ657" s="75"/>
      <c r="GA657" s="75"/>
      <c r="GB657" s="75"/>
      <c r="GC657" s="75"/>
      <c r="GD657" s="75"/>
      <c r="GE657" s="75"/>
      <c r="GF657" s="75"/>
      <c r="GG657" s="75"/>
      <c r="GH657" s="75"/>
      <c r="GI657" s="75"/>
      <c r="GJ657" s="75"/>
      <c r="GK657" s="75"/>
      <c r="GL657" s="75"/>
      <c r="GM657" s="75"/>
      <c r="GN657" s="75"/>
      <c r="GO657" s="75"/>
      <c r="GP657" s="75"/>
      <c r="GQ657" s="75"/>
      <c r="GR657" s="75"/>
      <c r="GS657" s="75"/>
      <c r="GT657" s="75"/>
      <c r="GU657" s="75"/>
      <c r="GV657" s="75"/>
      <c r="GW657" s="75"/>
      <c r="GX657" s="75"/>
      <c r="GY657" s="75"/>
      <c r="GZ657" s="75"/>
      <c r="HA657" s="75"/>
      <c r="HB657" s="75"/>
      <c r="HC657" s="75"/>
      <c r="HD657" s="75"/>
      <c r="HE657" s="75"/>
      <c r="HF657" s="75"/>
      <c r="HG657" s="75"/>
      <c r="HH657" s="75"/>
      <c r="HI657" s="75"/>
    </row>
    <row r="658" spans="1:217" s="156" customFormat="1" ht="34.5" customHeight="1" hidden="1">
      <c r="A658" s="131" t="s">
        <v>224</v>
      </c>
      <c r="B658" s="131"/>
      <c r="C658" s="131"/>
      <c r="D658" s="136">
        <v>160</v>
      </c>
      <c r="E658" s="129"/>
      <c r="F658" s="122">
        <f t="shared" si="37"/>
        <v>160</v>
      </c>
      <c r="G658" s="136">
        <v>160</v>
      </c>
      <c r="H658" s="129"/>
      <c r="I658" s="136"/>
      <c r="J658" s="122">
        <f t="shared" si="38"/>
        <v>160</v>
      </c>
      <c r="K658" s="122"/>
      <c r="L658" s="129"/>
      <c r="M658" s="136"/>
      <c r="N658" s="136">
        <v>160</v>
      </c>
      <c r="O658" s="129"/>
      <c r="P658" s="122">
        <f t="shared" si="39"/>
        <v>160</v>
      </c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5"/>
      <c r="CJ658" s="75"/>
      <c r="CK658" s="75"/>
      <c r="CL658" s="75"/>
      <c r="CM658" s="75"/>
      <c r="CN658" s="75"/>
      <c r="CO658" s="75"/>
      <c r="CP658" s="75"/>
      <c r="CQ658" s="75"/>
      <c r="CR658" s="75"/>
      <c r="CS658" s="75"/>
      <c r="CT658" s="75"/>
      <c r="CU658" s="75"/>
      <c r="CV658" s="75"/>
      <c r="CW658" s="75"/>
      <c r="CX658" s="75"/>
      <c r="CY658" s="75"/>
      <c r="CZ658" s="75"/>
      <c r="DA658" s="75"/>
      <c r="DB658" s="75"/>
      <c r="DC658" s="75"/>
      <c r="DD658" s="75"/>
      <c r="DE658" s="75"/>
      <c r="DF658" s="75"/>
      <c r="DG658" s="75"/>
      <c r="DH658" s="75"/>
      <c r="DI658" s="75"/>
      <c r="DJ658" s="75"/>
      <c r="DK658" s="75"/>
      <c r="DL658" s="75"/>
      <c r="DM658" s="75"/>
      <c r="DN658" s="75"/>
      <c r="DO658" s="75"/>
      <c r="DP658" s="75"/>
      <c r="DQ658" s="75"/>
      <c r="DR658" s="75"/>
      <c r="DS658" s="75"/>
      <c r="DT658" s="75"/>
      <c r="DU658" s="75"/>
      <c r="DV658" s="75"/>
      <c r="DW658" s="75"/>
      <c r="DX658" s="75"/>
      <c r="DY658" s="75"/>
      <c r="DZ658" s="75"/>
      <c r="EA658" s="75"/>
      <c r="EB658" s="75"/>
      <c r="EC658" s="75"/>
      <c r="ED658" s="75"/>
      <c r="EE658" s="75"/>
      <c r="EF658" s="75"/>
      <c r="EG658" s="75"/>
      <c r="EH658" s="75"/>
      <c r="EI658" s="75"/>
      <c r="EJ658" s="75"/>
      <c r="EK658" s="75"/>
      <c r="EL658" s="75"/>
      <c r="EM658" s="75"/>
      <c r="EN658" s="75"/>
      <c r="EO658" s="75"/>
      <c r="EP658" s="75"/>
      <c r="EQ658" s="75"/>
      <c r="ER658" s="75"/>
      <c r="ES658" s="75"/>
      <c r="ET658" s="75"/>
      <c r="EU658" s="75"/>
      <c r="EV658" s="75"/>
      <c r="EW658" s="75"/>
      <c r="EX658" s="75"/>
      <c r="EY658" s="75"/>
      <c r="EZ658" s="75"/>
      <c r="FA658" s="75"/>
      <c r="FB658" s="75"/>
      <c r="FC658" s="75"/>
      <c r="FD658" s="75"/>
      <c r="FE658" s="75"/>
      <c r="FF658" s="75"/>
      <c r="FG658" s="75"/>
      <c r="FH658" s="75"/>
      <c r="FI658" s="75"/>
      <c r="FJ658" s="75"/>
      <c r="FK658" s="75"/>
      <c r="FL658" s="75"/>
      <c r="FM658" s="75"/>
      <c r="FN658" s="75"/>
      <c r="FO658" s="75"/>
      <c r="FP658" s="75"/>
      <c r="FQ658" s="75"/>
      <c r="FR658" s="75"/>
      <c r="FS658" s="75"/>
      <c r="FT658" s="75"/>
      <c r="FU658" s="75"/>
      <c r="FV658" s="75"/>
      <c r="FW658" s="75"/>
      <c r="FX658" s="75"/>
      <c r="FY658" s="75"/>
      <c r="FZ658" s="75"/>
      <c r="GA658" s="75"/>
      <c r="GB658" s="75"/>
      <c r="GC658" s="75"/>
      <c r="GD658" s="75"/>
      <c r="GE658" s="75"/>
      <c r="GF658" s="75"/>
      <c r="GG658" s="75"/>
      <c r="GH658" s="75"/>
      <c r="GI658" s="75"/>
      <c r="GJ658" s="75"/>
      <c r="GK658" s="75"/>
      <c r="GL658" s="75"/>
      <c r="GM658" s="75"/>
      <c r="GN658" s="75"/>
      <c r="GO658" s="75"/>
      <c r="GP658" s="75"/>
      <c r="GQ658" s="75"/>
      <c r="GR658" s="75"/>
      <c r="GS658" s="75"/>
      <c r="GT658" s="75"/>
      <c r="GU658" s="75"/>
      <c r="GV658" s="75"/>
      <c r="GW658" s="75"/>
      <c r="GX658" s="75"/>
      <c r="GY658" s="75"/>
      <c r="GZ658" s="75"/>
      <c r="HA658" s="75"/>
      <c r="HB658" s="75"/>
      <c r="HC658" s="75"/>
      <c r="HD658" s="75"/>
      <c r="HE658" s="75"/>
      <c r="HF658" s="75"/>
      <c r="HG658" s="75"/>
      <c r="HH658" s="75"/>
      <c r="HI658" s="75"/>
    </row>
    <row r="659" spans="1:16" ht="75.75" customHeight="1" hidden="1">
      <c r="A659" s="123" t="s">
        <v>189</v>
      </c>
      <c r="B659" s="123"/>
      <c r="C659" s="123"/>
      <c r="D659" s="124"/>
      <c r="E659" s="124"/>
      <c r="F659" s="124"/>
      <c r="G659" s="124"/>
      <c r="H659" s="124"/>
      <c r="I659" s="124"/>
      <c r="J659" s="124"/>
      <c r="K659" s="122"/>
      <c r="L659" s="125"/>
      <c r="M659" s="124"/>
      <c r="N659" s="124"/>
      <c r="O659" s="124"/>
      <c r="P659" s="124"/>
    </row>
    <row r="660" spans="1:16" ht="71.25" customHeight="1" hidden="1">
      <c r="A660" s="126" t="s">
        <v>430</v>
      </c>
      <c r="B660" s="126"/>
      <c r="C660" s="126"/>
      <c r="D660" s="127"/>
      <c r="E660" s="127">
        <f>SUM(E662:E665)-8.5</f>
        <v>156200</v>
      </c>
      <c r="F660" s="127">
        <f>E660</f>
        <v>156200</v>
      </c>
      <c r="G660" s="127"/>
      <c r="H660" s="127">
        <f>SUM(H662:H665)</f>
        <v>563170</v>
      </c>
      <c r="I660" s="127"/>
      <c r="J660" s="127">
        <f>SUM(J662:J665)</f>
        <v>563170</v>
      </c>
      <c r="K660" s="122"/>
      <c r="L660" s="125"/>
      <c r="M660" s="125"/>
      <c r="N660" s="127"/>
      <c r="O660" s="127">
        <f>SUM(O662:O665)</f>
        <v>597180</v>
      </c>
      <c r="P660" s="127">
        <f>SUM(P662:P665)</f>
        <v>597180</v>
      </c>
    </row>
    <row r="661" spans="1:16" ht="21.75" customHeight="1" hidden="1">
      <c r="A661" s="128" t="s">
        <v>2</v>
      </c>
      <c r="B661" s="126"/>
      <c r="C661" s="126"/>
      <c r="D661" s="127"/>
      <c r="E661" s="127"/>
      <c r="F661" s="127"/>
      <c r="G661" s="127"/>
      <c r="H661" s="127"/>
      <c r="I661" s="127"/>
      <c r="J661" s="127"/>
      <c r="K661" s="127"/>
      <c r="L661" s="125"/>
      <c r="M661" s="125"/>
      <c r="N661" s="127"/>
      <c r="O661" s="127"/>
      <c r="P661" s="127"/>
    </row>
    <row r="662" spans="1:16" ht="39" customHeight="1" hidden="1">
      <c r="A662" s="72" t="s">
        <v>190</v>
      </c>
      <c r="B662" s="126"/>
      <c r="C662" s="126"/>
      <c r="D662" s="122"/>
      <c r="E662" s="122">
        <f>E667*E672</f>
        <v>114300</v>
      </c>
      <c r="F662" s="122">
        <f>F667*F672</f>
        <v>114300</v>
      </c>
      <c r="G662" s="122"/>
      <c r="H662" s="122">
        <f>H667*H672</f>
        <v>508750</v>
      </c>
      <c r="I662" s="127"/>
      <c r="J662" s="122">
        <f>J667*J672</f>
        <v>508750</v>
      </c>
      <c r="K662" s="127"/>
      <c r="L662" s="125"/>
      <c r="M662" s="125"/>
      <c r="N662" s="122"/>
      <c r="O662" s="122">
        <f>O667*O672</f>
        <v>540000</v>
      </c>
      <c r="P662" s="122">
        <f>P667*P672</f>
        <v>540000</v>
      </c>
    </row>
    <row r="663" spans="1:16" ht="21.75" customHeight="1" hidden="1">
      <c r="A663" s="72" t="s">
        <v>191</v>
      </c>
      <c r="B663" s="126"/>
      <c r="C663" s="126"/>
      <c r="D663" s="122"/>
      <c r="E663" s="122">
        <f aca="true" t="shared" si="40" ref="E663:F665">E668*E673</f>
        <v>13335</v>
      </c>
      <c r="F663" s="122">
        <f t="shared" si="40"/>
        <v>13335</v>
      </c>
      <c r="G663" s="122"/>
      <c r="H663" s="122">
        <f>H668*H673</f>
        <v>16320</v>
      </c>
      <c r="I663" s="127"/>
      <c r="J663" s="122">
        <f>J668*J673</f>
        <v>16320</v>
      </c>
      <c r="K663" s="127"/>
      <c r="L663" s="125"/>
      <c r="M663" s="125"/>
      <c r="N663" s="122"/>
      <c r="O663" s="122">
        <f aca="true" t="shared" si="41" ref="O663:P665">O668*O673</f>
        <v>17280</v>
      </c>
      <c r="P663" s="122">
        <f t="shared" si="41"/>
        <v>17280</v>
      </c>
    </row>
    <row r="664" spans="1:16" ht="39.75" customHeight="1" hidden="1">
      <c r="A664" s="72" t="s">
        <v>192</v>
      </c>
      <c r="B664" s="126"/>
      <c r="C664" s="126"/>
      <c r="D664" s="122"/>
      <c r="E664" s="122">
        <f t="shared" si="40"/>
        <v>24253.5</v>
      </c>
      <c r="F664" s="122">
        <f t="shared" si="40"/>
        <v>24253.5</v>
      </c>
      <c r="G664" s="122"/>
      <c r="H664" s="122">
        <f>H669*H674</f>
        <v>33300</v>
      </c>
      <c r="I664" s="127"/>
      <c r="J664" s="122">
        <f>J669*J674</f>
        <v>33300</v>
      </c>
      <c r="K664" s="127"/>
      <c r="L664" s="125"/>
      <c r="M664" s="125"/>
      <c r="N664" s="122"/>
      <c r="O664" s="122">
        <f t="shared" si="41"/>
        <v>35100</v>
      </c>
      <c r="P664" s="122">
        <f t="shared" si="41"/>
        <v>35100</v>
      </c>
    </row>
    <row r="665" spans="1:16" ht="41.25" customHeight="1" hidden="1">
      <c r="A665" s="72" t="s">
        <v>193</v>
      </c>
      <c r="B665" s="126"/>
      <c r="C665" s="126"/>
      <c r="D665" s="122"/>
      <c r="E665" s="122">
        <f t="shared" si="40"/>
        <v>4320</v>
      </c>
      <c r="F665" s="122">
        <f t="shared" si="40"/>
        <v>4320</v>
      </c>
      <c r="G665" s="122"/>
      <c r="H665" s="122">
        <f>H670*H675</f>
        <v>4800</v>
      </c>
      <c r="I665" s="122"/>
      <c r="J665" s="122">
        <f>J670*J675</f>
        <v>4800</v>
      </c>
      <c r="K665" s="122"/>
      <c r="L665" s="129"/>
      <c r="M665" s="129"/>
      <c r="N665" s="122"/>
      <c r="O665" s="122">
        <f t="shared" si="41"/>
        <v>4800</v>
      </c>
      <c r="P665" s="122">
        <f t="shared" si="41"/>
        <v>4800</v>
      </c>
    </row>
    <row r="666" spans="1:16" ht="21.75" customHeight="1" hidden="1">
      <c r="A666" s="128" t="s">
        <v>3</v>
      </c>
      <c r="B666" s="128"/>
      <c r="C666" s="128"/>
      <c r="D666" s="130"/>
      <c r="E666" s="130"/>
      <c r="F666" s="122"/>
      <c r="G666" s="130"/>
      <c r="H666" s="130"/>
      <c r="I666" s="130"/>
      <c r="J666" s="122"/>
      <c r="K666" s="122"/>
      <c r="L666" s="130"/>
      <c r="M666" s="130"/>
      <c r="N666" s="130"/>
      <c r="O666" s="130"/>
      <c r="P666" s="122"/>
    </row>
    <row r="667" spans="1:16" ht="39" customHeight="1" hidden="1">
      <c r="A667" s="72" t="s">
        <v>149</v>
      </c>
      <c r="B667" s="131"/>
      <c r="C667" s="131"/>
      <c r="D667" s="132"/>
      <c r="E667" s="132">
        <f>230-170</f>
        <v>60</v>
      </c>
      <c r="F667" s="132">
        <f>E667</f>
        <v>60</v>
      </c>
      <c r="G667" s="132"/>
      <c r="H667" s="132">
        <f>60+160+30</f>
        <v>250</v>
      </c>
      <c r="I667" s="132"/>
      <c r="J667" s="132">
        <f>60+160+30</f>
        <v>250</v>
      </c>
      <c r="K667" s="132"/>
      <c r="L667" s="132"/>
      <c r="M667" s="132"/>
      <c r="N667" s="132"/>
      <c r="O667" s="132">
        <f>60+160+30</f>
        <v>250</v>
      </c>
      <c r="P667" s="132">
        <f>60+160+30</f>
        <v>250</v>
      </c>
    </row>
    <row r="668" spans="1:16" ht="21.75" customHeight="1" hidden="1">
      <c r="A668" s="72" t="s">
        <v>150</v>
      </c>
      <c r="B668" s="131"/>
      <c r="C668" s="131"/>
      <c r="D668" s="132"/>
      <c r="E668" s="132">
        <f>24-3</f>
        <v>21</v>
      </c>
      <c r="F668" s="132">
        <f>E668</f>
        <v>21</v>
      </c>
      <c r="G668" s="132"/>
      <c r="H668" s="132">
        <v>24</v>
      </c>
      <c r="I668" s="133"/>
      <c r="J668" s="132">
        <v>24</v>
      </c>
      <c r="K668" s="133"/>
      <c r="L668" s="133"/>
      <c r="M668" s="133"/>
      <c r="N668" s="132"/>
      <c r="O668" s="132">
        <v>24</v>
      </c>
      <c r="P668" s="132">
        <v>24</v>
      </c>
    </row>
    <row r="669" spans="1:16" ht="36" customHeight="1" hidden="1">
      <c r="A669" s="72" t="s">
        <v>151</v>
      </c>
      <c r="B669" s="131"/>
      <c r="C669" s="131"/>
      <c r="D669" s="132"/>
      <c r="E669" s="132">
        <f>90-19.7</f>
        <v>70.3</v>
      </c>
      <c r="F669" s="132">
        <f>E669</f>
        <v>70.3</v>
      </c>
      <c r="G669" s="132"/>
      <c r="H669" s="132">
        <v>90</v>
      </c>
      <c r="I669" s="132"/>
      <c r="J669" s="132">
        <v>90</v>
      </c>
      <c r="K669" s="132"/>
      <c r="L669" s="132"/>
      <c r="M669" s="132"/>
      <c r="N669" s="132"/>
      <c r="O669" s="132">
        <v>90</v>
      </c>
      <c r="P669" s="132">
        <v>90</v>
      </c>
    </row>
    <row r="670" spans="1:16" ht="21.75" customHeight="1" hidden="1">
      <c r="A670" s="72" t="s">
        <v>152</v>
      </c>
      <c r="B670" s="131"/>
      <c r="C670" s="131"/>
      <c r="D670" s="132"/>
      <c r="E670" s="132">
        <f>30-3</f>
        <v>27</v>
      </c>
      <c r="F670" s="132">
        <f>E670</f>
        <v>27</v>
      </c>
      <c r="G670" s="132"/>
      <c r="H670" s="132">
        <v>30</v>
      </c>
      <c r="I670" s="132"/>
      <c r="J670" s="132">
        <v>30</v>
      </c>
      <c r="K670" s="132"/>
      <c r="L670" s="132"/>
      <c r="M670" s="132"/>
      <c r="N670" s="132"/>
      <c r="O670" s="132">
        <v>30</v>
      </c>
      <c r="P670" s="132">
        <v>30</v>
      </c>
    </row>
    <row r="671" spans="1:16" ht="21.75" customHeight="1" hidden="1">
      <c r="A671" s="128" t="s">
        <v>5</v>
      </c>
      <c r="B671" s="128"/>
      <c r="C671" s="128"/>
      <c r="D671" s="134"/>
      <c r="E671" s="135"/>
      <c r="F671" s="135"/>
      <c r="G671" s="134"/>
      <c r="H671" s="135"/>
      <c r="I671" s="130"/>
      <c r="J671" s="135"/>
      <c r="K671" s="122"/>
      <c r="L671" s="130"/>
      <c r="M671" s="130"/>
      <c r="N671" s="134"/>
      <c r="O671" s="135"/>
      <c r="P671" s="135"/>
    </row>
    <row r="672" spans="1:16" ht="24" customHeight="1" hidden="1">
      <c r="A672" s="131" t="s">
        <v>194</v>
      </c>
      <c r="B672" s="131"/>
      <c r="C672" s="131"/>
      <c r="D672" s="136"/>
      <c r="E672" s="122">
        <v>1905</v>
      </c>
      <c r="F672" s="122">
        <f>E672</f>
        <v>1905</v>
      </c>
      <c r="G672" s="136"/>
      <c r="H672" s="122">
        <v>2035</v>
      </c>
      <c r="I672" s="129"/>
      <c r="J672" s="122">
        <f>H672</f>
        <v>2035</v>
      </c>
      <c r="K672" s="137"/>
      <c r="L672" s="138"/>
      <c r="M672" s="139"/>
      <c r="N672" s="136"/>
      <c r="O672" s="122">
        <v>2160</v>
      </c>
      <c r="P672" s="122">
        <f>O672</f>
        <v>2160</v>
      </c>
    </row>
    <row r="673" spans="1:16" ht="26.25" customHeight="1" hidden="1">
      <c r="A673" s="131" t="s">
        <v>195</v>
      </c>
      <c r="B673" s="131"/>
      <c r="C673" s="131"/>
      <c r="D673" s="136"/>
      <c r="E673" s="136">
        <v>635</v>
      </c>
      <c r="F673" s="122">
        <f>E673</f>
        <v>635</v>
      </c>
      <c r="G673" s="136"/>
      <c r="H673" s="136">
        <v>680</v>
      </c>
      <c r="I673" s="129"/>
      <c r="J673" s="122">
        <f>H673</f>
        <v>680</v>
      </c>
      <c r="K673" s="122"/>
      <c r="L673" s="129"/>
      <c r="M673" s="136"/>
      <c r="N673" s="136"/>
      <c r="O673" s="136">
        <v>720</v>
      </c>
      <c r="P673" s="122">
        <f>O673</f>
        <v>720</v>
      </c>
    </row>
    <row r="674" spans="1:16" ht="35.25" customHeight="1" hidden="1">
      <c r="A674" s="131" t="s">
        <v>196</v>
      </c>
      <c r="B674" s="131"/>
      <c r="C674" s="131"/>
      <c r="D674" s="136"/>
      <c r="E674" s="136">
        <v>345</v>
      </c>
      <c r="F674" s="122">
        <f>E674</f>
        <v>345</v>
      </c>
      <c r="G674" s="136"/>
      <c r="H674" s="136">
        <v>370</v>
      </c>
      <c r="I674" s="129"/>
      <c r="J674" s="122">
        <f>H674</f>
        <v>370</v>
      </c>
      <c r="K674" s="122"/>
      <c r="L674" s="129"/>
      <c r="M674" s="136"/>
      <c r="N674" s="136"/>
      <c r="O674" s="136">
        <v>390</v>
      </c>
      <c r="P674" s="122">
        <f>O674</f>
        <v>390</v>
      </c>
    </row>
    <row r="675" spans="1:16" ht="30.75" customHeight="1" hidden="1">
      <c r="A675" s="140" t="s">
        <v>197</v>
      </c>
      <c r="B675" s="140"/>
      <c r="C675" s="140"/>
      <c r="D675" s="141"/>
      <c r="E675" s="141">
        <v>160</v>
      </c>
      <c r="F675" s="142">
        <f>E675</f>
        <v>160</v>
      </c>
      <c r="G675" s="141"/>
      <c r="H675" s="141">
        <v>160</v>
      </c>
      <c r="I675" s="141"/>
      <c r="J675" s="142">
        <f>H675</f>
        <v>160</v>
      </c>
      <c r="K675" s="142"/>
      <c r="L675" s="143"/>
      <c r="M675" s="141"/>
      <c r="N675" s="141"/>
      <c r="O675" s="141">
        <v>160</v>
      </c>
      <c r="P675" s="142">
        <f>O675</f>
        <v>160</v>
      </c>
    </row>
    <row r="676" spans="1:16" ht="45" hidden="1">
      <c r="A676" s="35" t="s">
        <v>198</v>
      </c>
      <c r="B676" s="144"/>
      <c r="C676" s="144"/>
      <c r="D676" s="145"/>
      <c r="E676" s="145">
        <f>E678</f>
        <v>67200</v>
      </c>
      <c r="F676" s="145">
        <f>E676</f>
        <v>67200</v>
      </c>
      <c r="G676" s="145"/>
      <c r="H676" s="145">
        <f>H678</f>
        <v>67200</v>
      </c>
      <c r="I676" s="145"/>
      <c r="J676" s="145">
        <f>H676</f>
        <v>67200</v>
      </c>
      <c r="K676" s="145"/>
      <c r="L676" s="146"/>
      <c r="M676" s="146"/>
      <c r="N676" s="145"/>
      <c r="O676" s="145">
        <f>O678</f>
        <v>67200</v>
      </c>
      <c r="P676" s="145">
        <f>O676</f>
        <v>67200</v>
      </c>
    </row>
    <row r="677" spans="1:16" ht="21.75" customHeight="1" hidden="1">
      <c r="A677" s="259" t="s">
        <v>2</v>
      </c>
      <c r="B677" s="144"/>
      <c r="C677" s="144"/>
      <c r="D677" s="145"/>
      <c r="E677" s="145"/>
      <c r="F677" s="145"/>
      <c r="G677" s="145"/>
      <c r="H677" s="145"/>
      <c r="I677" s="145"/>
      <c r="J677" s="145"/>
      <c r="K677" s="145"/>
      <c r="L677" s="146"/>
      <c r="M677" s="146"/>
      <c r="N677" s="145"/>
      <c r="O677" s="145"/>
      <c r="P677" s="145"/>
    </row>
    <row r="678" spans="1:16" ht="21.75" customHeight="1" hidden="1">
      <c r="A678" s="6" t="s">
        <v>199</v>
      </c>
      <c r="B678" s="144"/>
      <c r="C678" s="144"/>
      <c r="D678" s="148"/>
      <c r="E678" s="148">
        <f>E680*E682</f>
        <v>67200</v>
      </c>
      <c r="F678" s="148">
        <f>E678</f>
        <v>67200</v>
      </c>
      <c r="G678" s="148"/>
      <c r="H678" s="148">
        <f>H680*H682</f>
        <v>67200</v>
      </c>
      <c r="I678" s="149"/>
      <c r="J678" s="148">
        <f>H678</f>
        <v>67200</v>
      </c>
      <c r="K678" s="149"/>
      <c r="L678" s="150"/>
      <c r="M678" s="150"/>
      <c r="N678" s="148"/>
      <c r="O678" s="148">
        <f>O680*O682</f>
        <v>67200</v>
      </c>
      <c r="P678" s="148">
        <f>O678</f>
        <v>67200</v>
      </c>
    </row>
    <row r="679" spans="1:16" ht="15" customHeight="1" hidden="1">
      <c r="A679" s="259" t="s">
        <v>3</v>
      </c>
      <c r="B679" s="147"/>
      <c r="C679" s="147"/>
      <c r="D679" s="150"/>
      <c r="E679" s="150"/>
      <c r="F679" s="148"/>
      <c r="G679" s="150"/>
      <c r="H679" s="150"/>
      <c r="I679" s="150"/>
      <c r="J679" s="148"/>
      <c r="K679" s="148"/>
      <c r="L679" s="150"/>
      <c r="M679" s="150"/>
      <c r="N679" s="150"/>
      <c r="O679" s="150"/>
      <c r="P679" s="148"/>
    </row>
    <row r="680" spans="1:16" ht="15" customHeight="1" hidden="1">
      <c r="A680" s="11" t="s">
        <v>200</v>
      </c>
      <c r="B680" s="151"/>
      <c r="C680" s="151"/>
      <c r="D680" s="152"/>
      <c r="E680" s="153">
        <v>12</v>
      </c>
      <c r="F680" s="153">
        <f>E680</f>
        <v>12</v>
      </c>
      <c r="G680" s="153"/>
      <c r="H680" s="153">
        <v>12</v>
      </c>
      <c r="I680" s="153"/>
      <c r="J680" s="153">
        <f>H680</f>
        <v>12</v>
      </c>
      <c r="K680" s="153" t="e">
        <f>G680/D680*100</f>
        <v>#DIV/0!</v>
      </c>
      <c r="L680" s="153"/>
      <c r="M680" s="153"/>
      <c r="N680" s="153"/>
      <c r="O680" s="153">
        <v>12</v>
      </c>
      <c r="P680" s="153">
        <f>O680</f>
        <v>12</v>
      </c>
    </row>
    <row r="681" spans="1:16" ht="14.25" customHeight="1" hidden="1">
      <c r="A681" s="259" t="s">
        <v>5</v>
      </c>
      <c r="B681" s="147"/>
      <c r="C681" s="147"/>
      <c r="D681" s="150"/>
      <c r="E681" s="150"/>
      <c r="F681" s="148"/>
      <c r="G681" s="150"/>
      <c r="H681" s="150"/>
      <c r="I681" s="150"/>
      <c r="J681" s="148"/>
      <c r="K681" s="148"/>
      <c r="L681" s="150"/>
      <c r="M681" s="150"/>
      <c r="N681" s="150"/>
      <c r="O681" s="150"/>
      <c r="P681" s="148"/>
    </row>
    <row r="682" spans="1:131" s="121" customFormat="1" ht="21.75" customHeight="1" hidden="1">
      <c r="A682" s="11" t="s">
        <v>201</v>
      </c>
      <c r="B682" s="151"/>
      <c r="C682" s="151"/>
      <c r="D682" s="154"/>
      <c r="E682" s="154">
        <v>5600</v>
      </c>
      <c r="F682" s="148">
        <f>E682</f>
        <v>5600</v>
      </c>
      <c r="G682" s="154"/>
      <c r="H682" s="154">
        <v>5600</v>
      </c>
      <c r="I682" s="154"/>
      <c r="J682" s="148">
        <f>H682</f>
        <v>5600</v>
      </c>
      <c r="K682" s="148" t="e">
        <f>G682/D682*100</f>
        <v>#DIV/0!</v>
      </c>
      <c r="L682" s="155"/>
      <c r="M682" s="154"/>
      <c r="N682" s="154"/>
      <c r="O682" s="154">
        <v>5600</v>
      </c>
      <c r="P682" s="148">
        <f>O682</f>
        <v>5600</v>
      </c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</row>
    <row r="683" spans="1:131" s="218" customFormat="1" ht="32.25" customHeight="1" hidden="1">
      <c r="A683" s="200" t="s">
        <v>480</v>
      </c>
      <c r="B683" s="216"/>
      <c r="C683" s="216"/>
      <c r="D683" s="220">
        <f>D685</f>
        <v>13627346.003543224</v>
      </c>
      <c r="E683" s="220">
        <f aca="true" t="shared" si="42" ref="E683:P683">E685</f>
        <v>0</v>
      </c>
      <c r="F683" s="220">
        <f t="shared" si="42"/>
        <v>13627346.003543224</v>
      </c>
      <c r="G683" s="220">
        <f t="shared" si="42"/>
        <v>0</v>
      </c>
      <c r="H683" s="220">
        <f t="shared" si="42"/>
        <v>0</v>
      </c>
      <c r="I683" s="220">
        <f t="shared" si="42"/>
        <v>0</v>
      </c>
      <c r="J683" s="220">
        <f t="shared" si="42"/>
        <v>0</v>
      </c>
      <c r="K683" s="220">
        <f t="shared" si="42"/>
        <v>0</v>
      </c>
      <c r="L683" s="220">
        <f t="shared" si="42"/>
        <v>0</v>
      </c>
      <c r="M683" s="220">
        <f t="shared" si="42"/>
        <v>0</v>
      </c>
      <c r="N683" s="220">
        <f t="shared" si="42"/>
        <v>0</v>
      </c>
      <c r="O683" s="220">
        <f t="shared" si="42"/>
        <v>0</v>
      </c>
      <c r="P683" s="220">
        <f t="shared" si="42"/>
        <v>0</v>
      </c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  <c r="AB683" s="217"/>
      <c r="AC683" s="217"/>
      <c r="AD683" s="217"/>
      <c r="AE683" s="217"/>
      <c r="AF683" s="217"/>
      <c r="AG683" s="217"/>
      <c r="AH683" s="217"/>
      <c r="AI683" s="217"/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  <c r="AW683" s="217"/>
      <c r="AX683" s="217"/>
      <c r="AY683" s="217"/>
      <c r="AZ683" s="217"/>
      <c r="BA683" s="217"/>
      <c r="BB683" s="217"/>
      <c r="BC683" s="217"/>
      <c r="BD683" s="217"/>
      <c r="BE683" s="217"/>
      <c r="BF683" s="217"/>
      <c r="BG683" s="217"/>
      <c r="BH683" s="217"/>
      <c r="BI683" s="217"/>
      <c r="BJ683" s="217"/>
      <c r="BK683" s="217"/>
      <c r="BL683" s="217"/>
      <c r="BM683" s="217"/>
      <c r="BN683" s="217"/>
      <c r="BO683" s="217"/>
      <c r="BP683" s="217"/>
      <c r="BQ683" s="217"/>
      <c r="BR683" s="217"/>
      <c r="BS683" s="217"/>
      <c r="BT683" s="217"/>
      <c r="BU683" s="217"/>
      <c r="BV683" s="217"/>
      <c r="BW683" s="217"/>
      <c r="BX683" s="217"/>
      <c r="BY683" s="217"/>
      <c r="BZ683" s="217"/>
      <c r="CA683" s="217"/>
      <c r="CB683" s="217"/>
      <c r="CC683" s="217"/>
      <c r="CD683" s="217"/>
      <c r="CE683" s="217"/>
      <c r="CF683" s="217"/>
      <c r="CG683" s="217"/>
      <c r="CH683" s="217"/>
      <c r="CI683" s="217"/>
      <c r="CJ683" s="217"/>
      <c r="CK683" s="217"/>
      <c r="CL683" s="217"/>
      <c r="CM683" s="217"/>
      <c r="CN683" s="217"/>
      <c r="CO683" s="217"/>
      <c r="CP683" s="217"/>
      <c r="CQ683" s="217"/>
      <c r="CR683" s="217"/>
      <c r="CS683" s="217"/>
      <c r="CT683" s="217"/>
      <c r="CU683" s="217"/>
      <c r="CV683" s="217"/>
      <c r="CW683" s="217"/>
      <c r="CX683" s="217"/>
      <c r="CY683" s="217"/>
      <c r="CZ683" s="217"/>
      <c r="DA683" s="217"/>
      <c r="DB683" s="217"/>
      <c r="DC683" s="217"/>
      <c r="DD683" s="217"/>
      <c r="DE683" s="217"/>
      <c r="DF683" s="217"/>
      <c r="DG683" s="217"/>
      <c r="DH683" s="217"/>
      <c r="DI683" s="217"/>
      <c r="DJ683" s="217"/>
      <c r="DK683" s="217"/>
      <c r="DL683" s="217"/>
      <c r="DM683" s="217"/>
      <c r="DN683" s="217"/>
      <c r="DO683" s="217"/>
      <c r="DP683" s="217"/>
      <c r="DQ683" s="217"/>
      <c r="DR683" s="217"/>
      <c r="DS683" s="217"/>
      <c r="DT683" s="217"/>
      <c r="DU683" s="217"/>
      <c r="DV683" s="217"/>
      <c r="DW683" s="217"/>
      <c r="DX683" s="217"/>
      <c r="DY683" s="217"/>
      <c r="DZ683" s="217"/>
      <c r="EA683" s="217"/>
    </row>
    <row r="684" spans="1:131" s="228" customFormat="1" ht="24.75" customHeight="1" hidden="1">
      <c r="A684" s="72" t="s">
        <v>483</v>
      </c>
      <c r="B684" s="224"/>
      <c r="C684" s="224"/>
      <c r="D684" s="225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27"/>
      <c r="AE684" s="227"/>
      <c r="AF684" s="227"/>
      <c r="AG684" s="227"/>
      <c r="AH684" s="227"/>
      <c r="AI684" s="227"/>
      <c r="AJ684" s="227"/>
      <c r="AK684" s="227"/>
      <c r="AL684" s="227"/>
      <c r="AM684" s="227"/>
      <c r="AN684" s="227"/>
      <c r="AO684" s="227"/>
      <c r="AP684" s="227"/>
      <c r="AQ684" s="227"/>
      <c r="AR684" s="227"/>
      <c r="AS684" s="227"/>
      <c r="AT684" s="227"/>
      <c r="AU684" s="227"/>
      <c r="AV684" s="227"/>
      <c r="AW684" s="227"/>
      <c r="AX684" s="227"/>
      <c r="AY684" s="227"/>
      <c r="AZ684" s="227"/>
      <c r="BA684" s="227"/>
      <c r="BB684" s="227"/>
      <c r="BC684" s="227"/>
      <c r="BD684" s="227"/>
      <c r="BE684" s="227"/>
      <c r="BF684" s="227"/>
      <c r="BG684" s="227"/>
      <c r="BH684" s="227"/>
      <c r="BI684" s="227"/>
      <c r="BJ684" s="227"/>
      <c r="BK684" s="227"/>
      <c r="BL684" s="227"/>
      <c r="BM684" s="227"/>
      <c r="BN684" s="227"/>
      <c r="BO684" s="227"/>
      <c r="BP684" s="227"/>
      <c r="BQ684" s="227"/>
      <c r="BR684" s="227"/>
      <c r="BS684" s="227"/>
      <c r="BT684" s="227"/>
      <c r="BU684" s="227"/>
      <c r="BV684" s="227"/>
      <c r="BW684" s="227"/>
      <c r="BX684" s="227"/>
      <c r="BY684" s="227"/>
      <c r="BZ684" s="227"/>
      <c r="CA684" s="227"/>
      <c r="CB684" s="227"/>
      <c r="CC684" s="227"/>
      <c r="CD684" s="227"/>
      <c r="CE684" s="227"/>
      <c r="CF684" s="227"/>
      <c r="CG684" s="227"/>
      <c r="CH684" s="227"/>
      <c r="CI684" s="227"/>
      <c r="CJ684" s="227"/>
      <c r="CK684" s="227"/>
      <c r="CL684" s="227"/>
      <c r="CM684" s="227"/>
      <c r="CN684" s="227"/>
      <c r="CO684" s="227"/>
      <c r="CP684" s="227"/>
      <c r="CQ684" s="227"/>
      <c r="CR684" s="227"/>
      <c r="CS684" s="227"/>
      <c r="CT684" s="227"/>
      <c r="CU684" s="227"/>
      <c r="CV684" s="227"/>
      <c r="CW684" s="227"/>
      <c r="CX684" s="227"/>
      <c r="CY684" s="227"/>
      <c r="CZ684" s="227"/>
      <c r="DA684" s="227"/>
      <c r="DB684" s="227"/>
      <c r="DC684" s="227"/>
      <c r="DD684" s="227"/>
      <c r="DE684" s="227"/>
      <c r="DF684" s="227"/>
      <c r="DG684" s="227"/>
      <c r="DH684" s="227"/>
      <c r="DI684" s="227"/>
      <c r="DJ684" s="227"/>
      <c r="DK684" s="227"/>
      <c r="DL684" s="227"/>
      <c r="DM684" s="227"/>
      <c r="DN684" s="227"/>
      <c r="DO684" s="227"/>
      <c r="DP684" s="227"/>
      <c r="DQ684" s="227"/>
      <c r="DR684" s="227"/>
      <c r="DS684" s="227"/>
      <c r="DT684" s="227"/>
      <c r="DU684" s="227"/>
      <c r="DV684" s="227"/>
      <c r="DW684" s="227"/>
      <c r="DX684" s="227"/>
      <c r="DY684" s="227"/>
      <c r="DZ684" s="227"/>
      <c r="EA684" s="227"/>
    </row>
    <row r="685" spans="1:131" s="197" customFormat="1" ht="51.75" customHeight="1" hidden="1">
      <c r="A685" s="194" t="s">
        <v>560</v>
      </c>
      <c r="B685" s="221"/>
      <c r="C685" s="221"/>
      <c r="D685" s="223">
        <f>D686+D691+0.01</f>
        <v>13627346.003543224</v>
      </c>
      <c r="E685" s="223">
        <f>E686</f>
        <v>0</v>
      </c>
      <c r="F685" s="223">
        <f aca="true" t="shared" si="43" ref="F685:F695">D685+E685</f>
        <v>13627346.003543224</v>
      </c>
      <c r="G685" s="223">
        <f>G686+G696</f>
        <v>0</v>
      </c>
      <c r="H685" s="223">
        <f>H686</f>
        <v>0</v>
      </c>
      <c r="I685" s="223">
        <f>I686+I696</f>
        <v>0</v>
      </c>
      <c r="J685" s="223">
        <f>G685+H685</f>
        <v>0</v>
      </c>
      <c r="K685" s="223">
        <f>K686+K696</f>
        <v>0</v>
      </c>
      <c r="L685" s="223">
        <f>L686+L696</f>
        <v>0</v>
      </c>
      <c r="M685" s="223">
        <f>M686+M696</f>
        <v>0</v>
      </c>
      <c r="N685" s="223">
        <f>N686+N696</f>
        <v>0</v>
      </c>
      <c r="O685" s="223">
        <f>O686</f>
        <v>0</v>
      </c>
      <c r="P685" s="223">
        <f>N685+O685</f>
        <v>0</v>
      </c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  <c r="AQ685" s="196"/>
      <c r="AR685" s="196"/>
      <c r="AS685" s="196"/>
      <c r="AT685" s="196"/>
      <c r="AU685" s="196"/>
      <c r="AV685" s="196"/>
      <c r="AW685" s="196"/>
      <c r="AX685" s="196"/>
      <c r="AY685" s="196"/>
      <c r="AZ685" s="196"/>
      <c r="BA685" s="196"/>
      <c r="BB685" s="196"/>
      <c r="BC685" s="196"/>
      <c r="BD685" s="196"/>
      <c r="BE685" s="196"/>
      <c r="BF685" s="196"/>
      <c r="BG685" s="196"/>
      <c r="BH685" s="196"/>
      <c r="BI685" s="196"/>
      <c r="BJ685" s="196"/>
      <c r="BK685" s="196"/>
      <c r="BL685" s="196"/>
      <c r="BM685" s="196"/>
      <c r="BN685" s="196"/>
      <c r="BO685" s="196"/>
      <c r="BP685" s="196"/>
      <c r="BQ685" s="196"/>
      <c r="BR685" s="196"/>
      <c r="BS685" s="196"/>
      <c r="BT685" s="196"/>
      <c r="BU685" s="196"/>
      <c r="BV685" s="196"/>
      <c r="BW685" s="196"/>
      <c r="BX685" s="196"/>
      <c r="BY685" s="196"/>
      <c r="BZ685" s="196"/>
      <c r="CA685" s="196"/>
      <c r="CB685" s="196"/>
      <c r="CC685" s="196"/>
      <c r="CD685" s="196"/>
      <c r="CE685" s="196"/>
      <c r="CF685" s="196"/>
      <c r="CG685" s="196"/>
      <c r="CH685" s="196"/>
      <c r="CI685" s="196"/>
      <c r="CJ685" s="196"/>
      <c r="CK685" s="196"/>
      <c r="CL685" s="196"/>
      <c r="CM685" s="196"/>
      <c r="CN685" s="196"/>
      <c r="CO685" s="196"/>
      <c r="CP685" s="196"/>
      <c r="CQ685" s="196"/>
      <c r="CR685" s="196"/>
      <c r="CS685" s="196"/>
      <c r="CT685" s="196"/>
      <c r="CU685" s="196"/>
      <c r="CV685" s="196"/>
      <c r="CW685" s="196"/>
      <c r="CX685" s="196"/>
      <c r="CY685" s="196"/>
      <c r="CZ685" s="196"/>
      <c r="DA685" s="196"/>
      <c r="DB685" s="196"/>
      <c r="DC685" s="196"/>
      <c r="DD685" s="196"/>
      <c r="DE685" s="196"/>
      <c r="DF685" s="196"/>
      <c r="DG685" s="196"/>
      <c r="DH685" s="196"/>
      <c r="DI685" s="196"/>
      <c r="DJ685" s="196"/>
      <c r="DK685" s="196"/>
      <c r="DL685" s="196"/>
      <c r="DM685" s="196"/>
      <c r="DN685" s="196"/>
      <c r="DO685" s="196"/>
      <c r="DP685" s="196"/>
      <c r="DQ685" s="196"/>
      <c r="DR685" s="196"/>
      <c r="DS685" s="196"/>
      <c r="DT685" s="196"/>
      <c r="DU685" s="196"/>
      <c r="DV685" s="196"/>
      <c r="DW685" s="196"/>
      <c r="DX685" s="196"/>
      <c r="DY685" s="196"/>
      <c r="DZ685" s="196"/>
      <c r="EA685" s="196"/>
    </row>
    <row r="686" spans="1:131" s="27" customFormat="1" ht="38.25" customHeight="1" hidden="1">
      <c r="A686" s="85" t="s">
        <v>565</v>
      </c>
      <c r="B686" s="35"/>
      <c r="C686" s="35"/>
      <c r="D686" s="32">
        <f>D688*D690+0.08</f>
        <v>6127345.9957</v>
      </c>
      <c r="E686" s="32"/>
      <c r="F686" s="32">
        <f t="shared" si="43"/>
        <v>6127345.9957</v>
      </c>
      <c r="G686" s="31"/>
      <c r="H686" s="31"/>
      <c r="I686" s="31"/>
      <c r="J686" s="31">
        <f>H686</f>
        <v>0</v>
      </c>
      <c r="K686" s="31"/>
      <c r="L686" s="31"/>
      <c r="M686" s="31"/>
      <c r="N686" s="31"/>
      <c r="O686" s="31"/>
      <c r="P686" s="31">
        <f>O686</f>
        <v>0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</row>
    <row r="687" spans="1:131" s="27" customFormat="1" ht="21" customHeight="1" hidden="1">
      <c r="A687" s="3" t="s">
        <v>3</v>
      </c>
      <c r="B687" s="35"/>
      <c r="C687" s="35"/>
      <c r="D687" s="30"/>
      <c r="E687" s="119"/>
      <c r="F687" s="32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</row>
    <row r="688" spans="1:131" s="27" customFormat="1" ht="21.75" customHeight="1" hidden="1">
      <c r="A688" s="6" t="s">
        <v>561</v>
      </c>
      <c r="B688" s="35"/>
      <c r="C688" s="35"/>
      <c r="D688" s="30">
        <v>3013.9429</v>
      </c>
      <c r="E688" s="119"/>
      <c r="F688" s="32">
        <f>D688+E688</f>
        <v>3013.9429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</row>
    <row r="689" spans="1:131" s="27" customFormat="1" ht="22.5" customHeight="1" hidden="1">
      <c r="A689" s="259" t="s">
        <v>5</v>
      </c>
      <c r="B689" s="35"/>
      <c r="C689" s="35"/>
      <c r="D689" s="30"/>
      <c r="E689" s="30"/>
      <c r="F689" s="32">
        <f>D689+E689</f>
        <v>0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31" s="27" customFormat="1" ht="25.5" customHeight="1" hidden="1">
      <c r="A690" s="6" t="s">
        <v>562</v>
      </c>
      <c r="B690" s="35"/>
      <c r="C690" s="35"/>
      <c r="D690" s="30">
        <v>2033</v>
      </c>
      <c r="E690" s="30"/>
      <c r="F690" s="32">
        <f>D690+E690</f>
        <v>2033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</row>
    <row r="691" spans="1:131" s="27" customFormat="1" ht="33.75" hidden="1">
      <c r="A691" s="85" t="s">
        <v>566</v>
      </c>
      <c r="B691" s="35"/>
      <c r="C691" s="35"/>
      <c r="D691" s="32">
        <f>D693*D695</f>
        <v>7499999.997843225</v>
      </c>
      <c r="E691" s="32"/>
      <c r="F691" s="32">
        <f>D691+E691</f>
        <v>7499999.997843225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6.5" customHeight="1" hidden="1">
      <c r="A692" s="3" t="s">
        <v>3</v>
      </c>
      <c r="B692" s="11"/>
      <c r="C692" s="11"/>
      <c r="D692" s="30"/>
      <c r="E692" s="30"/>
      <c r="F692" s="32">
        <f t="shared" si="43"/>
        <v>0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4.75" customHeight="1" hidden="1">
      <c r="A693" s="6" t="s">
        <v>563</v>
      </c>
      <c r="B693" s="11"/>
      <c r="C693" s="11"/>
      <c r="D693" s="30">
        <v>327818.8376</v>
      </c>
      <c r="E693" s="119"/>
      <c r="F693" s="32">
        <f t="shared" si="43"/>
        <v>327818.8376</v>
      </c>
      <c r="G693" s="30"/>
      <c r="H693" s="119"/>
      <c r="I693" s="119"/>
      <c r="J693" s="119">
        <f>H693</f>
        <v>0</v>
      </c>
      <c r="K693" s="119"/>
      <c r="L693" s="119"/>
      <c r="M693" s="119"/>
      <c r="N693" s="119"/>
      <c r="O693" s="119"/>
      <c r="P693" s="119">
        <v>0</v>
      </c>
    </row>
    <row r="694" spans="1:16" ht="17.25" customHeight="1" hidden="1">
      <c r="A694" s="259" t="s">
        <v>5</v>
      </c>
      <c r="B694" s="11"/>
      <c r="C694" s="11"/>
      <c r="D694" s="30"/>
      <c r="E694" s="30"/>
      <c r="F694" s="32">
        <f t="shared" si="43"/>
        <v>0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2.5" customHeight="1" hidden="1">
      <c r="A695" s="6" t="s">
        <v>564</v>
      </c>
      <c r="B695" s="11"/>
      <c r="C695" s="11"/>
      <c r="D695" s="5">
        <v>22.87849</v>
      </c>
      <c r="E695" s="30"/>
      <c r="F695" s="32">
        <f t="shared" si="43"/>
        <v>22.87849</v>
      </c>
      <c r="G695" s="30"/>
      <c r="H695" s="30"/>
      <c r="I695" s="30"/>
      <c r="J695" s="30">
        <f>H695</f>
        <v>0</v>
      </c>
      <c r="K695" s="30"/>
      <c r="L695" s="30"/>
      <c r="M695" s="30"/>
      <c r="N695" s="30"/>
      <c r="O695" s="30"/>
      <c r="P695" s="30">
        <v>0</v>
      </c>
    </row>
    <row r="696" spans="1:131" s="218" customFormat="1" ht="32.25" customHeight="1" hidden="1">
      <c r="A696" s="200" t="s">
        <v>148</v>
      </c>
      <c r="B696" s="216"/>
      <c r="C696" s="216"/>
      <c r="D696" s="220">
        <f>D698</f>
        <v>0</v>
      </c>
      <c r="E696" s="220">
        <f aca="true" t="shared" si="44" ref="E696:P696">E698</f>
        <v>2207600</v>
      </c>
      <c r="F696" s="220">
        <f t="shared" si="44"/>
        <v>2207600</v>
      </c>
      <c r="G696" s="220">
        <f t="shared" si="44"/>
        <v>0</v>
      </c>
      <c r="H696" s="220">
        <f t="shared" si="44"/>
        <v>1900000</v>
      </c>
      <c r="I696" s="220">
        <f t="shared" si="44"/>
        <v>0</v>
      </c>
      <c r="J696" s="220">
        <f t="shared" si="44"/>
        <v>1900000</v>
      </c>
      <c r="K696" s="220">
        <f t="shared" si="44"/>
        <v>0</v>
      </c>
      <c r="L696" s="220">
        <f t="shared" si="44"/>
        <v>0</v>
      </c>
      <c r="M696" s="220">
        <f t="shared" si="44"/>
        <v>0</v>
      </c>
      <c r="N696" s="220">
        <f t="shared" si="44"/>
        <v>0</v>
      </c>
      <c r="O696" s="220">
        <f t="shared" si="44"/>
        <v>2050000</v>
      </c>
      <c r="P696" s="220">
        <f t="shared" si="44"/>
        <v>2050000</v>
      </c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  <c r="AA696" s="217"/>
      <c r="AB696" s="217"/>
      <c r="AC696" s="217"/>
      <c r="AD696" s="217"/>
      <c r="AE696" s="217"/>
      <c r="AF696" s="217"/>
      <c r="AG696" s="217"/>
      <c r="AH696" s="217"/>
      <c r="AI696" s="217"/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  <c r="AW696" s="217"/>
      <c r="AX696" s="217"/>
      <c r="AY696" s="217"/>
      <c r="AZ696" s="217"/>
      <c r="BA696" s="217"/>
      <c r="BB696" s="217"/>
      <c r="BC696" s="217"/>
      <c r="BD696" s="217"/>
      <c r="BE696" s="217"/>
      <c r="BF696" s="217"/>
      <c r="BG696" s="217"/>
      <c r="BH696" s="217"/>
      <c r="BI696" s="217"/>
      <c r="BJ696" s="217"/>
      <c r="BK696" s="217"/>
      <c r="BL696" s="217"/>
      <c r="BM696" s="217"/>
      <c r="BN696" s="217"/>
      <c r="BO696" s="217"/>
      <c r="BP696" s="217"/>
      <c r="BQ696" s="217"/>
      <c r="BR696" s="217"/>
      <c r="BS696" s="217"/>
      <c r="BT696" s="217"/>
      <c r="BU696" s="217"/>
      <c r="BV696" s="217"/>
      <c r="BW696" s="217"/>
      <c r="BX696" s="217"/>
      <c r="BY696" s="217"/>
      <c r="BZ696" s="217"/>
      <c r="CA696" s="217"/>
      <c r="CB696" s="217"/>
      <c r="CC696" s="217"/>
      <c r="CD696" s="217"/>
      <c r="CE696" s="217"/>
      <c r="CF696" s="217"/>
      <c r="CG696" s="217"/>
      <c r="CH696" s="217"/>
      <c r="CI696" s="217"/>
      <c r="CJ696" s="217"/>
      <c r="CK696" s="217"/>
      <c r="CL696" s="217"/>
      <c r="CM696" s="217"/>
      <c r="CN696" s="217"/>
      <c r="CO696" s="217"/>
      <c r="CP696" s="217"/>
      <c r="CQ696" s="217"/>
      <c r="CR696" s="217"/>
      <c r="CS696" s="217"/>
      <c r="CT696" s="217"/>
      <c r="CU696" s="217"/>
      <c r="CV696" s="217"/>
      <c r="CW696" s="217"/>
      <c r="CX696" s="217"/>
      <c r="CY696" s="217"/>
      <c r="CZ696" s="217"/>
      <c r="DA696" s="217"/>
      <c r="DB696" s="217"/>
      <c r="DC696" s="217"/>
      <c r="DD696" s="217"/>
      <c r="DE696" s="217"/>
      <c r="DF696" s="217"/>
      <c r="DG696" s="217"/>
      <c r="DH696" s="217"/>
      <c r="DI696" s="217"/>
      <c r="DJ696" s="217"/>
      <c r="DK696" s="217"/>
      <c r="DL696" s="217"/>
      <c r="DM696" s="217"/>
      <c r="DN696" s="217"/>
      <c r="DO696" s="217"/>
      <c r="DP696" s="217"/>
      <c r="DQ696" s="217"/>
      <c r="DR696" s="217"/>
      <c r="DS696" s="217"/>
      <c r="DT696" s="217"/>
      <c r="DU696" s="217"/>
      <c r="DV696" s="217"/>
      <c r="DW696" s="217"/>
      <c r="DX696" s="217"/>
      <c r="DY696" s="217"/>
      <c r="DZ696" s="217"/>
      <c r="EA696" s="217"/>
    </row>
    <row r="697" spans="1:131" s="228" customFormat="1" ht="32.25" customHeight="1" hidden="1">
      <c r="A697" s="72" t="s">
        <v>279</v>
      </c>
      <c r="B697" s="224"/>
      <c r="C697" s="224"/>
      <c r="D697" s="225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  <c r="AA697" s="227"/>
      <c r="AB697" s="227"/>
      <c r="AC697" s="227"/>
      <c r="AD697" s="227"/>
      <c r="AE697" s="227"/>
      <c r="AF697" s="227"/>
      <c r="AG697" s="227"/>
      <c r="AH697" s="227"/>
      <c r="AI697" s="227"/>
      <c r="AJ697" s="227"/>
      <c r="AK697" s="227"/>
      <c r="AL697" s="227"/>
      <c r="AM697" s="227"/>
      <c r="AN697" s="227"/>
      <c r="AO697" s="227"/>
      <c r="AP697" s="227"/>
      <c r="AQ697" s="227"/>
      <c r="AR697" s="227"/>
      <c r="AS697" s="227"/>
      <c r="AT697" s="227"/>
      <c r="AU697" s="227"/>
      <c r="AV697" s="227"/>
      <c r="AW697" s="227"/>
      <c r="AX697" s="227"/>
      <c r="AY697" s="227"/>
      <c r="AZ697" s="227"/>
      <c r="BA697" s="227"/>
      <c r="BB697" s="227"/>
      <c r="BC697" s="227"/>
      <c r="BD697" s="227"/>
      <c r="BE697" s="227"/>
      <c r="BF697" s="227"/>
      <c r="BG697" s="227"/>
      <c r="BH697" s="227"/>
      <c r="BI697" s="227"/>
      <c r="BJ697" s="227"/>
      <c r="BK697" s="227"/>
      <c r="BL697" s="227"/>
      <c r="BM697" s="227"/>
      <c r="BN697" s="227"/>
      <c r="BO697" s="227"/>
      <c r="BP697" s="227"/>
      <c r="BQ697" s="227"/>
      <c r="BR697" s="227"/>
      <c r="BS697" s="227"/>
      <c r="BT697" s="227"/>
      <c r="BU697" s="227"/>
      <c r="BV697" s="227"/>
      <c r="BW697" s="227"/>
      <c r="BX697" s="227"/>
      <c r="BY697" s="227"/>
      <c r="BZ697" s="227"/>
      <c r="CA697" s="227"/>
      <c r="CB697" s="227"/>
      <c r="CC697" s="227"/>
      <c r="CD697" s="227"/>
      <c r="CE697" s="227"/>
      <c r="CF697" s="227"/>
      <c r="CG697" s="227"/>
      <c r="CH697" s="227"/>
      <c r="CI697" s="227"/>
      <c r="CJ697" s="227"/>
      <c r="CK697" s="227"/>
      <c r="CL697" s="227"/>
      <c r="CM697" s="227"/>
      <c r="CN697" s="227"/>
      <c r="CO697" s="227"/>
      <c r="CP697" s="227"/>
      <c r="CQ697" s="227"/>
      <c r="CR697" s="227"/>
      <c r="CS697" s="227"/>
      <c r="CT697" s="227"/>
      <c r="CU697" s="227"/>
      <c r="CV697" s="227"/>
      <c r="CW697" s="227"/>
      <c r="CX697" s="227"/>
      <c r="CY697" s="227"/>
      <c r="CZ697" s="227"/>
      <c r="DA697" s="227"/>
      <c r="DB697" s="227"/>
      <c r="DC697" s="227"/>
      <c r="DD697" s="227"/>
      <c r="DE697" s="227"/>
      <c r="DF697" s="227"/>
      <c r="DG697" s="227"/>
      <c r="DH697" s="227"/>
      <c r="DI697" s="227"/>
      <c r="DJ697" s="227"/>
      <c r="DK697" s="227"/>
      <c r="DL697" s="227"/>
      <c r="DM697" s="227"/>
      <c r="DN697" s="227"/>
      <c r="DO697" s="227"/>
      <c r="DP697" s="227"/>
      <c r="DQ697" s="227"/>
      <c r="DR697" s="227"/>
      <c r="DS697" s="227"/>
      <c r="DT697" s="227"/>
      <c r="DU697" s="227"/>
      <c r="DV697" s="227"/>
      <c r="DW697" s="227"/>
      <c r="DX697" s="227"/>
      <c r="DY697" s="227"/>
      <c r="DZ697" s="227"/>
      <c r="EA697" s="227"/>
    </row>
    <row r="698" spans="1:131" s="197" customFormat="1" ht="32.25" customHeight="1" hidden="1">
      <c r="A698" s="195" t="s">
        <v>481</v>
      </c>
      <c r="B698" s="221"/>
      <c r="C698" s="221"/>
      <c r="D698" s="223">
        <f>D699+D706</f>
        <v>0</v>
      </c>
      <c r="E698" s="223">
        <f>E699+E706</f>
        <v>2207600</v>
      </c>
      <c r="F698" s="223">
        <f>D698+E698</f>
        <v>2207600</v>
      </c>
      <c r="G698" s="223">
        <f>G699+G706</f>
        <v>0</v>
      </c>
      <c r="H698" s="223">
        <f>H699+H706</f>
        <v>1900000</v>
      </c>
      <c r="I698" s="223">
        <f>I699+I706</f>
        <v>0</v>
      </c>
      <c r="J698" s="223">
        <f>G698+H698</f>
        <v>1900000</v>
      </c>
      <c r="K698" s="223">
        <f>K699+K706</f>
        <v>0</v>
      </c>
      <c r="L698" s="223">
        <f>L699+L706</f>
        <v>0</v>
      </c>
      <c r="M698" s="223">
        <f>M699+M706</f>
        <v>0</v>
      </c>
      <c r="N698" s="223">
        <f>N699+N706</f>
        <v>0</v>
      </c>
      <c r="O698" s="223">
        <f>O699+O706</f>
        <v>2050000</v>
      </c>
      <c r="P698" s="223">
        <f>N698+O698</f>
        <v>2050000</v>
      </c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  <c r="AL698" s="196"/>
      <c r="AM698" s="196"/>
      <c r="AN698" s="196"/>
      <c r="AO698" s="196"/>
      <c r="AP698" s="196"/>
      <c r="AQ698" s="196"/>
      <c r="AR698" s="196"/>
      <c r="AS698" s="196"/>
      <c r="AT698" s="196"/>
      <c r="AU698" s="196"/>
      <c r="AV698" s="196"/>
      <c r="AW698" s="196"/>
      <c r="AX698" s="196"/>
      <c r="AY698" s="196"/>
      <c r="AZ698" s="196"/>
      <c r="BA698" s="196"/>
      <c r="BB698" s="196"/>
      <c r="BC698" s="196"/>
      <c r="BD698" s="196"/>
      <c r="BE698" s="196"/>
      <c r="BF698" s="196"/>
      <c r="BG698" s="196"/>
      <c r="BH698" s="196"/>
      <c r="BI698" s="196"/>
      <c r="BJ698" s="196"/>
      <c r="BK698" s="196"/>
      <c r="BL698" s="196"/>
      <c r="BM698" s="196"/>
      <c r="BN698" s="196"/>
      <c r="BO698" s="196"/>
      <c r="BP698" s="196"/>
      <c r="BQ698" s="196"/>
      <c r="BR698" s="196"/>
      <c r="BS698" s="196"/>
      <c r="BT698" s="196"/>
      <c r="BU698" s="196"/>
      <c r="BV698" s="196"/>
      <c r="BW698" s="196"/>
      <c r="BX698" s="196"/>
      <c r="BY698" s="196"/>
      <c r="BZ698" s="196"/>
      <c r="CA698" s="196"/>
      <c r="CB698" s="196"/>
      <c r="CC698" s="196"/>
      <c r="CD698" s="196"/>
      <c r="CE698" s="196"/>
      <c r="CF698" s="196"/>
      <c r="CG698" s="196"/>
      <c r="CH698" s="196"/>
      <c r="CI698" s="196"/>
      <c r="CJ698" s="196"/>
      <c r="CK698" s="196"/>
      <c r="CL698" s="196"/>
      <c r="CM698" s="196"/>
      <c r="CN698" s="196"/>
      <c r="CO698" s="196"/>
      <c r="CP698" s="196"/>
      <c r="CQ698" s="196"/>
      <c r="CR698" s="196"/>
      <c r="CS698" s="196"/>
      <c r="CT698" s="196"/>
      <c r="CU698" s="196"/>
      <c r="CV698" s="196"/>
      <c r="CW698" s="196"/>
      <c r="CX698" s="196"/>
      <c r="CY698" s="196"/>
      <c r="CZ698" s="196"/>
      <c r="DA698" s="196"/>
      <c r="DB698" s="196"/>
      <c r="DC698" s="196"/>
      <c r="DD698" s="196"/>
      <c r="DE698" s="196"/>
      <c r="DF698" s="196"/>
      <c r="DG698" s="196"/>
      <c r="DH698" s="196"/>
      <c r="DI698" s="196"/>
      <c r="DJ698" s="196"/>
      <c r="DK698" s="196"/>
      <c r="DL698" s="196"/>
      <c r="DM698" s="196"/>
      <c r="DN698" s="196"/>
      <c r="DO698" s="196"/>
      <c r="DP698" s="196"/>
      <c r="DQ698" s="196"/>
      <c r="DR698" s="196"/>
      <c r="DS698" s="196"/>
      <c r="DT698" s="196"/>
      <c r="DU698" s="196"/>
      <c r="DV698" s="196"/>
      <c r="DW698" s="196"/>
      <c r="DX698" s="196"/>
      <c r="DY698" s="196"/>
      <c r="DZ698" s="196"/>
      <c r="EA698" s="196"/>
    </row>
    <row r="699" spans="1:131" s="27" customFormat="1" ht="38.25" customHeight="1" hidden="1">
      <c r="A699" s="85" t="s">
        <v>482</v>
      </c>
      <c r="B699" s="35"/>
      <c r="C699" s="35"/>
      <c r="D699" s="31"/>
      <c r="E699" s="31">
        <f>E701</f>
        <v>300000</v>
      </c>
      <c r="F699" s="31">
        <f>E699</f>
        <v>300000</v>
      </c>
      <c r="G699" s="31"/>
      <c r="H699" s="31">
        <f>H701</f>
        <v>300000</v>
      </c>
      <c r="I699" s="31"/>
      <c r="J699" s="31">
        <f>H699</f>
        <v>300000</v>
      </c>
      <c r="K699" s="31"/>
      <c r="L699" s="31"/>
      <c r="M699" s="31"/>
      <c r="N699" s="31"/>
      <c r="O699" s="31">
        <f>O701</f>
        <v>350000</v>
      </c>
      <c r="P699" s="31">
        <f>O699</f>
        <v>350000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</row>
    <row r="700" spans="1:16" ht="13.5" customHeight="1" hidden="1">
      <c r="A700" s="10" t="s">
        <v>2</v>
      </c>
      <c r="B700" s="11"/>
      <c r="C700" s="1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6.25" customHeight="1" hidden="1">
      <c r="A701" s="260" t="s">
        <v>258</v>
      </c>
      <c r="B701" s="11"/>
      <c r="C701" s="11"/>
      <c r="D701" s="30"/>
      <c r="E701" s="30">
        <f>250000+50000</f>
        <v>300000</v>
      </c>
      <c r="F701" s="30">
        <f>E701</f>
        <v>300000</v>
      </c>
      <c r="G701" s="30"/>
      <c r="H701" s="30">
        <v>300000</v>
      </c>
      <c r="I701" s="30"/>
      <c r="J701" s="30">
        <f>H701</f>
        <v>300000</v>
      </c>
      <c r="K701" s="30"/>
      <c r="L701" s="30"/>
      <c r="M701" s="30"/>
      <c r="N701" s="30"/>
      <c r="O701" s="30">
        <v>350000</v>
      </c>
      <c r="P701" s="30">
        <f>O701</f>
        <v>350000</v>
      </c>
    </row>
    <row r="702" spans="1:16" ht="16.5" customHeight="1" hidden="1">
      <c r="A702" s="3" t="s">
        <v>3</v>
      </c>
      <c r="B702" s="11"/>
      <c r="C702" s="1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24.75" customHeight="1" hidden="1">
      <c r="A703" s="6" t="s">
        <v>158</v>
      </c>
      <c r="B703" s="11"/>
      <c r="C703" s="11"/>
      <c r="D703" s="30"/>
      <c r="E703" s="119">
        <f>E701/E705</f>
        <v>214.28571428571428</v>
      </c>
      <c r="F703" s="119">
        <f>E703</f>
        <v>214.28571428571428</v>
      </c>
      <c r="G703" s="30"/>
      <c r="H703" s="119">
        <f>H701/H705</f>
        <v>200.80321285140562</v>
      </c>
      <c r="I703" s="119"/>
      <c r="J703" s="119">
        <f>H703</f>
        <v>200.80321285140562</v>
      </c>
      <c r="K703" s="119"/>
      <c r="L703" s="119"/>
      <c r="M703" s="119"/>
      <c r="N703" s="119"/>
      <c r="O703" s="119">
        <f>O701/O705</f>
        <v>220.95959595959596</v>
      </c>
      <c r="P703" s="119">
        <f>P701/P705</f>
        <v>220.95959595959596</v>
      </c>
    </row>
    <row r="704" spans="1:16" ht="17.25" customHeight="1" hidden="1">
      <c r="A704" s="259" t="s">
        <v>5</v>
      </c>
      <c r="B704" s="11"/>
      <c r="C704" s="1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15" customHeight="1" hidden="1">
      <c r="A705" s="6" t="s">
        <v>259</v>
      </c>
      <c r="B705" s="11"/>
      <c r="C705" s="11"/>
      <c r="D705" s="30"/>
      <c r="E705" s="30">
        <v>1400</v>
      </c>
      <c r="F705" s="30">
        <f>E705</f>
        <v>1400</v>
      </c>
      <c r="G705" s="30"/>
      <c r="H705" s="30">
        <v>1494</v>
      </c>
      <c r="I705" s="30"/>
      <c r="J705" s="30">
        <f>H705</f>
        <v>1494</v>
      </c>
      <c r="K705" s="30"/>
      <c r="L705" s="30"/>
      <c r="M705" s="30"/>
      <c r="N705" s="30"/>
      <c r="O705" s="30">
        <v>1584</v>
      </c>
      <c r="P705" s="30">
        <v>1584</v>
      </c>
    </row>
    <row r="706" spans="1:131" s="87" customFormat="1" ht="33.75" customHeight="1" hidden="1">
      <c r="A706" s="85" t="s">
        <v>484</v>
      </c>
      <c r="B706" s="126"/>
      <c r="C706" s="126"/>
      <c r="D706" s="124"/>
      <c r="E706" s="124">
        <f>E708</f>
        <v>1907600</v>
      </c>
      <c r="F706" s="124">
        <f>E706</f>
        <v>1907600</v>
      </c>
      <c r="G706" s="124"/>
      <c r="H706" s="124">
        <f>H708</f>
        <v>1600000</v>
      </c>
      <c r="I706" s="124"/>
      <c r="J706" s="124">
        <f>H706</f>
        <v>1600000</v>
      </c>
      <c r="K706" s="124"/>
      <c r="L706" s="124"/>
      <c r="M706" s="124"/>
      <c r="N706" s="124"/>
      <c r="O706" s="124">
        <f>O708</f>
        <v>1700000</v>
      </c>
      <c r="P706" s="124">
        <f>O706</f>
        <v>1700000</v>
      </c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  <c r="BZ706" s="118"/>
      <c r="CA706" s="118"/>
      <c r="CB706" s="118"/>
      <c r="CC706" s="118"/>
      <c r="CD706" s="118"/>
      <c r="CE706" s="118"/>
      <c r="CF706" s="118"/>
      <c r="CG706" s="118"/>
      <c r="CH706" s="118"/>
      <c r="CI706" s="118"/>
      <c r="CJ706" s="118"/>
      <c r="CK706" s="118"/>
      <c r="CL706" s="118"/>
      <c r="CM706" s="118"/>
      <c r="CN706" s="118"/>
      <c r="CO706" s="118"/>
      <c r="CP706" s="118"/>
      <c r="CQ706" s="118"/>
      <c r="CR706" s="118"/>
      <c r="CS706" s="118"/>
      <c r="CT706" s="118"/>
      <c r="CU706" s="118"/>
      <c r="CV706" s="118"/>
      <c r="CW706" s="118"/>
      <c r="CX706" s="118"/>
      <c r="CY706" s="118"/>
      <c r="CZ706" s="118"/>
      <c r="DA706" s="118"/>
      <c r="DB706" s="118"/>
      <c r="DC706" s="118"/>
      <c r="DD706" s="118"/>
      <c r="DE706" s="118"/>
      <c r="DF706" s="118"/>
      <c r="DG706" s="118"/>
      <c r="DH706" s="118"/>
      <c r="DI706" s="118"/>
      <c r="DJ706" s="118"/>
      <c r="DK706" s="118"/>
      <c r="DL706" s="118"/>
      <c r="DM706" s="118"/>
      <c r="DN706" s="118"/>
      <c r="DO706" s="118"/>
      <c r="DP706" s="118"/>
      <c r="DQ706" s="118"/>
      <c r="DR706" s="118"/>
      <c r="DS706" s="118"/>
      <c r="DT706" s="118"/>
      <c r="DU706" s="118"/>
      <c r="DV706" s="118"/>
      <c r="DW706" s="118"/>
      <c r="DX706" s="118"/>
      <c r="DY706" s="118"/>
      <c r="DZ706" s="118"/>
      <c r="EA706" s="118"/>
    </row>
    <row r="707" spans="1:16" ht="15" customHeight="1" hidden="1">
      <c r="A707" s="10" t="s">
        <v>2</v>
      </c>
      <c r="B707" s="11"/>
      <c r="C707" s="1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4.75" customHeight="1" hidden="1">
      <c r="A708" s="260" t="s">
        <v>23</v>
      </c>
      <c r="B708" s="11"/>
      <c r="C708" s="11"/>
      <c r="D708" s="30"/>
      <c r="E708" s="30">
        <f>1500000+407600</f>
        <v>1907600</v>
      </c>
      <c r="F708" s="30">
        <f>E708</f>
        <v>1907600</v>
      </c>
      <c r="G708" s="30"/>
      <c r="H708" s="30">
        <v>1600000</v>
      </c>
      <c r="I708" s="30"/>
      <c r="J708" s="30">
        <f>H708</f>
        <v>1600000</v>
      </c>
      <c r="K708" s="30"/>
      <c r="L708" s="30"/>
      <c r="M708" s="30"/>
      <c r="N708" s="30"/>
      <c r="O708" s="30">
        <v>1700000</v>
      </c>
      <c r="P708" s="30">
        <f>O708</f>
        <v>1700000</v>
      </c>
    </row>
    <row r="709" spans="1:16" ht="15" customHeight="1" hidden="1">
      <c r="A709" s="3" t="s">
        <v>3</v>
      </c>
      <c r="B709" s="11"/>
      <c r="C709" s="1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28.5" customHeight="1" hidden="1">
      <c r="A710" s="6" t="s">
        <v>63</v>
      </c>
      <c r="B710" s="11"/>
      <c r="C710" s="11"/>
      <c r="D710" s="30"/>
      <c r="E710" s="30">
        <v>13</v>
      </c>
      <c r="F710" s="30">
        <f>E710</f>
        <v>13</v>
      </c>
      <c r="G710" s="30"/>
      <c r="H710" s="30">
        <v>9</v>
      </c>
      <c r="I710" s="30"/>
      <c r="J710" s="30">
        <f>H710</f>
        <v>9</v>
      </c>
      <c r="K710" s="30"/>
      <c r="L710" s="30"/>
      <c r="M710" s="30"/>
      <c r="N710" s="30"/>
      <c r="O710" s="30">
        <v>9</v>
      </c>
      <c r="P710" s="30">
        <f>O710</f>
        <v>9</v>
      </c>
    </row>
    <row r="711" spans="1:16" ht="15" customHeight="1" hidden="1">
      <c r="A711" s="3" t="s">
        <v>5</v>
      </c>
      <c r="B711" s="11"/>
      <c r="C711" s="1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ht="35.25" customHeight="1" hidden="1">
      <c r="A712" s="6" t="s">
        <v>280</v>
      </c>
      <c r="B712" s="11"/>
      <c r="C712" s="11"/>
      <c r="D712" s="30"/>
      <c r="E712" s="30">
        <f>E708/E710</f>
        <v>146738.46153846153</v>
      </c>
      <c r="F712" s="30">
        <f>E712</f>
        <v>146738.46153846153</v>
      </c>
      <c r="G712" s="30"/>
      <c r="H712" s="30">
        <f>H708/H710</f>
        <v>177777.77777777778</v>
      </c>
      <c r="I712" s="30"/>
      <c r="J712" s="30">
        <f>H712</f>
        <v>177777.77777777778</v>
      </c>
      <c r="K712" s="30"/>
      <c r="L712" s="30"/>
      <c r="M712" s="30"/>
      <c r="N712" s="30"/>
      <c r="O712" s="30">
        <f>O708/O710</f>
        <v>188888.88888888888</v>
      </c>
      <c r="P712" s="30">
        <f>O712</f>
        <v>188888.88888888888</v>
      </c>
    </row>
    <row r="713" spans="1:131" s="203" customFormat="1" ht="27.75" customHeight="1" hidden="1">
      <c r="A713" s="200" t="s">
        <v>127</v>
      </c>
      <c r="B713" s="200"/>
      <c r="C713" s="200"/>
      <c r="D713" s="201">
        <f>D715</f>
        <v>2943659</v>
      </c>
      <c r="E713" s="201">
        <f>E715</f>
        <v>85000</v>
      </c>
      <c r="F713" s="201">
        <f>F715</f>
        <v>3028659</v>
      </c>
      <c r="G713" s="201">
        <f>G715</f>
        <v>320100</v>
      </c>
      <c r="H713" s="201"/>
      <c r="I713" s="201">
        <f>I715</f>
        <v>0</v>
      </c>
      <c r="J713" s="201">
        <f>G713</f>
        <v>320100</v>
      </c>
      <c r="K713" s="201" t="e">
        <f>#REF!+K715</f>
        <v>#REF!</v>
      </c>
      <c r="L713" s="201" t="e">
        <f>#REF!+L715</f>
        <v>#REF!</v>
      </c>
      <c r="M713" s="201" t="e">
        <f>#REF!+M715</f>
        <v>#REF!</v>
      </c>
      <c r="N713" s="201">
        <f>N715</f>
        <v>339300</v>
      </c>
      <c r="O713" s="201"/>
      <c r="P713" s="201">
        <f>N713+O713</f>
        <v>339300</v>
      </c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  <c r="AA713" s="202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2"/>
      <c r="AM713" s="202"/>
      <c r="AN713" s="202"/>
      <c r="AO713" s="202"/>
      <c r="AP713" s="202"/>
      <c r="AQ713" s="202"/>
      <c r="AR713" s="202"/>
      <c r="AS713" s="202"/>
      <c r="AT713" s="202"/>
      <c r="AU713" s="202"/>
      <c r="AV713" s="202"/>
      <c r="AW713" s="202"/>
      <c r="AX713" s="202"/>
      <c r="AY713" s="202"/>
      <c r="AZ713" s="202"/>
      <c r="BA713" s="202"/>
      <c r="BB713" s="202"/>
      <c r="BC713" s="202"/>
      <c r="BD713" s="202"/>
      <c r="BE713" s="202"/>
      <c r="BF713" s="202"/>
      <c r="BG713" s="202"/>
      <c r="BH713" s="202"/>
      <c r="BI713" s="202"/>
      <c r="BJ713" s="202"/>
      <c r="BK713" s="202"/>
      <c r="BL713" s="202"/>
      <c r="BM713" s="202"/>
      <c r="BN713" s="202"/>
      <c r="BO713" s="202"/>
      <c r="BP713" s="202"/>
      <c r="BQ713" s="202"/>
      <c r="BR713" s="202"/>
      <c r="BS713" s="202"/>
      <c r="BT713" s="202"/>
      <c r="BU713" s="202"/>
      <c r="BV713" s="202"/>
      <c r="BW713" s="202"/>
      <c r="BX713" s="202"/>
      <c r="BY713" s="202"/>
      <c r="BZ713" s="202"/>
      <c r="CA713" s="202"/>
      <c r="CB713" s="202"/>
      <c r="CC713" s="202"/>
      <c r="CD713" s="202"/>
      <c r="CE713" s="202"/>
      <c r="CF713" s="202"/>
      <c r="CG713" s="202"/>
      <c r="CH713" s="202"/>
      <c r="CI713" s="202"/>
      <c r="CJ713" s="202"/>
      <c r="CK713" s="202"/>
      <c r="CL713" s="202"/>
      <c r="CM713" s="202"/>
      <c r="CN713" s="202"/>
      <c r="CO713" s="202"/>
      <c r="CP713" s="202"/>
      <c r="CQ713" s="202"/>
      <c r="CR713" s="202"/>
      <c r="CS713" s="202"/>
      <c r="CT713" s="202"/>
      <c r="CU713" s="202"/>
      <c r="CV713" s="202"/>
      <c r="CW713" s="202"/>
      <c r="CX713" s="202"/>
      <c r="CY713" s="202"/>
      <c r="CZ713" s="202"/>
      <c r="DA713" s="202"/>
      <c r="DB713" s="202"/>
      <c r="DC713" s="202"/>
      <c r="DD713" s="202"/>
      <c r="DE713" s="202"/>
      <c r="DF713" s="202"/>
      <c r="DG713" s="202"/>
      <c r="DH713" s="202"/>
      <c r="DI713" s="202"/>
      <c r="DJ713" s="202"/>
      <c r="DK713" s="202"/>
      <c r="DL713" s="202"/>
      <c r="DM713" s="202"/>
      <c r="DN713" s="202"/>
      <c r="DO713" s="202"/>
      <c r="DP713" s="202"/>
      <c r="DQ713" s="202"/>
      <c r="DR713" s="202"/>
      <c r="DS713" s="202"/>
      <c r="DT713" s="202"/>
      <c r="DU713" s="202"/>
      <c r="DV713" s="202"/>
      <c r="DW713" s="202"/>
      <c r="DX713" s="202"/>
      <c r="DY713" s="202"/>
      <c r="DZ713" s="202"/>
      <c r="EA713" s="202"/>
    </row>
    <row r="714" spans="1:131" s="76" customFormat="1" ht="34.5" customHeight="1" hidden="1">
      <c r="A714" s="72" t="s">
        <v>188</v>
      </c>
      <c r="B714" s="83"/>
      <c r="C714" s="83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5"/>
      <c r="CJ714" s="75"/>
      <c r="CK714" s="75"/>
      <c r="CL714" s="75"/>
      <c r="CM714" s="75"/>
      <c r="CN714" s="75"/>
      <c r="CO714" s="75"/>
      <c r="CP714" s="75"/>
      <c r="CQ714" s="75"/>
      <c r="CR714" s="75"/>
      <c r="CS714" s="75"/>
      <c r="CT714" s="75"/>
      <c r="CU714" s="75"/>
      <c r="CV714" s="75"/>
      <c r="CW714" s="75"/>
      <c r="CX714" s="75"/>
      <c r="CY714" s="75"/>
      <c r="CZ714" s="75"/>
      <c r="DA714" s="75"/>
      <c r="DB714" s="75"/>
      <c r="DC714" s="75"/>
      <c r="DD714" s="75"/>
      <c r="DE714" s="75"/>
      <c r="DF714" s="75"/>
      <c r="DG714" s="75"/>
      <c r="DH714" s="75"/>
      <c r="DI714" s="75"/>
      <c r="DJ714" s="75"/>
      <c r="DK714" s="75"/>
      <c r="DL714" s="75"/>
      <c r="DM714" s="75"/>
      <c r="DN714" s="75"/>
      <c r="DO714" s="75"/>
      <c r="DP714" s="75"/>
      <c r="DQ714" s="75"/>
      <c r="DR714" s="75"/>
      <c r="DS714" s="75"/>
      <c r="DT714" s="75"/>
      <c r="DU714" s="75"/>
      <c r="DV714" s="75"/>
      <c r="DW714" s="75"/>
      <c r="DX714" s="75"/>
      <c r="DY714" s="75"/>
      <c r="DZ714" s="75"/>
      <c r="EA714" s="75"/>
    </row>
    <row r="715" spans="1:131" s="230" customFormat="1" ht="44.25" customHeight="1" hidden="1">
      <c r="A715" s="194" t="s">
        <v>485</v>
      </c>
      <c r="B715" s="195"/>
      <c r="C715" s="195"/>
      <c r="D715" s="193">
        <f>D717</f>
        <v>2943659</v>
      </c>
      <c r="E715" s="193">
        <f>E717</f>
        <v>85000</v>
      </c>
      <c r="F715" s="193">
        <f>D715+E715</f>
        <v>3028659</v>
      </c>
      <c r="G715" s="193">
        <f>G717</f>
        <v>320100</v>
      </c>
      <c r="H715" s="193"/>
      <c r="I715" s="193">
        <f>I717</f>
        <v>0</v>
      </c>
      <c r="J715" s="193">
        <f>G715</f>
        <v>320100</v>
      </c>
      <c r="K715" s="193"/>
      <c r="L715" s="193"/>
      <c r="M715" s="193"/>
      <c r="N715" s="193">
        <f>N717</f>
        <v>339300</v>
      </c>
      <c r="O715" s="193"/>
      <c r="P715" s="193">
        <f>N715+O715</f>
        <v>339300</v>
      </c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  <c r="AW715" s="229"/>
      <c r="AX715" s="229"/>
      <c r="AY715" s="229"/>
      <c r="AZ715" s="229"/>
      <c r="BA715" s="229"/>
      <c r="BB715" s="229"/>
      <c r="BC715" s="229"/>
      <c r="BD715" s="229"/>
      <c r="BE715" s="229"/>
      <c r="BF715" s="229"/>
      <c r="BG715" s="229"/>
      <c r="BH715" s="229"/>
      <c r="BI715" s="229"/>
      <c r="BJ715" s="229"/>
      <c r="BK715" s="229"/>
      <c r="BL715" s="229"/>
      <c r="BM715" s="229"/>
      <c r="BN715" s="229"/>
      <c r="BO715" s="229"/>
      <c r="BP715" s="229"/>
      <c r="BQ715" s="229"/>
      <c r="BR715" s="229"/>
      <c r="BS715" s="229"/>
      <c r="BT715" s="229"/>
      <c r="BU715" s="229"/>
      <c r="BV715" s="229"/>
      <c r="BW715" s="229"/>
      <c r="BX715" s="229"/>
      <c r="BY715" s="229"/>
      <c r="BZ715" s="229"/>
      <c r="CA715" s="229"/>
      <c r="CB715" s="229"/>
      <c r="CC715" s="229"/>
      <c r="CD715" s="229"/>
      <c r="CE715" s="229"/>
      <c r="CF715" s="229"/>
      <c r="CG715" s="229"/>
      <c r="CH715" s="229"/>
      <c r="CI715" s="229"/>
      <c r="CJ715" s="229"/>
      <c r="CK715" s="229"/>
      <c r="CL715" s="229"/>
      <c r="CM715" s="229"/>
      <c r="CN715" s="229"/>
      <c r="CO715" s="229"/>
      <c r="CP715" s="229"/>
      <c r="CQ715" s="229"/>
      <c r="CR715" s="229"/>
      <c r="CS715" s="229"/>
      <c r="CT715" s="229"/>
      <c r="CU715" s="229"/>
      <c r="CV715" s="229"/>
      <c r="CW715" s="229"/>
      <c r="CX715" s="229"/>
      <c r="CY715" s="229"/>
      <c r="CZ715" s="229"/>
      <c r="DA715" s="229"/>
      <c r="DB715" s="229"/>
      <c r="DC715" s="229"/>
      <c r="DD715" s="229"/>
      <c r="DE715" s="229"/>
      <c r="DF715" s="229"/>
      <c r="DG715" s="229"/>
      <c r="DH715" s="229"/>
      <c r="DI715" s="229"/>
      <c r="DJ715" s="229"/>
      <c r="DK715" s="229"/>
      <c r="DL715" s="229"/>
      <c r="DM715" s="229"/>
      <c r="DN715" s="229"/>
      <c r="DO715" s="229"/>
      <c r="DP715" s="229"/>
      <c r="DQ715" s="229"/>
      <c r="DR715" s="229"/>
      <c r="DS715" s="229"/>
      <c r="DT715" s="229"/>
      <c r="DU715" s="229"/>
      <c r="DV715" s="229"/>
      <c r="DW715" s="229"/>
      <c r="DX715" s="229"/>
      <c r="DY715" s="229"/>
      <c r="DZ715" s="229"/>
      <c r="EA715" s="229"/>
    </row>
    <row r="716" spans="1:16" ht="11.25" hidden="1">
      <c r="A716" s="3" t="s">
        <v>2</v>
      </c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35.25" customHeight="1" hidden="1">
      <c r="A717" s="6" t="s">
        <v>128</v>
      </c>
      <c r="B717" s="4"/>
      <c r="C717" s="4"/>
      <c r="D717" s="5">
        <f>4841800+1541959+29300-85000+5700000+1157400-4541800-5700000-1157400+1157400</f>
        <v>2943659</v>
      </c>
      <c r="E717" s="5">
        <f>0+85000</f>
        <v>85000</v>
      </c>
      <c r="F717" s="5">
        <f>D717</f>
        <v>2943659</v>
      </c>
      <c r="G717" s="5">
        <v>320100</v>
      </c>
      <c r="H717" s="5"/>
      <c r="I717" s="5"/>
      <c r="J717" s="5">
        <f>G717+H717</f>
        <v>320100</v>
      </c>
      <c r="K717" s="5"/>
      <c r="L717" s="5"/>
      <c r="M717" s="5"/>
      <c r="N717" s="5">
        <v>339300</v>
      </c>
      <c r="O717" s="5"/>
      <c r="P717" s="5">
        <f>N717+O717</f>
        <v>339300</v>
      </c>
    </row>
    <row r="718" spans="1:16" ht="11.25" hidden="1">
      <c r="A718" s="3" t="s">
        <v>3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39.75" customHeight="1" hidden="1">
      <c r="A719" s="6" t="s">
        <v>129</v>
      </c>
      <c r="B719" s="4"/>
      <c r="C719" s="4"/>
      <c r="D719" s="5">
        <v>3</v>
      </c>
      <c r="E719" s="5">
        <v>1</v>
      </c>
      <c r="F719" s="5">
        <f>D719+E719</f>
        <v>4</v>
      </c>
      <c r="G719" s="5">
        <v>1</v>
      </c>
      <c r="H719" s="5"/>
      <c r="I719" s="5"/>
      <c r="J719" s="5">
        <f>G719</f>
        <v>1</v>
      </c>
      <c r="K719" s="5"/>
      <c r="L719" s="5"/>
      <c r="M719" s="5"/>
      <c r="N719" s="5">
        <v>1</v>
      </c>
      <c r="O719" s="5"/>
      <c r="P719" s="5">
        <f>N719+O719</f>
        <v>1</v>
      </c>
    </row>
    <row r="720" spans="1:16" ht="11.25" hidden="1">
      <c r="A720" s="3" t="s">
        <v>5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40.5" customHeight="1" hidden="1">
      <c r="A721" s="6" t="s">
        <v>130</v>
      </c>
      <c r="B721" s="4"/>
      <c r="C721" s="4"/>
      <c r="D721" s="5">
        <f>D717/D719</f>
        <v>981219.6666666666</v>
      </c>
      <c r="E721" s="5">
        <f>E717/E719</f>
        <v>85000</v>
      </c>
      <c r="F721" s="5">
        <f>F717/F719</f>
        <v>735914.75</v>
      </c>
      <c r="G721" s="5">
        <f>G717/G719</f>
        <v>320100</v>
      </c>
      <c r="H721" s="5"/>
      <c r="I721" s="5"/>
      <c r="J721" s="5">
        <f>G721+H721</f>
        <v>320100</v>
      </c>
      <c r="K721" s="5"/>
      <c r="L721" s="5"/>
      <c r="M721" s="5"/>
      <c r="N721" s="5">
        <f>N717/N719</f>
        <v>339300</v>
      </c>
      <c r="O721" s="5"/>
      <c r="P721" s="5">
        <f>P717/P719</f>
        <v>339300</v>
      </c>
    </row>
    <row r="722" spans="1:131" s="203" customFormat="1" ht="22.5" customHeight="1">
      <c r="A722" s="200" t="s">
        <v>133</v>
      </c>
      <c r="B722" s="231"/>
      <c r="C722" s="231"/>
      <c r="D722" s="201">
        <f>D724</f>
        <v>29792000</v>
      </c>
      <c r="E722" s="201">
        <f aca="true" t="shared" si="45" ref="E722:Q722">E724</f>
        <v>200000</v>
      </c>
      <c r="F722" s="201">
        <f t="shared" si="45"/>
        <v>29992000</v>
      </c>
      <c r="G722" s="201">
        <f t="shared" si="45"/>
        <v>3680000</v>
      </c>
      <c r="H722" s="201">
        <f t="shared" si="45"/>
        <v>0</v>
      </c>
      <c r="I722" s="201">
        <f t="shared" si="45"/>
        <v>3568484</v>
      </c>
      <c r="J722" s="201">
        <f t="shared" si="45"/>
        <v>3680000</v>
      </c>
      <c r="K722" s="201">
        <f t="shared" si="45"/>
        <v>3568484</v>
      </c>
      <c r="L722" s="201">
        <f t="shared" si="45"/>
        <v>3568484</v>
      </c>
      <c r="M722" s="201">
        <f t="shared" si="45"/>
        <v>3568484</v>
      </c>
      <c r="N722" s="201">
        <f t="shared" si="45"/>
        <v>3900300</v>
      </c>
      <c r="O722" s="201">
        <f t="shared" si="45"/>
        <v>0</v>
      </c>
      <c r="P722" s="201">
        <f t="shared" si="45"/>
        <v>3900300</v>
      </c>
      <c r="Q722" s="201">
        <f t="shared" si="45"/>
        <v>0</v>
      </c>
      <c r="R722" s="202"/>
      <c r="S722" s="202"/>
      <c r="T722" s="202"/>
      <c r="U722" s="202"/>
      <c r="V722" s="202"/>
      <c r="W722" s="202"/>
      <c r="X722" s="202"/>
      <c r="Y722" s="202"/>
      <c r="Z722" s="202"/>
      <c r="AA722" s="202"/>
      <c r="AB722" s="202"/>
      <c r="AC722" s="202"/>
      <c r="AD722" s="202"/>
      <c r="AE722" s="202"/>
      <c r="AF722" s="202"/>
      <c r="AG722" s="202"/>
      <c r="AH722" s="202"/>
      <c r="AI722" s="202"/>
      <c r="AJ722" s="202"/>
      <c r="AK722" s="202"/>
      <c r="AL722" s="202"/>
      <c r="AM722" s="202"/>
      <c r="AN722" s="202"/>
      <c r="AO722" s="202"/>
      <c r="AP722" s="202"/>
      <c r="AQ722" s="202"/>
      <c r="AR722" s="202"/>
      <c r="AS722" s="202"/>
      <c r="AT722" s="202"/>
      <c r="AU722" s="202"/>
      <c r="AV722" s="202"/>
      <c r="AW722" s="202"/>
      <c r="AX722" s="202"/>
      <c r="AY722" s="202"/>
      <c r="AZ722" s="202"/>
      <c r="BA722" s="202"/>
      <c r="BB722" s="202"/>
      <c r="BC722" s="202"/>
      <c r="BD722" s="202"/>
      <c r="BE722" s="202"/>
      <c r="BF722" s="202"/>
      <c r="BG722" s="202"/>
      <c r="BH722" s="202"/>
      <c r="BI722" s="202"/>
      <c r="BJ722" s="202"/>
      <c r="BK722" s="202"/>
      <c r="BL722" s="202"/>
      <c r="BM722" s="202"/>
      <c r="BN722" s="202"/>
      <c r="BO722" s="202"/>
      <c r="BP722" s="202"/>
      <c r="BQ722" s="202"/>
      <c r="BR722" s="202"/>
      <c r="BS722" s="202"/>
      <c r="BT722" s="202"/>
      <c r="BU722" s="202"/>
      <c r="BV722" s="202"/>
      <c r="BW722" s="202"/>
      <c r="BX722" s="202"/>
      <c r="BY722" s="202"/>
      <c r="BZ722" s="202"/>
      <c r="CA722" s="202"/>
      <c r="CB722" s="202"/>
      <c r="CC722" s="202"/>
      <c r="CD722" s="202"/>
      <c r="CE722" s="202"/>
      <c r="CF722" s="202"/>
      <c r="CG722" s="202"/>
      <c r="CH722" s="202"/>
      <c r="CI722" s="202"/>
      <c r="CJ722" s="202"/>
      <c r="CK722" s="202"/>
      <c r="CL722" s="202"/>
      <c r="CM722" s="202"/>
      <c r="CN722" s="202"/>
      <c r="CO722" s="202"/>
      <c r="CP722" s="202"/>
      <c r="CQ722" s="202"/>
      <c r="CR722" s="202"/>
      <c r="CS722" s="202"/>
      <c r="CT722" s="202"/>
      <c r="CU722" s="202"/>
      <c r="CV722" s="202"/>
      <c r="CW722" s="202"/>
      <c r="CX722" s="202"/>
      <c r="CY722" s="202"/>
      <c r="CZ722" s="202"/>
      <c r="DA722" s="202"/>
      <c r="DB722" s="202"/>
      <c r="DC722" s="202"/>
      <c r="DD722" s="202"/>
      <c r="DE722" s="202"/>
      <c r="DF722" s="202"/>
      <c r="DG722" s="202"/>
      <c r="DH722" s="202"/>
      <c r="DI722" s="202"/>
      <c r="DJ722" s="202"/>
      <c r="DK722" s="202"/>
      <c r="DL722" s="202"/>
      <c r="DM722" s="202"/>
      <c r="DN722" s="202"/>
      <c r="DO722" s="202"/>
      <c r="DP722" s="202"/>
      <c r="DQ722" s="202"/>
      <c r="DR722" s="202"/>
      <c r="DS722" s="202"/>
      <c r="DT722" s="202"/>
      <c r="DU722" s="202"/>
      <c r="DV722" s="202"/>
      <c r="DW722" s="202"/>
      <c r="DX722" s="202"/>
      <c r="DY722" s="202"/>
      <c r="DZ722" s="202"/>
      <c r="EA722" s="202"/>
    </row>
    <row r="723" spans="1:16" ht="23.25" customHeight="1">
      <c r="A723" s="6" t="s">
        <v>66</v>
      </c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31" s="197" customFormat="1" ht="45.75" customHeight="1">
      <c r="A724" s="194" t="s">
        <v>527</v>
      </c>
      <c r="B724" s="195"/>
      <c r="C724" s="195"/>
      <c r="D724" s="193">
        <f>D725+D735+D748+D751+D760+D767+D820+D827+D834+D841+D844+D847+D854+D857</f>
        <v>29792000</v>
      </c>
      <c r="E724" s="193">
        <f>E725+E735+E751+E760+E767+E820+E827+E834</f>
        <v>200000</v>
      </c>
      <c r="F724" s="193">
        <f>D724+E724</f>
        <v>29992000</v>
      </c>
      <c r="G724" s="193">
        <f>G725+G735+G751+G760+G767+G820+G827+G834</f>
        <v>3680000</v>
      </c>
      <c r="H724" s="193">
        <f>H725+H735+H751+H760+H767+H820+H827+H834</f>
        <v>0</v>
      </c>
      <c r="I724" s="193">
        <f>I725+I735+I751+I760+I767+I820+I827+I834</f>
        <v>3568484</v>
      </c>
      <c r="J724" s="193">
        <f>G724+H724</f>
        <v>3680000</v>
      </c>
      <c r="K724" s="193">
        <f>K725+K735+K751+K760+K767+K820+K827+K834</f>
        <v>3568484</v>
      </c>
      <c r="L724" s="193">
        <f>L725+L735+L751+L760+L767+L820+L827+L834</f>
        <v>3568484</v>
      </c>
      <c r="M724" s="193">
        <f>M725+M735+M751+M760+M767+M820+M827+M834</f>
        <v>3568484</v>
      </c>
      <c r="N724" s="193">
        <f>N725+N735+N751+N760+N767+N820+N827+N834</f>
        <v>3900300</v>
      </c>
      <c r="O724" s="193">
        <f>O725+O735+O751+O760+O767+O820+O827+O834</f>
        <v>0</v>
      </c>
      <c r="P724" s="193">
        <f>N724+O724</f>
        <v>3900300</v>
      </c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196"/>
      <c r="AT724" s="196"/>
      <c r="AU724" s="196"/>
      <c r="AV724" s="196"/>
      <c r="AW724" s="196"/>
      <c r="AX724" s="196"/>
      <c r="AY724" s="196"/>
      <c r="AZ724" s="196"/>
      <c r="BA724" s="196"/>
      <c r="BB724" s="196"/>
      <c r="BC724" s="196"/>
      <c r="BD724" s="196"/>
      <c r="BE724" s="196"/>
      <c r="BF724" s="196"/>
      <c r="BG724" s="196"/>
      <c r="BH724" s="196"/>
      <c r="BI724" s="196"/>
      <c r="BJ724" s="196"/>
      <c r="BK724" s="196"/>
      <c r="BL724" s="196"/>
      <c r="BM724" s="196"/>
      <c r="BN724" s="196"/>
      <c r="BO724" s="196"/>
      <c r="BP724" s="196"/>
      <c r="BQ724" s="196"/>
      <c r="BR724" s="196"/>
      <c r="BS724" s="196"/>
      <c r="BT724" s="196"/>
      <c r="BU724" s="196"/>
      <c r="BV724" s="196"/>
      <c r="BW724" s="196"/>
      <c r="BX724" s="196"/>
      <c r="BY724" s="196"/>
      <c r="BZ724" s="196"/>
      <c r="CA724" s="196"/>
      <c r="CB724" s="196"/>
      <c r="CC724" s="196"/>
      <c r="CD724" s="196"/>
      <c r="CE724" s="196"/>
      <c r="CF724" s="196"/>
      <c r="CG724" s="196"/>
      <c r="CH724" s="196"/>
      <c r="CI724" s="196"/>
      <c r="CJ724" s="196"/>
      <c r="CK724" s="196"/>
      <c r="CL724" s="196"/>
      <c r="CM724" s="196"/>
      <c r="CN724" s="196"/>
      <c r="CO724" s="196"/>
      <c r="CP724" s="196"/>
      <c r="CQ724" s="196"/>
      <c r="CR724" s="196"/>
      <c r="CS724" s="196"/>
      <c r="CT724" s="196"/>
      <c r="CU724" s="196"/>
      <c r="CV724" s="196"/>
      <c r="CW724" s="196"/>
      <c r="CX724" s="196"/>
      <c r="CY724" s="196"/>
      <c r="CZ724" s="196"/>
      <c r="DA724" s="196"/>
      <c r="DB724" s="196"/>
      <c r="DC724" s="196"/>
      <c r="DD724" s="196"/>
      <c r="DE724" s="196"/>
      <c r="DF724" s="196"/>
      <c r="DG724" s="196"/>
      <c r="DH724" s="196"/>
      <c r="DI724" s="196"/>
      <c r="DJ724" s="196"/>
      <c r="DK724" s="196"/>
      <c r="DL724" s="196"/>
      <c r="DM724" s="196"/>
      <c r="DN724" s="196"/>
      <c r="DO724" s="196"/>
      <c r="DP724" s="196"/>
      <c r="DQ724" s="196"/>
      <c r="DR724" s="196"/>
      <c r="DS724" s="196"/>
      <c r="DT724" s="196"/>
      <c r="DU724" s="196"/>
      <c r="DV724" s="196"/>
      <c r="DW724" s="196"/>
      <c r="DX724" s="196"/>
      <c r="DY724" s="196"/>
      <c r="DZ724" s="196"/>
      <c r="EA724" s="196"/>
    </row>
    <row r="725" spans="1:131" s="87" customFormat="1" ht="45" hidden="1">
      <c r="A725" s="85" t="s">
        <v>508</v>
      </c>
      <c r="B725" s="77"/>
      <c r="C725" s="77"/>
      <c r="D725" s="81">
        <f>3448500+120000+200000+275000-3448500</f>
        <v>595000</v>
      </c>
      <c r="E725" s="81"/>
      <c r="F725" s="81">
        <f>D725</f>
        <v>595000</v>
      </c>
      <c r="G725" s="81">
        <f>G727</f>
        <v>3680000</v>
      </c>
      <c r="H725" s="81"/>
      <c r="I725" s="81">
        <f>3448484+120000</f>
        <v>3568484</v>
      </c>
      <c r="J725" s="81">
        <f>G725</f>
        <v>3680000</v>
      </c>
      <c r="K725" s="81">
        <f>3448484+120000</f>
        <v>3568484</v>
      </c>
      <c r="L725" s="81">
        <f>3448484+120000</f>
        <v>3568484</v>
      </c>
      <c r="M725" s="81">
        <f>3448484+120000</f>
        <v>3568484</v>
      </c>
      <c r="N725" s="81">
        <f>N727</f>
        <v>3900300</v>
      </c>
      <c r="O725" s="81"/>
      <c r="P725" s="81">
        <f>N725</f>
        <v>3900300</v>
      </c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  <c r="CJ725" s="118"/>
      <c r="CK725" s="118"/>
      <c r="CL725" s="118"/>
      <c r="CM725" s="118"/>
      <c r="CN725" s="118"/>
      <c r="CO725" s="118"/>
      <c r="CP725" s="118"/>
      <c r="CQ725" s="118"/>
      <c r="CR725" s="118"/>
      <c r="CS725" s="118"/>
      <c r="CT725" s="118"/>
      <c r="CU725" s="118"/>
      <c r="CV725" s="118"/>
      <c r="CW725" s="118"/>
      <c r="CX725" s="118"/>
      <c r="CY725" s="118"/>
      <c r="CZ725" s="118"/>
      <c r="DA725" s="118"/>
      <c r="DB725" s="118"/>
      <c r="DC725" s="118"/>
      <c r="DD725" s="118"/>
      <c r="DE725" s="118"/>
      <c r="DF725" s="118"/>
      <c r="DG725" s="118"/>
      <c r="DH725" s="118"/>
      <c r="DI725" s="118"/>
      <c r="DJ725" s="118"/>
      <c r="DK725" s="118"/>
      <c r="DL725" s="118"/>
      <c r="DM725" s="118"/>
      <c r="DN725" s="118"/>
      <c r="DO725" s="118"/>
      <c r="DP725" s="118"/>
      <c r="DQ725" s="118"/>
      <c r="DR725" s="118"/>
      <c r="DS725" s="118"/>
      <c r="DT725" s="118"/>
      <c r="DU725" s="118"/>
      <c r="DV725" s="118"/>
      <c r="DW725" s="118"/>
      <c r="DX725" s="118"/>
      <c r="DY725" s="118"/>
      <c r="DZ725" s="118"/>
      <c r="EA725" s="118"/>
    </row>
    <row r="726" spans="1:16" ht="12" customHeight="1" hidden="1">
      <c r="A726" s="3" t="s">
        <v>2</v>
      </c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3.5" customHeight="1" hidden="1">
      <c r="A727" s="6" t="s">
        <v>23</v>
      </c>
      <c r="B727" s="4"/>
      <c r="C727" s="4"/>
      <c r="D727" s="5">
        <f>D725</f>
        <v>595000</v>
      </c>
      <c r="E727" s="5"/>
      <c r="F727" s="5">
        <f>D727</f>
        <v>595000</v>
      </c>
      <c r="G727" s="5">
        <v>3680000</v>
      </c>
      <c r="H727" s="5"/>
      <c r="I727" s="5"/>
      <c r="J727" s="5">
        <f>SUM(G727)</f>
        <v>3680000</v>
      </c>
      <c r="K727" s="5"/>
      <c r="L727" s="5"/>
      <c r="M727" s="5"/>
      <c r="N727" s="5">
        <v>3900300</v>
      </c>
      <c r="O727" s="5"/>
      <c r="P727" s="5">
        <f>N727</f>
        <v>3900300</v>
      </c>
    </row>
    <row r="728" spans="1:16" ht="12" customHeight="1" hidden="1">
      <c r="A728" s="3" t="s">
        <v>3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37.5" customHeight="1" hidden="1">
      <c r="A729" s="6" t="s">
        <v>131</v>
      </c>
      <c r="B729" s="4"/>
      <c r="C729" s="4"/>
      <c r="D729" s="5">
        <v>12</v>
      </c>
      <c r="E729" s="5"/>
      <c r="F729" s="5">
        <v>12</v>
      </c>
      <c r="G729" s="5">
        <v>12</v>
      </c>
      <c r="H729" s="5"/>
      <c r="I729" s="5"/>
      <c r="J729" s="5">
        <v>12</v>
      </c>
      <c r="K729" s="5"/>
      <c r="L729" s="5"/>
      <c r="M729" s="5"/>
      <c r="N729" s="5">
        <v>12</v>
      </c>
      <c r="O729" s="5"/>
      <c r="P729" s="5">
        <v>12</v>
      </c>
    </row>
    <row r="730" spans="1:16" ht="11.25" hidden="1">
      <c r="A730" s="3" t="s">
        <v>5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6" customHeight="1" hidden="1">
      <c r="A731" s="6" t="s">
        <v>132</v>
      </c>
      <c r="B731" s="4"/>
      <c r="C731" s="4"/>
      <c r="D731" s="5">
        <f>SUM(D727)/D729</f>
        <v>49583.333333333336</v>
      </c>
      <c r="E731" s="5"/>
      <c r="F731" s="5">
        <f>D731</f>
        <v>49583.333333333336</v>
      </c>
      <c r="G731" s="5">
        <f>SUM(G727)/G729</f>
        <v>306666.6666666667</v>
      </c>
      <c r="H731" s="5"/>
      <c r="I731" s="5"/>
      <c r="J731" s="5">
        <f>SUM(J727)/J729</f>
        <v>306666.6666666667</v>
      </c>
      <c r="K731" s="5"/>
      <c r="L731" s="5"/>
      <c r="M731" s="5"/>
      <c r="N731" s="5">
        <f>SUM(N727)/N729</f>
        <v>325025</v>
      </c>
      <c r="O731" s="5"/>
      <c r="P731" s="5">
        <f>SUM(P727)/P729</f>
        <v>325025</v>
      </c>
    </row>
    <row r="732" spans="1:16" ht="24" customHeight="1" hidden="1">
      <c r="A732" s="22" t="s">
        <v>172</v>
      </c>
      <c r="B732" s="4"/>
      <c r="C732" s="4"/>
      <c r="D732" s="5">
        <f>D734</f>
        <v>14000000</v>
      </c>
      <c r="E732" s="5"/>
      <c r="F732" s="5">
        <f>F734</f>
        <v>14000000</v>
      </c>
      <c r="G732" s="5">
        <f>G734</f>
        <v>45705000</v>
      </c>
      <c r="H732" s="5"/>
      <c r="I732" s="5"/>
      <c r="J732" s="5">
        <f>G732</f>
        <v>45705000</v>
      </c>
      <c r="K732" s="5"/>
      <c r="L732" s="5"/>
      <c r="M732" s="5"/>
      <c r="N732" s="5"/>
      <c r="O732" s="5"/>
      <c r="P732" s="5"/>
    </row>
    <row r="733" spans="1:16" ht="16.5" customHeight="1" hidden="1">
      <c r="A733" s="3" t="s">
        <v>2</v>
      </c>
      <c r="B733" s="4"/>
      <c r="C733" s="4"/>
      <c r="D733" s="5"/>
      <c r="E733" s="5"/>
      <c r="F733" s="5"/>
      <c r="G733" s="90">
        <v>1</v>
      </c>
      <c r="H733" s="90"/>
      <c r="I733" s="90"/>
      <c r="J733" s="90"/>
      <c r="K733" s="90"/>
      <c r="L733" s="90"/>
      <c r="M733" s="90"/>
      <c r="N733" s="90"/>
      <c r="O733" s="5"/>
      <c r="P733" s="5"/>
    </row>
    <row r="734" spans="1:16" ht="12.75" customHeight="1" hidden="1">
      <c r="A734" s="3" t="s">
        <v>23</v>
      </c>
      <c r="B734" s="4"/>
      <c r="C734" s="4"/>
      <c r="D734" s="5">
        <f>3000000+2000000+3000000+1000000+3000000+2000000</f>
        <v>14000000</v>
      </c>
      <c r="E734" s="5"/>
      <c r="F734" s="5">
        <f>3000000+2000000+3000000+1000000+3000000+2000000</f>
        <v>14000000</v>
      </c>
      <c r="G734" s="5">
        <f>0+4000000+2725000+3000000+9000000+3000000+3000000+3000000+3200000+4000000+3500000+5000000+2280000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31" s="76" customFormat="1" ht="34.5" customHeight="1">
      <c r="A735" s="85" t="s">
        <v>486</v>
      </c>
      <c r="B735" s="73"/>
      <c r="C735" s="73"/>
      <c r="D735" s="81">
        <f>18600000-6500000-5535000-1800000</f>
        <v>4765000</v>
      </c>
      <c r="E735" s="81"/>
      <c r="F735" s="81">
        <f>D735</f>
        <v>4765000</v>
      </c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  <c r="CI735" s="75"/>
      <c r="CJ735" s="75"/>
      <c r="CK735" s="75"/>
      <c r="CL735" s="75"/>
      <c r="CM735" s="75"/>
      <c r="CN735" s="75"/>
      <c r="CO735" s="75"/>
      <c r="CP735" s="75"/>
      <c r="CQ735" s="75"/>
      <c r="CR735" s="75"/>
      <c r="CS735" s="75"/>
      <c r="CT735" s="75"/>
      <c r="CU735" s="75"/>
      <c r="CV735" s="75"/>
      <c r="CW735" s="75"/>
      <c r="CX735" s="75"/>
      <c r="CY735" s="75"/>
      <c r="CZ735" s="75"/>
      <c r="DA735" s="75"/>
      <c r="DB735" s="75"/>
      <c r="DC735" s="75"/>
      <c r="DD735" s="75"/>
      <c r="DE735" s="75"/>
      <c r="DF735" s="75"/>
      <c r="DG735" s="75"/>
      <c r="DH735" s="75"/>
      <c r="DI735" s="75"/>
      <c r="DJ735" s="75"/>
      <c r="DK735" s="75"/>
      <c r="DL735" s="75"/>
      <c r="DM735" s="75"/>
      <c r="DN735" s="75"/>
      <c r="DO735" s="75"/>
      <c r="DP735" s="75"/>
      <c r="DQ735" s="75"/>
      <c r="DR735" s="75"/>
      <c r="DS735" s="75"/>
      <c r="DT735" s="75"/>
      <c r="DU735" s="75"/>
      <c r="DV735" s="75"/>
      <c r="DW735" s="75"/>
      <c r="DX735" s="75"/>
      <c r="DY735" s="75"/>
      <c r="DZ735" s="75"/>
      <c r="EA735" s="75"/>
    </row>
    <row r="736" spans="1:16" ht="15.75" customHeight="1">
      <c r="A736" s="3" t="s">
        <v>2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>
      <c r="A737" s="3" t="s">
        <v>23</v>
      </c>
      <c r="B737" s="4"/>
      <c r="C737" s="4"/>
      <c r="D737" s="5">
        <f>D735</f>
        <v>4765000</v>
      </c>
      <c r="E737" s="5"/>
      <c r="F737" s="5">
        <f>D737</f>
        <v>4765000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35.25" customHeight="1" hidden="1">
      <c r="A738" s="22" t="s">
        <v>182</v>
      </c>
      <c r="B738" s="4"/>
      <c r="C738" s="4"/>
      <c r="D738" s="5"/>
      <c r="E738" s="5"/>
      <c r="F738" s="5"/>
      <c r="G738" s="5">
        <f>G740</f>
        <v>1000000</v>
      </c>
      <c r="H738" s="5">
        <f>H740</f>
        <v>0</v>
      </c>
      <c r="I738" s="5">
        <f>I740</f>
        <v>0</v>
      </c>
      <c r="J738" s="5">
        <f>J740</f>
        <v>1000000</v>
      </c>
      <c r="K738" s="5"/>
      <c r="L738" s="5"/>
      <c r="M738" s="5"/>
      <c r="N738" s="5">
        <f>N740</f>
        <v>1000000</v>
      </c>
      <c r="O738" s="5"/>
      <c r="P738" s="5">
        <f>N738</f>
        <v>1000000</v>
      </c>
    </row>
    <row r="739" spans="1:16" ht="12.75" customHeight="1" hidden="1">
      <c r="A739" s="3" t="s">
        <v>2</v>
      </c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 customHeight="1" hidden="1">
      <c r="A740" s="3" t="s">
        <v>23</v>
      </c>
      <c r="B740" s="4"/>
      <c r="C740" s="4"/>
      <c r="D740" s="5"/>
      <c r="E740" s="5"/>
      <c r="F740" s="5"/>
      <c r="G740" s="5">
        <v>1000000</v>
      </c>
      <c r="H740" s="5"/>
      <c r="I740" s="5"/>
      <c r="J740" s="5">
        <f>G740+H740</f>
        <v>1000000</v>
      </c>
      <c r="K740" s="5"/>
      <c r="L740" s="5"/>
      <c r="M740" s="5"/>
      <c r="N740" s="5">
        <v>1000000</v>
      </c>
      <c r="O740" s="5"/>
      <c r="P740" s="5">
        <f>N740</f>
        <v>1000000</v>
      </c>
    </row>
    <row r="741" spans="1:131" s="27" customFormat="1" ht="25.5" customHeight="1" hidden="1">
      <c r="A741" s="22" t="s">
        <v>173</v>
      </c>
      <c r="B741" s="23"/>
      <c r="C741" s="23"/>
      <c r="D741" s="24">
        <f>D743</f>
        <v>70000</v>
      </c>
      <c r="E741" s="24"/>
      <c r="F741" s="24">
        <f>D741+E741</f>
        <v>70000</v>
      </c>
      <c r="G741" s="24">
        <f>G745*G747</f>
        <v>0</v>
      </c>
      <c r="H741" s="24"/>
      <c r="I741" s="24"/>
      <c r="J741" s="24">
        <f>G741</f>
        <v>0</v>
      </c>
      <c r="K741" s="24"/>
      <c r="L741" s="24"/>
      <c r="M741" s="24"/>
      <c r="N741" s="24">
        <f>N747*N745</f>
        <v>0</v>
      </c>
      <c r="O741" s="24"/>
      <c r="P741" s="24">
        <f>N741</f>
        <v>0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</row>
    <row r="742" spans="1:16" ht="11.25" hidden="1">
      <c r="A742" s="3" t="s">
        <v>2</v>
      </c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4.25" customHeight="1" hidden="1">
      <c r="A743" s="6" t="s">
        <v>23</v>
      </c>
      <c r="B743" s="4"/>
      <c r="C743" s="4"/>
      <c r="D743" s="5">
        <f>D745*D747</f>
        <v>70000</v>
      </c>
      <c r="E743" s="5"/>
      <c r="F743" s="5">
        <f>D743+E743</f>
        <v>70000</v>
      </c>
      <c r="G743" s="5"/>
      <c r="H743" s="5"/>
      <c r="I743" s="5"/>
      <c r="J743" s="5">
        <f>G743</f>
        <v>0</v>
      </c>
      <c r="K743" s="5"/>
      <c r="L743" s="5"/>
      <c r="M743" s="5"/>
      <c r="N743" s="5"/>
      <c r="O743" s="5"/>
      <c r="P743" s="5">
        <f>N743</f>
        <v>0</v>
      </c>
    </row>
    <row r="744" spans="1:16" ht="11.25" hidden="1">
      <c r="A744" s="3" t="s">
        <v>3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23.25" customHeight="1" hidden="1">
      <c r="A745" s="6" t="s">
        <v>67</v>
      </c>
      <c r="B745" s="4"/>
      <c r="C745" s="4"/>
      <c r="D745" s="5">
        <v>2</v>
      </c>
      <c r="E745" s="5"/>
      <c r="F745" s="5">
        <f>D745+E745</f>
        <v>2</v>
      </c>
      <c r="G745" s="5"/>
      <c r="H745" s="5"/>
      <c r="I745" s="5"/>
      <c r="J745" s="5">
        <v>0</v>
      </c>
      <c r="K745" s="5"/>
      <c r="L745" s="5"/>
      <c r="M745" s="5"/>
      <c r="N745" s="5"/>
      <c r="O745" s="5"/>
      <c r="P745" s="5">
        <v>0</v>
      </c>
    </row>
    <row r="746" spans="1:16" ht="11.25" hidden="1">
      <c r="A746" s="3" t="s">
        <v>5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 hidden="1">
      <c r="A747" s="6" t="s">
        <v>68</v>
      </c>
      <c r="B747" s="4"/>
      <c r="C747" s="4"/>
      <c r="D747" s="5">
        <v>35000</v>
      </c>
      <c r="E747" s="5"/>
      <c r="F747" s="5">
        <f>D747+E747</f>
        <v>35000</v>
      </c>
      <c r="G747" s="5"/>
      <c r="H747" s="5"/>
      <c r="I747" s="5"/>
      <c r="J747" s="5">
        <f>G747</f>
        <v>0</v>
      </c>
      <c r="K747" s="5"/>
      <c r="L747" s="5"/>
      <c r="M747" s="5"/>
      <c r="N747" s="5"/>
      <c r="O747" s="5"/>
      <c r="P747" s="5">
        <v>0</v>
      </c>
    </row>
    <row r="748" spans="1:131" s="76" customFormat="1" ht="40.5" customHeight="1" hidden="1">
      <c r="A748" s="85" t="s">
        <v>487</v>
      </c>
      <c r="B748" s="73"/>
      <c r="C748" s="73"/>
      <c r="D748" s="81">
        <f>13000000-350000</f>
        <v>12650000</v>
      </c>
      <c r="E748" s="81"/>
      <c r="F748" s="81">
        <f>D748</f>
        <v>12650000</v>
      </c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  <c r="CF748" s="75"/>
      <c r="CG748" s="75"/>
      <c r="CH748" s="75"/>
      <c r="CI748" s="75"/>
      <c r="CJ748" s="75"/>
      <c r="CK748" s="75"/>
      <c r="CL748" s="75"/>
      <c r="CM748" s="75"/>
      <c r="CN748" s="75"/>
      <c r="CO748" s="75"/>
      <c r="CP748" s="75"/>
      <c r="CQ748" s="75"/>
      <c r="CR748" s="75"/>
      <c r="CS748" s="75"/>
      <c r="CT748" s="75"/>
      <c r="CU748" s="75"/>
      <c r="CV748" s="75"/>
      <c r="CW748" s="75"/>
      <c r="CX748" s="75"/>
      <c r="CY748" s="75"/>
      <c r="CZ748" s="75"/>
      <c r="DA748" s="75"/>
      <c r="DB748" s="75"/>
      <c r="DC748" s="75"/>
      <c r="DD748" s="75"/>
      <c r="DE748" s="75"/>
      <c r="DF748" s="75"/>
      <c r="DG748" s="75"/>
      <c r="DH748" s="75"/>
      <c r="DI748" s="75"/>
      <c r="DJ748" s="75"/>
      <c r="DK748" s="75"/>
      <c r="DL748" s="75"/>
      <c r="DM748" s="75"/>
      <c r="DN748" s="75"/>
      <c r="DO748" s="75"/>
      <c r="DP748" s="75"/>
      <c r="DQ748" s="75"/>
      <c r="DR748" s="75"/>
      <c r="DS748" s="75"/>
      <c r="DT748" s="75"/>
      <c r="DU748" s="75"/>
      <c r="DV748" s="75"/>
      <c r="DW748" s="75"/>
      <c r="DX748" s="75"/>
      <c r="DY748" s="75"/>
      <c r="DZ748" s="75"/>
      <c r="EA748" s="75"/>
    </row>
    <row r="749" spans="1:16" ht="15.75" customHeight="1" hidden="1">
      <c r="A749" s="3" t="s">
        <v>2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 hidden="1">
      <c r="A750" s="3" t="s">
        <v>23</v>
      </c>
      <c r="B750" s="4"/>
      <c r="C750" s="4"/>
      <c r="D750" s="5">
        <f>D748</f>
        <v>12650000</v>
      </c>
      <c r="E750" s="5"/>
      <c r="F750" s="5">
        <f>D750</f>
        <v>12650000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31" s="87" customFormat="1" ht="15" customHeight="1" hidden="1">
      <c r="A751" s="85" t="s">
        <v>488</v>
      </c>
      <c r="B751" s="77"/>
      <c r="C751" s="77"/>
      <c r="D751" s="81">
        <f>405500-405500</f>
        <v>0</v>
      </c>
      <c r="E751" s="81"/>
      <c r="F751" s="81">
        <f>D751</f>
        <v>0</v>
      </c>
      <c r="G751" s="81"/>
      <c r="H751" s="81"/>
      <c r="I751" s="81"/>
      <c r="J751" s="84"/>
      <c r="K751" s="81"/>
      <c r="L751" s="81"/>
      <c r="M751" s="81"/>
      <c r="N751" s="81"/>
      <c r="O751" s="81"/>
      <c r="P751" s="81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  <c r="BZ751" s="118"/>
      <c r="CA751" s="118"/>
      <c r="CB751" s="118"/>
      <c r="CC751" s="118"/>
      <c r="CD751" s="118"/>
      <c r="CE751" s="118"/>
      <c r="CF751" s="118"/>
      <c r="CG751" s="118"/>
      <c r="CH751" s="118"/>
      <c r="CI751" s="118"/>
      <c r="CJ751" s="118"/>
      <c r="CK751" s="118"/>
      <c r="CL751" s="118"/>
      <c r="CM751" s="118"/>
      <c r="CN751" s="118"/>
      <c r="CO751" s="118"/>
      <c r="CP751" s="118"/>
      <c r="CQ751" s="118"/>
      <c r="CR751" s="118"/>
      <c r="CS751" s="118"/>
      <c r="CT751" s="118"/>
      <c r="CU751" s="118"/>
      <c r="CV751" s="118"/>
      <c r="CW751" s="118"/>
      <c r="CX751" s="118"/>
      <c r="CY751" s="118"/>
      <c r="CZ751" s="118"/>
      <c r="DA751" s="118"/>
      <c r="DB751" s="118"/>
      <c r="DC751" s="118"/>
      <c r="DD751" s="118"/>
      <c r="DE751" s="118"/>
      <c r="DF751" s="118"/>
      <c r="DG751" s="118"/>
      <c r="DH751" s="118"/>
      <c r="DI751" s="118"/>
      <c r="DJ751" s="118"/>
      <c r="DK751" s="118"/>
      <c r="DL751" s="118"/>
      <c r="DM751" s="118"/>
      <c r="DN751" s="118"/>
      <c r="DO751" s="118"/>
      <c r="DP751" s="118"/>
      <c r="DQ751" s="118"/>
      <c r="DR751" s="118"/>
      <c r="DS751" s="118"/>
      <c r="DT751" s="118"/>
      <c r="DU751" s="118"/>
      <c r="DV751" s="118"/>
      <c r="DW751" s="118"/>
      <c r="DX751" s="118"/>
      <c r="DY751" s="118"/>
      <c r="DZ751" s="118"/>
      <c r="EA751" s="118"/>
    </row>
    <row r="752" spans="1:16" ht="12" customHeight="1" hidden="1">
      <c r="A752" s="3" t="s">
        <v>2</v>
      </c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 customHeight="1" hidden="1">
      <c r="A753" s="6" t="s">
        <v>23</v>
      </c>
      <c r="B753" s="4"/>
      <c r="C753" s="4"/>
      <c r="D753" s="5">
        <f>D751</f>
        <v>0</v>
      </c>
      <c r="E753" s="5"/>
      <c r="F753" s="5">
        <f>D753</f>
        <v>0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 customHeight="1" hidden="1">
      <c r="A754" s="3" t="s">
        <v>3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24.75" customHeight="1" hidden="1">
      <c r="A755" s="6" t="s">
        <v>80</v>
      </c>
      <c r="B755" s="4"/>
      <c r="C755" s="4"/>
      <c r="D755" s="5">
        <v>50</v>
      </c>
      <c r="E755" s="5"/>
      <c r="F755" s="5">
        <v>57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 hidden="1">
      <c r="A756" s="6" t="s">
        <v>78</v>
      </c>
      <c r="B756" s="4"/>
      <c r="C756" s="4"/>
      <c r="D756" s="5">
        <v>50</v>
      </c>
      <c r="E756" s="5"/>
      <c r="F756" s="5">
        <f>D756</f>
        <v>50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 customHeight="1" hidden="1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24.75" customHeight="1" hidden="1">
      <c r="A758" s="6" t="s">
        <v>79</v>
      </c>
      <c r="B758" s="4"/>
      <c r="C758" s="4"/>
      <c r="D758" s="5">
        <v>1950.89</v>
      </c>
      <c r="E758" s="5"/>
      <c r="F758" s="5">
        <f>D758</f>
        <v>1950.89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22.5" hidden="1">
      <c r="A759" s="6" t="s">
        <v>81</v>
      </c>
      <c r="B759" s="4"/>
      <c r="C759" s="4"/>
      <c r="D759" s="5">
        <f>D753/D756</f>
        <v>0</v>
      </c>
      <c r="E759" s="5"/>
      <c r="F759" s="5">
        <f>D759</f>
        <v>0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31" s="87" customFormat="1" ht="33.75" hidden="1">
      <c r="A760" s="85" t="s">
        <v>489</v>
      </c>
      <c r="B760" s="77"/>
      <c r="C760" s="77"/>
      <c r="D760" s="81">
        <f>360000-210000</f>
        <v>150000</v>
      </c>
      <c r="E760" s="81"/>
      <c r="F760" s="81">
        <f>D760</f>
        <v>150000</v>
      </c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  <c r="BZ760" s="118"/>
      <c r="CA760" s="118"/>
      <c r="CB760" s="118"/>
      <c r="CC760" s="118"/>
      <c r="CD760" s="118"/>
      <c r="CE760" s="118"/>
      <c r="CF760" s="118"/>
      <c r="CG760" s="118"/>
      <c r="CH760" s="118"/>
      <c r="CI760" s="118"/>
      <c r="CJ760" s="118"/>
      <c r="CK760" s="118"/>
      <c r="CL760" s="118"/>
      <c r="CM760" s="118"/>
      <c r="CN760" s="118"/>
      <c r="CO760" s="118"/>
      <c r="CP760" s="118"/>
      <c r="CQ760" s="118"/>
      <c r="CR760" s="118"/>
      <c r="CS760" s="118"/>
      <c r="CT760" s="118"/>
      <c r="CU760" s="118"/>
      <c r="CV760" s="118"/>
      <c r="CW760" s="118"/>
      <c r="CX760" s="118"/>
      <c r="CY760" s="118"/>
      <c r="CZ760" s="118"/>
      <c r="DA760" s="118"/>
      <c r="DB760" s="118"/>
      <c r="DC760" s="118"/>
      <c r="DD760" s="118"/>
      <c r="DE760" s="118"/>
      <c r="DF760" s="118"/>
      <c r="DG760" s="118"/>
      <c r="DH760" s="118"/>
      <c r="DI760" s="118"/>
      <c r="DJ760" s="118"/>
      <c r="DK760" s="118"/>
      <c r="DL760" s="118"/>
      <c r="DM760" s="118"/>
      <c r="DN760" s="118"/>
      <c r="DO760" s="118"/>
      <c r="DP760" s="118"/>
      <c r="DQ760" s="118"/>
      <c r="DR760" s="118"/>
      <c r="DS760" s="118"/>
      <c r="DT760" s="118"/>
      <c r="DU760" s="118"/>
      <c r="DV760" s="118"/>
      <c r="DW760" s="118"/>
      <c r="DX760" s="118"/>
      <c r="DY760" s="118"/>
      <c r="DZ760" s="118"/>
      <c r="EA760" s="118"/>
    </row>
    <row r="761" spans="1:16" ht="11.25" customHeight="1" hidden="1">
      <c r="A761" s="3" t="s">
        <v>2</v>
      </c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24"/>
    </row>
    <row r="762" spans="1:16" ht="14.25" customHeight="1" hidden="1">
      <c r="A762" s="6" t="s">
        <v>23</v>
      </c>
      <c r="B762" s="4"/>
      <c r="C762" s="4"/>
      <c r="D762" s="5">
        <f>D760</f>
        <v>150000</v>
      </c>
      <c r="E762" s="5"/>
      <c r="F762" s="5">
        <f>D762+E762</f>
        <v>150000</v>
      </c>
      <c r="G762" s="5"/>
      <c r="H762" s="5"/>
      <c r="I762" s="5"/>
      <c r="J762" s="5"/>
      <c r="K762" s="5"/>
      <c r="L762" s="5"/>
      <c r="M762" s="5"/>
      <c r="N762" s="5"/>
      <c r="O762" s="5"/>
      <c r="P762" s="24"/>
    </row>
    <row r="763" spans="1:16" ht="10.5" customHeight="1" hidden="1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24.75" customHeight="1" hidden="1">
      <c r="A764" s="6" t="s">
        <v>83</v>
      </c>
      <c r="B764" s="4"/>
      <c r="C764" s="4"/>
      <c r="D764" s="5">
        <v>150</v>
      </c>
      <c r="E764" s="5"/>
      <c r="F764" s="5">
        <f>D764</f>
        <v>150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1.25" hidden="1">
      <c r="A765" s="3" t="s">
        <v>5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 hidden="1">
      <c r="A766" s="6" t="s">
        <v>84</v>
      </c>
      <c r="B766" s="4"/>
      <c r="C766" s="4"/>
      <c r="D766" s="5">
        <f>D762/D764</f>
        <v>1000</v>
      </c>
      <c r="E766" s="5"/>
      <c r="F766" s="5">
        <f>D766</f>
        <v>1000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31" s="87" customFormat="1" ht="36.75" customHeight="1" hidden="1">
      <c r="A767" s="85" t="s">
        <v>558</v>
      </c>
      <c r="B767" s="77"/>
      <c r="C767" s="77"/>
      <c r="D767" s="81">
        <f>800000-250000</f>
        <v>550000</v>
      </c>
      <c r="E767" s="81">
        <f>500000-300000</f>
        <v>200000</v>
      </c>
      <c r="F767" s="81">
        <f>D767+E767</f>
        <v>750000</v>
      </c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  <c r="BZ767" s="118"/>
      <c r="CA767" s="118"/>
      <c r="CB767" s="118"/>
      <c r="CC767" s="118"/>
      <c r="CD767" s="118"/>
      <c r="CE767" s="118"/>
      <c r="CF767" s="118"/>
      <c r="CG767" s="118"/>
      <c r="CH767" s="118"/>
      <c r="CI767" s="118"/>
      <c r="CJ767" s="118"/>
      <c r="CK767" s="118"/>
      <c r="CL767" s="118"/>
      <c r="CM767" s="118"/>
      <c r="CN767" s="118"/>
      <c r="CO767" s="118"/>
      <c r="CP767" s="118"/>
      <c r="CQ767" s="118"/>
      <c r="CR767" s="118"/>
      <c r="CS767" s="118"/>
      <c r="CT767" s="118"/>
      <c r="CU767" s="118"/>
      <c r="CV767" s="118"/>
      <c r="CW767" s="118"/>
      <c r="CX767" s="118"/>
      <c r="CY767" s="118"/>
      <c r="CZ767" s="118"/>
      <c r="DA767" s="118"/>
      <c r="DB767" s="118"/>
      <c r="DC767" s="118"/>
      <c r="DD767" s="118"/>
      <c r="DE767" s="118"/>
      <c r="DF767" s="118"/>
      <c r="DG767" s="118"/>
      <c r="DH767" s="118"/>
      <c r="DI767" s="118"/>
      <c r="DJ767" s="118"/>
      <c r="DK767" s="118"/>
      <c r="DL767" s="118"/>
      <c r="DM767" s="118"/>
      <c r="DN767" s="118"/>
      <c r="DO767" s="118"/>
      <c r="DP767" s="118"/>
      <c r="DQ767" s="118"/>
      <c r="DR767" s="118"/>
      <c r="DS767" s="118"/>
      <c r="DT767" s="118"/>
      <c r="DU767" s="118"/>
      <c r="DV767" s="118"/>
      <c r="DW767" s="118"/>
      <c r="DX767" s="118"/>
      <c r="DY767" s="118"/>
      <c r="DZ767" s="118"/>
      <c r="EA767" s="118"/>
    </row>
    <row r="768" spans="1:16" ht="11.25" hidden="1">
      <c r="A768" s="3" t="s">
        <v>2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6" ht="22.5" hidden="1">
      <c r="A769" s="6" t="s">
        <v>548</v>
      </c>
      <c r="B769" s="4"/>
      <c r="C769" s="4"/>
      <c r="D769" s="5">
        <f>D767</f>
        <v>550000</v>
      </c>
      <c r="E769" s="5">
        <f>E767</f>
        <v>200000</v>
      </c>
      <c r="F769" s="5">
        <f>D769+E769</f>
        <v>750000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22.5" hidden="1">
      <c r="A770" s="6" t="s">
        <v>167</v>
      </c>
      <c r="B770" s="4"/>
      <c r="C770" s="4"/>
      <c r="D770" s="5">
        <f>35000+10000</f>
        <v>45000</v>
      </c>
      <c r="E770" s="5"/>
      <c r="F770" s="5">
        <f>D770+E770</f>
        <v>45000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1.25" hidden="1">
      <c r="A771" s="3" t="s">
        <v>3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 hidden="1">
      <c r="A772" s="261" t="s">
        <v>100</v>
      </c>
      <c r="B772" s="4"/>
      <c r="C772" s="4"/>
      <c r="D772" s="5">
        <v>5</v>
      </c>
      <c r="E772" s="5">
        <v>1</v>
      </c>
      <c r="F772" s="5">
        <f>D772+E772</f>
        <v>6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22.5" hidden="1">
      <c r="A773" s="261" t="s">
        <v>165</v>
      </c>
      <c r="B773" s="4"/>
      <c r="C773" s="4"/>
      <c r="D773" s="5">
        <v>1</v>
      </c>
      <c r="E773" s="5"/>
      <c r="F773" s="5">
        <f>D773+E773</f>
        <v>1</v>
      </c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1.25" hidden="1">
      <c r="A774" s="3" t="s">
        <v>5</v>
      </c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 hidden="1">
      <c r="A775" s="6" t="s">
        <v>115</v>
      </c>
      <c r="B775" s="4"/>
      <c r="C775" s="4"/>
      <c r="D775" s="5">
        <f>D769/D772</f>
        <v>110000</v>
      </c>
      <c r="E775" s="5">
        <f>E769/E772</f>
        <v>200000</v>
      </c>
      <c r="F775" s="5">
        <f>D775+E775</f>
        <v>310000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2.5" hidden="1">
      <c r="A776" s="252" t="s">
        <v>166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1.25" hidden="1">
      <c r="A777" s="252"/>
      <c r="B777" s="4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31" s="27" customFormat="1" ht="24.75" customHeight="1" hidden="1">
      <c r="A778" s="253" t="s">
        <v>174</v>
      </c>
      <c r="B778" s="23"/>
      <c r="C778" s="23"/>
      <c r="D778" s="24">
        <f>D780</f>
        <v>100000</v>
      </c>
      <c r="E778" s="24"/>
      <c r="F778" s="24">
        <f>D778+E778</f>
        <v>100000</v>
      </c>
      <c r="G778" s="24">
        <f>G782*G784</f>
        <v>130000</v>
      </c>
      <c r="H778" s="24"/>
      <c r="I778" s="24"/>
      <c r="J778" s="24">
        <f>G778+H778</f>
        <v>130000</v>
      </c>
      <c r="K778" s="24"/>
      <c r="L778" s="24"/>
      <c r="M778" s="24"/>
      <c r="N778" s="24">
        <f>N784*N782</f>
        <v>350000</v>
      </c>
      <c r="O778" s="24">
        <f>O784*O782</f>
        <v>0</v>
      </c>
      <c r="P778" s="24">
        <f>P784*P782</f>
        <v>350000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</row>
    <row r="779" spans="1:16" ht="11.25" hidden="1">
      <c r="A779" s="251" t="s">
        <v>2</v>
      </c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1.25" hidden="1">
      <c r="A780" s="252" t="s">
        <v>23</v>
      </c>
      <c r="B780" s="4"/>
      <c r="C780" s="4"/>
      <c r="D780" s="5">
        <f>D782*D784</f>
        <v>100000</v>
      </c>
      <c r="E780" s="5"/>
      <c r="F780" s="5">
        <f>D780+E780</f>
        <v>100000</v>
      </c>
      <c r="G780" s="5">
        <f>G782*G784</f>
        <v>130000</v>
      </c>
      <c r="H780" s="5"/>
      <c r="I780" s="5"/>
      <c r="J780" s="5">
        <f>G780+H780</f>
        <v>130000</v>
      </c>
      <c r="K780" s="5"/>
      <c r="L780" s="5"/>
      <c r="M780" s="5"/>
      <c r="N780" s="5">
        <f>N782*N784</f>
        <v>350000</v>
      </c>
      <c r="O780" s="5"/>
      <c r="P780" s="5">
        <f>N780+O780</f>
        <v>350000</v>
      </c>
    </row>
    <row r="781" spans="1:16" ht="11.25" hidden="1">
      <c r="A781" s="251" t="s">
        <v>3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4.25" customHeight="1" hidden="1">
      <c r="A782" s="252" t="s">
        <v>110</v>
      </c>
      <c r="B782" s="4"/>
      <c r="C782" s="4"/>
      <c r="D782" s="5">
        <v>8</v>
      </c>
      <c r="E782" s="5"/>
      <c r="F782" s="5">
        <f>D782+E782</f>
        <v>8</v>
      </c>
      <c r="G782" s="5">
        <v>2</v>
      </c>
      <c r="H782" s="5"/>
      <c r="I782" s="5"/>
      <c r="J782" s="5">
        <f>G782+H782</f>
        <v>2</v>
      </c>
      <c r="K782" s="5"/>
      <c r="L782" s="5"/>
      <c r="M782" s="5"/>
      <c r="N782" s="5">
        <v>5</v>
      </c>
      <c r="O782" s="5"/>
      <c r="P782" s="5">
        <f>N782+O782</f>
        <v>5</v>
      </c>
    </row>
    <row r="783" spans="1:16" ht="12" customHeight="1" hidden="1">
      <c r="A783" s="251" t="s">
        <v>5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24.75" customHeight="1" hidden="1">
      <c r="A784" s="252" t="s">
        <v>95</v>
      </c>
      <c r="B784" s="4"/>
      <c r="C784" s="4"/>
      <c r="D784" s="5">
        <f>100000/8</f>
        <v>12500</v>
      </c>
      <c r="E784" s="5"/>
      <c r="F784" s="5">
        <f>D784+E784</f>
        <v>12500</v>
      </c>
      <c r="G784" s="5">
        <v>65000</v>
      </c>
      <c r="H784" s="5"/>
      <c r="I784" s="5"/>
      <c r="J784" s="5">
        <f>G784+H784</f>
        <v>65000</v>
      </c>
      <c r="K784" s="5"/>
      <c r="L784" s="5"/>
      <c r="M784" s="5"/>
      <c r="N784" s="5">
        <v>70000</v>
      </c>
      <c r="O784" s="5"/>
      <c r="P784" s="5">
        <f>N784+O784</f>
        <v>70000</v>
      </c>
    </row>
    <row r="785" spans="1:17" ht="33.75" hidden="1">
      <c r="A785" s="253" t="s">
        <v>175</v>
      </c>
      <c r="B785" s="23"/>
      <c r="C785" s="23"/>
      <c r="D785" s="12"/>
      <c r="E785" s="24">
        <f>E787</f>
        <v>50000</v>
      </c>
      <c r="F785" s="24">
        <f>F787</f>
        <v>50000</v>
      </c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38"/>
    </row>
    <row r="786" spans="1:17" ht="11.25" hidden="1">
      <c r="A786" s="251" t="s">
        <v>2</v>
      </c>
      <c r="B786" s="4"/>
      <c r="C786" s="4"/>
      <c r="D786" s="1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38"/>
    </row>
    <row r="787" spans="1:17" ht="11.25" hidden="1">
      <c r="A787" s="252" t="s">
        <v>23</v>
      </c>
      <c r="B787" s="4"/>
      <c r="C787" s="4"/>
      <c r="D787" s="12"/>
      <c r="E787" s="5">
        <f>E789*E791</f>
        <v>50000</v>
      </c>
      <c r="F787" s="5">
        <f>F789*F791</f>
        <v>50000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39"/>
    </row>
    <row r="788" spans="1:17" ht="11.25" hidden="1">
      <c r="A788" s="3" t="s">
        <v>3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9"/>
    </row>
    <row r="789" spans="1:17" ht="11.25" hidden="1">
      <c r="A789" s="6" t="s">
        <v>110</v>
      </c>
      <c r="B789" s="4"/>
      <c r="C789" s="4"/>
      <c r="D789" s="12"/>
      <c r="E789" s="5">
        <v>1</v>
      </c>
      <c r="F789" s="5">
        <v>1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>
        <v>5500</v>
      </c>
    </row>
    <row r="790" spans="1:17" ht="11.25" hidden="1">
      <c r="A790" s="3" t="s">
        <v>5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22.5" hidden="1">
      <c r="A791" s="6" t="s">
        <v>95</v>
      </c>
      <c r="B791" s="4"/>
      <c r="C791" s="4"/>
      <c r="D791" s="12"/>
      <c r="E791" s="5">
        <v>50000</v>
      </c>
      <c r="F791" s="5">
        <v>50000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4"/>
    </row>
    <row r="792" spans="1:17" ht="33.75" hidden="1">
      <c r="A792" s="22" t="s">
        <v>176</v>
      </c>
      <c r="B792" s="23"/>
      <c r="C792" s="23"/>
      <c r="D792" s="24">
        <f>D794</f>
        <v>790000</v>
      </c>
      <c r="E792" s="24"/>
      <c r="F792" s="24">
        <f>F794</f>
        <v>790000</v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14"/>
    </row>
    <row r="793" spans="1:17" ht="11.25" hidden="1">
      <c r="A793" s="3" t="s">
        <v>2</v>
      </c>
      <c r="B793" s="4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11.25" hidden="1">
      <c r="A794" s="6" t="s">
        <v>23</v>
      </c>
      <c r="B794" s="4"/>
      <c r="C794" s="4"/>
      <c r="D794" s="5">
        <f>D796*D798</f>
        <v>790000</v>
      </c>
      <c r="E794" s="5"/>
      <c r="F794" s="5">
        <f>F796*F798</f>
        <v>790000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3" t="s">
        <v>3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110</v>
      </c>
      <c r="B796" s="4"/>
      <c r="C796" s="4"/>
      <c r="D796" s="5">
        <v>1</v>
      </c>
      <c r="E796" s="5"/>
      <c r="F796" s="5">
        <v>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5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22.5" hidden="1">
      <c r="A798" s="6" t="s">
        <v>95</v>
      </c>
      <c r="B798" s="4"/>
      <c r="C798" s="4"/>
      <c r="D798" s="5">
        <v>790000</v>
      </c>
      <c r="E798" s="5"/>
      <c r="F798" s="5">
        <v>790000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36" customHeight="1" hidden="1">
      <c r="A799" s="85" t="s">
        <v>177</v>
      </c>
      <c r="B799" s="23"/>
      <c r="C799" s="23"/>
      <c r="D799" s="24"/>
      <c r="E799" s="24">
        <f>E801</f>
        <v>320000</v>
      </c>
      <c r="F799" s="24">
        <f>F801</f>
        <v>320000</v>
      </c>
      <c r="G799" s="24"/>
      <c r="H799" s="24"/>
      <c r="I799" s="24"/>
      <c r="J799" s="24"/>
      <c r="K799" s="24"/>
      <c r="L799" s="24"/>
      <c r="M799" s="24"/>
      <c r="N799" s="24"/>
      <c r="O799" s="24">
        <f>O801</f>
        <v>1021000</v>
      </c>
      <c r="P799" s="24">
        <f>N799+O799</f>
        <v>1021000</v>
      </c>
      <c r="Q799" s="14"/>
    </row>
    <row r="800" spans="1:17" ht="11.25" hidden="1">
      <c r="A800" s="3" t="s">
        <v>2</v>
      </c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24"/>
      <c r="Q800" s="14"/>
    </row>
    <row r="801" spans="1:17" ht="11.25" hidden="1">
      <c r="A801" s="6" t="s">
        <v>23</v>
      </c>
      <c r="B801" s="4"/>
      <c r="C801" s="4"/>
      <c r="D801" s="5"/>
      <c r="E801" s="5">
        <f>E803*E805</f>
        <v>320000</v>
      </c>
      <c r="F801" s="5">
        <f>F803*F805</f>
        <v>320000</v>
      </c>
      <c r="G801" s="5"/>
      <c r="H801" s="5"/>
      <c r="I801" s="5"/>
      <c r="J801" s="5"/>
      <c r="K801" s="5"/>
      <c r="L801" s="5"/>
      <c r="M801" s="5"/>
      <c r="N801" s="5"/>
      <c r="O801" s="5">
        <v>1021000</v>
      </c>
      <c r="P801" s="5">
        <f>N801+O801</f>
        <v>1021000</v>
      </c>
      <c r="Q801" s="14"/>
    </row>
    <row r="802" spans="1:17" ht="11.25" hidden="1">
      <c r="A802" s="3" t="s">
        <v>3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4"/>
    </row>
    <row r="803" spans="1:17" ht="11.25" hidden="1">
      <c r="A803" s="6" t="s">
        <v>110</v>
      </c>
      <c r="B803" s="4"/>
      <c r="C803" s="4"/>
      <c r="D803" s="5"/>
      <c r="E803" s="5">
        <v>1</v>
      </c>
      <c r="F803" s="5">
        <v>1</v>
      </c>
      <c r="G803" s="5"/>
      <c r="H803" s="5"/>
      <c r="I803" s="5"/>
      <c r="J803" s="5"/>
      <c r="K803" s="5"/>
      <c r="L803" s="5"/>
      <c r="M803" s="5"/>
      <c r="N803" s="5"/>
      <c r="O803" s="5">
        <v>1</v>
      </c>
      <c r="P803" s="5">
        <f>N803+O803</f>
        <v>1</v>
      </c>
      <c r="Q803" s="14"/>
    </row>
    <row r="804" spans="1:17" ht="11.25" hidden="1">
      <c r="A804" s="3" t="s">
        <v>5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31" ht="11.25" hidden="1">
      <c r="A805" s="6" t="s">
        <v>153</v>
      </c>
      <c r="B805" s="4"/>
      <c r="C805" s="4"/>
      <c r="D805" s="5"/>
      <c r="E805" s="5">
        <v>320000</v>
      </c>
      <c r="F805" s="5">
        <v>320000</v>
      </c>
      <c r="G805" s="5"/>
      <c r="H805" s="5"/>
      <c r="I805" s="5"/>
      <c r="J805" s="5"/>
      <c r="K805" s="5"/>
      <c r="L805" s="5"/>
      <c r="M805" s="5"/>
      <c r="N805" s="5"/>
      <c r="O805" s="5">
        <v>1021000</v>
      </c>
      <c r="P805" s="5">
        <f>N805+O805</f>
        <v>1021000</v>
      </c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7" ht="24" customHeight="1" hidden="1">
      <c r="A806" s="22" t="s">
        <v>178</v>
      </c>
      <c r="B806" s="23"/>
      <c r="C806" s="23"/>
      <c r="D806" s="24"/>
      <c r="E806" s="24">
        <f>E808</f>
        <v>0</v>
      </c>
      <c r="F806" s="24">
        <f>F808</f>
        <v>0</v>
      </c>
      <c r="G806" s="24">
        <f>G808</f>
        <v>1952000</v>
      </c>
      <c r="H806" s="24"/>
      <c r="I806" s="24"/>
      <c r="J806" s="24">
        <f>J808</f>
        <v>1952000</v>
      </c>
      <c r="K806" s="24"/>
      <c r="L806" s="24"/>
      <c r="M806" s="24"/>
      <c r="N806" s="24"/>
      <c r="O806" s="24"/>
      <c r="P806" s="24"/>
      <c r="Q806" s="14"/>
    </row>
    <row r="807" spans="1:17" ht="11.25" hidden="1">
      <c r="A807" s="3" t="s">
        <v>2</v>
      </c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14"/>
    </row>
    <row r="808" spans="1:17" ht="11.25" hidden="1">
      <c r="A808" s="6" t="s">
        <v>23</v>
      </c>
      <c r="B808" s="4"/>
      <c r="C808" s="4"/>
      <c r="D808" s="5"/>
      <c r="E808" s="5">
        <f>E810*E812</f>
        <v>0</v>
      </c>
      <c r="F808" s="5">
        <f>F810*F812</f>
        <v>0</v>
      </c>
      <c r="G808" s="5">
        <f>G810*G812</f>
        <v>1952000</v>
      </c>
      <c r="H808" s="5"/>
      <c r="I808" s="5"/>
      <c r="J808" s="5">
        <f>G808</f>
        <v>1952000</v>
      </c>
      <c r="K808" s="5"/>
      <c r="L808" s="5"/>
      <c r="M808" s="5"/>
      <c r="N808" s="5"/>
      <c r="O808" s="5"/>
      <c r="P808" s="5"/>
      <c r="Q808" s="14"/>
    </row>
    <row r="809" spans="1:17" ht="11.25" hidden="1">
      <c r="A809" s="3" t="s">
        <v>3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110</v>
      </c>
      <c r="B810" s="4"/>
      <c r="C810" s="4"/>
      <c r="D810" s="5"/>
      <c r="E810" s="5">
        <v>0</v>
      </c>
      <c r="F810" s="5">
        <v>0</v>
      </c>
      <c r="G810" s="5">
        <v>1</v>
      </c>
      <c r="H810" s="5"/>
      <c r="I810" s="5"/>
      <c r="J810" s="5">
        <f>G810</f>
        <v>1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5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31" ht="11.25" hidden="1">
      <c r="A812" s="6" t="s">
        <v>153</v>
      </c>
      <c r="B812" s="4"/>
      <c r="C812" s="4"/>
      <c r="D812" s="5"/>
      <c r="E812" s="5"/>
      <c r="F812" s="5">
        <v>0</v>
      </c>
      <c r="G812" s="5">
        <f>2300000-348000</f>
        <v>1952000</v>
      </c>
      <c r="H812" s="5"/>
      <c r="I812" s="5"/>
      <c r="J812" s="5">
        <f>G812</f>
        <v>1952000</v>
      </c>
      <c r="K812" s="5"/>
      <c r="L812" s="5"/>
      <c r="M812" s="5"/>
      <c r="N812" s="5"/>
      <c r="O812" s="5"/>
      <c r="P812" s="5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22.5" hidden="1">
      <c r="A813" s="22" t="s">
        <v>179</v>
      </c>
      <c r="B813" s="4"/>
      <c r="C813" s="4"/>
      <c r="D813" s="5"/>
      <c r="E813" s="5"/>
      <c r="F813" s="5"/>
      <c r="G813" s="24">
        <f>G815</f>
        <v>920000</v>
      </c>
      <c r="H813" s="5"/>
      <c r="I813" s="5"/>
      <c r="J813" s="24">
        <f>G813</f>
        <v>920000</v>
      </c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3" t="s">
        <v>2</v>
      </c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6" t="s">
        <v>23</v>
      </c>
      <c r="B815" s="4"/>
      <c r="C815" s="4"/>
      <c r="D815" s="5"/>
      <c r="E815" s="5"/>
      <c r="F815" s="5"/>
      <c r="G815" s="5">
        <f>3200000-2280000</f>
        <v>920000</v>
      </c>
      <c r="H815" s="5"/>
      <c r="I815" s="5"/>
      <c r="J815" s="5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3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110</v>
      </c>
      <c r="B817" s="4"/>
      <c r="C817" s="4"/>
      <c r="D817" s="5"/>
      <c r="E817" s="5"/>
      <c r="F817" s="5"/>
      <c r="G817" s="5">
        <v>17</v>
      </c>
      <c r="H817" s="5"/>
      <c r="I817" s="5"/>
      <c r="J817" s="5">
        <f>G817</f>
        <v>17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5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153</v>
      </c>
      <c r="B819" s="4"/>
      <c r="C819" s="4"/>
      <c r="D819" s="5"/>
      <c r="E819" s="5"/>
      <c r="F819" s="5"/>
      <c r="G819" s="5">
        <v>54117.65</v>
      </c>
      <c r="H819" s="5"/>
      <c r="I819" s="5"/>
      <c r="J819" s="5">
        <f>G819</f>
        <v>54117.65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7" s="87" customFormat="1" ht="11.25" hidden="1">
      <c r="A820" s="85" t="s">
        <v>490</v>
      </c>
      <c r="B820" s="77"/>
      <c r="C820" s="77"/>
      <c r="D820" s="81">
        <f>13000-13000</f>
        <v>0</v>
      </c>
      <c r="E820" s="81"/>
      <c r="F820" s="81">
        <f>D820</f>
        <v>0</v>
      </c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6"/>
    </row>
    <row r="821" spans="1:131" ht="11.25" hidden="1">
      <c r="A821" s="3" t="s">
        <v>2</v>
      </c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 hidden="1">
      <c r="A822" s="6" t="s">
        <v>23</v>
      </c>
      <c r="B822" s="4"/>
      <c r="C822" s="4"/>
      <c r="D822" s="5">
        <f>D820</f>
        <v>0</v>
      </c>
      <c r="E822" s="5"/>
      <c r="F822" s="5">
        <f>D822</f>
        <v>0</v>
      </c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 hidden="1">
      <c r="A823" s="3" t="s">
        <v>3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 hidden="1">
      <c r="A824" s="6" t="s">
        <v>171</v>
      </c>
      <c r="B824" s="4"/>
      <c r="C824" s="4"/>
      <c r="D824" s="5"/>
      <c r="E824" s="5"/>
      <c r="F824" s="5">
        <f>D824</f>
        <v>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 hidden="1">
      <c r="A825" s="3" t="s">
        <v>5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 hidden="1">
      <c r="A826" s="6" t="s">
        <v>153</v>
      </c>
      <c r="B826" s="4"/>
      <c r="C826" s="4"/>
      <c r="D826" s="5" t="e">
        <f>D822/D824</f>
        <v>#DIV/0!</v>
      </c>
      <c r="E826" s="5"/>
      <c r="F826" s="5" t="e">
        <f>D826</f>
        <v>#DIV/0!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7" s="76" customFormat="1" ht="22.5" hidden="1">
      <c r="A827" s="85" t="s">
        <v>491</v>
      </c>
      <c r="B827" s="73"/>
      <c r="C827" s="73"/>
      <c r="D827" s="81"/>
      <c r="E827" s="81">
        <f>30000-30000</f>
        <v>0</v>
      </c>
      <c r="F827" s="81">
        <f>E827</f>
        <v>0</v>
      </c>
      <c r="G827" s="81"/>
      <c r="H827" s="81"/>
      <c r="I827" s="74"/>
      <c r="J827" s="81"/>
      <c r="K827" s="74"/>
      <c r="L827" s="74"/>
      <c r="M827" s="74"/>
      <c r="N827" s="74"/>
      <c r="O827" s="74"/>
      <c r="P827" s="74"/>
      <c r="Q827" s="232"/>
    </row>
    <row r="828" spans="1:131" ht="11.25" hidden="1">
      <c r="A828" s="3" t="s">
        <v>2</v>
      </c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 hidden="1">
      <c r="A829" s="6" t="s">
        <v>23</v>
      </c>
      <c r="B829" s="4"/>
      <c r="C829" s="4"/>
      <c r="D829" s="5"/>
      <c r="E829" s="5">
        <f>E827</f>
        <v>0</v>
      </c>
      <c r="F829" s="5">
        <f>E829</f>
        <v>0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 hidden="1">
      <c r="A830" s="3" t="s">
        <v>3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6" t="s">
        <v>171</v>
      </c>
      <c r="B831" s="4"/>
      <c r="C831" s="4"/>
      <c r="D831" s="5"/>
      <c r="E831" s="5">
        <f>2-2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3" t="s">
        <v>5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 hidden="1">
      <c r="A833" s="6" t="s">
        <v>153</v>
      </c>
      <c r="B833" s="4"/>
      <c r="C833" s="4"/>
      <c r="D833" s="5"/>
      <c r="E833" s="5"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7" s="76" customFormat="1" ht="30.75" customHeight="1" hidden="1">
      <c r="A834" s="85" t="s">
        <v>507</v>
      </c>
      <c r="B834" s="73"/>
      <c r="C834" s="73"/>
      <c r="D834" s="81">
        <f>300000-200000</f>
        <v>100000</v>
      </c>
      <c r="E834" s="81"/>
      <c r="F834" s="81">
        <f>D834</f>
        <v>100000</v>
      </c>
      <c r="G834" s="74"/>
      <c r="H834" s="74"/>
      <c r="I834" s="74"/>
      <c r="J834" s="74"/>
      <c r="K834" s="74"/>
      <c r="L834" s="74"/>
      <c r="M834" s="74"/>
      <c r="N834" s="81"/>
      <c r="O834" s="81"/>
      <c r="P834" s="81"/>
      <c r="Q834" s="232"/>
    </row>
    <row r="835" spans="1:131" ht="11.25" hidden="1">
      <c r="A835" s="6" t="s">
        <v>2</v>
      </c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 hidden="1">
      <c r="A836" s="6" t="s">
        <v>23</v>
      </c>
      <c r="B836" s="4"/>
      <c r="C836" s="4"/>
      <c r="D836" s="5">
        <f>D834</f>
        <v>100000</v>
      </c>
      <c r="E836" s="5"/>
      <c r="F836" s="5">
        <f>F834</f>
        <v>100000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 hidden="1">
      <c r="A837" s="6" t="s">
        <v>474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 hidden="1">
      <c r="A838" s="6" t="s">
        <v>171</v>
      </c>
      <c r="B838" s="4"/>
      <c r="C838" s="4"/>
      <c r="D838" s="5">
        <v>6</v>
      </c>
      <c r="E838" s="5"/>
      <c r="F838" s="5">
        <v>6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 hidden="1">
      <c r="A839" s="6" t="s">
        <v>475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 hidden="1">
      <c r="A840" s="6" t="s">
        <v>153</v>
      </c>
      <c r="B840" s="4"/>
      <c r="C840" s="4"/>
      <c r="D840" s="5">
        <f>D836/D838</f>
        <v>16666.666666666668</v>
      </c>
      <c r="E840" s="5"/>
      <c r="F840" s="5">
        <f>D840</f>
        <v>16666.666666666668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45" hidden="1">
      <c r="A841" s="85" t="s">
        <v>492</v>
      </c>
      <c r="B841" s="4"/>
      <c r="C841" s="4"/>
      <c r="D841" s="24">
        <f>D843</f>
        <v>3350000</v>
      </c>
      <c r="E841" s="5"/>
      <c r="F841" s="24">
        <f aca="true" t="shared" si="46" ref="F841:F846">D841</f>
        <v>3350000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3" t="s">
        <v>2</v>
      </c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 hidden="1">
      <c r="A843" s="3" t="s">
        <v>23</v>
      </c>
      <c r="B843" s="4"/>
      <c r="C843" s="4"/>
      <c r="D843" s="5">
        <v>3350000</v>
      </c>
      <c r="E843" s="5"/>
      <c r="F843" s="5">
        <f t="shared" si="46"/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33.75" hidden="1">
      <c r="A844" s="85" t="s">
        <v>493</v>
      </c>
      <c r="B844" s="4"/>
      <c r="C844" s="4"/>
      <c r="D844" s="24">
        <f>D846</f>
        <v>2000000</v>
      </c>
      <c r="E844" s="5"/>
      <c r="F844" s="24">
        <f t="shared" si="46"/>
        <v>2000000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 hidden="1">
      <c r="A845" s="3" t="s">
        <v>2</v>
      </c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 hidden="1">
      <c r="A846" s="3" t="s">
        <v>23</v>
      </c>
      <c r="B846" s="4"/>
      <c r="C846" s="4"/>
      <c r="D846" s="5">
        <f>2000000</f>
        <v>2000000</v>
      </c>
      <c r="E846" s="5"/>
      <c r="F846" s="5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22.5" hidden="1">
      <c r="A847" s="85" t="s">
        <v>528</v>
      </c>
      <c r="B847" s="4"/>
      <c r="C847" s="4"/>
      <c r="D847" s="18">
        <f>D849</f>
        <v>30000</v>
      </c>
      <c r="E847" s="18"/>
      <c r="F847" s="18">
        <f>D847+E847</f>
        <v>30000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 hidden="1">
      <c r="A848" s="3" t="s">
        <v>2</v>
      </c>
      <c r="B848" s="4"/>
      <c r="C848" s="4"/>
      <c r="D848" s="5"/>
      <c r="E848" s="5"/>
      <c r="F848" s="5">
        <f aca="true" t="shared" si="47" ref="F848:F856">D848+E848</f>
        <v>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 hidden="1">
      <c r="A849" s="6" t="s">
        <v>23</v>
      </c>
      <c r="B849" s="4"/>
      <c r="C849" s="4"/>
      <c r="D849" s="5">
        <f>D851*D853</f>
        <v>30000</v>
      </c>
      <c r="E849" s="5"/>
      <c r="F849" s="5">
        <f t="shared" si="47"/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 hidden="1">
      <c r="A850" s="3" t="s">
        <v>3</v>
      </c>
      <c r="B850" s="4"/>
      <c r="C850" s="4"/>
      <c r="D850" s="5"/>
      <c r="E850" s="5"/>
      <c r="F850" s="5">
        <f t="shared" si="47"/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 hidden="1">
      <c r="A851" s="6" t="s">
        <v>171</v>
      </c>
      <c r="B851" s="4"/>
      <c r="C851" s="4"/>
      <c r="D851" s="5">
        <v>2</v>
      </c>
      <c r="E851" s="5"/>
      <c r="F851" s="5">
        <f t="shared" si="47"/>
        <v>2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 hidden="1">
      <c r="A852" s="3" t="s">
        <v>5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 hidden="1">
      <c r="A853" s="6" t="s">
        <v>153</v>
      </c>
      <c r="B853" s="4"/>
      <c r="C853" s="4"/>
      <c r="D853" s="5">
        <v>15000</v>
      </c>
      <c r="E853" s="5"/>
      <c r="F853" s="5">
        <f t="shared" si="47"/>
        <v>15000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33.75" hidden="1">
      <c r="A854" s="85" t="s">
        <v>540</v>
      </c>
      <c r="B854" s="4"/>
      <c r="C854" s="4"/>
      <c r="D854" s="18">
        <f>D856</f>
        <v>5602000</v>
      </c>
      <c r="E854" s="18"/>
      <c r="F854" s="18">
        <f t="shared" si="47"/>
        <v>5602000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 hidden="1">
      <c r="A855" s="3" t="s">
        <v>2</v>
      </c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31" ht="11.25" hidden="1">
      <c r="A856" s="3" t="s">
        <v>23</v>
      </c>
      <c r="B856" s="4"/>
      <c r="C856" s="4"/>
      <c r="D856" s="5">
        <f>0+5630000-28000</f>
        <v>5602000</v>
      </c>
      <c r="E856" s="5"/>
      <c r="F856" s="5">
        <f t="shared" si="47"/>
        <v>5602000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1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</row>
    <row r="857" spans="1:131" ht="33.75" hidden="1">
      <c r="A857" s="85" t="s">
        <v>541</v>
      </c>
      <c r="B857" s="4"/>
      <c r="C857" s="4"/>
      <c r="D857" s="18">
        <f>D859</f>
        <v>0</v>
      </c>
      <c r="E857" s="18"/>
      <c r="F857" s="18">
        <f>D857+E857</f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31" ht="11.25" hidden="1">
      <c r="A858" s="3" t="s">
        <v>2</v>
      </c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1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  <c r="DQ858" s="34"/>
      <c r="DR858" s="34"/>
      <c r="DS858" s="34"/>
      <c r="DT858" s="34"/>
      <c r="DU858" s="34"/>
      <c r="DV858" s="34"/>
      <c r="DW858" s="34"/>
      <c r="DX858" s="34"/>
      <c r="DY858" s="34"/>
      <c r="DZ858" s="34"/>
      <c r="EA858" s="34"/>
    </row>
    <row r="859" spans="1:131" ht="11.25" hidden="1">
      <c r="A859" s="3" t="s">
        <v>23</v>
      </c>
      <c r="B859" s="4"/>
      <c r="C859" s="4"/>
      <c r="D859" s="5">
        <f>3830000-3830000</f>
        <v>0</v>
      </c>
      <c r="E859" s="5"/>
      <c r="F859" s="5">
        <f>D859+E859</f>
        <v>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  <c r="DQ859" s="34"/>
      <c r="DR859" s="34"/>
      <c r="DS859" s="34"/>
      <c r="DT859" s="34"/>
      <c r="DU859" s="34"/>
      <c r="DV859" s="34"/>
      <c r="DW859" s="34"/>
      <c r="DX859" s="34"/>
      <c r="DY859" s="34"/>
      <c r="DZ859" s="34"/>
      <c r="EA859" s="34"/>
    </row>
    <row r="860" spans="1:17" s="203" customFormat="1" ht="27.75" customHeight="1" hidden="1">
      <c r="A860" s="200" t="s">
        <v>134</v>
      </c>
      <c r="B860" s="231"/>
      <c r="C860" s="231"/>
      <c r="D860" s="201">
        <f>D862</f>
        <v>1998000</v>
      </c>
      <c r="E860" s="201"/>
      <c r="F860" s="201">
        <f>D860</f>
        <v>1998000</v>
      </c>
      <c r="G860" s="201">
        <f>G862</f>
        <v>4001300</v>
      </c>
      <c r="H860" s="201"/>
      <c r="I860" s="201">
        <f>I862</f>
        <v>0</v>
      </c>
      <c r="J860" s="201">
        <f>J862</f>
        <v>4001300</v>
      </c>
      <c r="K860" s="201"/>
      <c r="L860" s="201"/>
      <c r="M860" s="201"/>
      <c r="N860" s="201">
        <f>N862</f>
        <v>4241300</v>
      </c>
      <c r="O860" s="201"/>
      <c r="P860" s="201">
        <f>P862</f>
        <v>4241300</v>
      </c>
      <c r="Q860" s="233"/>
    </row>
    <row r="861" spans="1:131" ht="65.25" customHeight="1" hidden="1">
      <c r="A861" s="6" t="s">
        <v>85</v>
      </c>
      <c r="B861" s="4"/>
      <c r="C861" s="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7" s="235" customFormat="1" ht="25.5" hidden="1">
      <c r="A862" s="194" t="s">
        <v>494</v>
      </c>
      <c r="B862" s="195"/>
      <c r="C862" s="195"/>
      <c r="D862" s="223">
        <f>D863+D870+D877</f>
        <v>1998000</v>
      </c>
      <c r="E862" s="223">
        <f aca="true" t="shared" si="48" ref="E862:O862">E863+E870</f>
        <v>0</v>
      </c>
      <c r="F862" s="223">
        <f>D862+E862</f>
        <v>1998000</v>
      </c>
      <c r="G862" s="223">
        <f t="shared" si="48"/>
        <v>4001300</v>
      </c>
      <c r="H862" s="223">
        <f t="shared" si="48"/>
        <v>0</v>
      </c>
      <c r="I862" s="223">
        <f t="shared" si="48"/>
        <v>0</v>
      </c>
      <c r="J862" s="223">
        <f>G862+H862</f>
        <v>4001300</v>
      </c>
      <c r="K862" s="223">
        <f t="shared" si="48"/>
        <v>0</v>
      </c>
      <c r="L862" s="223">
        <f t="shared" si="48"/>
        <v>0</v>
      </c>
      <c r="M862" s="223">
        <f t="shared" si="48"/>
        <v>0</v>
      </c>
      <c r="N862" s="223">
        <f t="shared" si="48"/>
        <v>4241300</v>
      </c>
      <c r="O862" s="223">
        <f t="shared" si="48"/>
        <v>0</v>
      </c>
      <c r="P862" s="223">
        <f>N862+O862</f>
        <v>4241300</v>
      </c>
      <c r="Q862" s="234"/>
    </row>
    <row r="863" spans="1:17" s="43" customFormat="1" ht="45" hidden="1">
      <c r="A863" s="41" t="s">
        <v>512</v>
      </c>
      <c r="B863" s="23"/>
      <c r="C863" s="23"/>
      <c r="D863" s="124">
        <f>1500000-900000</f>
        <v>600000</v>
      </c>
      <c r="E863" s="124"/>
      <c r="F863" s="124">
        <f>D863+E863</f>
        <v>600000</v>
      </c>
      <c r="G863" s="81">
        <v>1600500</v>
      </c>
      <c r="H863" s="81"/>
      <c r="I863" s="81">
        <f>I867*I869</f>
        <v>0</v>
      </c>
      <c r="J863" s="81">
        <f>G863</f>
        <v>1600500</v>
      </c>
      <c r="K863" s="81">
        <f>K867*K869</f>
        <v>0</v>
      </c>
      <c r="L863" s="81">
        <f>L867*L869</f>
        <v>0</v>
      </c>
      <c r="M863" s="81">
        <f>M867*M869</f>
        <v>0</v>
      </c>
      <c r="N863" s="81">
        <v>1696500</v>
      </c>
      <c r="O863" s="81"/>
      <c r="P863" s="81">
        <f>N863</f>
        <v>1696500</v>
      </c>
      <c r="Q863" s="42"/>
    </row>
    <row r="864" spans="1:17" s="33" customFormat="1" ht="11.25" hidden="1">
      <c r="A864" s="3" t="s">
        <v>2</v>
      </c>
      <c r="B864" s="25"/>
      <c r="C864" s="25"/>
      <c r="D864" s="98"/>
      <c r="E864" s="98"/>
      <c r="F864" s="170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40"/>
    </row>
    <row r="865" spans="1:17" s="33" customFormat="1" ht="27.75" customHeight="1" hidden="1">
      <c r="A865" s="6" t="s">
        <v>86</v>
      </c>
      <c r="B865" s="25"/>
      <c r="C865" s="25"/>
      <c r="D865" s="139">
        <v>500</v>
      </c>
      <c r="E865" s="98"/>
      <c r="F865" s="170"/>
      <c r="G865" s="74">
        <v>500</v>
      </c>
      <c r="H865" s="84"/>
      <c r="I865" s="84"/>
      <c r="J865" s="74">
        <f>G865+H865</f>
        <v>500</v>
      </c>
      <c r="K865" s="84"/>
      <c r="L865" s="84"/>
      <c r="M865" s="84"/>
      <c r="N865" s="74">
        <f>N867</f>
        <v>500</v>
      </c>
      <c r="O865" s="74"/>
      <c r="P865" s="74">
        <f>N865+O865</f>
        <v>500</v>
      </c>
      <c r="Q865" s="40"/>
    </row>
    <row r="866" spans="1:17" s="33" customFormat="1" ht="11.25" hidden="1">
      <c r="A866" s="3" t="s">
        <v>3</v>
      </c>
      <c r="B866" s="25"/>
      <c r="C866" s="25"/>
      <c r="D866" s="98"/>
      <c r="E866" s="98"/>
      <c r="F866" s="170"/>
      <c r="G866" s="84"/>
      <c r="H866" s="84"/>
      <c r="I866" s="84"/>
      <c r="J866" s="74"/>
      <c r="K866" s="84"/>
      <c r="L866" s="84"/>
      <c r="M866" s="84"/>
      <c r="N866" s="84"/>
      <c r="O866" s="84"/>
      <c r="P866" s="74"/>
      <c r="Q866" s="40"/>
    </row>
    <row r="867" spans="1:17" s="33" customFormat="1" ht="22.5" hidden="1">
      <c r="A867" s="6" t="s">
        <v>87</v>
      </c>
      <c r="B867" s="25"/>
      <c r="C867" s="25"/>
      <c r="D867" s="139">
        <v>500</v>
      </c>
      <c r="E867" s="98"/>
      <c r="F867" s="170"/>
      <c r="G867" s="74">
        <f>G865</f>
        <v>500</v>
      </c>
      <c r="H867" s="74"/>
      <c r="I867" s="74"/>
      <c r="J867" s="74">
        <f>G867+H867</f>
        <v>500</v>
      </c>
      <c r="K867" s="74">
        <f>K865</f>
        <v>0</v>
      </c>
      <c r="L867" s="74">
        <f>L865</f>
        <v>0</v>
      </c>
      <c r="M867" s="74">
        <f>M865</f>
        <v>0</v>
      </c>
      <c r="N867" s="74">
        <v>500</v>
      </c>
      <c r="O867" s="74"/>
      <c r="P867" s="74">
        <f>N867+O867</f>
        <v>500</v>
      </c>
      <c r="Q867" s="40"/>
    </row>
    <row r="868" spans="1:17" s="33" customFormat="1" ht="11.25" hidden="1">
      <c r="A868" s="3" t="s">
        <v>5</v>
      </c>
      <c r="B868" s="25"/>
      <c r="C868" s="25"/>
      <c r="D868" s="98"/>
      <c r="E868" s="98"/>
      <c r="F868" s="170"/>
      <c r="G868" s="84"/>
      <c r="H868" s="84"/>
      <c r="I868" s="84"/>
      <c r="J868" s="74"/>
      <c r="K868" s="84"/>
      <c r="L868" s="84"/>
      <c r="M868" s="84"/>
      <c r="N868" s="84"/>
      <c r="O868" s="84"/>
      <c r="P868" s="74"/>
      <c r="Q868" s="40"/>
    </row>
    <row r="869" spans="1:17" s="33" customFormat="1" ht="17.25" customHeight="1" hidden="1">
      <c r="A869" s="6" t="s">
        <v>88</v>
      </c>
      <c r="B869" s="25"/>
      <c r="C869" s="25"/>
      <c r="D869" s="98">
        <f>D863/D865</f>
        <v>1200</v>
      </c>
      <c r="E869" s="98"/>
      <c r="F869" s="170"/>
      <c r="G869" s="74">
        <f>G863/G867</f>
        <v>3201</v>
      </c>
      <c r="H869" s="84"/>
      <c r="I869" s="84"/>
      <c r="J869" s="74">
        <f>G869+H869</f>
        <v>3201</v>
      </c>
      <c r="K869" s="84"/>
      <c r="L869" s="84"/>
      <c r="M869" s="84"/>
      <c r="N869" s="74">
        <f>N863/N867</f>
        <v>3393</v>
      </c>
      <c r="O869" s="74"/>
      <c r="P869" s="74">
        <f>N869+O869</f>
        <v>3393</v>
      </c>
      <c r="Q869" s="40"/>
    </row>
    <row r="870" spans="1:17" s="45" customFormat="1" ht="65.25" customHeight="1" hidden="1">
      <c r="A870" s="41" t="s">
        <v>511</v>
      </c>
      <c r="B870" s="22"/>
      <c r="C870" s="22"/>
      <c r="D870" s="124">
        <f>2250000-1052000</f>
        <v>1198000</v>
      </c>
      <c r="E870" s="124"/>
      <c r="F870" s="124">
        <f>D870+E870</f>
        <v>1198000</v>
      </c>
      <c r="G870" s="81">
        <v>2400800</v>
      </c>
      <c r="H870" s="81"/>
      <c r="I870" s="81">
        <f>I874*I876</f>
        <v>0</v>
      </c>
      <c r="J870" s="81">
        <f>G870</f>
        <v>2400800</v>
      </c>
      <c r="K870" s="81">
        <f>K874*K876</f>
        <v>0</v>
      </c>
      <c r="L870" s="81">
        <f>L874*L876</f>
        <v>0</v>
      </c>
      <c r="M870" s="81">
        <f>M874*M876</f>
        <v>0</v>
      </c>
      <c r="N870" s="81">
        <v>2544800</v>
      </c>
      <c r="O870" s="81"/>
      <c r="P870" s="81">
        <f>N870</f>
        <v>2544800</v>
      </c>
      <c r="Q870" s="44"/>
    </row>
    <row r="871" spans="1:131" ht="11.25" hidden="1">
      <c r="A871" s="3" t="s">
        <v>2</v>
      </c>
      <c r="B871" s="4"/>
      <c r="C871" s="4"/>
      <c r="D871" s="171"/>
      <c r="E871" s="171"/>
      <c r="F871" s="171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 hidden="1">
      <c r="A872" s="6" t="s">
        <v>86</v>
      </c>
      <c r="B872" s="4"/>
      <c r="C872" s="4"/>
      <c r="D872" s="136">
        <v>30</v>
      </c>
      <c r="E872" s="136"/>
      <c r="F872" s="136">
        <f>D872</f>
        <v>30</v>
      </c>
      <c r="G872" s="136">
        <f>G874</f>
        <v>30</v>
      </c>
      <c r="H872" s="136"/>
      <c r="I872" s="136"/>
      <c r="J872" s="74">
        <f>G872+H872</f>
        <v>30</v>
      </c>
      <c r="K872" s="136">
        <f>H872</f>
        <v>0</v>
      </c>
      <c r="L872" s="136">
        <f>J872</f>
        <v>30</v>
      </c>
      <c r="M872" s="136">
        <f>K872</f>
        <v>0</v>
      </c>
      <c r="N872" s="136">
        <f>N874</f>
        <v>30</v>
      </c>
      <c r="O872" s="136"/>
      <c r="P872" s="136">
        <f>N872</f>
        <v>30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11.25" hidden="1">
      <c r="A873" s="3" t="s">
        <v>3</v>
      </c>
      <c r="B873" s="4"/>
      <c r="C873" s="4"/>
      <c r="D873" s="136"/>
      <c r="E873" s="136"/>
      <c r="F873" s="136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32.25" customHeight="1" hidden="1">
      <c r="A874" s="6" t="s">
        <v>252</v>
      </c>
      <c r="B874" s="4"/>
      <c r="C874" s="4"/>
      <c r="D874" s="136">
        <v>30</v>
      </c>
      <c r="E874" s="136"/>
      <c r="F874" s="136">
        <f>D874</f>
        <v>30</v>
      </c>
      <c r="G874" s="74">
        <v>30</v>
      </c>
      <c r="H874" s="74"/>
      <c r="I874" s="74"/>
      <c r="J874" s="74">
        <f>G874+H874</f>
        <v>30</v>
      </c>
      <c r="K874" s="74"/>
      <c r="L874" s="74"/>
      <c r="M874" s="74"/>
      <c r="N874" s="74">
        <v>30</v>
      </c>
      <c r="O874" s="74"/>
      <c r="P874" s="74">
        <f>N874</f>
        <v>30</v>
      </c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11.25" hidden="1">
      <c r="A875" s="3" t="s">
        <v>5</v>
      </c>
      <c r="B875" s="4"/>
      <c r="C875" s="4"/>
      <c r="D875" s="136"/>
      <c r="E875" s="136"/>
      <c r="F875" s="136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22.5" hidden="1">
      <c r="A876" s="6" t="s">
        <v>88</v>
      </c>
      <c r="B876" s="4"/>
      <c r="C876" s="4"/>
      <c r="D876" s="136">
        <f>D870/D874</f>
        <v>39933.333333333336</v>
      </c>
      <c r="E876" s="136"/>
      <c r="F876" s="136">
        <f>D876</f>
        <v>39933.333333333336</v>
      </c>
      <c r="G876" s="74">
        <f>G870/G872</f>
        <v>80026.66666666667</v>
      </c>
      <c r="H876" s="74"/>
      <c r="I876" s="74"/>
      <c r="J876" s="74">
        <f>G876+H876</f>
        <v>80026.66666666667</v>
      </c>
      <c r="K876" s="74"/>
      <c r="L876" s="74"/>
      <c r="M876" s="74"/>
      <c r="N876" s="74">
        <f>N870/N872</f>
        <v>84826.66666666667</v>
      </c>
      <c r="O876" s="74"/>
      <c r="P876" s="74">
        <f>N876</f>
        <v>84826.66666666667</v>
      </c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68" customFormat="1" ht="67.5" hidden="1">
      <c r="A877" s="263" t="s">
        <v>549</v>
      </c>
      <c r="B877" s="264"/>
      <c r="C877" s="264"/>
      <c r="D877" s="265">
        <f>D881*D883</f>
        <v>200000</v>
      </c>
      <c r="E877" s="265"/>
      <c r="F877" s="265">
        <f>D877</f>
        <v>200000</v>
      </c>
      <c r="G877" s="266"/>
      <c r="H877" s="266"/>
      <c r="I877" s="266"/>
      <c r="J877" s="266"/>
      <c r="K877" s="266"/>
      <c r="L877" s="266"/>
      <c r="M877" s="266"/>
      <c r="N877" s="266"/>
      <c r="O877" s="266"/>
      <c r="P877" s="266"/>
      <c r="Q877" s="267"/>
    </row>
    <row r="878" spans="1:131" ht="11.25" hidden="1">
      <c r="A878" s="3" t="s">
        <v>2</v>
      </c>
      <c r="B878" s="4"/>
      <c r="C878" s="4"/>
      <c r="D878" s="136"/>
      <c r="E878" s="136"/>
      <c r="F878" s="136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 hidden="1">
      <c r="A879" s="72" t="s">
        <v>86</v>
      </c>
      <c r="B879" s="73"/>
      <c r="C879" s="73"/>
      <c r="D879" s="136">
        <v>2</v>
      </c>
      <c r="E879" s="136"/>
      <c r="F879" s="136">
        <f>D879</f>
        <v>2</v>
      </c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 hidden="1">
      <c r="A880" s="165" t="s">
        <v>3</v>
      </c>
      <c r="B880" s="73"/>
      <c r="C880" s="73"/>
      <c r="D880" s="136"/>
      <c r="E880" s="136"/>
      <c r="F880" s="136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22.5" hidden="1">
      <c r="A881" s="72" t="s">
        <v>252</v>
      </c>
      <c r="B881" s="73"/>
      <c r="C881" s="73"/>
      <c r="D881" s="136">
        <v>2</v>
      </c>
      <c r="E881" s="136"/>
      <c r="F881" s="136">
        <f>D881</f>
        <v>2</v>
      </c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 hidden="1">
      <c r="A882" s="165" t="s">
        <v>5</v>
      </c>
      <c r="B882" s="73"/>
      <c r="C882" s="73"/>
      <c r="D882" s="136"/>
      <c r="E882" s="136"/>
      <c r="F882" s="136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2.5" hidden="1">
      <c r="A883" s="72" t="s">
        <v>88</v>
      </c>
      <c r="B883" s="73"/>
      <c r="C883" s="73"/>
      <c r="D883" s="136">
        <v>100000</v>
      </c>
      <c r="E883" s="136"/>
      <c r="F883" s="136">
        <f>D883</f>
        <v>100000</v>
      </c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 hidden="1">
      <c r="A884" s="72"/>
      <c r="B884" s="73"/>
      <c r="C884" s="73"/>
      <c r="D884" s="136"/>
      <c r="E884" s="136"/>
      <c r="F884" s="136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7" s="203" customFormat="1" ht="33.75" customHeight="1">
      <c r="A885" s="200" t="s">
        <v>135</v>
      </c>
      <c r="B885" s="231"/>
      <c r="C885" s="231"/>
      <c r="D885" s="201">
        <f>D887</f>
        <v>0</v>
      </c>
      <c r="E885" s="201">
        <f>E887</f>
        <v>495000</v>
      </c>
      <c r="F885" s="201">
        <f aca="true" t="shared" si="49" ref="F885:P885">F887</f>
        <v>495000</v>
      </c>
      <c r="G885" s="201">
        <f t="shared" si="49"/>
        <v>0</v>
      </c>
      <c r="H885" s="201">
        <f t="shared" si="49"/>
        <v>0</v>
      </c>
      <c r="I885" s="201">
        <f t="shared" si="49"/>
        <v>0</v>
      </c>
      <c r="J885" s="201">
        <f t="shared" si="49"/>
        <v>0</v>
      </c>
      <c r="K885" s="201">
        <f t="shared" si="49"/>
        <v>0</v>
      </c>
      <c r="L885" s="201">
        <f t="shared" si="49"/>
        <v>0</v>
      </c>
      <c r="M885" s="201">
        <f t="shared" si="49"/>
        <v>0</v>
      </c>
      <c r="N885" s="201">
        <f t="shared" si="49"/>
        <v>0</v>
      </c>
      <c r="O885" s="201">
        <f t="shared" si="49"/>
        <v>0</v>
      </c>
      <c r="P885" s="201">
        <f t="shared" si="49"/>
        <v>0</v>
      </c>
      <c r="Q885" s="233"/>
    </row>
    <row r="886" spans="1:131" ht="22.5">
      <c r="A886" s="6" t="s">
        <v>90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7" s="197" customFormat="1" ht="38.25">
      <c r="A887" s="194" t="s">
        <v>495</v>
      </c>
      <c r="B887" s="195"/>
      <c r="C887" s="195"/>
      <c r="D887" s="193"/>
      <c r="E887" s="193">
        <f>E889</f>
        <v>495000</v>
      </c>
      <c r="F887" s="193">
        <f>D887+E887</f>
        <v>495000</v>
      </c>
      <c r="G887" s="193"/>
      <c r="H887" s="193">
        <f>H891*H893</f>
        <v>0</v>
      </c>
      <c r="I887" s="193">
        <f>I889</f>
        <v>0</v>
      </c>
      <c r="J887" s="193">
        <f>H887+I887</f>
        <v>0</v>
      </c>
      <c r="K887" s="193"/>
      <c r="L887" s="193"/>
      <c r="M887" s="193"/>
      <c r="N887" s="193"/>
      <c r="O887" s="193">
        <f>O891*O893</f>
        <v>0</v>
      </c>
      <c r="P887" s="193">
        <f>O887</f>
        <v>0</v>
      </c>
      <c r="Q887" s="234"/>
    </row>
    <row r="888" spans="1:131" ht="11.25">
      <c r="A888" s="3" t="s">
        <v>2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>
      <c r="A889" s="6" t="s">
        <v>23</v>
      </c>
      <c r="B889" s="4"/>
      <c r="C889" s="4"/>
      <c r="D889" s="5"/>
      <c r="E889" s="5">
        <f>20042050-14427520+5000-5124530</f>
        <v>495000</v>
      </c>
      <c r="F889" s="5">
        <f>D889+E889</f>
        <v>495000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>
      <c r="A890" s="3" t="s">
        <v>3</v>
      </c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33.75">
      <c r="A891" s="6" t="s">
        <v>91</v>
      </c>
      <c r="B891" s="4"/>
      <c r="C891" s="4"/>
      <c r="D891" s="5"/>
      <c r="E891" s="5">
        <v>1</v>
      </c>
      <c r="F891" s="5">
        <f>D891+E891</f>
        <v>1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11.25">
      <c r="A892" s="3" t="s">
        <v>5</v>
      </c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24.75" customHeight="1">
      <c r="A893" s="6" t="s">
        <v>92</v>
      </c>
      <c r="B893" s="4"/>
      <c r="C893" s="4"/>
      <c r="D893" s="5"/>
      <c r="E893" s="5">
        <f>E889/E891</f>
        <v>495000</v>
      </c>
      <c r="F893" s="5">
        <f>D893+E893</f>
        <v>495000</v>
      </c>
      <c r="G893" s="5"/>
      <c r="H893" s="5"/>
      <c r="I893" s="5"/>
      <c r="J893" s="5"/>
      <c r="K893" s="5"/>
      <c r="L893" s="5"/>
      <c r="M893" s="5"/>
      <c r="N893" s="5"/>
      <c r="O893" s="5"/>
      <c r="P893" s="47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7" s="203" customFormat="1" ht="22.5" customHeight="1" hidden="1">
      <c r="A894" s="200" t="s">
        <v>136</v>
      </c>
      <c r="B894" s="231"/>
      <c r="C894" s="231"/>
      <c r="D894" s="201">
        <f>D896</f>
        <v>8550000</v>
      </c>
      <c r="E894" s="201">
        <f aca="true" t="shared" si="50" ref="E894:P894">E896</f>
        <v>6450000</v>
      </c>
      <c r="F894" s="201">
        <f t="shared" si="50"/>
        <v>15000000</v>
      </c>
      <c r="G894" s="201">
        <f t="shared" si="50"/>
        <v>0</v>
      </c>
      <c r="H894" s="201">
        <f t="shared" si="50"/>
        <v>0</v>
      </c>
      <c r="I894" s="201">
        <f t="shared" si="50"/>
        <v>0</v>
      </c>
      <c r="J894" s="201">
        <f t="shared" si="50"/>
        <v>0</v>
      </c>
      <c r="K894" s="201">
        <f t="shared" si="50"/>
        <v>0</v>
      </c>
      <c r="L894" s="201">
        <f t="shared" si="50"/>
        <v>0</v>
      </c>
      <c r="M894" s="201">
        <f t="shared" si="50"/>
        <v>0</v>
      </c>
      <c r="N894" s="201">
        <f t="shared" si="50"/>
        <v>0</v>
      </c>
      <c r="O894" s="201">
        <f t="shared" si="50"/>
        <v>0</v>
      </c>
      <c r="P894" s="201">
        <f t="shared" si="50"/>
        <v>0</v>
      </c>
      <c r="Q894" s="233"/>
    </row>
    <row r="895" spans="1:131" ht="56.25" hidden="1">
      <c r="A895" s="6" t="s">
        <v>170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7" s="197" customFormat="1" ht="49.5" customHeight="1" hidden="1">
      <c r="A896" s="194" t="s">
        <v>496</v>
      </c>
      <c r="B896" s="195"/>
      <c r="C896" s="195"/>
      <c r="D896" s="193">
        <f>D898</f>
        <v>8550000</v>
      </c>
      <c r="E896" s="193">
        <f>E898</f>
        <v>6450000</v>
      </c>
      <c r="F896" s="193">
        <f>D896+E896</f>
        <v>15000000</v>
      </c>
      <c r="G896" s="193">
        <f>G898</f>
        <v>0</v>
      </c>
      <c r="H896" s="193">
        <f>H898</f>
        <v>0</v>
      </c>
      <c r="I896" s="193">
        <f>G896+H896</f>
        <v>0</v>
      </c>
      <c r="J896" s="193">
        <f>G896+H896</f>
        <v>0</v>
      </c>
      <c r="K896" s="193"/>
      <c r="L896" s="193"/>
      <c r="M896" s="193"/>
      <c r="N896" s="193">
        <f>N900*N902</f>
        <v>0</v>
      </c>
      <c r="O896" s="193">
        <f>O900*O902</f>
        <v>0</v>
      </c>
      <c r="P896" s="193">
        <f>N896+O896</f>
        <v>0</v>
      </c>
      <c r="Q896" s="234"/>
    </row>
    <row r="897" spans="1:131" ht="11.25" hidden="1">
      <c r="A897" s="3" t="s">
        <v>2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11.25" hidden="1">
      <c r="A898" s="6" t="s">
        <v>23</v>
      </c>
      <c r="B898" s="4"/>
      <c r="C898" s="4"/>
      <c r="D898" s="5">
        <v>8550000</v>
      </c>
      <c r="E898" s="5">
        <v>6450000</v>
      </c>
      <c r="F898" s="5">
        <f>D898+E898</f>
        <v>15000000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31" ht="11.25" hidden="1">
      <c r="A899" s="3" t="s">
        <v>3</v>
      </c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1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</row>
    <row r="900" spans="1:131" ht="22.5" hidden="1">
      <c r="A900" s="6" t="s">
        <v>98</v>
      </c>
      <c r="B900" s="4"/>
      <c r="C900" s="4"/>
      <c r="D900" s="5">
        <v>2</v>
      </c>
      <c r="E900" s="5">
        <v>2</v>
      </c>
      <c r="F900" s="5">
        <f>D900+E900</f>
        <v>4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  <c r="DQ900" s="34"/>
      <c r="DR900" s="34"/>
      <c r="DS900" s="34"/>
      <c r="DT900" s="34"/>
      <c r="DU900" s="34"/>
      <c r="DV900" s="34"/>
      <c r="DW900" s="34"/>
      <c r="DX900" s="34"/>
      <c r="DY900" s="34"/>
      <c r="DZ900" s="34"/>
      <c r="EA900" s="34"/>
    </row>
    <row r="901" spans="1:131" ht="11.25" hidden="1">
      <c r="A901" s="3" t="s">
        <v>5</v>
      </c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  <c r="DQ901" s="34"/>
      <c r="DR901" s="34"/>
      <c r="DS901" s="34"/>
      <c r="DT901" s="34"/>
      <c r="DU901" s="34"/>
      <c r="DV901" s="34"/>
      <c r="DW901" s="34"/>
      <c r="DX901" s="34"/>
      <c r="DY901" s="34"/>
      <c r="DZ901" s="34"/>
      <c r="EA901" s="34"/>
    </row>
    <row r="902" spans="1:131" ht="22.5" hidden="1">
      <c r="A902" s="6" t="s">
        <v>99</v>
      </c>
      <c r="B902" s="4"/>
      <c r="C902" s="4"/>
      <c r="D902" s="5">
        <f>D898/D900</f>
        <v>4275000</v>
      </c>
      <c r="E902" s="5">
        <f>E898/E900</f>
        <v>3225000</v>
      </c>
      <c r="F902" s="5">
        <f>D902+E902</f>
        <v>7500000</v>
      </c>
      <c r="G902" s="5"/>
      <c r="H902" s="5"/>
      <c r="I902" s="5"/>
      <c r="J902" s="13"/>
      <c r="K902" s="13"/>
      <c r="L902" s="13"/>
      <c r="M902" s="13"/>
      <c r="N902" s="13"/>
      <c r="O902" s="13"/>
      <c r="P902" s="5"/>
      <c r="Q902" s="1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  <c r="DQ902" s="34"/>
      <c r="DR902" s="34"/>
      <c r="DS902" s="34"/>
      <c r="DT902" s="34"/>
      <c r="DU902" s="34"/>
      <c r="DV902" s="34"/>
      <c r="DW902" s="34"/>
      <c r="DX902" s="34"/>
      <c r="DY902" s="34"/>
      <c r="DZ902" s="34"/>
      <c r="EA902" s="34"/>
    </row>
    <row r="903" spans="1:17" s="104" customFormat="1" ht="11.25" customHeight="1" hidden="1">
      <c r="A903" s="100" t="s">
        <v>160</v>
      </c>
      <c r="B903" s="100"/>
      <c r="C903" s="100"/>
      <c r="D903" s="101">
        <f>D907</f>
        <v>0</v>
      </c>
      <c r="E903" s="101">
        <f>E907</f>
        <v>2275980</v>
      </c>
      <c r="F903" s="101">
        <f>D903+E903</f>
        <v>2275980</v>
      </c>
      <c r="G903" s="101">
        <v>0</v>
      </c>
      <c r="H903" s="101">
        <f>H905</f>
        <v>1108600</v>
      </c>
      <c r="I903" s="101" t="e">
        <f>#REF!</f>
        <v>#REF!</v>
      </c>
      <c r="J903" s="102">
        <f>J905</f>
        <v>1108600</v>
      </c>
      <c r="K903" s="102" t="e">
        <f>#REF!</f>
        <v>#REF!</v>
      </c>
      <c r="L903" s="102" t="e">
        <f>#REF!</f>
        <v>#REF!</v>
      </c>
      <c r="M903" s="102" t="e">
        <f>#REF!</f>
        <v>#REF!</v>
      </c>
      <c r="N903" s="102">
        <v>0</v>
      </c>
      <c r="O903" s="102">
        <f>O905</f>
        <v>54066467</v>
      </c>
      <c r="P903" s="101">
        <f>N903+O903</f>
        <v>54066467</v>
      </c>
      <c r="Q903" s="103" t="e">
        <f>#REF!</f>
        <v>#REF!</v>
      </c>
    </row>
    <row r="904" spans="1:17" s="109" customFormat="1" ht="33.75" customHeight="1" hidden="1">
      <c r="A904" s="105" t="s">
        <v>161</v>
      </c>
      <c r="B904" s="106"/>
      <c r="C904" s="106"/>
      <c r="D904" s="94"/>
      <c r="E904" s="94"/>
      <c r="F904" s="94"/>
      <c r="G904" s="94"/>
      <c r="H904" s="94"/>
      <c r="I904" s="94"/>
      <c r="J904" s="107"/>
      <c r="K904" s="107"/>
      <c r="L904" s="107"/>
      <c r="M904" s="107"/>
      <c r="N904" s="107"/>
      <c r="O904" s="107"/>
      <c r="P904" s="101"/>
      <c r="Q904" s="108"/>
    </row>
    <row r="905" spans="1:17" s="104" customFormat="1" ht="22.5" customHeight="1" hidden="1">
      <c r="A905" s="110" t="s">
        <v>184</v>
      </c>
      <c r="B905" s="100"/>
      <c r="C905" s="100"/>
      <c r="D905" s="101"/>
      <c r="E905" s="101">
        <v>2275980</v>
      </c>
      <c r="F905" s="101">
        <v>2275980</v>
      </c>
      <c r="G905" s="101"/>
      <c r="H905" s="101">
        <f>H907</f>
        <v>1108600</v>
      </c>
      <c r="I905" s="101"/>
      <c r="J905" s="102">
        <f>H905</f>
        <v>1108600</v>
      </c>
      <c r="K905" s="102"/>
      <c r="L905" s="102"/>
      <c r="M905" s="102"/>
      <c r="N905" s="102"/>
      <c r="O905" s="102">
        <f>O907</f>
        <v>54066467</v>
      </c>
      <c r="P905" s="101">
        <f aca="true" t="shared" si="51" ref="P905:P911">N905+O905</f>
        <v>54066467</v>
      </c>
      <c r="Q905" s="103"/>
    </row>
    <row r="906" spans="1:17" s="109" customFormat="1" ht="11.25" customHeight="1" hidden="1">
      <c r="A906" s="111" t="s">
        <v>2</v>
      </c>
      <c r="B906" s="106"/>
      <c r="C906" s="106"/>
      <c r="D906" s="94"/>
      <c r="E906" s="94"/>
      <c r="F906" s="94"/>
      <c r="G906" s="94"/>
      <c r="H906" s="94"/>
      <c r="I906" s="94"/>
      <c r="J906" s="107"/>
      <c r="K906" s="107"/>
      <c r="L906" s="107"/>
      <c r="M906" s="107"/>
      <c r="N906" s="107"/>
      <c r="O906" s="107"/>
      <c r="P906" s="101"/>
      <c r="Q906" s="108"/>
    </row>
    <row r="907" spans="1:17" s="109" customFormat="1" ht="11.25" customHeight="1" hidden="1">
      <c r="A907" s="105" t="s">
        <v>23</v>
      </c>
      <c r="B907" s="106"/>
      <c r="C907" s="106"/>
      <c r="D907" s="94"/>
      <c r="E907" s="94">
        <f>2178000+97980</f>
        <v>2275980</v>
      </c>
      <c r="F907" s="94">
        <f>D907+E907</f>
        <v>2275980</v>
      </c>
      <c r="G907" s="94"/>
      <c r="H907" s="94">
        <v>1108600</v>
      </c>
      <c r="I907" s="94"/>
      <c r="J907" s="107">
        <f>H907</f>
        <v>1108600</v>
      </c>
      <c r="K907" s="107"/>
      <c r="L907" s="107"/>
      <c r="M907" s="107"/>
      <c r="N907" s="107"/>
      <c r="O907" s="107">
        <v>54066467</v>
      </c>
      <c r="P907" s="94">
        <f t="shared" si="51"/>
        <v>54066467</v>
      </c>
      <c r="Q907" s="108"/>
    </row>
    <row r="908" spans="1:17" s="109" customFormat="1" ht="11.25" customHeight="1" hidden="1">
      <c r="A908" s="111" t="s">
        <v>3</v>
      </c>
      <c r="B908" s="106"/>
      <c r="C908" s="106"/>
      <c r="D908" s="94"/>
      <c r="E908" s="94"/>
      <c r="F908" s="94"/>
      <c r="G908" s="94"/>
      <c r="H908" s="94"/>
      <c r="I908" s="94"/>
      <c r="J908" s="107"/>
      <c r="K908" s="107"/>
      <c r="L908" s="107"/>
      <c r="M908" s="107"/>
      <c r="N908" s="107"/>
      <c r="O908" s="107"/>
      <c r="P908" s="94"/>
      <c r="Q908" s="108"/>
    </row>
    <row r="909" spans="1:17" s="109" customFormat="1" ht="22.5" customHeight="1" hidden="1">
      <c r="A909" s="105" t="s">
        <v>162</v>
      </c>
      <c r="B909" s="106"/>
      <c r="C909" s="106"/>
      <c r="D909" s="94"/>
      <c r="E909" s="94">
        <v>63</v>
      </c>
      <c r="F909" s="94">
        <v>63</v>
      </c>
      <c r="G909" s="94"/>
      <c r="H909" s="94">
        <v>22</v>
      </c>
      <c r="I909" s="94"/>
      <c r="J909" s="107">
        <f>H909</f>
        <v>22</v>
      </c>
      <c r="K909" s="107"/>
      <c r="L909" s="107"/>
      <c r="M909" s="107"/>
      <c r="N909" s="107"/>
      <c r="O909" s="107">
        <v>1339</v>
      </c>
      <c r="P909" s="94">
        <f t="shared" si="51"/>
        <v>1339</v>
      </c>
      <c r="Q909" s="108"/>
    </row>
    <row r="910" spans="1:17" s="109" customFormat="1" ht="11.25" customHeight="1" hidden="1">
      <c r="A910" s="111" t="s">
        <v>5</v>
      </c>
      <c r="B910" s="106"/>
      <c r="C910" s="106"/>
      <c r="D910" s="94"/>
      <c r="E910" s="94"/>
      <c r="F910" s="94"/>
      <c r="G910" s="94"/>
      <c r="H910" s="94"/>
      <c r="I910" s="94"/>
      <c r="J910" s="107"/>
      <c r="K910" s="107"/>
      <c r="L910" s="107"/>
      <c r="M910" s="107"/>
      <c r="N910" s="107"/>
      <c r="O910" s="107"/>
      <c r="P910" s="94"/>
      <c r="Q910" s="108"/>
    </row>
    <row r="911" spans="1:17" s="109" customFormat="1" ht="22.5" customHeight="1" hidden="1">
      <c r="A911" s="105" t="s">
        <v>163</v>
      </c>
      <c r="B911" s="106"/>
      <c r="C911" s="106"/>
      <c r="D911" s="94"/>
      <c r="E911" s="94">
        <v>36300</v>
      </c>
      <c r="F911" s="94">
        <v>36300</v>
      </c>
      <c r="G911" s="94"/>
      <c r="H911" s="94">
        <v>50390.91</v>
      </c>
      <c r="I911" s="94"/>
      <c r="J911" s="107">
        <f>H911</f>
        <v>50390.91</v>
      </c>
      <c r="K911" s="107"/>
      <c r="L911" s="107"/>
      <c r="M911" s="107"/>
      <c r="N911" s="107"/>
      <c r="O911" s="107">
        <v>40378.24</v>
      </c>
      <c r="P911" s="94">
        <f t="shared" si="51"/>
        <v>40378.24</v>
      </c>
      <c r="Q911" s="108"/>
    </row>
    <row r="912" spans="1:17" s="203" customFormat="1" ht="31.5" customHeight="1" hidden="1">
      <c r="A912" s="200" t="s">
        <v>154</v>
      </c>
      <c r="B912" s="231"/>
      <c r="C912" s="231"/>
      <c r="D912" s="201">
        <f>D914</f>
        <v>100000</v>
      </c>
      <c r="E912" s="201"/>
      <c r="F912" s="201">
        <f aca="true" t="shared" si="52" ref="F912:Q912">F914</f>
        <v>100000</v>
      </c>
      <c r="G912" s="201">
        <f t="shared" si="52"/>
        <v>320000</v>
      </c>
      <c r="H912" s="201"/>
      <c r="I912" s="201">
        <f t="shared" si="52"/>
        <v>0</v>
      </c>
      <c r="J912" s="201">
        <f t="shared" si="52"/>
        <v>320000</v>
      </c>
      <c r="K912" s="201">
        <f t="shared" si="52"/>
        <v>0</v>
      </c>
      <c r="L912" s="201">
        <f t="shared" si="52"/>
        <v>0</v>
      </c>
      <c r="M912" s="201">
        <f t="shared" si="52"/>
        <v>0</v>
      </c>
      <c r="N912" s="201">
        <f>N914</f>
        <v>340000</v>
      </c>
      <c r="O912" s="201"/>
      <c r="P912" s="201">
        <f t="shared" si="52"/>
        <v>340000</v>
      </c>
      <c r="Q912" s="201">
        <f t="shared" si="52"/>
        <v>0</v>
      </c>
    </row>
    <row r="913" spans="1:131" ht="22.5" customHeight="1" hidden="1">
      <c r="A913" s="6" t="s">
        <v>138</v>
      </c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197" customFormat="1" ht="43.5" customHeight="1" hidden="1">
      <c r="A914" s="194" t="s">
        <v>497</v>
      </c>
      <c r="B914" s="195"/>
      <c r="C914" s="195"/>
      <c r="D914" s="223">
        <f>D916</f>
        <v>100000</v>
      </c>
      <c r="E914" s="223"/>
      <c r="F914" s="223">
        <f>D914+E914</f>
        <v>100000</v>
      </c>
      <c r="G914" s="193">
        <f>G916</f>
        <v>320000</v>
      </c>
      <c r="H914" s="193"/>
      <c r="I914" s="193"/>
      <c r="J914" s="193">
        <f>J916</f>
        <v>320000</v>
      </c>
      <c r="K914" s="193"/>
      <c r="L914" s="193"/>
      <c r="M914" s="193"/>
      <c r="N914" s="193">
        <f>N916</f>
        <v>340000</v>
      </c>
      <c r="O914" s="193"/>
      <c r="P914" s="193">
        <f>N914</f>
        <v>340000</v>
      </c>
      <c r="Q914" s="234"/>
    </row>
    <row r="915" spans="1:131" ht="11.25" customHeight="1" hidden="1">
      <c r="A915" s="3" t="s">
        <v>2</v>
      </c>
      <c r="B915" s="4"/>
      <c r="C915" s="4"/>
      <c r="D915" s="46"/>
      <c r="E915" s="46"/>
      <c r="F915" s="4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 hidden="1">
      <c r="A916" s="6" t="s">
        <v>23</v>
      </c>
      <c r="B916" s="4"/>
      <c r="C916" s="4"/>
      <c r="D916" s="46">
        <f>300000-200000</f>
        <v>100000</v>
      </c>
      <c r="E916" s="46"/>
      <c r="F916" s="46">
        <f>D916+E916</f>
        <v>100000</v>
      </c>
      <c r="G916" s="5">
        <v>320000</v>
      </c>
      <c r="H916" s="5"/>
      <c r="I916" s="5"/>
      <c r="J916" s="5">
        <f>G916+H916</f>
        <v>320000</v>
      </c>
      <c r="K916" s="5"/>
      <c r="L916" s="5"/>
      <c r="M916" s="5"/>
      <c r="N916" s="5">
        <v>340000</v>
      </c>
      <c r="O916" s="5"/>
      <c r="P916" s="5">
        <f>P919*P921</f>
        <v>340000</v>
      </c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13.5" customHeight="1" hidden="1">
      <c r="A917" s="3" t="s">
        <v>3</v>
      </c>
      <c r="B917" s="4"/>
      <c r="C917" s="4"/>
      <c r="D917" s="46"/>
      <c r="E917" s="46"/>
      <c r="F917" s="4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.5" customHeight="1" hidden="1">
      <c r="A918" s="6" t="s">
        <v>89</v>
      </c>
      <c r="B918" s="4"/>
      <c r="C918" s="4"/>
      <c r="D918" s="46"/>
      <c r="E918" s="46"/>
      <c r="F918" s="46">
        <f>D918+E918</f>
        <v>0</v>
      </c>
      <c r="G918" s="46"/>
      <c r="H918" s="46"/>
      <c r="I918" s="46"/>
      <c r="J918" s="46"/>
      <c r="K918" s="5"/>
      <c r="L918" s="5"/>
      <c r="M918" s="5"/>
      <c r="N918" s="5"/>
      <c r="O918" s="5"/>
      <c r="P918" s="5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15" customHeight="1" hidden="1">
      <c r="A919" s="6" t="s">
        <v>93</v>
      </c>
      <c r="B919" s="4"/>
      <c r="C919" s="4"/>
      <c r="D919" s="276">
        <v>5</v>
      </c>
      <c r="E919" s="276"/>
      <c r="F919" s="276">
        <f>D919+E919</f>
        <v>5</v>
      </c>
      <c r="G919" s="276">
        <v>20</v>
      </c>
      <c r="H919" s="276"/>
      <c r="I919" s="276"/>
      <c r="J919" s="276">
        <f>G919+H919</f>
        <v>20</v>
      </c>
      <c r="K919" s="5"/>
      <c r="L919" s="5"/>
      <c r="M919" s="5"/>
      <c r="N919" s="89">
        <v>20</v>
      </c>
      <c r="O919" s="5"/>
      <c r="P919" s="89">
        <f>N919</f>
        <v>20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0.5" customHeight="1" hidden="1">
      <c r="A920" s="3" t="s">
        <v>5</v>
      </c>
      <c r="B920" s="4"/>
      <c r="C920" s="4"/>
      <c r="D920" s="46"/>
      <c r="E920" s="46"/>
      <c r="F920" s="4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 hidden="1">
      <c r="A921" s="6" t="s">
        <v>94</v>
      </c>
      <c r="B921" s="4"/>
      <c r="C921" s="4"/>
      <c r="D921" s="5">
        <f>D916/D919</f>
        <v>20000</v>
      </c>
      <c r="E921" s="5"/>
      <c r="F921" s="46">
        <f>D921+E921</f>
        <v>20000</v>
      </c>
      <c r="G921" s="5">
        <f>G916/G919</f>
        <v>16000</v>
      </c>
      <c r="H921" s="5"/>
      <c r="I921" s="5"/>
      <c r="J921" s="5">
        <f>G921+H921</f>
        <v>16000</v>
      </c>
      <c r="K921" s="5"/>
      <c r="L921" s="5"/>
      <c r="M921" s="5"/>
      <c r="N921" s="5">
        <f>N916/N919</f>
        <v>17000</v>
      </c>
      <c r="O921" s="5"/>
      <c r="P921" s="5">
        <f>N921</f>
        <v>17000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3" customFormat="1" ht="29.25" customHeight="1" hidden="1">
      <c r="A922" s="236" t="s">
        <v>155</v>
      </c>
      <c r="B922" s="231"/>
      <c r="C922" s="231"/>
      <c r="D922" s="201">
        <f>D923</f>
        <v>210000</v>
      </c>
      <c r="E922" s="201"/>
      <c r="F922" s="201">
        <f>F923</f>
        <v>210000</v>
      </c>
      <c r="G922" s="201">
        <f>G923</f>
        <v>831732</v>
      </c>
      <c r="H922" s="201"/>
      <c r="I922" s="201">
        <f>I923</f>
        <v>0</v>
      </c>
      <c r="J922" s="201">
        <f>G922</f>
        <v>831732</v>
      </c>
      <c r="K922" s="237"/>
      <c r="L922" s="237"/>
      <c r="M922" s="237"/>
      <c r="N922" s="201">
        <f>N923</f>
        <v>828635</v>
      </c>
      <c r="O922" s="201"/>
      <c r="P922" s="201">
        <f>N922</f>
        <v>828635</v>
      </c>
      <c r="Q922" s="233"/>
    </row>
    <row r="923" spans="1:17" s="197" customFormat="1" ht="30.75" customHeight="1" hidden="1">
      <c r="A923" s="194" t="s">
        <v>498</v>
      </c>
      <c r="B923" s="195"/>
      <c r="C923" s="195"/>
      <c r="D923" s="193">
        <f>D925</f>
        <v>210000</v>
      </c>
      <c r="E923" s="193"/>
      <c r="F923" s="238">
        <f>D923</f>
        <v>210000</v>
      </c>
      <c r="G923" s="193">
        <f>G927*G929</f>
        <v>831732</v>
      </c>
      <c r="H923" s="193"/>
      <c r="I923" s="193"/>
      <c r="J923" s="193">
        <f>G923</f>
        <v>831732</v>
      </c>
      <c r="K923" s="193"/>
      <c r="L923" s="193"/>
      <c r="M923" s="193"/>
      <c r="N923" s="193">
        <f>N927*N929</f>
        <v>828635</v>
      </c>
      <c r="O923" s="193"/>
      <c r="P923" s="193">
        <f>N923</f>
        <v>828635</v>
      </c>
      <c r="Q923" s="234"/>
    </row>
    <row r="924" spans="1:131" ht="11.25" customHeight="1" hidden="1">
      <c r="A924" s="3" t="s">
        <v>2</v>
      </c>
      <c r="B924" s="4"/>
      <c r="C924" s="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22.5" customHeight="1" hidden="1">
      <c r="A925" s="6" t="s">
        <v>26</v>
      </c>
      <c r="B925" s="4"/>
      <c r="C925" s="4"/>
      <c r="D925" s="74">
        <f>782645-572600-50045+50000</f>
        <v>210000</v>
      </c>
      <c r="E925" s="74"/>
      <c r="F925" s="74">
        <f>D925</f>
        <v>210000</v>
      </c>
      <c r="G925" s="74">
        <v>831732</v>
      </c>
      <c r="H925" s="74"/>
      <c r="I925" s="74"/>
      <c r="J925" s="74">
        <f>G925</f>
        <v>831732</v>
      </c>
      <c r="K925" s="74"/>
      <c r="L925" s="74"/>
      <c r="M925" s="74"/>
      <c r="N925" s="74">
        <v>828635</v>
      </c>
      <c r="O925" s="74"/>
      <c r="P925" s="74">
        <f>N925</f>
        <v>828635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31" ht="11.25" customHeight="1" hidden="1">
      <c r="A926" s="3" t="s">
        <v>3</v>
      </c>
      <c r="B926" s="4"/>
      <c r="C926" s="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1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</row>
    <row r="927" spans="1:131" ht="27.75" customHeight="1" hidden="1">
      <c r="A927" s="6" t="s">
        <v>25</v>
      </c>
      <c r="B927" s="4"/>
      <c r="C927" s="4"/>
      <c r="D927" s="74">
        <v>16</v>
      </c>
      <c r="E927" s="74"/>
      <c r="F927" s="74">
        <f>D927</f>
        <v>16</v>
      </c>
      <c r="G927" s="74">
        <v>16</v>
      </c>
      <c r="H927" s="74"/>
      <c r="I927" s="74"/>
      <c r="J927" s="74">
        <f>G927</f>
        <v>16</v>
      </c>
      <c r="K927" s="74"/>
      <c r="L927" s="74"/>
      <c r="M927" s="74"/>
      <c r="N927" s="74">
        <v>16</v>
      </c>
      <c r="O927" s="74"/>
      <c r="P927" s="74">
        <f>N927</f>
        <v>16</v>
      </c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31" ht="11.25" customHeight="1" hidden="1">
      <c r="A928" s="3" t="s">
        <v>5</v>
      </c>
      <c r="B928" s="4"/>
      <c r="C928" s="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1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</row>
    <row r="929" spans="1:131" ht="33.75" customHeight="1" hidden="1">
      <c r="A929" s="6" t="s">
        <v>27</v>
      </c>
      <c r="B929" s="4"/>
      <c r="C929" s="4"/>
      <c r="D929" s="74">
        <f>D925/D927</f>
        <v>13125</v>
      </c>
      <c r="E929" s="74"/>
      <c r="F929" s="74">
        <f>D929</f>
        <v>13125</v>
      </c>
      <c r="G929" s="74">
        <f>G925/G927</f>
        <v>51983.25</v>
      </c>
      <c r="H929" s="74"/>
      <c r="I929" s="74"/>
      <c r="J929" s="74">
        <f>G929</f>
        <v>51983.25</v>
      </c>
      <c r="K929" s="74"/>
      <c r="L929" s="74"/>
      <c r="M929" s="74"/>
      <c r="N929" s="74">
        <f>N925/N927</f>
        <v>51789.6875</v>
      </c>
      <c r="O929" s="74"/>
      <c r="P929" s="74">
        <f>N929</f>
        <v>51789.6875</v>
      </c>
      <c r="Q929" s="1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  <c r="DQ929" s="34"/>
      <c r="DR929" s="34"/>
      <c r="DS929" s="34"/>
      <c r="DT929" s="34"/>
      <c r="DU929" s="34"/>
      <c r="DV929" s="34"/>
      <c r="DW929" s="34"/>
      <c r="DX929" s="34"/>
      <c r="DY929" s="34"/>
      <c r="DZ929" s="34"/>
      <c r="EA929" s="34"/>
    </row>
    <row r="930" spans="1:17" s="203" customFormat="1" ht="12.75" customHeight="1" hidden="1">
      <c r="A930" s="200" t="s">
        <v>253</v>
      </c>
      <c r="B930" s="231"/>
      <c r="C930" s="231"/>
      <c r="D930" s="201"/>
      <c r="E930" s="201">
        <f>E932</f>
        <v>7900000</v>
      </c>
      <c r="F930" s="201">
        <f>D930+E930</f>
        <v>7900000</v>
      </c>
      <c r="G930" s="201"/>
      <c r="H930" s="201">
        <f>H932</f>
        <v>32733800</v>
      </c>
      <c r="I930" s="201" t="e">
        <f>I932+#REF!</f>
        <v>#REF!</v>
      </c>
      <c r="J930" s="201">
        <f>J932</f>
        <v>32733800</v>
      </c>
      <c r="K930" s="201" t="e">
        <f>K932+#REF!</f>
        <v>#REF!</v>
      </c>
      <c r="L930" s="201" t="e">
        <f>L932+#REF!</f>
        <v>#REF!</v>
      </c>
      <c r="M930" s="201" t="e">
        <f>M932+#REF!</f>
        <v>#REF!</v>
      </c>
      <c r="N930" s="201"/>
      <c r="O930" s="201">
        <f>O932</f>
        <v>34613800</v>
      </c>
      <c r="P930" s="201">
        <f>P932</f>
        <v>34613800</v>
      </c>
      <c r="Q930" s="233"/>
    </row>
    <row r="931" spans="1:131" ht="22.5" customHeight="1" hidden="1">
      <c r="A931" s="72" t="s">
        <v>114</v>
      </c>
      <c r="B931" s="73"/>
      <c r="C931" s="73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1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  <c r="DQ931" s="34"/>
      <c r="DR931" s="34"/>
      <c r="DS931" s="34"/>
      <c r="DT931" s="34"/>
      <c r="DU931" s="34"/>
      <c r="DV931" s="34"/>
      <c r="DW931" s="34"/>
      <c r="DX931" s="34"/>
      <c r="DY931" s="34"/>
      <c r="DZ931" s="34"/>
      <c r="EA931" s="34"/>
    </row>
    <row r="932" spans="1:17" s="197" customFormat="1" ht="30.75" customHeight="1" hidden="1">
      <c r="A932" s="194" t="s">
        <v>499</v>
      </c>
      <c r="B932" s="195"/>
      <c r="C932" s="195"/>
      <c r="D932" s="239"/>
      <c r="E932" s="239">
        <f>E934</f>
        <v>7900000</v>
      </c>
      <c r="F932" s="239">
        <f>D932+E932</f>
        <v>7900000</v>
      </c>
      <c r="G932" s="193"/>
      <c r="H932" s="193">
        <f>SUM(H934)</f>
        <v>32733800</v>
      </c>
      <c r="I932" s="193"/>
      <c r="J932" s="193">
        <f>G932+H932+I932</f>
        <v>32733800</v>
      </c>
      <c r="K932" s="193"/>
      <c r="L932" s="193"/>
      <c r="M932" s="193"/>
      <c r="N932" s="193"/>
      <c r="O932" s="193">
        <f>O934</f>
        <v>34613800</v>
      </c>
      <c r="P932" s="193">
        <f>N932+O932</f>
        <v>34613800</v>
      </c>
      <c r="Q932" s="234"/>
    </row>
    <row r="933" spans="1:17" s="27" customFormat="1" ht="11.25" customHeight="1" hidden="1">
      <c r="A933" s="85" t="s">
        <v>2</v>
      </c>
      <c r="B933" s="77"/>
      <c r="C933" s="77"/>
      <c r="D933" s="95"/>
      <c r="E933" s="95"/>
      <c r="F933" s="95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42"/>
    </row>
    <row r="934" spans="1:17" s="27" customFormat="1" ht="11.25" customHeight="1" hidden="1">
      <c r="A934" s="96" t="s">
        <v>23</v>
      </c>
      <c r="B934" s="97"/>
      <c r="C934" s="97"/>
      <c r="D934" s="98"/>
      <c r="E934" s="98">
        <f>40850000-32950000</f>
        <v>7900000</v>
      </c>
      <c r="F934" s="98">
        <f>E934</f>
        <v>7900000</v>
      </c>
      <c r="G934" s="99"/>
      <c r="H934" s="99">
        <v>32733800</v>
      </c>
      <c r="I934" s="99"/>
      <c r="J934" s="99">
        <f>H934</f>
        <v>32733800</v>
      </c>
      <c r="K934" s="99"/>
      <c r="L934" s="99"/>
      <c r="M934" s="99"/>
      <c r="N934" s="99"/>
      <c r="O934" s="99">
        <v>34613800</v>
      </c>
      <c r="P934" s="99">
        <f>O934</f>
        <v>34613800</v>
      </c>
      <c r="Q934" s="42"/>
    </row>
    <row r="935" spans="1:17" s="27" customFormat="1" ht="11.25" customHeight="1" hidden="1">
      <c r="A935" s="85" t="s">
        <v>3</v>
      </c>
      <c r="B935" s="77"/>
      <c r="C935" s="77"/>
      <c r="D935" s="95"/>
      <c r="E935" s="95"/>
      <c r="F935" s="95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42"/>
    </row>
    <row r="936" spans="1:17" s="27" customFormat="1" ht="11.25" customHeight="1" hidden="1">
      <c r="A936" s="96" t="s">
        <v>104</v>
      </c>
      <c r="B936" s="97"/>
      <c r="C936" s="97"/>
      <c r="D936" s="98"/>
      <c r="E936" s="277">
        <v>15</v>
      </c>
      <c r="F936" s="277">
        <f>E936</f>
        <v>15</v>
      </c>
      <c r="G936" s="278"/>
      <c r="H936" s="278">
        <v>17</v>
      </c>
      <c r="I936" s="278"/>
      <c r="J936" s="278">
        <f>H936</f>
        <v>17</v>
      </c>
      <c r="K936" s="278">
        <f>H936</f>
        <v>17</v>
      </c>
      <c r="L936" s="278">
        <f>J936</f>
        <v>17</v>
      </c>
      <c r="M936" s="278">
        <f>K936</f>
        <v>17</v>
      </c>
      <c r="N936" s="278"/>
      <c r="O936" s="278">
        <v>17</v>
      </c>
      <c r="P936" s="278">
        <f>O936</f>
        <v>17</v>
      </c>
      <c r="Q936" s="42"/>
    </row>
    <row r="937" spans="1:17" s="27" customFormat="1" ht="11.25" customHeight="1" hidden="1">
      <c r="A937" s="96" t="s">
        <v>5</v>
      </c>
      <c r="B937" s="97"/>
      <c r="C937" s="97"/>
      <c r="D937" s="98"/>
      <c r="E937" s="98"/>
      <c r="F937" s="98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42"/>
    </row>
    <row r="938" spans="1:17" s="27" customFormat="1" ht="22.5" customHeight="1" hidden="1">
      <c r="A938" s="96" t="s">
        <v>187</v>
      </c>
      <c r="B938" s="97"/>
      <c r="C938" s="97"/>
      <c r="D938" s="98"/>
      <c r="E938" s="99">
        <f>E934/E936</f>
        <v>526666.6666666666</v>
      </c>
      <c r="F938" s="99">
        <f>E938</f>
        <v>526666.6666666666</v>
      </c>
      <c r="G938" s="99"/>
      <c r="H938" s="99">
        <f>SUM(H934)/H936</f>
        <v>1925517.6470588236</v>
      </c>
      <c r="I938" s="99"/>
      <c r="J938" s="99">
        <f>SUM(J934)/J936</f>
        <v>1925517.6470588236</v>
      </c>
      <c r="K938" s="99"/>
      <c r="L938" s="99"/>
      <c r="M938" s="99"/>
      <c r="N938" s="99"/>
      <c r="O938" s="99">
        <f>SUM(O934)/O936</f>
        <v>2036105.8823529412</v>
      </c>
      <c r="P938" s="99">
        <f>SUM(P934)/P936</f>
        <v>2036105.8823529412</v>
      </c>
      <c r="Q938" s="42"/>
    </row>
    <row r="939" spans="1:17" s="218" customFormat="1" ht="27" customHeight="1" hidden="1">
      <c r="A939" s="200" t="s">
        <v>254</v>
      </c>
      <c r="B939" s="231"/>
      <c r="C939" s="231"/>
      <c r="D939" s="240"/>
      <c r="E939" s="201">
        <f>E941</f>
        <v>24125000</v>
      </c>
      <c r="F939" s="201">
        <f>E939</f>
        <v>24125000</v>
      </c>
      <c r="G939" s="201"/>
      <c r="H939" s="201">
        <f>H941</f>
        <v>64000000</v>
      </c>
      <c r="I939" s="201"/>
      <c r="J939" s="201">
        <f>H939</f>
        <v>64000000</v>
      </c>
      <c r="K939" s="201"/>
      <c r="L939" s="201"/>
      <c r="M939" s="201"/>
      <c r="N939" s="201"/>
      <c r="O939" s="201">
        <f>O941</f>
        <v>95000000</v>
      </c>
      <c r="P939" s="201">
        <f>O939</f>
        <v>95000000</v>
      </c>
      <c r="Q939" s="241"/>
    </row>
    <row r="940" spans="1:17" s="27" customFormat="1" ht="22.5" customHeight="1" hidden="1">
      <c r="A940" s="72" t="s">
        <v>257</v>
      </c>
      <c r="B940" s="97"/>
      <c r="C940" s="97"/>
      <c r="D940" s="98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42"/>
    </row>
    <row r="941" spans="1:17" s="197" customFormat="1" ht="38.25" customHeight="1" hidden="1">
      <c r="A941" s="194" t="s">
        <v>500</v>
      </c>
      <c r="B941" s="195"/>
      <c r="C941" s="195"/>
      <c r="D941" s="239"/>
      <c r="E941" s="193">
        <f>E943</f>
        <v>24125000</v>
      </c>
      <c r="F941" s="193">
        <f>E941</f>
        <v>24125000</v>
      </c>
      <c r="G941" s="193"/>
      <c r="H941" s="193">
        <f>H943</f>
        <v>64000000</v>
      </c>
      <c r="I941" s="193"/>
      <c r="J941" s="193">
        <f>H941</f>
        <v>64000000</v>
      </c>
      <c r="K941" s="193"/>
      <c r="L941" s="193"/>
      <c r="M941" s="193"/>
      <c r="N941" s="193"/>
      <c r="O941" s="193">
        <f>O943</f>
        <v>95000000</v>
      </c>
      <c r="P941" s="193">
        <f>O941</f>
        <v>95000000</v>
      </c>
      <c r="Q941" s="234"/>
    </row>
    <row r="942" spans="1:17" s="27" customFormat="1" ht="11.25" customHeight="1" hidden="1">
      <c r="A942" s="85" t="s">
        <v>2</v>
      </c>
      <c r="B942" s="97"/>
      <c r="C942" s="97"/>
      <c r="D942" s="98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42"/>
    </row>
    <row r="943" spans="1:17" s="27" customFormat="1" ht="11.25" customHeight="1" hidden="1">
      <c r="A943" s="96" t="s">
        <v>23</v>
      </c>
      <c r="B943" s="97"/>
      <c r="C943" s="97"/>
      <c r="D943" s="98"/>
      <c r="E943" s="99">
        <f>37500000+5000000-200000-18175000</f>
        <v>24125000</v>
      </c>
      <c r="F943" s="99">
        <f>E943</f>
        <v>24125000</v>
      </c>
      <c r="G943" s="99"/>
      <c r="H943" s="99">
        <f>39000000+25000000</f>
        <v>64000000</v>
      </c>
      <c r="I943" s="99"/>
      <c r="J943" s="99">
        <f>H943</f>
        <v>64000000</v>
      </c>
      <c r="K943" s="99"/>
      <c r="L943" s="99"/>
      <c r="M943" s="99"/>
      <c r="N943" s="99"/>
      <c r="O943" s="99">
        <f>41500000+53500000</f>
        <v>95000000</v>
      </c>
      <c r="P943" s="99">
        <f>O943</f>
        <v>95000000</v>
      </c>
      <c r="Q943" s="42"/>
    </row>
    <row r="944" spans="1:17" s="27" customFormat="1" ht="11.25" customHeight="1" hidden="1">
      <c r="A944" s="85" t="s">
        <v>3</v>
      </c>
      <c r="B944" s="97"/>
      <c r="C944" s="97"/>
      <c r="D944" s="98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42"/>
    </row>
    <row r="945" spans="1:17" s="27" customFormat="1" ht="11.25" customHeight="1" hidden="1">
      <c r="A945" s="96" t="s">
        <v>104</v>
      </c>
      <c r="B945" s="97"/>
      <c r="C945" s="97"/>
      <c r="D945" s="98"/>
      <c r="E945" s="99">
        <v>18</v>
      </c>
      <c r="F945" s="99">
        <f>E945</f>
        <v>18</v>
      </c>
      <c r="G945" s="99"/>
      <c r="H945" s="99">
        <f>14+1</f>
        <v>15</v>
      </c>
      <c r="I945" s="99"/>
      <c r="J945" s="99">
        <f>H945</f>
        <v>15</v>
      </c>
      <c r="K945" s="99"/>
      <c r="L945" s="99"/>
      <c r="M945" s="99"/>
      <c r="N945" s="99"/>
      <c r="O945" s="99">
        <f>14+1</f>
        <v>15</v>
      </c>
      <c r="P945" s="99">
        <f>O945</f>
        <v>15</v>
      </c>
      <c r="Q945" s="42"/>
    </row>
    <row r="946" spans="1:17" s="27" customFormat="1" ht="11.25" customHeight="1" hidden="1">
      <c r="A946" s="85" t="s">
        <v>5</v>
      </c>
      <c r="B946" s="97"/>
      <c r="C946" s="97"/>
      <c r="D946" s="98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42"/>
    </row>
    <row r="947" spans="1:17" s="27" customFormat="1" ht="22.5" customHeight="1" hidden="1">
      <c r="A947" s="96" t="s">
        <v>187</v>
      </c>
      <c r="B947" s="97"/>
      <c r="C947" s="97"/>
      <c r="D947" s="98"/>
      <c r="E947" s="99">
        <f>E943/E945</f>
        <v>1340277.7777777778</v>
      </c>
      <c r="F947" s="99">
        <f>E947</f>
        <v>1340277.7777777778</v>
      </c>
      <c r="G947" s="99"/>
      <c r="H947" s="99">
        <f>H943/H945</f>
        <v>4266666.666666667</v>
      </c>
      <c r="I947" s="99"/>
      <c r="J947" s="99">
        <f>H947</f>
        <v>4266666.666666667</v>
      </c>
      <c r="K947" s="99"/>
      <c r="L947" s="99"/>
      <c r="M947" s="99"/>
      <c r="N947" s="99"/>
      <c r="O947" s="99">
        <f>O943/O945</f>
        <v>6333333.333333333</v>
      </c>
      <c r="P947" s="99">
        <f>O947</f>
        <v>6333333.333333333</v>
      </c>
      <c r="Q947" s="42"/>
    </row>
    <row r="948" spans="1:17" s="218" customFormat="1" ht="23.25" customHeight="1" hidden="1">
      <c r="A948" s="200" t="s">
        <v>255</v>
      </c>
      <c r="B948" s="200"/>
      <c r="C948" s="200"/>
      <c r="D948" s="243"/>
      <c r="E948" s="201">
        <f>E950</f>
        <v>3550000</v>
      </c>
      <c r="F948" s="201">
        <f>E948</f>
        <v>3550000</v>
      </c>
      <c r="G948" s="201"/>
      <c r="H948" s="201">
        <f>H950</f>
        <v>5000000</v>
      </c>
      <c r="I948" s="201"/>
      <c r="J948" s="201">
        <f>H948</f>
        <v>5000000</v>
      </c>
      <c r="K948" s="201"/>
      <c r="L948" s="201"/>
      <c r="M948" s="201"/>
      <c r="N948" s="201"/>
      <c r="O948" s="201"/>
      <c r="P948" s="201"/>
      <c r="Q948" s="241"/>
    </row>
    <row r="949" spans="1:17" s="27" customFormat="1" ht="22.5" hidden="1">
      <c r="A949" s="72" t="s">
        <v>256</v>
      </c>
      <c r="B949" s="97"/>
      <c r="C949" s="97"/>
      <c r="D949" s="98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42"/>
    </row>
    <row r="950" spans="1:17" s="197" customFormat="1" ht="36.75" customHeight="1" hidden="1">
      <c r="A950" s="194" t="s">
        <v>501</v>
      </c>
      <c r="B950" s="195"/>
      <c r="C950" s="195"/>
      <c r="D950" s="239"/>
      <c r="E950" s="193">
        <f>E952</f>
        <v>3550000</v>
      </c>
      <c r="F950" s="193">
        <f>E950</f>
        <v>3550000</v>
      </c>
      <c r="G950" s="193"/>
      <c r="H950" s="193">
        <f>H952</f>
        <v>5000000</v>
      </c>
      <c r="I950" s="193"/>
      <c r="J950" s="193">
        <f>H950</f>
        <v>5000000</v>
      </c>
      <c r="K950" s="193"/>
      <c r="L950" s="193"/>
      <c r="M950" s="193"/>
      <c r="N950" s="193"/>
      <c r="O950" s="193"/>
      <c r="P950" s="193"/>
      <c r="Q950" s="234"/>
    </row>
    <row r="951" spans="1:17" s="87" customFormat="1" ht="11.25" hidden="1">
      <c r="A951" s="85" t="s">
        <v>2</v>
      </c>
      <c r="B951" s="97"/>
      <c r="C951" s="97"/>
      <c r="D951" s="98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86"/>
    </row>
    <row r="952" spans="1:17" s="87" customFormat="1" ht="11.25" hidden="1">
      <c r="A952" s="96" t="s">
        <v>23</v>
      </c>
      <c r="B952" s="97"/>
      <c r="C952" s="97"/>
      <c r="D952" s="98"/>
      <c r="E952" s="99">
        <f>14000000-5400000-5050000</f>
        <v>3550000</v>
      </c>
      <c r="F952" s="99">
        <f>E952</f>
        <v>3550000</v>
      </c>
      <c r="G952" s="99"/>
      <c r="H952" s="99">
        <v>5000000</v>
      </c>
      <c r="I952" s="99"/>
      <c r="J952" s="99">
        <f>H952</f>
        <v>5000000</v>
      </c>
      <c r="K952" s="99"/>
      <c r="L952" s="99"/>
      <c r="M952" s="99"/>
      <c r="N952" s="99"/>
      <c r="O952" s="99"/>
      <c r="P952" s="99"/>
      <c r="Q952" s="86"/>
    </row>
    <row r="953" spans="1:17" s="87" customFormat="1" ht="11.25" hidden="1">
      <c r="A953" s="85" t="s">
        <v>3</v>
      </c>
      <c r="B953" s="97"/>
      <c r="C953" s="97"/>
      <c r="D953" s="98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86"/>
    </row>
    <row r="954" spans="1:17" s="87" customFormat="1" ht="11.25" hidden="1">
      <c r="A954" s="96" t="s">
        <v>104</v>
      </c>
      <c r="B954" s="97"/>
      <c r="C954" s="97"/>
      <c r="D954" s="98"/>
      <c r="E954" s="99">
        <v>2</v>
      </c>
      <c r="F954" s="99">
        <f>E954</f>
        <v>2</v>
      </c>
      <c r="G954" s="99"/>
      <c r="H954" s="99">
        <v>1</v>
      </c>
      <c r="I954" s="99"/>
      <c r="J954" s="99">
        <f>H954</f>
        <v>1</v>
      </c>
      <c r="K954" s="99"/>
      <c r="L954" s="99"/>
      <c r="M954" s="99"/>
      <c r="N954" s="99"/>
      <c r="O954" s="99"/>
      <c r="P954" s="99"/>
      <c r="Q954" s="86"/>
    </row>
    <row r="955" spans="1:17" s="87" customFormat="1" ht="11.25" hidden="1">
      <c r="A955" s="96" t="s">
        <v>5</v>
      </c>
      <c r="B955" s="97"/>
      <c r="C955" s="97"/>
      <c r="D955" s="98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86"/>
    </row>
    <row r="956" spans="1:17" s="87" customFormat="1" ht="22.5" hidden="1">
      <c r="A956" s="96" t="s">
        <v>187</v>
      </c>
      <c r="B956" s="97"/>
      <c r="C956" s="97"/>
      <c r="D956" s="98"/>
      <c r="E956" s="99">
        <f>E952/E954</f>
        <v>1775000</v>
      </c>
      <c r="F956" s="99">
        <f>E956</f>
        <v>1775000</v>
      </c>
      <c r="G956" s="99"/>
      <c r="H956" s="99">
        <f>H952/H954</f>
        <v>5000000</v>
      </c>
      <c r="I956" s="99"/>
      <c r="J956" s="99">
        <f>H956</f>
        <v>5000000</v>
      </c>
      <c r="K956" s="99"/>
      <c r="L956" s="99"/>
      <c r="M956" s="99"/>
      <c r="N956" s="99"/>
      <c r="O956" s="99"/>
      <c r="P956" s="99"/>
      <c r="Q956" s="86"/>
    </row>
    <row r="957" spans="1:17" s="203" customFormat="1" ht="23.25" customHeight="1" hidden="1">
      <c r="A957" s="200" t="s">
        <v>137</v>
      </c>
      <c r="B957" s="231"/>
      <c r="C957" s="231"/>
      <c r="D957" s="243"/>
      <c r="E957" s="243">
        <f>E959</f>
        <v>-10294092</v>
      </c>
      <c r="F957" s="243">
        <f>F959</f>
        <v>-10294092</v>
      </c>
      <c r="G957" s="243"/>
      <c r="H957" s="243"/>
      <c r="I957" s="243"/>
      <c r="J957" s="243"/>
      <c r="K957" s="243"/>
      <c r="L957" s="243"/>
      <c r="M957" s="243"/>
      <c r="N957" s="243"/>
      <c r="O957" s="243"/>
      <c r="P957" s="243"/>
      <c r="Q957" s="243">
        <f>Q959</f>
        <v>0</v>
      </c>
    </row>
    <row r="958" spans="1:131" ht="17.25" customHeight="1" hidden="1">
      <c r="A958" s="6" t="s">
        <v>111</v>
      </c>
      <c r="B958" s="4"/>
      <c r="C958" s="4"/>
      <c r="D958" s="46"/>
      <c r="E958" s="171"/>
      <c r="F958" s="17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7" s="197" customFormat="1" ht="25.5" hidden="1">
      <c r="A959" s="194" t="s">
        <v>432</v>
      </c>
      <c r="B959" s="195"/>
      <c r="C959" s="195"/>
      <c r="D959" s="239"/>
      <c r="E959" s="239">
        <f>E961</f>
        <v>-10294092</v>
      </c>
      <c r="F959" s="239">
        <f>D959+E959</f>
        <v>-10294092</v>
      </c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Q959" s="234"/>
    </row>
    <row r="960" spans="1:131" ht="11.25" hidden="1">
      <c r="A960" s="3" t="s">
        <v>2</v>
      </c>
      <c r="B960" s="4"/>
      <c r="C960" s="4"/>
      <c r="D960" s="171"/>
      <c r="E960" s="171"/>
      <c r="F960" s="171"/>
      <c r="G960" s="74"/>
      <c r="H960" s="74"/>
      <c r="I960" s="5"/>
      <c r="J960" s="5"/>
      <c r="K960" s="5"/>
      <c r="L960" s="5"/>
      <c r="M960" s="5"/>
      <c r="N960" s="5"/>
      <c r="O960" s="5"/>
      <c r="P960" s="5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 hidden="1">
      <c r="A961" s="6" t="s">
        <v>113</v>
      </c>
      <c r="B961" s="4"/>
      <c r="C961" s="4"/>
      <c r="D961" s="32"/>
      <c r="E961" s="139">
        <f>-2054092-1800000-740000-5700000</f>
        <v>-10294092</v>
      </c>
      <c r="F961" s="139">
        <f>E961</f>
        <v>-10294092</v>
      </c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11.25" hidden="1">
      <c r="A962" s="3" t="s">
        <v>3</v>
      </c>
      <c r="B962" s="4"/>
      <c r="C962" s="4"/>
      <c r="D962" s="32"/>
      <c r="E962" s="139"/>
      <c r="F962" s="139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22.5" hidden="1">
      <c r="A963" s="6" t="s">
        <v>112</v>
      </c>
      <c r="B963" s="4"/>
      <c r="C963" s="4"/>
      <c r="D963" s="32"/>
      <c r="E963" s="172">
        <v>3</v>
      </c>
      <c r="F963" s="172">
        <f>D963+E963</f>
        <v>3</v>
      </c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11.25" hidden="1">
      <c r="A964" s="22" t="s">
        <v>5</v>
      </c>
      <c r="B964" s="4"/>
      <c r="C964" s="4"/>
      <c r="D964" s="32"/>
      <c r="E964" s="139"/>
      <c r="F964" s="139"/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22.5" hidden="1">
      <c r="A965" s="28" t="s">
        <v>157</v>
      </c>
      <c r="B965" s="4"/>
      <c r="C965" s="4"/>
      <c r="D965" s="32"/>
      <c r="E965" s="139">
        <f>E961/E963</f>
        <v>-3431364</v>
      </c>
      <c r="F965" s="139">
        <f>E965</f>
        <v>-3431364</v>
      </c>
      <c r="G965" s="48"/>
      <c r="H965" s="48"/>
      <c r="I965" s="48"/>
      <c r="J965" s="48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7" s="203" customFormat="1" ht="12.75" hidden="1">
      <c r="A966" s="200" t="s">
        <v>537</v>
      </c>
      <c r="B966" s="231"/>
      <c r="C966" s="231"/>
      <c r="D966" s="220">
        <f>D968</f>
        <v>7500000</v>
      </c>
      <c r="E966" s="220">
        <f>E968</f>
        <v>0</v>
      </c>
      <c r="F966" s="220">
        <f>D966+E966</f>
        <v>7500000</v>
      </c>
      <c r="G966" s="243"/>
      <c r="H966" s="243"/>
      <c r="I966" s="243"/>
      <c r="J966" s="243"/>
      <c r="K966" s="244"/>
      <c r="L966" s="244"/>
      <c r="M966" s="244"/>
      <c r="N966" s="244"/>
      <c r="O966" s="245"/>
      <c r="P966" s="245"/>
      <c r="Q966" s="233"/>
    </row>
    <row r="967" spans="1:131" ht="11.25" hidden="1">
      <c r="A967" s="6" t="s">
        <v>111</v>
      </c>
      <c r="B967" s="4"/>
      <c r="C967" s="4"/>
      <c r="D967" s="32"/>
      <c r="E967" s="139"/>
      <c r="F967" s="139"/>
      <c r="G967" s="5"/>
      <c r="H967" s="5"/>
      <c r="I967" s="5"/>
      <c r="J967" s="5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7" s="192" customFormat="1" ht="34.5" customHeight="1" hidden="1">
      <c r="A968" s="194" t="s">
        <v>536</v>
      </c>
      <c r="B968" s="190"/>
      <c r="C968" s="190"/>
      <c r="D968" s="223">
        <f>D970</f>
        <v>7500000</v>
      </c>
      <c r="E968" s="223">
        <f>E970</f>
        <v>0</v>
      </c>
      <c r="F968" s="223">
        <f>D968+E968</f>
        <v>7500000</v>
      </c>
      <c r="G968" s="193"/>
      <c r="H968" s="193"/>
      <c r="I968" s="193"/>
      <c r="J968" s="193"/>
      <c r="K968" s="238"/>
      <c r="L968" s="238"/>
      <c r="M968" s="238"/>
      <c r="N968" s="238"/>
      <c r="O968" s="246"/>
      <c r="P968" s="246"/>
      <c r="Q968" s="242"/>
    </row>
    <row r="969" spans="1:131" ht="11.25" hidden="1">
      <c r="A969" s="3" t="s">
        <v>2</v>
      </c>
      <c r="B969" s="4"/>
      <c r="C969" s="4"/>
      <c r="D969" s="32"/>
      <c r="E969" s="139"/>
      <c r="F969" s="139"/>
      <c r="G969" s="5"/>
      <c r="H969" s="5"/>
      <c r="I969" s="5"/>
      <c r="J969" s="5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 hidden="1">
      <c r="A970" s="6" t="s">
        <v>538</v>
      </c>
      <c r="B970" s="4"/>
      <c r="C970" s="4"/>
      <c r="D970" s="32">
        <f>1800000+5700000</f>
        <v>7500000</v>
      </c>
      <c r="E970" s="136"/>
      <c r="F970" s="136">
        <f>D970+E970</f>
        <v>7500000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 hidden="1">
      <c r="A971" s="3" t="s">
        <v>3</v>
      </c>
      <c r="B971" s="4"/>
      <c r="C971" s="4"/>
      <c r="D971" s="32"/>
      <c r="E971" s="136"/>
      <c r="F971" s="136"/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 hidden="1">
      <c r="A972" s="6" t="s">
        <v>112</v>
      </c>
      <c r="B972" s="4"/>
      <c r="C972" s="4"/>
      <c r="D972" s="32">
        <v>1</v>
      </c>
      <c r="E972" s="173"/>
      <c r="F972" s="160">
        <f>E972</f>
        <v>0</v>
      </c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 hidden="1">
      <c r="A973" s="22" t="s">
        <v>5</v>
      </c>
      <c r="B973" s="4"/>
      <c r="C973" s="4"/>
      <c r="D973" s="32"/>
      <c r="E973" s="139"/>
      <c r="F973" s="139"/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2.5" hidden="1">
      <c r="A974" s="28" t="s">
        <v>539</v>
      </c>
      <c r="B974" s="4"/>
      <c r="C974" s="4"/>
      <c r="D974" s="32">
        <f>D970/D972</f>
        <v>7500000</v>
      </c>
      <c r="E974" s="139"/>
      <c r="F974" s="139">
        <f>D974</f>
        <v>7500000</v>
      </c>
      <c r="G974" s="48"/>
      <c r="H974" s="48"/>
      <c r="I974" s="48"/>
      <c r="J974" s="48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2.75">
      <c r="A975" s="200" t="s">
        <v>529</v>
      </c>
      <c r="B975" s="231"/>
      <c r="C975" s="231"/>
      <c r="D975" s="219"/>
      <c r="E975" s="220">
        <f>E977+E984</f>
        <v>15405000</v>
      </c>
      <c r="F975" s="220">
        <f>E975</f>
        <v>15405000</v>
      </c>
      <c r="G975" s="243"/>
      <c r="H975" s="243"/>
      <c r="I975" s="243"/>
      <c r="J975" s="243"/>
      <c r="K975" s="244"/>
      <c r="L975" s="244"/>
      <c r="M975" s="244"/>
      <c r="N975" s="244"/>
      <c r="O975" s="245"/>
      <c r="P975" s="245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2.5">
      <c r="A976" s="6" t="s">
        <v>532</v>
      </c>
      <c r="B976" s="4"/>
      <c r="C976" s="4"/>
      <c r="D976" s="32"/>
      <c r="E976" s="139"/>
      <c r="F976" s="139"/>
      <c r="G976" s="5"/>
      <c r="H976" s="5"/>
      <c r="I976" s="5"/>
      <c r="J976" s="5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63.75">
      <c r="A977" s="194" t="s">
        <v>535</v>
      </c>
      <c r="B977" s="190"/>
      <c r="C977" s="190"/>
      <c r="D977" s="222"/>
      <c r="E977" s="223">
        <f>E979</f>
        <v>11405000</v>
      </c>
      <c r="F977" s="223">
        <f>E977</f>
        <v>11405000</v>
      </c>
      <c r="G977" s="193"/>
      <c r="H977" s="193"/>
      <c r="I977" s="193"/>
      <c r="J977" s="193"/>
      <c r="K977" s="238"/>
      <c r="L977" s="238"/>
      <c r="M977" s="238"/>
      <c r="N977" s="238"/>
      <c r="O977" s="246"/>
      <c r="P977" s="246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3" t="s">
        <v>2</v>
      </c>
      <c r="B978" s="4"/>
      <c r="C978" s="4"/>
      <c r="D978" s="32"/>
      <c r="E978" s="139"/>
      <c r="F978" s="139"/>
      <c r="G978" s="5"/>
      <c r="H978" s="5"/>
      <c r="I978" s="5"/>
      <c r="J978" s="5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6" t="s">
        <v>23</v>
      </c>
      <c r="B979" s="4"/>
      <c r="C979" s="4"/>
      <c r="D979" s="32"/>
      <c r="E979" s="136">
        <f>E981*E983</f>
        <v>11405000</v>
      </c>
      <c r="F979" s="136">
        <f>E979</f>
        <v>11405000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>
      <c r="A980" s="3" t="s">
        <v>3</v>
      </c>
      <c r="B980" s="4"/>
      <c r="C980" s="4"/>
      <c r="D980" s="32"/>
      <c r="E980" s="136"/>
      <c r="F980" s="136"/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6" t="s">
        <v>530</v>
      </c>
      <c r="B981" s="4"/>
      <c r="C981" s="4"/>
      <c r="D981" s="32"/>
      <c r="E981" s="173" t="s">
        <v>554</v>
      </c>
      <c r="F981" s="160" t="str">
        <f>E981</f>
        <v>5</v>
      </c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22" t="s">
        <v>5</v>
      </c>
      <c r="B982" s="4"/>
      <c r="C982" s="4"/>
      <c r="D982" s="32"/>
      <c r="E982" s="139"/>
      <c r="F982" s="139"/>
      <c r="G982" s="48"/>
      <c r="H982" s="49"/>
      <c r="I982" s="48"/>
      <c r="J982" s="49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28" t="s">
        <v>531</v>
      </c>
      <c r="B983" s="4"/>
      <c r="C983" s="4"/>
      <c r="D983" s="32"/>
      <c r="E983" s="139">
        <v>2281000</v>
      </c>
      <c r="F983" s="139">
        <f>D983+E983</f>
        <v>2281000</v>
      </c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5.5">
      <c r="A984" s="194" t="s">
        <v>534</v>
      </c>
      <c r="B984" s="190"/>
      <c r="C984" s="190"/>
      <c r="D984" s="222"/>
      <c r="E984" s="223">
        <f>E986</f>
        <v>4000000</v>
      </c>
      <c r="F984" s="223">
        <f>E984</f>
        <v>4000000</v>
      </c>
      <c r="G984" s="193"/>
      <c r="H984" s="193"/>
      <c r="I984" s="193"/>
      <c r="J984" s="193"/>
      <c r="K984" s="238"/>
      <c r="L984" s="238"/>
      <c r="M984" s="238"/>
      <c r="N984" s="238"/>
      <c r="O984" s="246"/>
      <c r="P984" s="246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3" t="s">
        <v>2</v>
      </c>
      <c r="B985" s="4"/>
      <c r="C985" s="4"/>
      <c r="D985" s="32"/>
      <c r="E985" s="139"/>
      <c r="F985" s="139"/>
      <c r="G985" s="5"/>
      <c r="H985" s="5"/>
      <c r="I985" s="5"/>
      <c r="J985" s="5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6" t="s">
        <v>23</v>
      </c>
      <c r="B986" s="4"/>
      <c r="C986" s="4"/>
      <c r="D986" s="32"/>
      <c r="E986" s="136">
        <f>E988*E990</f>
        <v>4000000</v>
      </c>
      <c r="F986" s="136">
        <f>E986</f>
        <v>4000000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>
      <c r="A987" s="3" t="s">
        <v>3</v>
      </c>
      <c r="B987" s="4"/>
      <c r="C987" s="4"/>
      <c r="D987" s="32"/>
      <c r="E987" s="136"/>
      <c r="F987" s="136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>
      <c r="A988" s="6" t="s">
        <v>530</v>
      </c>
      <c r="B988" s="4"/>
      <c r="C988" s="4"/>
      <c r="D988" s="32"/>
      <c r="E988" s="173" t="s">
        <v>533</v>
      </c>
      <c r="F988" s="160" t="str">
        <f>E988</f>
        <v>1</v>
      </c>
      <c r="G988" s="48"/>
      <c r="H988" s="49"/>
      <c r="I988" s="48"/>
      <c r="J988" s="49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>
      <c r="A989" s="22" t="s">
        <v>5</v>
      </c>
      <c r="B989" s="4"/>
      <c r="C989" s="4"/>
      <c r="D989" s="32"/>
      <c r="E989" s="139"/>
      <c r="F989" s="139"/>
      <c r="G989" s="48"/>
      <c r="H989" s="49"/>
      <c r="I989" s="48"/>
      <c r="J989" s="49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28" t="s">
        <v>531</v>
      </c>
      <c r="B990" s="4"/>
      <c r="C990" s="4"/>
      <c r="D990" s="32"/>
      <c r="E990" s="139">
        <f>2800000+600000+600000</f>
        <v>4000000</v>
      </c>
      <c r="F990" s="139">
        <f>D990+E990</f>
        <v>4000000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2.75" hidden="1">
      <c r="A991" s="200" t="s">
        <v>543</v>
      </c>
      <c r="B991" s="231"/>
      <c r="C991" s="231"/>
      <c r="D991" s="220">
        <f>D992</f>
        <v>200000</v>
      </c>
      <c r="E991" s="220">
        <f>E992</f>
        <v>200000</v>
      </c>
      <c r="F991" s="220">
        <f>F992</f>
        <v>400000</v>
      </c>
      <c r="G991" s="243"/>
      <c r="H991" s="243"/>
      <c r="I991" s="243"/>
      <c r="J991" s="243"/>
      <c r="K991" s="244"/>
      <c r="L991" s="244"/>
      <c r="M991" s="244"/>
      <c r="N991" s="244"/>
      <c r="O991" s="245"/>
      <c r="P991" s="245"/>
      <c r="Q991" s="1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5" hidden="1">
      <c r="A992" s="194" t="s">
        <v>542</v>
      </c>
      <c r="B992" s="190"/>
      <c r="C992" s="190"/>
      <c r="D992" s="223">
        <f>D994</f>
        <v>200000</v>
      </c>
      <c r="E992" s="223">
        <f>E994</f>
        <v>200000</v>
      </c>
      <c r="F992" s="223">
        <f>E992+D992</f>
        <v>400000</v>
      </c>
      <c r="G992" s="274"/>
      <c r="H992" s="274"/>
      <c r="I992" s="274"/>
      <c r="J992" s="274"/>
      <c r="K992" s="274"/>
      <c r="L992" s="274"/>
      <c r="M992" s="274"/>
      <c r="N992" s="274"/>
      <c r="O992" s="275"/>
      <c r="P992" s="275"/>
      <c r="Q992" s="1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 hidden="1">
      <c r="A993" s="3" t="s">
        <v>2</v>
      </c>
      <c r="B993" s="4"/>
      <c r="C993" s="4"/>
      <c r="D993" s="32"/>
      <c r="E993" s="139"/>
      <c r="F993" s="136">
        <f>E993+D993</f>
        <v>0</v>
      </c>
      <c r="G993" s="48"/>
      <c r="H993" s="48"/>
      <c r="I993" s="48"/>
      <c r="J993" s="48"/>
      <c r="K993" s="48"/>
      <c r="L993" s="48"/>
      <c r="M993" s="48"/>
      <c r="N993" s="48"/>
      <c r="O993" s="49"/>
      <c r="P993" s="49"/>
      <c r="Q993" s="1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 hidden="1">
      <c r="A994" s="6" t="s">
        <v>23</v>
      </c>
      <c r="B994" s="4"/>
      <c r="C994" s="4"/>
      <c r="D994" s="30">
        <v>200000</v>
      </c>
      <c r="E994" s="136">
        <v>200000</v>
      </c>
      <c r="F994" s="136">
        <f>E994+D994</f>
        <v>400000</v>
      </c>
      <c r="G994" s="48"/>
      <c r="H994" s="48"/>
      <c r="I994" s="48"/>
      <c r="J994" s="48"/>
      <c r="K994" s="48"/>
      <c r="L994" s="48"/>
      <c r="M994" s="48"/>
      <c r="N994" s="48"/>
      <c r="O994" s="49"/>
      <c r="P994" s="49"/>
      <c r="Q994" s="1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 hidden="1">
      <c r="A995" s="3" t="s">
        <v>3</v>
      </c>
      <c r="B995" s="4"/>
      <c r="C995" s="4"/>
      <c r="D995" s="32"/>
      <c r="E995" s="136"/>
      <c r="F995" s="136"/>
      <c r="G995" s="48"/>
      <c r="H995" s="48"/>
      <c r="I995" s="48"/>
      <c r="J995" s="48"/>
      <c r="K995" s="48"/>
      <c r="L995" s="48"/>
      <c r="M995" s="48"/>
      <c r="N995" s="48"/>
      <c r="O995" s="49"/>
      <c r="P995" s="49"/>
      <c r="Q995" s="1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 hidden="1">
      <c r="A996" s="6" t="s">
        <v>530</v>
      </c>
      <c r="B996" s="4"/>
      <c r="C996" s="4"/>
      <c r="D996" s="32">
        <v>1</v>
      </c>
      <c r="E996" s="173" t="s">
        <v>533</v>
      </c>
      <c r="F996" s="160" t="str">
        <f>E996</f>
        <v>1</v>
      </c>
      <c r="G996" s="48"/>
      <c r="H996" s="48"/>
      <c r="I996" s="48"/>
      <c r="J996" s="48"/>
      <c r="K996" s="48"/>
      <c r="L996" s="48"/>
      <c r="M996" s="48"/>
      <c r="N996" s="48"/>
      <c r="O996" s="49"/>
      <c r="P996" s="49"/>
      <c r="Q996" s="1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 hidden="1">
      <c r="A997" s="22" t="s">
        <v>5</v>
      </c>
      <c r="B997" s="4"/>
      <c r="C997" s="4"/>
      <c r="D997" s="32"/>
      <c r="E997" s="139"/>
      <c r="F997" s="139"/>
      <c r="G997" s="48"/>
      <c r="H997" s="48"/>
      <c r="I997" s="48"/>
      <c r="J997" s="48"/>
      <c r="K997" s="48"/>
      <c r="L997" s="48"/>
      <c r="M997" s="48"/>
      <c r="N997" s="48"/>
      <c r="O997" s="49"/>
      <c r="P997" s="49"/>
      <c r="Q997" s="1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 hidden="1">
      <c r="A998" s="28" t="s">
        <v>531</v>
      </c>
      <c r="B998" s="4"/>
      <c r="C998" s="4"/>
      <c r="D998" s="136">
        <f>D994</f>
        <v>200000</v>
      </c>
      <c r="E998" s="136">
        <f>E994</f>
        <v>200000</v>
      </c>
      <c r="F998" s="136">
        <f>D998+E998</f>
        <v>400000</v>
      </c>
      <c r="G998" s="48"/>
      <c r="H998" s="48"/>
      <c r="I998" s="48"/>
      <c r="J998" s="48"/>
      <c r="K998" s="48"/>
      <c r="L998" s="48"/>
      <c r="M998" s="48"/>
      <c r="N998" s="48"/>
      <c r="O998" s="49"/>
      <c r="P998" s="49"/>
      <c r="Q998" s="1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2.75" hidden="1">
      <c r="A999" s="200" t="s">
        <v>567</v>
      </c>
      <c r="B999" s="231"/>
      <c r="C999" s="231"/>
      <c r="D999" s="220">
        <f>D1000</f>
        <v>0</v>
      </c>
      <c r="E999" s="220">
        <f>E1000</f>
        <v>194791961</v>
      </c>
      <c r="F999" s="220">
        <f>F1000</f>
        <v>194791961</v>
      </c>
      <c r="G999" s="243"/>
      <c r="H999" s="243"/>
      <c r="I999" s="243"/>
      <c r="J999" s="243"/>
      <c r="K999" s="244"/>
      <c r="L999" s="244"/>
      <c r="M999" s="244"/>
      <c r="N999" s="244"/>
      <c r="O999" s="245"/>
      <c r="P999" s="245"/>
      <c r="Q999" s="1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89.25" hidden="1">
      <c r="A1000" s="194" t="s">
        <v>568</v>
      </c>
      <c r="B1000" s="190"/>
      <c r="C1000" s="190"/>
      <c r="D1000" s="223">
        <f>D1002</f>
        <v>0</v>
      </c>
      <c r="E1000" s="223">
        <f>E1002</f>
        <v>194791961</v>
      </c>
      <c r="F1000" s="223">
        <f>E1000+D1000</f>
        <v>194791961</v>
      </c>
      <c r="G1000" s="274"/>
      <c r="H1000" s="274"/>
      <c r="I1000" s="274"/>
      <c r="J1000" s="274"/>
      <c r="K1000" s="274"/>
      <c r="L1000" s="274"/>
      <c r="M1000" s="274"/>
      <c r="N1000" s="274"/>
      <c r="O1000" s="275"/>
      <c r="P1000" s="275"/>
      <c r="Q1000" s="1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 hidden="1">
      <c r="A1001" s="3" t="s">
        <v>2</v>
      </c>
      <c r="B1001" s="4"/>
      <c r="C1001" s="4"/>
      <c r="D1001" s="32"/>
      <c r="E1001" s="139"/>
      <c r="F1001" s="136"/>
      <c r="G1001" s="48"/>
      <c r="H1001" s="48"/>
      <c r="I1001" s="48"/>
      <c r="J1001" s="48"/>
      <c r="K1001" s="48"/>
      <c r="L1001" s="48"/>
      <c r="M1001" s="48"/>
      <c r="N1001" s="48"/>
      <c r="O1001" s="49"/>
      <c r="P1001" s="49"/>
      <c r="Q1001" s="1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 hidden="1">
      <c r="A1002" s="6" t="s">
        <v>23</v>
      </c>
      <c r="B1002" s="4"/>
      <c r="C1002" s="4"/>
      <c r="D1002" s="30"/>
      <c r="E1002" s="136">
        <v>194791961</v>
      </c>
      <c r="F1002" s="136">
        <f>E1002+D1002</f>
        <v>194791961</v>
      </c>
      <c r="G1002" s="48"/>
      <c r="H1002" s="48"/>
      <c r="I1002" s="48"/>
      <c r="J1002" s="48"/>
      <c r="K1002" s="48"/>
      <c r="L1002" s="48"/>
      <c r="M1002" s="48"/>
      <c r="N1002" s="48"/>
      <c r="O1002" s="49"/>
      <c r="P1002" s="49"/>
      <c r="Q1002" s="1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 hidden="1">
      <c r="A1003" s="3" t="s">
        <v>3</v>
      </c>
      <c r="B1003" s="4"/>
      <c r="C1003" s="4"/>
      <c r="D1003" s="32"/>
      <c r="E1003" s="136"/>
      <c r="F1003" s="136"/>
      <c r="G1003" s="48"/>
      <c r="H1003" s="48"/>
      <c r="I1003" s="48"/>
      <c r="J1003" s="48"/>
      <c r="K1003" s="48"/>
      <c r="L1003" s="48"/>
      <c r="M1003" s="48"/>
      <c r="N1003" s="48"/>
      <c r="O1003" s="49"/>
      <c r="P1003" s="49"/>
      <c r="Q1003" s="1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 hidden="1">
      <c r="A1004" s="6" t="s">
        <v>570</v>
      </c>
      <c r="B1004" s="4"/>
      <c r="C1004" s="4"/>
      <c r="D1004" s="32"/>
      <c r="E1004" s="173" t="s">
        <v>569</v>
      </c>
      <c r="F1004" s="160" t="str">
        <f>E1004</f>
        <v>2</v>
      </c>
      <c r="G1004" s="48"/>
      <c r="H1004" s="48"/>
      <c r="I1004" s="48"/>
      <c r="J1004" s="48"/>
      <c r="K1004" s="48"/>
      <c r="L1004" s="48"/>
      <c r="M1004" s="48"/>
      <c r="N1004" s="48"/>
      <c r="O1004" s="49"/>
      <c r="P1004" s="49"/>
      <c r="Q1004" s="1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 hidden="1">
      <c r="A1005" s="22" t="s">
        <v>5</v>
      </c>
      <c r="B1005" s="4"/>
      <c r="C1005" s="4"/>
      <c r="D1005" s="32"/>
      <c r="E1005" s="139"/>
      <c r="F1005" s="139"/>
      <c r="G1005" s="48"/>
      <c r="H1005" s="48"/>
      <c r="I1005" s="48"/>
      <c r="J1005" s="48"/>
      <c r="K1005" s="48"/>
      <c r="L1005" s="48"/>
      <c r="M1005" s="48"/>
      <c r="N1005" s="48"/>
      <c r="O1005" s="49"/>
      <c r="P1005" s="49"/>
      <c r="Q1005" s="1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22.5" hidden="1">
      <c r="A1006" s="28" t="s">
        <v>571</v>
      </c>
      <c r="B1006" s="4"/>
      <c r="C1006" s="4"/>
      <c r="D1006" s="136"/>
      <c r="E1006" s="136">
        <f>E1002/E1004</f>
        <v>97395980.5</v>
      </c>
      <c r="F1006" s="136">
        <f>D1006+E1006</f>
        <v>97395980.5</v>
      </c>
      <c r="G1006" s="48"/>
      <c r="H1006" s="48"/>
      <c r="I1006" s="48"/>
      <c r="J1006" s="48"/>
      <c r="K1006" s="48"/>
      <c r="L1006" s="48"/>
      <c r="M1006" s="48"/>
      <c r="N1006" s="48"/>
      <c r="O1006" s="49"/>
      <c r="P1006" s="49"/>
      <c r="Q1006" s="1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8.25" customHeight="1" hidden="1">
      <c r="A1007" s="279"/>
      <c r="B1007" s="279"/>
      <c r="C1007" s="279"/>
      <c r="D1007" s="280"/>
      <c r="E1007" s="280"/>
      <c r="F1007" s="281"/>
      <c r="G1007" s="282"/>
      <c r="H1007" s="282"/>
      <c r="I1007" s="282"/>
      <c r="J1007" s="283"/>
      <c r="K1007" s="283"/>
      <c r="L1007" s="283"/>
      <c r="M1007" s="283"/>
      <c r="N1007" s="282"/>
      <c r="O1007" s="284"/>
      <c r="P1007" s="28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31.5" customHeight="1">
      <c r="A1008" s="286" t="s">
        <v>183</v>
      </c>
      <c r="B1008" s="286"/>
      <c r="C1008" s="286"/>
      <c r="D1008" s="286"/>
      <c r="E1008" s="51"/>
      <c r="F1008" s="52"/>
      <c r="G1008" s="53"/>
      <c r="H1008" s="53"/>
      <c r="I1008" s="53"/>
      <c r="J1008" s="54"/>
      <c r="K1008" s="54"/>
      <c r="L1008" s="54"/>
      <c r="M1008" s="54"/>
      <c r="N1008" s="53"/>
      <c r="O1008" s="285" t="s">
        <v>553</v>
      </c>
      <c r="P1008" s="285"/>
      <c r="Q1008" s="272"/>
      <c r="R1008" s="273"/>
      <c r="S1008" s="273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8.75" customHeight="1">
      <c r="A1009" s="303" t="s">
        <v>552</v>
      </c>
      <c r="B1009" s="303"/>
      <c r="C1009" s="55"/>
      <c r="D1009" s="56"/>
      <c r="E1009" s="51"/>
      <c r="F1009" s="53"/>
      <c r="G1009" s="51"/>
      <c r="H1009" s="51"/>
      <c r="I1009" s="51"/>
      <c r="J1009" s="57"/>
      <c r="K1009" s="57"/>
      <c r="L1009" s="57"/>
      <c r="M1009" s="57"/>
      <c r="N1009" s="57"/>
      <c r="O1009" s="57"/>
      <c r="P1009" s="57"/>
      <c r="Q1009" s="58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0.75" customHeight="1">
      <c r="A1010" s="17" t="s">
        <v>75</v>
      </c>
      <c r="B1010" s="17"/>
      <c r="C1010" s="59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28.5" customHeight="1">
      <c r="A1011" s="60"/>
      <c r="B1011" s="61"/>
      <c r="C1011" s="62"/>
      <c r="D1011" s="63"/>
      <c r="E1011" s="6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3"/>
      <c r="O1024" s="53"/>
      <c r="P1024" s="53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3"/>
      <c r="O1025" s="53"/>
      <c r="P1025" s="53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3"/>
      <c r="O1026" s="53"/>
      <c r="P1026" s="53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3"/>
      <c r="O1027" s="53"/>
      <c r="P1027" s="53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3"/>
      <c r="O1028" s="53"/>
      <c r="P1028" s="53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3"/>
      <c r="O1029" s="53"/>
      <c r="P1029" s="53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3"/>
      <c r="O1030" s="53"/>
      <c r="P1030" s="53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3"/>
      <c r="O1031" s="53"/>
      <c r="P1031" s="53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3"/>
      <c r="O1032" s="53"/>
      <c r="P1032" s="53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3"/>
      <c r="O1033" s="53"/>
      <c r="P1033" s="53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3"/>
      <c r="O1034" s="53"/>
      <c r="P1034" s="53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3"/>
      <c r="O1035" s="53"/>
      <c r="P1035" s="53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3"/>
      <c r="O1036" s="53"/>
      <c r="P1036" s="53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3"/>
      <c r="O1037" s="53"/>
      <c r="P1037" s="53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3"/>
      <c r="O1038" s="53"/>
      <c r="P1038" s="53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3"/>
      <c r="O1039" s="53"/>
      <c r="P1039" s="53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3"/>
      <c r="O1040" s="53"/>
      <c r="P1040" s="53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3"/>
      <c r="O1041" s="53"/>
      <c r="P1041" s="53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3"/>
      <c r="O1042" s="53"/>
      <c r="P1042" s="53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3"/>
      <c r="O1043" s="53"/>
      <c r="P1043" s="53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3"/>
      <c r="O1044" s="53"/>
      <c r="P1044" s="53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3"/>
      <c r="O1045" s="53"/>
      <c r="P1045" s="53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3"/>
      <c r="O1046" s="53"/>
      <c r="P1046" s="53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3"/>
      <c r="O1047" s="53"/>
      <c r="P1047" s="53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3"/>
      <c r="O1048" s="53"/>
      <c r="P1048" s="53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3"/>
      <c r="O1049" s="53"/>
      <c r="P1049" s="53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3"/>
      <c r="O1050" s="53"/>
      <c r="P1050" s="53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3"/>
      <c r="O1051" s="53"/>
      <c r="P1051" s="53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3"/>
      <c r="O1052" s="53"/>
      <c r="P1052" s="53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3"/>
      <c r="O1053" s="53"/>
      <c r="P1053" s="53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3"/>
      <c r="O1054" s="53"/>
      <c r="P1054" s="53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3"/>
      <c r="O1055" s="53"/>
      <c r="P1055" s="53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3"/>
      <c r="O1056" s="53"/>
      <c r="P1056" s="53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3"/>
      <c r="O1057" s="53"/>
      <c r="P1057" s="53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3"/>
      <c r="O1058" s="53"/>
      <c r="P1058" s="53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3"/>
      <c r="O1059" s="53"/>
      <c r="P1059" s="53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3"/>
      <c r="O1060" s="53"/>
      <c r="P1060" s="53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3"/>
      <c r="O1061" s="53"/>
      <c r="P1061" s="53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3"/>
      <c r="O1062" s="53"/>
      <c r="P1062" s="53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3"/>
      <c r="O1063" s="53"/>
      <c r="P1063" s="53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3"/>
      <c r="O1064" s="53"/>
      <c r="P1064" s="53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3"/>
      <c r="O1065" s="53"/>
      <c r="P1065" s="53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3"/>
      <c r="O1066" s="53"/>
      <c r="P1066" s="53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3"/>
      <c r="O1067" s="53"/>
      <c r="P1067" s="53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3"/>
      <c r="O1068" s="53"/>
      <c r="P1068" s="53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3"/>
      <c r="O1069" s="53"/>
      <c r="P1069" s="53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3"/>
      <c r="O1070" s="53"/>
      <c r="P1070" s="53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3"/>
      <c r="O1071" s="53"/>
      <c r="P1071" s="53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3"/>
      <c r="O1072" s="53"/>
      <c r="P1072" s="53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3"/>
      <c r="O1073" s="53"/>
      <c r="P1073" s="53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3"/>
      <c r="O1074" s="53"/>
      <c r="P1074" s="53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3"/>
      <c r="O1075" s="53"/>
      <c r="P1075" s="53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3"/>
      <c r="O1076" s="53"/>
      <c r="P1076" s="53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3"/>
      <c r="O1077" s="53"/>
      <c r="P1077" s="53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3"/>
      <c r="O1078" s="53"/>
      <c r="P1078" s="53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3"/>
      <c r="O1079" s="53"/>
      <c r="P1079" s="53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3"/>
      <c r="O1080" s="53"/>
      <c r="P1080" s="53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3"/>
      <c r="O1081" s="53"/>
      <c r="P1081" s="53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3"/>
      <c r="O1082" s="53"/>
      <c r="P1082" s="53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3"/>
      <c r="O1083" s="53"/>
      <c r="P1083" s="53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3"/>
      <c r="O1084" s="53"/>
      <c r="P1084" s="53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3"/>
      <c r="O1085" s="53"/>
      <c r="P1085" s="53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3"/>
      <c r="O1086" s="53"/>
      <c r="P1086" s="53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3"/>
      <c r="O1087" s="53"/>
      <c r="P1087" s="53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3"/>
      <c r="O1088" s="53"/>
      <c r="P1088" s="53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3"/>
      <c r="O1089" s="53"/>
      <c r="P1089" s="53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3"/>
      <c r="O1090" s="53"/>
      <c r="P1090" s="53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3"/>
      <c r="O1091" s="53"/>
      <c r="P1091" s="53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  <row r="1092" spans="1:131" ht="11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53"/>
      <c r="O1092" s="53"/>
      <c r="P1092" s="53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</row>
    <row r="1093" spans="1:131" ht="11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53"/>
      <c r="O1093" s="53"/>
      <c r="P1093" s="53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</row>
    <row r="1094" spans="1:131" ht="11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53"/>
      <c r="O1094" s="53"/>
      <c r="P1094" s="53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</row>
    <row r="1095" spans="1:131" ht="11.25">
      <c r="A1095" s="1"/>
      <c r="B1095" s="1"/>
      <c r="C1095" s="1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53"/>
      <c r="O1095" s="53"/>
      <c r="P1095" s="53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  <c r="DQ1095" s="34"/>
      <c r="DR1095" s="34"/>
      <c r="DS1095" s="34"/>
      <c r="DT1095" s="34"/>
      <c r="DU1095" s="34"/>
      <c r="DV1095" s="34"/>
      <c r="DW1095" s="34"/>
      <c r="DX1095" s="34"/>
      <c r="DY1095" s="34"/>
      <c r="DZ1095" s="34"/>
      <c r="EA1095" s="34"/>
    </row>
    <row r="1096" spans="1:131" ht="11.25">
      <c r="A1096" s="1"/>
      <c r="B1096" s="1"/>
      <c r="C1096" s="1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53"/>
      <c r="O1096" s="53"/>
      <c r="P1096" s="53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  <c r="DQ1096" s="34"/>
      <c r="DR1096" s="34"/>
      <c r="DS1096" s="34"/>
      <c r="DT1096" s="34"/>
      <c r="DU1096" s="34"/>
      <c r="DV1096" s="34"/>
      <c r="DW1096" s="34"/>
      <c r="DX1096" s="34"/>
      <c r="DY1096" s="34"/>
      <c r="DZ1096" s="34"/>
      <c r="EA1096" s="34"/>
    </row>
    <row r="1097" spans="1:131" ht="11.25">
      <c r="A1097" s="1"/>
      <c r="B1097" s="1"/>
      <c r="C1097" s="1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53"/>
      <c r="O1097" s="53"/>
      <c r="P1097" s="53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  <c r="DQ1097" s="34"/>
      <c r="DR1097" s="34"/>
      <c r="DS1097" s="34"/>
      <c r="DT1097" s="34"/>
      <c r="DU1097" s="34"/>
      <c r="DV1097" s="34"/>
      <c r="DW1097" s="34"/>
      <c r="DX1097" s="34"/>
      <c r="DY1097" s="34"/>
      <c r="DZ1097" s="34"/>
      <c r="EA1097" s="34"/>
    </row>
    <row r="1098" spans="1:131" ht="11.25">
      <c r="A1098" s="1"/>
      <c r="B1098" s="1"/>
      <c r="C1098" s="1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53"/>
      <c r="O1098" s="53"/>
      <c r="P1098" s="53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</row>
    <row r="1099" spans="1:131" ht="11.25">
      <c r="A1099" s="1"/>
      <c r="B1099" s="1"/>
      <c r="C1099" s="1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53"/>
      <c r="O1099" s="53"/>
      <c r="P1099" s="53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  <c r="DQ1099" s="34"/>
      <c r="DR1099" s="34"/>
      <c r="DS1099" s="34"/>
      <c r="DT1099" s="34"/>
      <c r="DU1099" s="34"/>
      <c r="DV1099" s="34"/>
      <c r="DW1099" s="34"/>
      <c r="DX1099" s="34"/>
      <c r="DY1099" s="34"/>
      <c r="DZ1099" s="34"/>
      <c r="EA1099" s="34"/>
    </row>
    <row r="1100" spans="1:131" ht="11.25">
      <c r="A1100" s="1"/>
      <c r="B1100" s="1"/>
      <c r="C1100" s="1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53"/>
      <c r="O1100" s="53"/>
      <c r="P1100" s="53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  <c r="DQ1100" s="34"/>
      <c r="DR1100" s="34"/>
      <c r="DS1100" s="34"/>
      <c r="DT1100" s="34"/>
      <c r="DU1100" s="34"/>
      <c r="DV1100" s="34"/>
      <c r="DW1100" s="34"/>
      <c r="DX1100" s="34"/>
      <c r="DY1100" s="34"/>
      <c r="DZ1100" s="34"/>
      <c r="EA1100" s="34"/>
    </row>
    <row r="1101" spans="1:131" ht="11.25">
      <c r="A1101" s="1"/>
      <c r="B1101" s="1"/>
      <c r="C1101" s="1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53"/>
      <c r="O1101" s="53"/>
      <c r="P1101" s="53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  <c r="DQ1101" s="34"/>
      <c r="DR1101" s="34"/>
      <c r="DS1101" s="34"/>
      <c r="DT1101" s="34"/>
      <c r="DU1101" s="34"/>
      <c r="DV1101" s="34"/>
      <c r="DW1101" s="34"/>
      <c r="DX1101" s="34"/>
      <c r="DY1101" s="34"/>
      <c r="DZ1101" s="34"/>
      <c r="EA1101" s="34"/>
    </row>
    <row r="1102" spans="1:131" ht="11.25">
      <c r="A1102" s="1"/>
      <c r="B1102" s="1"/>
      <c r="C1102" s="1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53"/>
      <c r="O1102" s="53"/>
      <c r="P1102" s="53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  <c r="DQ1102" s="34"/>
      <c r="DR1102" s="34"/>
      <c r="DS1102" s="34"/>
      <c r="DT1102" s="34"/>
      <c r="DU1102" s="34"/>
      <c r="DV1102" s="34"/>
      <c r="DW1102" s="34"/>
      <c r="DX1102" s="34"/>
      <c r="DY1102" s="34"/>
      <c r="DZ1102" s="34"/>
      <c r="EA1102" s="34"/>
    </row>
    <row r="1103" spans="1:131" ht="11.25">
      <c r="A1103" s="1"/>
      <c r="B1103" s="1"/>
      <c r="C1103" s="1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53"/>
      <c r="O1103" s="53"/>
      <c r="P1103" s="53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  <c r="DQ1103" s="34"/>
      <c r="DR1103" s="34"/>
      <c r="DS1103" s="34"/>
      <c r="DT1103" s="34"/>
      <c r="DU1103" s="34"/>
      <c r="DV1103" s="34"/>
      <c r="DW1103" s="34"/>
      <c r="DX1103" s="34"/>
      <c r="DY1103" s="34"/>
      <c r="DZ1103" s="34"/>
      <c r="EA1103" s="34"/>
    </row>
    <row r="1104" spans="1:131" ht="11.25">
      <c r="A1104" s="1"/>
      <c r="B1104" s="1"/>
      <c r="C1104" s="1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53"/>
      <c r="O1104" s="53"/>
      <c r="P1104" s="53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  <c r="DQ1104" s="34"/>
      <c r="DR1104" s="34"/>
      <c r="DS1104" s="34"/>
      <c r="DT1104" s="34"/>
      <c r="DU1104" s="34"/>
      <c r="DV1104" s="34"/>
      <c r="DW1104" s="34"/>
      <c r="DX1104" s="34"/>
      <c r="DY1104" s="34"/>
      <c r="DZ1104" s="34"/>
      <c r="EA1104" s="34"/>
    </row>
    <row r="1105" spans="1:131" ht="11.25">
      <c r="A1105" s="1"/>
      <c r="B1105" s="1"/>
      <c r="C1105" s="1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53"/>
      <c r="O1105" s="53"/>
      <c r="P1105" s="53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  <c r="DQ1105" s="34"/>
      <c r="DR1105" s="34"/>
      <c r="DS1105" s="34"/>
      <c r="DT1105" s="34"/>
      <c r="DU1105" s="34"/>
      <c r="DV1105" s="34"/>
      <c r="DW1105" s="34"/>
      <c r="DX1105" s="34"/>
      <c r="DY1105" s="34"/>
      <c r="DZ1105" s="34"/>
      <c r="EA1105" s="34"/>
    </row>
    <row r="1106" spans="1:131" ht="11.25">
      <c r="A1106" s="1"/>
      <c r="B1106" s="1"/>
      <c r="C1106" s="1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53"/>
      <c r="O1106" s="53"/>
      <c r="P1106" s="53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  <c r="DQ1106" s="34"/>
      <c r="DR1106" s="34"/>
      <c r="DS1106" s="34"/>
      <c r="DT1106" s="34"/>
      <c r="DU1106" s="34"/>
      <c r="DV1106" s="34"/>
      <c r="DW1106" s="34"/>
      <c r="DX1106" s="34"/>
      <c r="DY1106" s="34"/>
      <c r="DZ1106" s="34"/>
      <c r="EA1106" s="34"/>
    </row>
    <row r="1107" spans="1:131" ht="11.25">
      <c r="A1107" s="1"/>
      <c r="B1107" s="1"/>
      <c r="C1107" s="1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53"/>
      <c r="O1107" s="53"/>
      <c r="P1107" s="53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  <c r="DQ1107" s="34"/>
      <c r="DR1107" s="34"/>
      <c r="DS1107" s="34"/>
      <c r="DT1107" s="34"/>
      <c r="DU1107" s="34"/>
      <c r="DV1107" s="34"/>
      <c r="DW1107" s="34"/>
      <c r="DX1107" s="34"/>
      <c r="DY1107" s="34"/>
      <c r="DZ1107" s="34"/>
      <c r="EA1107" s="34"/>
    </row>
  </sheetData>
  <sheetProtection/>
  <mergeCells count="21">
    <mergeCell ref="A1009:B1009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1008:P1008"/>
    <mergeCell ref="A1008:D1008"/>
    <mergeCell ref="N14:P14"/>
    <mergeCell ref="N15:O15"/>
    <mergeCell ref="P15:P16"/>
    <mergeCell ref="K15:M15"/>
    <mergeCell ref="D15:E15"/>
  </mergeCells>
  <printOptions horizontalCentered="1"/>
  <pageMargins left="0.1968503937007874" right="0.1968503937007874" top="0.9448818897637796" bottom="0.1968503937007874" header="0" footer="0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2021-12-19T09:51:40Z</cp:lastPrinted>
  <dcterms:created xsi:type="dcterms:W3CDTF">2014-04-22T08:24:49Z</dcterms:created>
  <dcterms:modified xsi:type="dcterms:W3CDTF">2021-12-19T09:51:44Z</dcterms:modified>
  <cp:category/>
  <cp:version/>
  <cp:contentType/>
  <cp:contentStatus/>
</cp:coreProperties>
</file>